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nagement Files/Pricing/"/>
    </mc:Choice>
  </mc:AlternateContent>
  <xr:revisionPtr revIDLastSave="0" documentId="13_ncr:1_{26108AF5-04AE-AA4C-AECC-E91B5845288E}" xr6:coauthVersionLast="47" xr6:coauthVersionMax="47" xr10:uidLastSave="{00000000-0000-0000-0000-000000000000}"/>
  <bookViews>
    <workbookView xWindow="5240" yWindow="500" windowWidth="40960" windowHeight="26040" activeTab="2" xr2:uid="{C2F20302-CC54-4C49-BB5A-1F5A01AD9D4C}"/>
  </bookViews>
  <sheets>
    <sheet name="Raw Cost" sheetId="1" r:id="rId1"/>
    <sheet name="Packaging Cost" sheetId="5" r:id="rId2"/>
    <sheet name="Master Item List" sheetId="2" r:id="rId3"/>
    <sheet name="Combo Pricing" sheetId="6" r:id="rId4"/>
    <sheet name="COMPLETE MARK UP " sheetId="24" r:id="rId5"/>
    <sheet name="Labor Cost" sheetId="4" r:id="rId6"/>
    <sheet name="FRUIT CUPS" sheetId="23" r:id="rId7"/>
  </sheets>
  <definedNames>
    <definedName name="_xlnm._FilterDatabase" localSheetId="4" hidden="1">'COMPLETE MARK UP '!$A$1:$I$364</definedName>
    <definedName name="_xlnm._FilterDatabase" localSheetId="2">'Master Item List'!$A$1:$V$167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5" i="2" l="1"/>
  <c r="H315" i="2"/>
  <c r="M315" i="2" s="1"/>
  <c r="M314" i="2"/>
  <c r="R314" i="2" s="1"/>
  <c r="L314" i="2"/>
  <c r="I314" i="2"/>
  <c r="H314" i="2"/>
  <c r="L313" i="2"/>
  <c r="H313" i="2"/>
  <c r="I313" i="2" s="1"/>
  <c r="M312" i="2"/>
  <c r="P312" i="2" s="1"/>
  <c r="U312" i="2" s="1"/>
  <c r="L312" i="2"/>
  <c r="I312" i="2"/>
  <c r="H312" i="2"/>
  <c r="L311" i="2"/>
  <c r="H311" i="2"/>
  <c r="M311" i="2" s="1"/>
  <c r="O310" i="2"/>
  <c r="T310" i="2" s="1"/>
  <c r="M310" i="2"/>
  <c r="R310" i="2" s="1"/>
  <c r="L310" i="2"/>
  <c r="I310" i="2"/>
  <c r="H310" i="2"/>
  <c r="L309" i="2"/>
  <c r="H309" i="2"/>
  <c r="I309" i="2" s="1"/>
  <c r="M308" i="2"/>
  <c r="P308" i="2" s="1"/>
  <c r="U308" i="2" s="1"/>
  <c r="L308" i="2"/>
  <c r="I308" i="2"/>
  <c r="H308" i="2"/>
  <c r="L307" i="2"/>
  <c r="H307" i="2"/>
  <c r="M307" i="2" s="1"/>
  <c r="M306" i="2"/>
  <c r="R306" i="2" s="1"/>
  <c r="L306" i="2"/>
  <c r="I306" i="2"/>
  <c r="H306" i="2"/>
  <c r="L305" i="2"/>
  <c r="H305" i="2"/>
  <c r="I305" i="2" s="1"/>
  <c r="M304" i="2"/>
  <c r="P304" i="2" s="1"/>
  <c r="U304" i="2" s="1"/>
  <c r="L304" i="2"/>
  <c r="I304" i="2"/>
  <c r="H304" i="2"/>
  <c r="L303" i="2"/>
  <c r="H303" i="2"/>
  <c r="M303" i="2" s="1"/>
  <c r="M302" i="2"/>
  <c r="R302" i="2" s="1"/>
  <c r="L302" i="2"/>
  <c r="I302" i="2"/>
  <c r="H302" i="2"/>
  <c r="L301" i="2"/>
  <c r="H301" i="2"/>
  <c r="I301" i="2" s="1"/>
  <c r="M300" i="2"/>
  <c r="P300" i="2" s="1"/>
  <c r="U300" i="2" s="1"/>
  <c r="L300" i="2"/>
  <c r="I300" i="2"/>
  <c r="H300" i="2"/>
  <c r="B114" i="1"/>
  <c r="L297" i="2"/>
  <c r="H297" i="2"/>
  <c r="M297" i="2" s="1"/>
  <c r="L279" i="2"/>
  <c r="H279" i="2"/>
  <c r="M279" i="2" s="1"/>
  <c r="L296" i="2"/>
  <c r="H296" i="2"/>
  <c r="M296" i="2" s="1"/>
  <c r="L295" i="2"/>
  <c r="H295" i="2"/>
  <c r="I295" i="2" s="1"/>
  <c r="L294" i="2"/>
  <c r="H294" i="2"/>
  <c r="I294" i="2" s="1"/>
  <c r="L293" i="2"/>
  <c r="H293" i="2"/>
  <c r="M293" i="2" s="1"/>
  <c r="L292" i="2"/>
  <c r="H292" i="2"/>
  <c r="M292" i="2" s="1"/>
  <c r="L291" i="2"/>
  <c r="H291" i="2"/>
  <c r="I291" i="2" s="1"/>
  <c r="L290" i="2"/>
  <c r="H290" i="2"/>
  <c r="I290" i="2" s="1"/>
  <c r="L289" i="2"/>
  <c r="H289" i="2"/>
  <c r="L288" i="2"/>
  <c r="H288" i="2"/>
  <c r="M288" i="2" s="1"/>
  <c r="L287" i="2"/>
  <c r="H287" i="2"/>
  <c r="I287" i="2" s="1"/>
  <c r="L286" i="2"/>
  <c r="H286" i="2"/>
  <c r="I286" i="2" s="1"/>
  <c r="L285" i="2"/>
  <c r="H285" i="2"/>
  <c r="M285" i="2" s="1"/>
  <c r="L284" i="2"/>
  <c r="H284" i="2"/>
  <c r="M284" i="2" s="1"/>
  <c r="L283" i="2"/>
  <c r="H283" i="2"/>
  <c r="I283" i="2" s="1"/>
  <c r="L282" i="2"/>
  <c r="H282" i="2"/>
  <c r="I282" i="2" s="1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B89" i="1"/>
  <c r="C12" i="24"/>
  <c r="C13" i="24"/>
  <c r="C15" i="24"/>
  <c r="C16" i="24"/>
  <c r="C18" i="24"/>
  <c r="C20" i="24"/>
  <c r="C22" i="24"/>
  <c r="C24" i="24"/>
  <c r="C25" i="24"/>
  <c r="C30" i="24"/>
  <c r="C31" i="24"/>
  <c r="C36" i="24"/>
  <c r="C38" i="24"/>
  <c r="C39" i="24"/>
  <c r="C43" i="24"/>
  <c r="C44" i="24"/>
  <c r="C46" i="24"/>
  <c r="C47" i="24"/>
  <c r="C50" i="24"/>
  <c r="C51" i="24"/>
  <c r="C60" i="24"/>
  <c r="C61" i="24"/>
  <c r="C62" i="24"/>
  <c r="C64" i="24"/>
  <c r="C69" i="24"/>
  <c r="C70" i="24"/>
  <c r="C72" i="24"/>
  <c r="C73" i="24"/>
  <c r="C76" i="24"/>
  <c r="C77" i="24"/>
  <c r="C78" i="24"/>
  <c r="C79" i="24"/>
  <c r="C86" i="24"/>
  <c r="C87" i="24"/>
  <c r="C91" i="24"/>
  <c r="C92" i="24"/>
  <c r="C94" i="24"/>
  <c r="C95" i="24"/>
  <c r="C97" i="24"/>
  <c r="C101" i="24"/>
  <c r="C102" i="24"/>
  <c r="C103" i="24"/>
  <c r="C106" i="24"/>
  <c r="C107" i="24"/>
  <c r="C110" i="24"/>
  <c r="C111" i="24"/>
  <c r="C114" i="24"/>
  <c r="C115" i="24"/>
  <c r="C133" i="24"/>
  <c r="C134" i="24"/>
  <c r="C138" i="24"/>
  <c r="C140" i="24"/>
  <c r="C142" i="24"/>
  <c r="C146" i="24"/>
  <c r="C149" i="24"/>
  <c r="C151" i="24"/>
  <c r="C156" i="24"/>
  <c r="C158" i="24"/>
  <c r="C160" i="24"/>
  <c r="C162" i="24"/>
  <c r="C163" i="24"/>
  <c r="C169" i="24"/>
  <c r="C170" i="24"/>
  <c r="C180" i="24"/>
  <c r="C182" i="24"/>
  <c r="C184" i="24"/>
  <c r="C209" i="24"/>
  <c r="C212" i="24"/>
  <c r="C215" i="24"/>
  <c r="C216" i="24"/>
  <c r="C219" i="24"/>
  <c r="C221" i="24"/>
  <c r="C222" i="24"/>
  <c r="C224" i="24"/>
  <c r="C225" i="24"/>
  <c r="C226" i="24"/>
  <c r="C228" i="24"/>
  <c r="C229" i="24"/>
  <c r="E37" i="6"/>
  <c r="E41" i="6"/>
  <c r="B41" i="6"/>
  <c r="H254" i="2"/>
  <c r="I254" i="2" s="1"/>
  <c r="L254" i="2"/>
  <c r="R262" i="2"/>
  <c r="R168" i="2"/>
  <c r="R167" i="2"/>
  <c r="Q262" i="2"/>
  <c r="Q168" i="2"/>
  <c r="Q167" i="2"/>
  <c r="P262" i="2"/>
  <c r="P168" i="2"/>
  <c r="P167" i="2"/>
  <c r="N262" i="2"/>
  <c r="N168" i="2"/>
  <c r="N167" i="2"/>
  <c r="O262" i="2"/>
  <c r="O168" i="2"/>
  <c r="O167" i="2"/>
  <c r="L255" i="2"/>
  <c r="H255" i="2"/>
  <c r="I255" i="2" s="1"/>
  <c r="C326" i="24"/>
  <c r="C342" i="24"/>
  <c r="L161" i="2"/>
  <c r="L101" i="2"/>
  <c r="L144" i="2"/>
  <c r="L100" i="2"/>
  <c r="L98" i="2"/>
  <c r="H98" i="2"/>
  <c r="L225" i="2"/>
  <c r="H225" i="2"/>
  <c r="L118" i="2"/>
  <c r="L97" i="2"/>
  <c r="L215" i="2"/>
  <c r="H215" i="2"/>
  <c r="L202" i="2"/>
  <c r="L197" i="2"/>
  <c r="L194" i="2"/>
  <c r="H194" i="2"/>
  <c r="L195" i="2"/>
  <c r="L43" i="2"/>
  <c r="L42" i="2"/>
  <c r="H97" i="2"/>
  <c r="H118" i="2"/>
  <c r="H158" i="2"/>
  <c r="M158" i="2" s="1"/>
  <c r="H43" i="2"/>
  <c r="H253" i="2"/>
  <c r="H251" i="2"/>
  <c r="H250" i="2"/>
  <c r="H161" i="2"/>
  <c r="H144" i="2"/>
  <c r="H100" i="2"/>
  <c r="H202" i="2"/>
  <c r="H195" i="2"/>
  <c r="I195" i="2" s="1"/>
  <c r="H287" i="24"/>
  <c r="H288" i="24"/>
  <c r="H302" i="24"/>
  <c r="I302" i="24" s="1"/>
  <c r="H319" i="24"/>
  <c r="I319" i="24" s="1"/>
  <c r="H320" i="24"/>
  <c r="I320" i="24" s="1"/>
  <c r="H359" i="24"/>
  <c r="I359" i="24" s="1"/>
  <c r="C349" i="24"/>
  <c r="C348" i="24"/>
  <c r="C341" i="24"/>
  <c r="C338" i="24"/>
  <c r="C336" i="24"/>
  <c r="C335" i="24"/>
  <c r="C333" i="24"/>
  <c r="C332" i="24"/>
  <c r="C330" i="24"/>
  <c r="C327" i="24"/>
  <c r="C312" i="24"/>
  <c r="C311" i="24"/>
  <c r="C305" i="24"/>
  <c r="C299" i="24"/>
  <c r="C298" i="24"/>
  <c r="C290" i="24"/>
  <c r="H290" i="24" s="1"/>
  <c r="I290" i="24" s="1"/>
  <c r="C286" i="24"/>
  <c r="C284" i="24"/>
  <c r="C261" i="24"/>
  <c r="H261" i="24" s="1"/>
  <c r="I261" i="24" s="1"/>
  <c r="C260" i="24"/>
  <c r="C258" i="24"/>
  <c r="C255" i="24"/>
  <c r="C249" i="24"/>
  <c r="H229" i="24"/>
  <c r="I229" i="24" s="1"/>
  <c r="H228" i="24"/>
  <c r="I228" i="24" s="1"/>
  <c r="C355" i="24"/>
  <c r="C364" i="24"/>
  <c r="H216" i="24"/>
  <c r="I216" i="24" s="1"/>
  <c r="H215" i="24"/>
  <c r="I215" i="24" s="1"/>
  <c r="H177" i="24"/>
  <c r="I177" i="24" s="1"/>
  <c r="H185" i="24"/>
  <c r="I185" i="24" s="1"/>
  <c r="H186" i="24"/>
  <c r="I186" i="24" s="1"/>
  <c r="H187" i="24"/>
  <c r="I187" i="24" s="1"/>
  <c r="H188" i="24"/>
  <c r="I188" i="24" s="1"/>
  <c r="H192" i="24"/>
  <c r="I192" i="24" s="1"/>
  <c r="H210" i="24"/>
  <c r="L253" i="2"/>
  <c r="L252" i="2"/>
  <c r="H252" i="2"/>
  <c r="I252" i="2" s="1"/>
  <c r="L251" i="2"/>
  <c r="L250" i="2"/>
  <c r="H260" i="2"/>
  <c r="I260" i="2" s="1"/>
  <c r="L260" i="2"/>
  <c r="M260" i="2" s="1"/>
  <c r="L249" i="2"/>
  <c r="H249" i="2"/>
  <c r="L248" i="2"/>
  <c r="H248" i="2"/>
  <c r="E34" i="6"/>
  <c r="B37" i="6"/>
  <c r="H275" i="2"/>
  <c r="H273" i="2"/>
  <c r="M273" i="2" s="1"/>
  <c r="O314" i="2" l="1"/>
  <c r="T314" i="2" s="1"/>
  <c r="O306" i="2"/>
  <c r="T306" i="2" s="1"/>
  <c r="O302" i="2"/>
  <c r="T302" i="2" s="1"/>
  <c r="Q311" i="2"/>
  <c r="V311" i="2" s="1"/>
  <c r="P311" i="2"/>
  <c r="U311" i="2" s="1"/>
  <c r="R311" i="2"/>
  <c r="O311" i="2"/>
  <c r="T311" i="2" s="1"/>
  <c r="N311" i="2"/>
  <c r="S311" i="2" s="1"/>
  <c r="R315" i="2"/>
  <c r="N315" i="2"/>
  <c r="S315" i="2" s="1"/>
  <c r="Q315" i="2"/>
  <c r="V315" i="2" s="1"/>
  <c r="P315" i="2"/>
  <c r="U315" i="2" s="1"/>
  <c r="O315" i="2"/>
  <c r="T315" i="2" s="1"/>
  <c r="Q307" i="2"/>
  <c r="V307" i="2" s="1"/>
  <c r="P307" i="2"/>
  <c r="U307" i="2" s="1"/>
  <c r="N307" i="2"/>
  <c r="S307" i="2" s="1"/>
  <c r="O307" i="2"/>
  <c r="T307" i="2" s="1"/>
  <c r="R307" i="2"/>
  <c r="Q303" i="2"/>
  <c r="V303" i="2" s="1"/>
  <c r="N303" i="2"/>
  <c r="S303" i="2" s="1"/>
  <c r="P303" i="2"/>
  <c r="U303" i="2" s="1"/>
  <c r="R303" i="2"/>
  <c r="O303" i="2"/>
  <c r="T303" i="2" s="1"/>
  <c r="Q308" i="2"/>
  <c r="V308" i="2" s="1"/>
  <c r="Q312" i="2"/>
  <c r="V312" i="2" s="1"/>
  <c r="N300" i="2"/>
  <c r="S300" i="2" s="1"/>
  <c r="R300" i="2"/>
  <c r="M301" i="2"/>
  <c r="P302" i="2"/>
  <c r="U302" i="2" s="1"/>
  <c r="I303" i="2"/>
  <c r="N304" i="2"/>
  <c r="S304" i="2" s="1"/>
  <c r="R304" i="2"/>
  <c r="M305" i="2"/>
  <c r="P306" i="2"/>
  <c r="U306" i="2" s="1"/>
  <c r="I307" i="2"/>
  <c r="N308" i="2"/>
  <c r="S308" i="2" s="1"/>
  <c r="R308" i="2"/>
  <c r="M309" i="2"/>
  <c r="P310" i="2"/>
  <c r="U310" i="2" s="1"/>
  <c r="I311" i="2"/>
  <c r="N312" i="2"/>
  <c r="S312" i="2" s="1"/>
  <c r="R312" i="2"/>
  <c r="M313" i="2"/>
  <c r="P314" i="2"/>
  <c r="U314" i="2" s="1"/>
  <c r="I315" i="2"/>
  <c r="Q300" i="2"/>
  <c r="V300" i="2" s="1"/>
  <c r="Q304" i="2"/>
  <c r="V304" i="2" s="1"/>
  <c r="O300" i="2"/>
  <c r="T300" i="2" s="1"/>
  <c r="Q302" i="2"/>
  <c r="V302" i="2" s="1"/>
  <c r="O304" i="2"/>
  <c r="T304" i="2" s="1"/>
  <c r="Q306" i="2"/>
  <c r="V306" i="2" s="1"/>
  <c r="O308" i="2"/>
  <c r="T308" i="2" s="1"/>
  <c r="Q310" i="2"/>
  <c r="V310" i="2" s="1"/>
  <c r="O312" i="2"/>
  <c r="T312" i="2" s="1"/>
  <c r="Q314" i="2"/>
  <c r="V314" i="2" s="1"/>
  <c r="N302" i="2"/>
  <c r="S302" i="2" s="1"/>
  <c r="N306" i="2"/>
  <c r="S306" i="2" s="1"/>
  <c r="N310" i="2"/>
  <c r="S310" i="2" s="1"/>
  <c r="N314" i="2"/>
  <c r="S314" i="2" s="1"/>
  <c r="R297" i="2"/>
  <c r="N297" i="2"/>
  <c r="S297" i="2" s="1"/>
  <c r="Q297" i="2"/>
  <c r="V297" i="2" s="1"/>
  <c r="P297" i="2"/>
  <c r="U297" i="2" s="1"/>
  <c r="O297" i="2"/>
  <c r="T297" i="2" s="1"/>
  <c r="F18" i="23" s="1"/>
  <c r="G18" i="23" s="1"/>
  <c r="I297" i="2"/>
  <c r="R279" i="2"/>
  <c r="N279" i="2"/>
  <c r="S279" i="2" s="1"/>
  <c r="Q279" i="2"/>
  <c r="V279" i="2" s="1"/>
  <c r="P279" i="2"/>
  <c r="U279" i="2" s="1"/>
  <c r="O279" i="2"/>
  <c r="T279" i="2" s="1"/>
  <c r="B18" i="23" s="1"/>
  <c r="C18" i="23" s="1"/>
  <c r="I279" i="2"/>
  <c r="M291" i="2"/>
  <c r="Q291" i="2" s="1"/>
  <c r="V291" i="2" s="1"/>
  <c r="M282" i="2"/>
  <c r="P282" i="2" s="1"/>
  <c r="U282" i="2" s="1"/>
  <c r="I288" i="2"/>
  <c r="M289" i="2"/>
  <c r="O289" i="2" s="1"/>
  <c r="T289" i="2" s="1"/>
  <c r="F10" i="23" s="1"/>
  <c r="G10" i="23" s="1"/>
  <c r="M295" i="2"/>
  <c r="O295" i="2" s="1"/>
  <c r="T295" i="2" s="1"/>
  <c r="F16" i="23" s="1"/>
  <c r="G16" i="23" s="1"/>
  <c r="M294" i="2"/>
  <c r="P294" i="2" s="1"/>
  <c r="U294" i="2" s="1"/>
  <c r="I284" i="2"/>
  <c r="M287" i="2"/>
  <c r="N287" i="2" s="1"/>
  <c r="S287" i="2" s="1"/>
  <c r="M290" i="2"/>
  <c r="P290" i="2" s="1"/>
  <c r="U290" i="2" s="1"/>
  <c r="I296" i="2"/>
  <c r="M283" i="2"/>
  <c r="Q283" i="2" s="1"/>
  <c r="V283" i="2" s="1"/>
  <c r="M286" i="2"/>
  <c r="P286" i="2" s="1"/>
  <c r="U286" i="2" s="1"/>
  <c r="I292" i="2"/>
  <c r="R284" i="2"/>
  <c r="N284" i="2"/>
  <c r="S284" i="2" s="1"/>
  <c r="Q284" i="2"/>
  <c r="V284" i="2" s="1"/>
  <c r="O284" i="2"/>
  <c r="T284" i="2" s="1"/>
  <c r="F5" i="23" s="1"/>
  <c r="G5" i="23" s="1"/>
  <c r="P284" i="2"/>
  <c r="U284" i="2" s="1"/>
  <c r="Q293" i="2"/>
  <c r="V293" i="2" s="1"/>
  <c r="P293" i="2"/>
  <c r="U293" i="2" s="1"/>
  <c r="O293" i="2"/>
  <c r="T293" i="2" s="1"/>
  <c r="F14" i="23" s="1"/>
  <c r="G14" i="23" s="1"/>
  <c r="R293" i="2"/>
  <c r="N293" i="2"/>
  <c r="S293" i="2" s="1"/>
  <c r="R296" i="2"/>
  <c r="N296" i="2"/>
  <c r="S296" i="2" s="1"/>
  <c r="Q296" i="2"/>
  <c r="V296" i="2" s="1"/>
  <c r="P296" i="2"/>
  <c r="U296" i="2" s="1"/>
  <c r="O296" i="2"/>
  <c r="T296" i="2" s="1"/>
  <c r="F17" i="23" s="1"/>
  <c r="G17" i="23" s="1"/>
  <c r="R292" i="2"/>
  <c r="N292" i="2"/>
  <c r="S292" i="2" s="1"/>
  <c r="Q292" i="2"/>
  <c r="V292" i="2" s="1"/>
  <c r="P292" i="2"/>
  <c r="U292" i="2" s="1"/>
  <c r="O292" i="2"/>
  <c r="T292" i="2" s="1"/>
  <c r="F13" i="23" s="1"/>
  <c r="G13" i="23" s="1"/>
  <c r="Q285" i="2"/>
  <c r="V285" i="2" s="1"/>
  <c r="R285" i="2"/>
  <c r="P285" i="2"/>
  <c r="U285" i="2" s="1"/>
  <c r="O285" i="2"/>
  <c r="T285" i="2" s="1"/>
  <c r="F6" i="23" s="1"/>
  <c r="G6" i="23" s="1"/>
  <c r="N285" i="2"/>
  <c r="S285" i="2" s="1"/>
  <c r="R288" i="2"/>
  <c r="N288" i="2"/>
  <c r="S288" i="2" s="1"/>
  <c r="Q288" i="2"/>
  <c r="V288" i="2" s="1"/>
  <c r="P288" i="2"/>
  <c r="U288" i="2" s="1"/>
  <c r="O288" i="2"/>
  <c r="T288" i="2" s="1"/>
  <c r="F9" i="23" s="1"/>
  <c r="G9" i="23" s="1"/>
  <c r="Q290" i="2"/>
  <c r="V290" i="2" s="1"/>
  <c r="I285" i="2"/>
  <c r="I289" i="2"/>
  <c r="R290" i="2"/>
  <c r="I293" i="2"/>
  <c r="O290" i="2"/>
  <c r="T290" i="2" s="1"/>
  <c r="F11" i="23" s="1"/>
  <c r="G11" i="23" s="1"/>
  <c r="M275" i="2"/>
  <c r="O275" i="2" s="1"/>
  <c r="T275" i="2" s="1"/>
  <c r="B14" i="23" s="1"/>
  <c r="M254" i="2"/>
  <c r="M100" i="2"/>
  <c r="O100" i="2" s="1"/>
  <c r="T100" i="2" s="1"/>
  <c r="D344" i="24"/>
  <c r="H344" i="24" s="1"/>
  <c r="I344" i="24" s="1"/>
  <c r="R158" i="2"/>
  <c r="W158" i="2" s="1"/>
  <c r="P158" i="2"/>
  <c r="U158" i="2" s="1"/>
  <c r="Q158" i="2"/>
  <c r="V158" i="2" s="1"/>
  <c r="N158" i="2"/>
  <c r="S158" i="2" s="1"/>
  <c r="O158" i="2"/>
  <c r="T158" i="2" s="1"/>
  <c r="R273" i="2"/>
  <c r="N273" i="2"/>
  <c r="S273" i="2" s="1"/>
  <c r="Q273" i="2"/>
  <c r="V273" i="2" s="1"/>
  <c r="P273" i="2"/>
  <c r="U273" i="2" s="1"/>
  <c r="O273" i="2"/>
  <c r="T273" i="2" s="1"/>
  <c r="B12" i="23" s="1"/>
  <c r="M255" i="2"/>
  <c r="M225" i="2"/>
  <c r="H42" i="2"/>
  <c r="I42" i="2" s="1"/>
  <c r="H197" i="2"/>
  <c r="M197" i="2" s="1"/>
  <c r="M161" i="2"/>
  <c r="I161" i="2"/>
  <c r="M249" i="2"/>
  <c r="M250" i="2"/>
  <c r="M215" i="2"/>
  <c r="M118" i="2"/>
  <c r="M98" i="2"/>
  <c r="M144" i="2"/>
  <c r="I158" i="2"/>
  <c r="I144" i="2"/>
  <c r="I100" i="2"/>
  <c r="I98" i="2"/>
  <c r="I225" i="2"/>
  <c r="I118" i="2"/>
  <c r="M248" i="2"/>
  <c r="M251" i="2"/>
  <c r="M253" i="2"/>
  <c r="M43" i="2"/>
  <c r="M194" i="2"/>
  <c r="M202" i="2"/>
  <c r="M97" i="2"/>
  <c r="I97" i="2"/>
  <c r="I215" i="2"/>
  <c r="I202" i="2"/>
  <c r="M195" i="2"/>
  <c r="I194" i="2"/>
  <c r="I43" i="2"/>
  <c r="I253" i="2"/>
  <c r="M252" i="2"/>
  <c r="I251" i="2"/>
  <c r="I250" i="2"/>
  <c r="I249" i="2"/>
  <c r="I248" i="2"/>
  <c r="I275" i="2"/>
  <c r="I273" i="2"/>
  <c r="E36" i="6"/>
  <c r="O313" i="2" l="1"/>
  <c r="T313" i="2" s="1"/>
  <c r="R313" i="2"/>
  <c r="N313" i="2"/>
  <c r="S313" i="2" s="1"/>
  <c r="Q313" i="2"/>
  <c r="V313" i="2" s="1"/>
  <c r="P313" i="2"/>
  <c r="U313" i="2" s="1"/>
  <c r="O309" i="2"/>
  <c r="T309" i="2" s="1"/>
  <c r="R309" i="2"/>
  <c r="N309" i="2"/>
  <c r="S309" i="2" s="1"/>
  <c r="Q309" i="2"/>
  <c r="V309" i="2" s="1"/>
  <c r="P309" i="2"/>
  <c r="U309" i="2" s="1"/>
  <c r="O305" i="2"/>
  <c r="T305" i="2" s="1"/>
  <c r="R305" i="2"/>
  <c r="N305" i="2"/>
  <c r="S305" i="2" s="1"/>
  <c r="P305" i="2"/>
  <c r="U305" i="2" s="1"/>
  <c r="Q305" i="2"/>
  <c r="V305" i="2" s="1"/>
  <c r="O301" i="2"/>
  <c r="T301" i="2" s="1"/>
  <c r="R301" i="2"/>
  <c r="N301" i="2"/>
  <c r="S301" i="2" s="1"/>
  <c r="Q301" i="2"/>
  <c r="V301" i="2" s="1"/>
  <c r="P301" i="2"/>
  <c r="U301" i="2" s="1"/>
  <c r="Q295" i="2"/>
  <c r="V295" i="2" s="1"/>
  <c r="R291" i="2"/>
  <c r="N295" i="2"/>
  <c r="S295" i="2" s="1"/>
  <c r="N291" i="2"/>
  <c r="S291" i="2" s="1"/>
  <c r="R282" i="2"/>
  <c r="O282" i="2"/>
  <c r="T282" i="2" s="1"/>
  <c r="F3" i="23" s="1"/>
  <c r="G3" i="23" s="1"/>
  <c r="Q282" i="2"/>
  <c r="V282" i="2" s="1"/>
  <c r="R294" i="2"/>
  <c r="N290" i="2"/>
  <c r="S290" i="2" s="1"/>
  <c r="N282" i="2"/>
  <c r="S282" i="2" s="1"/>
  <c r="P291" i="2"/>
  <c r="U291" i="2" s="1"/>
  <c r="O291" i="2"/>
  <c r="T291" i="2" s="1"/>
  <c r="F12" i="23" s="1"/>
  <c r="G12" i="23" s="1"/>
  <c r="R295" i="2"/>
  <c r="O294" i="2"/>
  <c r="T294" i="2" s="1"/>
  <c r="F15" i="23" s="1"/>
  <c r="G15" i="23" s="1"/>
  <c r="N294" i="2"/>
  <c r="S294" i="2" s="1"/>
  <c r="Q294" i="2"/>
  <c r="V294" i="2" s="1"/>
  <c r="P295" i="2"/>
  <c r="U295" i="2" s="1"/>
  <c r="P289" i="2"/>
  <c r="U289" i="2" s="1"/>
  <c r="N289" i="2"/>
  <c r="S289" i="2" s="1"/>
  <c r="Q289" i="2"/>
  <c r="V289" i="2" s="1"/>
  <c r="N283" i="2"/>
  <c r="S283" i="2" s="1"/>
  <c r="R289" i="2"/>
  <c r="R283" i="2"/>
  <c r="R287" i="2"/>
  <c r="R286" i="2"/>
  <c r="O286" i="2"/>
  <c r="T286" i="2" s="1"/>
  <c r="F7" i="23" s="1"/>
  <c r="G7" i="23" s="1"/>
  <c r="O287" i="2"/>
  <c r="T287" i="2" s="1"/>
  <c r="F8" i="23" s="1"/>
  <c r="G8" i="23" s="1"/>
  <c r="N286" i="2"/>
  <c r="S286" i="2" s="1"/>
  <c r="P283" i="2"/>
  <c r="U283" i="2" s="1"/>
  <c r="O283" i="2"/>
  <c r="T283" i="2" s="1"/>
  <c r="F4" i="23" s="1"/>
  <c r="G4" i="23" s="1"/>
  <c r="Q287" i="2"/>
  <c r="V287" i="2" s="1"/>
  <c r="Q286" i="2"/>
  <c r="V286" i="2" s="1"/>
  <c r="P287" i="2"/>
  <c r="U287" i="2" s="1"/>
  <c r="N275" i="2"/>
  <c r="S275" i="2" s="1"/>
  <c r="Q275" i="2"/>
  <c r="V275" i="2" s="1"/>
  <c r="P275" i="2"/>
  <c r="U275" i="2" s="1"/>
  <c r="R275" i="2"/>
  <c r="Q100" i="2"/>
  <c r="V100" i="2" s="1"/>
  <c r="R100" i="2"/>
  <c r="W100" i="2" s="1"/>
  <c r="N254" i="2"/>
  <c r="S254" i="2" s="1"/>
  <c r="R254" i="2"/>
  <c r="W254" i="2" s="1"/>
  <c r="O254" i="2"/>
  <c r="T254" i="2" s="1"/>
  <c r="P254" i="2"/>
  <c r="U254" i="2" s="1"/>
  <c r="Q254" i="2"/>
  <c r="V254" i="2" s="1"/>
  <c r="N100" i="2"/>
  <c r="S100" i="2" s="1"/>
  <c r="P100" i="2"/>
  <c r="U100" i="2" s="1"/>
  <c r="R252" i="2"/>
  <c r="W252" i="2" s="1"/>
  <c r="N252" i="2"/>
  <c r="S252" i="2" s="1"/>
  <c r="Q252" i="2"/>
  <c r="V252" i="2" s="1"/>
  <c r="P252" i="2"/>
  <c r="U252" i="2" s="1"/>
  <c r="O252" i="2"/>
  <c r="T252" i="2" s="1"/>
  <c r="R225" i="2"/>
  <c r="W225" i="2" s="1"/>
  <c r="Q225" i="2"/>
  <c r="V225" i="2" s="1"/>
  <c r="P225" i="2"/>
  <c r="U225" i="2" s="1"/>
  <c r="N225" i="2"/>
  <c r="S225" i="2" s="1"/>
  <c r="O225" i="2"/>
  <c r="T225" i="2" s="1"/>
  <c r="R194" i="2"/>
  <c r="W194" i="2" s="1"/>
  <c r="P194" i="2"/>
  <c r="U194" i="2" s="1"/>
  <c r="Q194" i="2"/>
  <c r="V194" i="2" s="1"/>
  <c r="N194" i="2"/>
  <c r="S194" i="2" s="1"/>
  <c r="O194" i="2"/>
  <c r="T194" i="2" s="1"/>
  <c r="R248" i="2"/>
  <c r="W248" i="2" s="1"/>
  <c r="N248" i="2"/>
  <c r="S248" i="2" s="1"/>
  <c r="Q248" i="2"/>
  <c r="V248" i="2" s="1"/>
  <c r="P248" i="2"/>
  <c r="U248" i="2" s="1"/>
  <c r="O248" i="2"/>
  <c r="T248" i="2" s="1"/>
  <c r="R98" i="2"/>
  <c r="W98" i="2" s="1"/>
  <c r="P98" i="2"/>
  <c r="U98" i="2" s="1"/>
  <c r="Q98" i="2"/>
  <c r="V98" i="2" s="1"/>
  <c r="N98" i="2"/>
  <c r="S98" i="2" s="1"/>
  <c r="O98" i="2"/>
  <c r="T98" i="2" s="1"/>
  <c r="R249" i="2"/>
  <c r="W249" i="2" s="1"/>
  <c r="Q249" i="2"/>
  <c r="V249" i="2" s="1"/>
  <c r="P249" i="2"/>
  <c r="U249" i="2" s="1"/>
  <c r="N249" i="2"/>
  <c r="S249" i="2" s="1"/>
  <c r="O249" i="2"/>
  <c r="T249" i="2" s="1"/>
  <c r="R43" i="2"/>
  <c r="W43" i="2" s="1"/>
  <c r="Q43" i="2"/>
  <c r="V43" i="2" s="1"/>
  <c r="N43" i="2"/>
  <c r="S43" i="2" s="1"/>
  <c r="P43" i="2"/>
  <c r="U43" i="2" s="1"/>
  <c r="O43" i="2"/>
  <c r="T43" i="2" s="1"/>
  <c r="R118" i="2"/>
  <c r="W118" i="2" s="1"/>
  <c r="P118" i="2"/>
  <c r="U118" i="2" s="1"/>
  <c r="Q118" i="2"/>
  <c r="V118" i="2" s="1"/>
  <c r="N118" i="2"/>
  <c r="S118" i="2" s="1"/>
  <c r="O118" i="2"/>
  <c r="T118" i="2" s="1"/>
  <c r="R195" i="2"/>
  <c r="W195" i="2" s="1"/>
  <c r="N195" i="2"/>
  <c r="S195" i="2" s="1"/>
  <c r="Q195" i="2"/>
  <c r="V195" i="2" s="1"/>
  <c r="P195" i="2"/>
  <c r="U195" i="2" s="1"/>
  <c r="O195" i="2"/>
  <c r="T195" i="2" s="1"/>
  <c r="R161" i="2"/>
  <c r="W161" i="2" s="1"/>
  <c r="Q161" i="2"/>
  <c r="V161" i="2" s="1"/>
  <c r="N161" i="2"/>
  <c r="S161" i="2" s="1"/>
  <c r="P161" i="2"/>
  <c r="U161" i="2" s="1"/>
  <c r="O161" i="2"/>
  <c r="T161" i="2" s="1"/>
  <c r="R97" i="2"/>
  <c r="W97" i="2" s="1"/>
  <c r="Q97" i="2"/>
  <c r="V97" i="2" s="1"/>
  <c r="N97" i="2"/>
  <c r="S97" i="2" s="1"/>
  <c r="P97" i="2"/>
  <c r="U97" i="2" s="1"/>
  <c r="O97" i="2"/>
  <c r="T97" i="2" s="1"/>
  <c r="R253" i="2"/>
  <c r="W253" i="2" s="1"/>
  <c r="Q253" i="2"/>
  <c r="V253" i="2" s="1"/>
  <c r="P253" i="2"/>
  <c r="U253" i="2" s="1"/>
  <c r="N253" i="2"/>
  <c r="S253" i="2" s="1"/>
  <c r="O253" i="2"/>
  <c r="T253" i="2" s="1"/>
  <c r="R215" i="2"/>
  <c r="W215" i="2" s="1"/>
  <c r="Q215" i="2"/>
  <c r="V215" i="2" s="1"/>
  <c r="P215" i="2"/>
  <c r="U215" i="2" s="1"/>
  <c r="N215" i="2"/>
  <c r="S215" i="2" s="1"/>
  <c r="O215" i="2"/>
  <c r="T215" i="2" s="1"/>
  <c r="R260" i="2"/>
  <c r="Q260" i="2"/>
  <c r="V260" i="2" s="1"/>
  <c r="P260" i="2"/>
  <c r="U260" i="2" s="1"/>
  <c r="O260" i="2"/>
  <c r="T260" i="2" s="1"/>
  <c r="N260" i="2"/>
  <c r="S260" i="2" s="1"/>
  <c r="Q202" i="2"/>
  <c r="V202" i="2" s="1"/>
  <c r="R202" i="2"/>
  <c r="W202" i="2" s="1"/>
  <c r="P202" i="2"/>
  <c r="U202" i="2" s="1"/>
  <c r="N202" i="2"/>
  <c r="S202" i="2" s="1"/>
  <c r="O202" i="2"/>
  <c r="T202" i="2" s="1"/>
  <c r="R251" i="2"/>
  <c r="W251" i="2" s="1"/>
  <c r="Q251" i="2"/>
  <c r="V251" i="2" s="1"/>
  <c r="P251" i="2"/>
  <c r="U251" i="2" s="1"/>
  <c r="N251" i="2"/>
  <c r="S251" i="2" s="1"/>
  <c r="O251" i="2"/>
  <c r="T251" i="2" s="1"/>
  <c r="R144" i="2"/>
  <c r="W144" i="2" s="1"/>
  <c r="Q144" i="2"/>
  <c r="V144" i="2" s="1"/>
  <c r="N144" i="2"/>
  <c r="S144" i="2" s="1"/>
  <c r="P144" i="2"/>
  <c r="U144" i="2" s="1"/>
  <c r="O144" i="2"/>
  <c r="T144" i="2" s="1"/>
  <c r="Q250" i="2"/>
  <c r="V250" i="2" s="1"/>
  <c r="R250" i="2"/>
  <c r="W250" i="2" s="1"/>
  <c r="P250" i="2"/>
  <c r="U250" i="2" s="1"/>
  <c r="N250" i="2"/>
  <c r="S250" i="2" s="1"/>
  <c r="O250" i="2"/>
  <c r="T250" i="2" s="1"/>
  <c r="R197" i="2"/>
  <c r="W197" i="2" s="1"/>
  <c r="Q197" i="2"/>
  <c r="V197" i="2" s="1"/>
  <c r="P197" i="2"/>
  <c r="U197" i="2" s="1"/>
  <c r="N197" i="2"/>
  <c r="S197" i="2" s="1"/>
  <c r="O197" i="2"/>
  <c r="T197" i="2" s="1"/>
  <c r="D214" i="24"/>
  <c r="H214" i="24" s="1"/>
  <c r="I214" i="24" s="1"/>
  <c r="Q255" i="2"/>
  <c r="V255" i="2" s="1"/>
  <c r="R255" i="2"/>
  <c r="W255" i="2" s="1"/>
  <c r="P255" i="2"/>
  <c r="U255" i="2" s="1"/>
  <c r="N255" i="2"/>
  <c r="S255" i="2" s="1"/>
  <c r="O255" i="2"/>
  <c r="T255" i="2" s="1"/>
  <c r="D304" i="24"/>
  <c r="H304" i="24" s="1"/>
  <c r="I304" i="24" s="1"/>
  <c r="D252" i="24"/>
  <c r="H252" i="24" s="1"/>
  <c r="I252" i="24" s="1"/>
  <c r="D340" i="24"/>
  <c r="H340" i="24" s="1"/>
  <c r="I340" i="24" s="1"/>
  <c r="D234" i="24"/>
  <c r="H234" i="24" s="1"/>
  <c r="I234" i="24" s="1"/>
  <c r="D152" i="24"/>
  <c r="H152" i="24" s="1"/>
  <c r="I152" i="24" s="1"/>
  <c r="D139" i="24"/>
  <c r="H139" i="24" s="1"/>
  <c r="I139" i="24" s="1"/>
  <c r="M42" i="2"/>
  <c r="I197" i="2"/>
  <c r="C14" i="23"/>
  <c r="D306" i="24"/>
  <c r="H306" i="24" s="1"/>
  <c r="I306" i="24" s="1"/>
  <c r="E344" i="24" a="1"/>
  <c r="E344" i="24" s="1"/>
  <c r="D296" i="24"/>
  <c r="H296" i="24" s="1"/>
  <c r="I296" i="24" s="1"/>
  <c r="D358" i="24"/>
  <c r="H358" i="24" s="1"/>
  <c r="I358" i="24" s="1"/>
  <c r="D197" i="24"/>
  <c r="H197" i="24" s="1"/>
  <c r="I197" i="24" s="1"/>
  <c r="D240" i="24"/>
  <c r="H240" i="24" s="1"/>
  <c r="I240" i="24" s="1"/>
  <c r="D109" i="24"/>
  <c r="H109" i="24" s="1"/>
  <c r="I109" i="24" s="1"/>
  <c r="D132" i="24"/>
  <c r="D173" i="24"/>
  <c r="H173" i="24" s="1"/>
  <c r="I173" i="24" s="1"/>
  <c r="D99" i="24"/>
  <c r="D154" i="24"/>
  <c r="H154" i="24" s="1"/>
  <c r="I154" i="24" s="1"/>
  <c r="C43" i="6"/>
  <c r="E43" i="6"/>
  <c r="D43" i="6"/>
  <c r="B43" i="6"/>
  <c r="E22" i="6"/>
  <c r="E27" i="6"/>
  <c r="E11" i="6"/>
  <c r="E29" i="6"/>
  <c r="E32" i="6"/>
  <c r="B34" i="6"/>
  <c r="B33" i="6"/>
  <c r="E18" i="6"/>
  <c r="E33" i="6"/>
  <c r="E10" i="6"/>
  <c r="E6" i="6"/>
  <c r="R42" i="2" l="1"/>
  <c r="W42" i="2" s="1"/>
  <c r="P42" i="2"/>
  <c r="U42" i="2" s="1"/>
  <c r="Q42" i="2"/>
  <c r="V42" i="2" s="1"/>
  <c r="N42" i="2"/>
  <c r="S42" i="2" s="1"/>
  <c r="O42" i="2"/>
  <c r="T42" i="2" s="1"/>
  <c r="D305" i="24"/>
  <c r="H305" i="24" s="1"/>
  <c r="I305" i="24" s="1"/>
  <c r="E214" i="24" a="1"/>
  <c r="E214" i="24" s="1"/>
  <c r="D138" i="24"/>
  <c r="H138" i="24" s="1"/>
  <c r="I138" i="24" s="1"/>
  <c r="D342" i="24"/>
  <c r="H342" i="24" s="1"/>
  <c r="I342" i="24" s="1"/>
  <c r="E252" i="24" a="1"/>
  <c r="E252" i="24" s="1"/>
  <c r="D341" i="24"/>
  <c r="H341" i="24" s="1"/>
  <c r="I341" i="24" s="1"/>
  <c r="E358" i="24" a="1"/>
  <c r="E358" i="24" s="1"/>
  <c r="D112" i="24"/>
  <c r="D140" i="24"/>
  <c r="H140" i="24" s="1"/>
  <c r="I140" i="24" s="1"/>
  <c r="E139" i="24" a="1"/>
  <c r="E139" i="24" s="1"/>
  <c r="E234" i="24" a="1"/>
  <c r="E234" i="24" s="1"/>
  <c r="E296" i="24" a="1"/>
  <c r="E296" i="24" s="1"/>
  <c r="E240" i="24" a="1"/>
  <c r="E240" i="24" s="1"/>
  <c r="E197" i="24" a="1"/>
  <c r="E197" i="24" s="1"/>
  <c r="E306" i="24" a="1"/>
  <c r="E306" i="24" s="1"/>
  <c r="E173" i="24" a="1"/>
  <c r="E173" i="24" s="1"/>
  <c r="E132" i="24" a="1"/>
  <c r="E132" i="24" s="1"/>
  <c r="E109" i="24" a="1"/>
  <c r="E109" i="24" s="1"/>
  <c r="E99" i="24" a="1"/>
  <c r="E99" i="24" s="1"/>
  <c r="E340" i="24" a="1"/>
  <c r="E340" i="24" s="1"/>
  <c r="E304" i="24" a="1"/>
  <c r="E304" i="24" s="1"/>
  <c r="E152" i="24" a="1"/>
  <c r="E152" i="24" s="1"/>
  <c r="E154" i="24" a="1"/>
  <c r="E154" i="24" s="1"/>
  <c r="H101" i="2"/>
  <c r="H277" i="2"/>
  <c r="H276" i="2"/>
  <c r="H272" i="2"/>
  <c r="H271" i="2"/>
  <c r="H270" i="2"/>
  <c r="H269" i="2"/>
  <c r="H38" i="2"/>
  <c r="H35" i="2"/>
  <c r="H25" i="2"/>
  <c r="H267" i="2"/>
  <c r="H11" i="2"/>
  <c r="H266" i="2"/>
  <c r="H156" i="2" l="1"/>
  <c r="I156" i="2" s="1"/>
  <c r="E112" i="24" a="1"/>
  <c r="E112" i="24" s="1"/>
  <c r="M101" i="2"/>
  <c r="I101" i="2"/>
  <c r="M272" i="2"/>
  <c r="I272" i="2"/>
  <c r="M269" i="2"/>
  <c r="I269" i="2"/>
  <c r="H62" i="2"/>
  <c r="I62" i="2" s="1"/>
  <c r="H268" i="2"/>
  <c r="M267" i="2"/>
  <c r="I267" i="2"/>
  <c r="M266" i="2"/>
  <c r="I266" i="2"/>
  <c r="M277" i="2"/>
  <c r="I277" i="2"/>
  <c r="I276" i="2"/>
  <c r="M276" i="2"/>
  <c r="M271" i="2"/>
  <c r="I271" i="2"/>
  <c r="M270" i="2"/>
  <c r="I270" i="2"/>
  <c r="I11" i="2"/>
  <c r="I35" i="2"/>
  <c r="I38" i="2"/>
  <c r="I25" i="2"/>
  <c r="Q267" i="2" l="1"/>
  <c r="V267" i="2" s="1"/>
  <c r="R267" i="2"/>
  <c r="P267" i="2"/>
  <c r="U267" i="2" s="1"/>
  <c r="N267" i="2"/>
  <c r="S267" i="2" s="1"/>
  <c r="O267" i="2"/>
  <c r="T267" i="2" s="1"/>
  <c r="B6" i="23" s="1"/>
  <c r="R269" i="2"/>
  <c r="N269" i="2"/>
  <c r="S269" i="2" s="1"/>
  <c r="Q269" i="2"/>
  <c r="V269" i="2" s="1"/>
  <c r="P269" i="2"/>
  <c r="O269" i="2"/>
  <c r="T269" i="2" s="1"/>
  <c r="B8" i="23" s="1"/>
  <c r="Q271" i="2"/>
  <c r="V271" i="2" s="1"/>
  <c r="R271" i="2"/>
  <c r="P271" i="2"/>
  <c r="U271" i="2" s="1"/>
  <c r="N271" i="2"/>
  <c r="S271" i="2" s="1"/>
  <c r="O271" i="2"/>
  <c r="T271" i="2" s="1"/>
  <c r="B10" i="23" s="1"/>
  <c r="R277" i="2"/>
  <c r="Q277" i="2"/>
  <c r="V277" i="2" s="1"/>
  <c r="N277" i="2"/>
  <c r="S277" i="2" s="1"/>
  <c r="P277" i="2"/>
  <c r="U277" i="2" s="1"/>
  <c r="O277" i="2"/>
  <c r="T277" i="2" s="1"/>
  <c r="B16" i="23" s="1"/>
  <c r="R101" i="2"/>
  <c r="W101" i="2" s="1"/>
  <c r="Q101" i="2"/>
  <c r="V101" i="2" s="1"/>
  <c r="N101" i="2"/>
  <c r="S101" i="2" s="1"/>
  <c r="P101" i="2"/>
  <c r="U101" i="2" s="1"/>
  <c r="O101" i="2"/>
  <c r="T101" i="2" s="1"/>
  <c r="R276" i="2"/>
  <c r="Q276" i="2"/>
  <c r="V276" i="2" s="1"/>
  <c r="P276" i="2"/>
  <c r="U276" i="2" s="1"/>
  <c r="O276" i="2"/>
  <c r="T276" i="2" s="1"/>
  <c r="B15" i="23" s="1"/>
  <c r="N276" i="2"/>
  <c r="S276" i="2" s="1"/>
  <c r="R270" i="2"/>
  <c r="Q270" i="2"/>
  <c r="V270" i="2" s="1"/>
  <c r="P270" i="2"/>
  <c r="U270" i="2" s="1"/>
  <c r="N270" i="2"/>
  <c r="S270" i="2" s="1"/>
  <c r="O270" i="2"/>
  <c r="T270" i="2" s="1"/>
  <c r="B9" i="23" s="1"/>
  <c r="R266" i="2"/>
  <c r="Q266" i="2"/>
  <c r="V266" i="2" s="1"/>
  <c r="P266" i="2"/>
  <c r="U266" i="2" s="1"/>
  <c r="N266" i="2"/>
  <c r="S266" i="2" s="1"/>
  <c r="O266" i="2"/>
  <c r="T266" i="2" s="1"/>
  <c r="B5" i="23" s="1"/>
  <c r="R272" i="2"/>
  <c r="Q272" i="2"/>
  <c r="V272" i="2" s="1"/>
  <c r="P272" i="2"/>
  <c r="U272" i="2" s="1"/>
  <c r="N272" i="2"/>
  <c r="S272" i="2" s="1"/>
  <c r="O272" i="2"/>
  <c r="T272" i="2" s="1"/>
  <c r="B11" i="23" s="1"/>
  <c r="D339" i="24"/>
  <c r="H339" i="24" s="1"/>
  <c r="I339" i="24" s="1"/>
  <c r="U269" i="2"/>
  <c r="M268" i="2"/>
  <c r="I268" i="2"/>
  <c r="H37" i="2"/>
  <c r="H264" i="2"/>
  <c r="H265" i="2"/>
  <c r="E39" i="6"/>
  <c r="D39" i="6"/>
  <c r="B39" i="6"/>
  <c r="D38" i="6"/>
  <c r="E38" i="6"/>
  <c r="B38" i="6"/>
  <c r="B36" i="6"/>
  <c r="C11" i="23" l="1"/>
  <c r="R268" i="2"/>
  <c r="Q268" i="2"/>
  <c r="V268" i="2" s="1"/>
  <c r="P268" i="2"/>
  <c r="U268" i="2" s="1"/>
  <c r="N268" i="2"/>
  <c r="S268" i="2" s="1"/>
  <c r="O268" i="2"/>
  <c r="T268" i="2" s="1"/>
  <c r="B7" i="23" s="1"/>
  <c r="E339" i="24" a="1"/>
  <c r="E339" i="24" s="1"/>
  <c r="C6" i="23"/>
  <c r="C8" i="23"/>
  <c r="C5" i="23"/>
  <c r="C15" i="23"/>
  <c r="C9" i="23"/>
  <c r="C16" i="23"/>
  <c r="M265" i="2"/>
  <c r="I265" i="2"/>
  <c r="C10" i="23"/>
  <c r="M264" i="2"/>
  <c r="I264" i="2"/>
  <c r="I37" i="2"/>
  <c r="B88" i="1"/>
  <c r="H233" i="2"/>
  <c r="H21" i="2"/>
  <c r="B91" i="1"/>
  <c r="H274" i="2"/>
  <c r="H75" i="2"/>
  <c r="H74" i="2"/>
  <c r="H69" i="2"/>
  <c r="H259" i="2"/>
  <c r="I259" i="2" s="1"/>
  <c r="H261" i="2"/>
  <c r="D40" i="6"/>
  <c r="H258" i="2"/>
  <c r="H9" i="2"/>
  <c r="H8" i="2"/>
  <c r="E35" i="6"/>
  <c r="B35" i="6"/>
  <c r="H247" i="2"/>
  <c r="B32" i="6"/>
  <c r="E24" i="4"/>
  <c r="H206" i="2"/>
  <c r="H231" i="2"/>
  <c r="H239" i="2"/>
  <c r="I239" i="2" s="1"/>
  <c r="H238" i="2"/>
  <c r="I238" i="2" s="1"/>
  <c r="H68" i="2"/>
  <c r="R264" i="2" l="1"/>
  <c r="Q264" i="2"/>
  <c r="V264" i="2" s="1"/>
  <c r="P264" i="2"/>
  <c r="U264" i="2" s="1"/>
  <c r="O264" i="2"/>
  <c r="T264" i="2" s="1"/>
  <c r="B3" i="23" s="1"/>
  <c r="N264" i="2"/>
  <c r="S264" i="2" s="1"/>
  <c r="R265" i="2"/>
  <c r="N265" i="2"/>
  <c r="S265" i="2" s="1"/>
  <c r="Q265" i="2"/>
  <c r="V265" i="2" s="1"/>
  <c r="P265" i="2"/>
  <c r="O265" i="2"/>
  <c r="T265" i="2" s="1"/>
  <c r="B4" i="23" s="1"/>
  <c r="C7" i="23"/>
  <c r="U265" i="2"/>
  <c r="B87" i="1"/>
  <c r="M274" i="2"/>
  <c r="I274" i="2"/>
  <c r="I69" i="2"/>
  <c r="I74" i="2"/>
  <c r="I258" i="2"/>
  <c r="I261" i="2"/>
  <c r="E40" i="6"/>
  <c r="H182" i="2"/>
  <c r="I182" i="2" s="1"/>
  <c r="B40" i="6"/>
  <c r="F40" i="6" s="1"/>
  <c r="B90" i="1"/>
  <c r="I233" i="2"/>
  <c r="I75" i="2"/>
  <c r="H278" i="2"/>
  <c r="I21" i="2"/>
  <c r="I9" i="2"/>
  <c r="I8" i="2"/>
  <c r="I247" i="2"/>
  <c r="I206" i="2"/>
  <c r="I231" i="2"/>
  <c r="I68" i="2"/>
  <c r="F44" i="6"/>
  <c r="F45" i="6"/>
  <c r="F46" i="6"/>
  <c r="F47" i="6"/>
  <c r="F48" i="6"/>
  <c r="F49" i="6"/>
  <c r="F50" i="6"/>
  <c r="F51" i="6"/>
  <c r="F52" i="6"/>
  <c r="F53" i="6"/>
  <c r="F54" i="6"/>
  <c r="H177" i="2"/>
  <c r="I177" i="2" s="1"/>
  <c r="H173" i="2"/>
  <c r="I173" i="2" s="1"/>
  <c r="H63" i="2"/>
  <c r="I63" i="2" s="1"/>
  <c r="H67" i="2"/>
  <c r="I67" i="2" s="1"/>
  <c r="H10" i="2"/>
  <c r="I10" i="2" s="1"/>
  <c r="F18" i="5"/>
  <c r="F17" i="5"/>
  <c r="H203" i="2"/>
  <c r="I203" i="2" s="1"/>
  <c r="H209" i="2"/>
  <c r="I209" i="2" s="1"/>
  <c r="H178" i="2"/>
  <c r="I178" i="2" s="1"/>
  <c r="H44" i="2"/>
  <c r="I44" i="2" s="1"/>
  <c r="H94" i="2"/>
  <c r="I94" i="2" s="1"/>
  <c r="H243" i="2"/>
  <c r="I243" i="2" s="1"/>
  <c r="H179" i="2"/>
  <c r="I179" i="2" s="1"/>
  <c r="H216" i="2"/>
  <c r="I216" i="2" s="1"/>
  <c r="H210" i="2"/>
  <c r="I210" i="2" s="1"/>
  <c r="F16" i="5"/>
  <c r="F15" i="5"/>
  <c r="H111" i="2"/>
  <c r="I111" i="2" s="1"/>
  <c r="H110" i="2"/>
  <c r="I110" i="2" s="1"/>
  <c r="H86" i="2"/>
  <c r="I86" i="2" s="1"/>
  <c r="H88" i="2"/>
  <c r="I88" i="2" s="1"/>
  <c r="H55" i="2"/>
  <c r="I55" i="2" s="1"/>
  <c r="H71" i="2"/>
  <c r="I71" i="2" s="1"/>
  <c r="G40" i="6" l="1"/>
  <c r="K40" i="6" s="1"/>
  <c r="J40" i="6"/>
  <c r="N40" i="6" s="1"/>
  <c r="H40" i="6"/>
  <c r="L40" i="6" s="1"/>
  <c r="I40" i="6"/>
  <c r="M40" i="6" s="1"/>
  <c r="R274" i="2"/>
  <c r="Q274" i="2"/>
  <c r="V274" i="2" s="1"/>
  <c r="P274" i="2"/>
  <c r="U274" i="2" s="1"/>
  <c r="N274" i="2"/>
  <c r="S274" i="2" s="1"/>
  <c r="O274" i="2"/>
  <c r="T274" i="2" s="1"/>
  <c r="B13" i="23" s="1"/>
  <c r="C4" i="23"/>
  <c r="C3" i="23"/>
  <c r="M278" i="2"/>
  <c r="I278" i="2"/>
  <c r="F9" i="5"/>
  <c r="F7" i="5"/>
  <c r="L21" i="2" s="1"/>
  <c r="M21" i="2" s="1"/>
  <c r="R21" i="2" l="1"/>
  <c r="W21" i="2" s="1"/>
  <c r="Q21" i="2"/>
  <c r="V21" i="2" s="1"/>
  <c r="P21" i="2"/>
  <c r="U21" i="2" s="1"/>
  <c r="O21" i="2"/>
  <c r="T21" i="2" s="1"/>
  <c r="E59" i="24" s="1"/>
  <c r="N21" i="2"/>
  <c r="S21" i="2" s="1"/>
  <c r="R278" i="2"/>
  <c r="Q278" i="2"/>
  <c r="V278" i="2" s="1"/>
  <c r="P278" i="2"/>
  <c r="U278" i="2" s="1"/>
  <c r="N278" i="2"/>
  <c r="S278" i="2" s="1"/>
  <c r="O278" i="2"/>
  <c r="T278" i="2" s="1"/>
  <c r="B17" i="23" s="1"/>
  <c r="C13" i="23"/>
  <c r="L94" i="2"/>
  <c r="M94" i="2" s="1"/>
  <c r="L69" i="2"/>
  <c r="M69" i="2" s="1"/>
  <c r="H218" i="2"/>
  <c r="I218" i="2" s="1"/>
  <c r="H169" i="2"/>
  <c r="I169" i="2" s="1"/>
  <c r="H170" i="2"/>
  <c r="I170" i="2" s="1"/>
  <c r="H180" i="2"/>
  <c r="I180" i="2" s="1"/>
  <c r="H181" i="2"/>
  <c r="I181" i="2" s="1"/>
  <c r="H183" i="2"/>
  <c r="I183" i="2" s="1"/>
  <c r="H185" i="2"/>
  <c r="I185" i="2" s="1"/>
  <c r="H192" i="2"/>
  <c r="I192" i="2" s="1"/>
  <c r="H193" i="2"/>
  <c r="I193" i="2" s="1"/>
  <c r="H200" i="2"/>
  <c r="I200" i="2" s="1"/>
  <c r="H224" i="2"/>
  <c r="I224" i="2" s="1"/>
  <c r="H235" i="2"/>
  <c r="I235" i="2" s="1"/>
  <c r="H236" i="2"/>
  <c r="I236" i="2" s="1"/>
  <c r="H198" i="2"/>
  <c r="I198" i="2" s="1"/>
  <c r="H208" i="2"/>
  <c r="I208" i="2" s="1"/>
  <c r="H171" i="2"/>
  <c r="I171" i="2" s="1"/>
  <c r="H172" i="2"/>
  <c r="I172" i="2" s="1"/>
  <c r="H190" i="2"/>
  <c r="I190" i="2" s="1"/>
  <c r="H191" i="2"/>
  <c r="I191" i="2" s="1"/>
  <c r="H196" i="2"/>
  <c r="I196" i="2" s="1"/>
  <c r="H199" i="2"/>
  <c r="I199" i="2" s="1"/>
  <c r="H201" i="2"/>
  <c r="I201" i="2" s="1"/>
  <c r="H207" i="2"/>
  <c r="I207" i="2" s="1"/>
  <c r="H212" i="2"/>
  <c r="I212" i="2" s="1"/>
  <c r="H213" i="2"/>
  <c r="I213" i="2" s="1"/>
  <c r="H219" i="2"/>
  <c r="I219" i="2" s="1"/>
  <c r="H223" i="2"/>
  <c r="I223" i="2" s="1"/>
  <c r="H226" i="2"/>
  <c r="I226" i="2" s="1"/>
  <c r="H227" i="2"/>
  <c r="I227" i="2" s="1"/>
  <c r="H232" i="2"/>
  <c r="I232" i="2" s="1"/>
  <c r="H234" i="2"/>
  <c r="I234" i="2" s="1"/>
  <c r="H237" i="2"/>
  <c r="I237" i="2" s="1"/>
  <c r="H240" i="2"/>
  <c r="I240" i="2" s="1"/>
  <c r="H241" i="2"/>
  <c r="I241" i="2" s="1"/>
  <c r="H242" i="2"/>
  <c r="I242" i="2" s="1"/>
  <c r="H245" i="2"/>
  <c r="I245" i="2" s="1"/>
  <c r="H99" i="2"/>
  <c r="I99" i="2" s="1"/>
  <c r="H3" i="2"/>
  <c r="H6" i="2"/>
  <c r="I6" i="2" s="1"/>
  <c r="H12" i="2"/>
  <c r="I12" i="2" s="1"/>
  <c r="H13" i="2"/>
  <c r="I13" i="2" s="1"/>
  <c r="H15" i="2"/>
  <c r="I15" i="2" s="1"/>
  <c r="H16" i="2"/>
  <c r="I16" i="2" s="1"/>
  <c r="H20" i="2"/>
  <c r="I20" i="2" s="1"/>
  <c r="H22" i="2"/>
  <c r="I22" i="2" s="1"/>
  <c r="H184" i="2"/>
  <c r="I184" i="2" s="1"/>
  <c r="H23" i="2"/>
  <c r="I23" i="2" s="1"/>
  <c r="H24" i="2"/>
  <c r="I24" i="2" s="1"/>
  <c r="H174" i="2"/>
  <c r="I174" i="2" s="1"/>
  <c r="H175" i="2"/>
  <c r="I175" i="2" s="1"/>
  <c r="H176" i="2"/>
  <c r="I176" i="2" s="1"/>
  <c r="H186" i="2"/>
  <c r="I186" i="2" s="1"/>
  <c r="H187" i="2"/>
  <c r="I187" i="2" s="1"/>
  <c r="H188" i="2"/>
  <c r="I188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6" i="2"/>
  <c r="I36" i="2" s="1"/>
  <c r="H39" i="2"/>
  <c r="I39" i="2" s="1"/>
  <c r="H40" i="2"/>
  <c r="I40" i="2" s="1"/>
  <c r="H41" i="2"/>
  <c r="I41" i="2" s="1"/>
  <c r="H53" i="2"/>
  <c r="I53" i="2" s="1"/>
  <c r="H54" i="2"/>
  <c r="I54" i="2" s="1"/>
  <c r="H204" i="2"/>
  <c r="I204" i="2" s="1"/>
  <c r="H205" i="2"/>
  <c r="I205" i="2" s="1"/>
  <c r="H61" i="2"/>
  <c r="H64" i="2"/>
  <c r="I64" i="2" s="1"/>
  <c r="H65" i="2"/>
  <c r="I65" i="2" s="1"/>
  <c r="H211" i="2"/>
  <c r="I211" i="2" s="1"/>
  <c r="H66" i="2"/>
  <c r="I6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9" i="2"/>
  <c r="I89" i="2" s="1"/>
  <c r="H90" i="2"/>
  <c r="I90" i="2" s="1"/>
  <c r="H91" i="2"/>
  <c r="I91" i="2" s="1"/>
  <c r="H92" i="2"/>
  <c r="I92" i="2" s="1"/>
  <c r="H93" i="2"/>
  <c r="I93" i="2" s="1"/>
  <c r="H95" i="2"/>
  <c r="I95" i="2" s="1"/>
  <c r="H96" i="2"/>
  <c r="I96" i="2" s="1"/>
  <c r="H105" i="2"/>
  <c r="I105" i="2" s="1"/>
  <c r="H106" i="2"/>
  <c r="I106" i="2" s="1"/>
  <c r="H107" i="2"/>
  <c r="I107" i="2" s="1"/>
  <c r="H108" i="2"/>
  <c r="I108" i="2" s="1"/>
  <c r="H109" i="2"/>
  <c r="I109" i="2" s="1"/>
  <c r="H112" i="2"/>
  <c r="I112" i="2" s="1"/>
  <c r="H113" i="2"/>
  <c r="I113" i="2" s="1"/>
  <c r="H114" i="2"/>
  <c r="I114" i="2" s="1"/>
  <c r="H115" i="2"/>
  <c r="I115" i="2" s="1"/>
  <c r="H120" i="2"/>
  <c r="I120" i="2" s="1"/>
  <c r="H121" i="2"/>
  <c r="I121" i="2" s="1"/>
  <c r="H122" i="2"/>
  <c r="I122" i="2" s="1"/>
  <c r="H130" i="2"/>
  <c r="I130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45" i="2"/>
  <c r="I145" i="2" s="1"/>
  <c r="H230" i="2"/>
  <c r="I230" i="2" s="1"/>
  <c r="H146" i="2"/>
  <c r="I146" i="2" s="1"/>
  <c r="H2" i="2"/>
  <c r="I2" i="2" s="1"/>
  <c r="H4" i="2"/>
  <c r="I4" i="2" s="1"/>
  <c r="H5" i="2"/>
  <c r="I5" i="2" s="1"/>
  <c r="H7" i="2"/>
  <c r="I7" i="2" s="1"/>
  <c r="H14" i="2"/>
  <c r="I14" i="2" s="1"/>
  <c r="H17" i="2"/>
  <c r="I17" i="2" s="1"/>
  <c r="H18" i="2"/>
  <c r="I18" i="2" s="1"/>
  <c r="H19" i="2"/>
  <c r="I19" i="2" s="1"/>
  <c r="H189" i="2"/>
  <c r="I189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6" i="2"/>
  <c r="I56" i="2" s="1"/>
  <c r="H57" i="2"/>
  <c r="I57" i="2" s="1"/>
  <c r="H58" i="2"/>
  <c r="I58" i="2" s="1"/>
  <c r="H59" i="2"/>
  <c r="I59" i="2" s="1"/>
  <c r="H60" i="2"/>
  <c r="I60" i="2" s="1"/>
  <c r="H70" i="2"/>
  <c r="I70" i="2" s="1"/>
  <c r="H72" i="2"/>
  <c r="I72" i="2" s="1"/>
  <c r="H214" i="2"/>
  <c r="I214" i="2" s="1"/>
  <c r="H73" i="2"/>
  <c r="I73" i="2" s="1"/>
  <c r="H217" i="2"/>
  <c r="I217" i="2" s="1"/>
  <c r="H76" i="2"/>
  <c r="I76" i="2" s="1"/>
  <c r="H87" i="2"/>
  <c r="I87" i="2" s="1"/>
  <c r="H102" i="2"/>
  <c r="I102" i="2" s="1"/>
  <c r="H103" i="2"/>
  <c r="I103" i="2" s="1"/>
  <c r="H220" i="2"/>
  <c r="I220" i="2" s="1"/>
  <c r="H221" i="2"/>
  <c r="I221" i="2" s="1"/>
  <c r="H222" i="2"/>
  <c r="I222" i="2" s="1"/>
  <c r="H104" i="2"/>
  <c r="I104" i="2" s="1"/>
  <c r="H116" i="2"/>
  <c r="I116" i="2" s="1"/>
  <c r="H117" i="2"/>
  <c r="I117" i="2" s="1"/>
  <c r="H119" i="2"/>
  <c r="I119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228" i="2"/>
  <c r="I228" i="2" s="1"/>
  <c r="H229" i="2"/>
  <c r="I229" i="2" s="1"/>
  <c r="H141" i="2"/>
  <c r="I141" i="2" s="1"/>
  <c r="H142" i="2"/>
  <c r="I142" i="2" s="1"/>
  <c r="H143" i="2"/>
  <c r="I143" i="2" s="1"/>
  <c r="H154" i="2"/>
  <c r="I154" i="2" s="1"/>
  <c r="H155" i="2"/>
  <c r="I155" i="2" s="1"/>
  <c r="H157" i="2"/>
  <c r="I157" i="2" s="1"/>
  <c r="H159" i="2"/>
  <c r="I159" i="2" s="1"/>
  <c r="H160" i="2"/>
  <c r="I160" i="2" s="1"/>
  <c r="H244" i="2"/>
  <c r="I244" i="2" s="1"/>
  <c r="H162" i="2"/>
  <c r="I162" i="2" s="1"/>
  <c r="H163" i="2"/>
  <c r="I163" i="2" s="1"/>
  <c r="H164" i="2"/>
  <c r="I164" i="2" s="1"/>
  <c r="H165" i="2"/>
  <c r="I165" i="2" s="1"/>
  <c r="H166" i="2"/>
  <c r="I166" i="2" s="1"/>
  <c r="H246" i="2"/>
  <c r="I246" i="2" s="1"/>
  <c r="F10" i="5"/>
  <c r="F11" i="5"/>
  <c r="F12" i="5"/>
  <c r="F13" i="5"/>
  <c r="F14" i="5"/>
  <c r="F19" i="5"/>
  <c r="L62" i="2" s="1"/>
  <c r="M62" i="2" s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" i="5"/>
  <c r="L159" i="2" s="1"/>
  <c r="F4" i="5"/>
  <c r="F5" i="5"/>
  <c r="F6" i="5"/>
  <c r="L122" i="2" s="1"/>
  <c r="F8" i="5"/>
  <c r="F2" i="5"/>
  <c r="L10" i="2" s="1"/>
  <c r="M10" i="2" s="1"/>
  <c r="R69" i="2" l="1"/>
  <c r="W69" i="2" s="1"/>
  <c r="Q69" i="2"/>
  <c r="V69" i="2" s="1"/>
  <c r="N69" i="2"/>
  <c r="S69" i="2" s="1"/>
  <c r="P69" i="2"/>
  <c r="U69" i="2" s="1"/>
  <c r="O69" i="2"/>
  <c r="R62" i="2"/>
  <c r="W62" i="2" s="1"/>
  <c r="P62" i="2"/>
  <c r="U62" i="2" s="1"/>
  <c r="Q62" i="2"/>
  <c r="V62" i="2" s="1"/>
  <c r="N62" i="2"/>
  <c r="O62" i="2"/>
  <c r="T62" i="2" s="1"/>
  <c r="R94" i="2"/>
  <c r="W94" i="2" s="1"/>
  <c r="P94" i="2"/>
  <c r="U94" i="2" s="1"/>
  <c r="Q94" i="2"/>
  <c r="V94" i="2" s="1"/>
  <c r="N94" i="2"/>
  <c r="S94" i="2" s="1"/>
  <c r="O94" i="2"/>
  <c r="T94" i="2" s="1"/>
  <c r="P10" i="2"/>
  <c r="U10" i="2" s="1"/>
  <c r="R10" i="2"/>
  <c r="W10" i="2" s="1"/>
  <c r="Q10" i="2"/>
  <c r="V10" i="2" s="1"/>
  <c r="N10" i="2"/>
  <c r="S10" i="2" s="1"/>
  <c r="O10" i="2"/>
  <c r="T10" i="2" s="1"/>
  <c r="D167" i="24"/>
  <c r="H167" i="24" s="1"/>
  <c r="I167" i="24" s="1"/>
  <c r="C17" i="23"/>
  <c r="C12" i="23"/>
  <c r="D198" i="24"/>
  <c r="H198" i="24" s="1"/>
  <c r="I198" i="24" s="1"/>
  <c r="F59" i="24"/>
  <c r="D37" i="24"/>
  <c r="H37" i="24" s="1"/>
  <c r="I37" i="24" s="1"/>
  <c r="G59" i="24"/>
  <c r="S62" i="2"/>
  <c r="L59" i="2"/>
  <c r="M59" i="2" s="1"/>
  <c r="T69" i="2"/>
  <c r="L61" i="2"/>
  <c r="M61" i="2" s="1"/>
  <c r="L74" i="2"/>
  <c r="M74" i="2" s="1"/>
  <c r="L44" i="2"/>
  <c r="M44" i="2" s="1"/>
  <c r="L37" i="2"/>
  <c r="M37" i="2" s="1"/>
  <c r="L63" i="2"/>
  <c r="M63" i="2" s="1"/>
  <c r="L75" i="2"/>
  <c r="M75" i="2" s="1"/>
  <c r="L9" i="2"/>
  <c r="M9" i="2" s="1"/>
  <c r="L8" i="2"/>
  <c r="M8" i="2" s="1"/>
  <c r="L38" i="2"/>
  <c r="M38" i="2" s="1"/>
  <c r="L25" i="2"/>
  <c r="M25" i="2" s="1"/>
  <c r="L35" i="2"/>
  <c r="M35" i="2" s="1"/>
  <c r="L11" i="2"/>
  <c r="M11" i="2" s="1"/>
  <c r="L259" i="2"/>
  <c r="M259" i="2" s="1"/>
  <c r="L261" i="2"/>
  <c r="M261" i="2" s="1"/>
  <c r="L258" i="2"/>
  <c r="M258" i="2" s="1"/>
  <c r="L233" i="2"/>
  <c r="M233" i="2" s="1"/>
  <c r="L182" i="2"/>
  <c r="M182" i="2" s="1"/>
  <c r="L247" i="2"/>
  <c r="M247" i="2" s="1"/>
  <c r="L206" i="2"/>
  <c r="M206" i="2" s="1"/>
  <c r="L239" i="2"/>
  <c r="M239" i="2" s="1"/>
  <c r="L231" i="2"/>
  <c r="M231" i="2" s="1"/>
  <c r="L238" i="2"/>
  <c r="M238" i="2" s="1"/>
  <c r="L177" i="2"/>
  <c r="M177" i="2" s="1"/>
  <c r="L143" i="2"/>
  <c r="M143" i="2" s="1"/>
  <c r="L68" i="2"/>
  <c r="M68" i="2" s="1"/>
  <c r="I3" i="2"/>
  <c r="I61" i="2"/>
  <c r="L209" i="2"/>
  <c r="M209" i="2" s="1"/>
  <c r="L173" i="2"/>
  <c r="M173" i="2" s="1"/>
  <c r="F41" i="6" s="1"/>
  <c r="M159" i="2"/>
  <c r="M122" i="2"/>
  <c r="L64" i="2"/>
  <c r="M64" i="2" s="1"/>
  <c r="L67" i="2"/>
  <c r="M67" i="2" s="1"/>
  <c r="L178" i="2"/>
  <c r="M178" i="2" s="1"/>
  <c r="L203" i="2"/>
  <c r="M203" i="2" s="1"/>
  <c r="L243" i="2"/>
  <c r="M243" i="2" s="1"/>
  <c r="L216" i="2"/>
  <c r="M216" i="2" s="1"/>
  <c r="L179" i="2"/>
  <c r="M179" i="2" s="1"/>
  <c r="L210" i="2"/>
  <c r="M210" i="2" s="1"/>
  <c r="L111" i="2"/>
  <c r="M111" i="2" s="1"/>
  <c r="L86" i="2"/>
  <c r="M86" i="2" s="1"/>
  <c r="L55" i="2"/>
  <c r="M55" i="2" s="1"/>
  <c r="L110" i="2"/>
  <c r="M110" i="2" s="1"/>
  <c r="L88" i="2"/>
  <c r="M88" i="2" s="1"/>
  <c r="L26" i="2"/>
  <c r="M26" i="2" s="1"/>
  <c r="L54" i="2"/>
  <c r="M54" i="2" s="1"/>
  <c r="L164" i="2"/>
  <c r="M164" i="2" s="1"/>
  <c r="L162" i="2"/>
  <c r="M162" i="2" s="1"/>
  <c r="L155" i="2"/>
  <c r="M155" i="2" s="1"/>
  <c r="L4" i="2"/>
  <c r="M4" i="2" s="1"/>
  <c r="L71" i="2"/>
  <c r="M71" i="2" s="1"/>
  <c r="L127" i="2"/>
  <c r="M127" i="2" s="1"/>
  <c r="L244" i="2"/>
  <c r="M244" i="2" s="1"/>
  <c r="L240" i="2"/>
  <c r="M240" i="2" s="1"/>
  <c r="L237" i="2"/>
  <c r="M237" i="2" s="1"/>
  <c r="L229" i="2"/>
  <c r="M229" i="2" s="1"/>
  <c r="L136" i="2"/>
  <c r="M136" i="2" s="1"/>
  <c r="L128" i="2"/>
  <c r="M128" i="2" s="1"/>
  <c r="L223" i="2"/>
  <c r="M223" i="2" s="1"/>
  <c r="L217" i="2"/>
  <c r="M217" i="2" s="1"/>
  <c r="L45" i="2"/>
  <c r="M45" i="2" s="1"/>
  <c r="L39" i="2"/>
  <c r="M39" i="2" s="1"/>
  <c r="L33" i="2"/>
  <c r="M33" i="2" s="1"/>
  <c r="L186" i="2"/>
  <c r="M186" i="2" s="1"/>
  <c r="L19" i="2"/>
  <c r="M19" i="2" s="1"/>
  <c r="L181" i="2"/>
  <c r="M181" i="2" s="1"/>
  <c r="L175" i="2"/>
  <c r="M175" i="2" s="1"/>
  <c r="L246" i="2"/>
  <c r="M246" i="2" s="1"/>
  <c r="L242" i="2"/>
  <c r="M242" i="2" s="1"/>
  <c r="L153" i="2"/>
  <c r="M153" i="2" s="1"/>
  <c r="L236" i="2"/>
  <c r="M236" i="2" s="1"/>
  <c r="L228" i="2"/>
  <c r="M228" i="2" s="1"/>
  <c r="L135" i="2"/>
  <c r="M135" i="2" s="1"/>
  <c r="L222" i="2"/>
  <c r="M222" i="2" s="1"/>
  <c r="L96" i="2"/>
  <c r="M96" i="2" s="1"/>
  <c r="L207" i="2"/>
  <c r="M207" i="2" s="1"/>
  <c r="L36" i="2"/>
  <c r="M36" i="2" s="1"/>
  <c r="L191" i="2"/>
  <c r="M191" i="2" s="1"/>
  <c r="L17" i="2"/>
  <c r="M17" i="2" s="1"/>
  <c r="L174" i="2"/>
  <c r="M174" i="2" s="1"/>
  <c r="L171" i="2"/>
  <c r="M171" i="2" s="1"/>
  <c r="L163" i="2"/>
  <c r="M163" i="2" s="1"/>
  <c r="L241" i="2"/>
  <c r="M241" i="2" s="1"/>
  <c r="L150" i="2"/>
  <c r="M150" i="2" s="1"/>
  <c r="L232" i="2"/>
  <c r="M232" i="2" s="1"/>
  <c r="L134" i="2"/>
  <c r="M134" i="2" s="1"/>
  <c r="L125" i="2"/>
  <c r="M125" i="2" s="1"/>
  <c r="L92" i="2"/>
  <c r="M92" i="2" s="1"/>
  <c r="L214" i="2"/>
  <c r="M214" i="2" s="1"/>
  <c r="L50" i="2"/>
  <c r="M50" i="2" s="1"/>
  <c r="L193" i="2"/>
  <c r="M193" i="2" s="1"/>
  <c r="L188" i="2"/>
  <c r="M188" i="2" s="1"/>
  <c r="L149" i="2"/>
  <c r="M149" i="2" s="1"/>
  <c r="L205" i="2"/>
  <c r="M205" i="2" s="1"/>
  <c r="L218" i="2"/>
  <c r="M218" i="2" s="1"/>
  <c r="L80" i="2"/>
  <c r="M80" i="2" s="1"/>
  <c r="L48" i="2"/>
  <c r="M48" i="2" s="1"/>
  <c r="L41" i="2"/>
  <c r="M41" i="2" s="1"/>
  <c r="L34" i="2"/>
  <c r="M34" i="2" s="1"/>
  <c r="L187" i="2"/>
  <c r="M187" i="2" s="1"/>
  <c r="L13" i="2"/>
  <c r="M13" i="2" s="1"/>
  <c r="L172" i="2"/>
  <c r="M172" i="2" s="1"/>
  <c r="L70" i="2"/>
  <c r="M70" i="2" s="1"/>
  <c r="L91" i="2"/>
  <c r="M91" i="2" s="1"/>
  <c r="L79" i="2"/>
  <c r="M79" i="2" s="1"/>
  <c r="L56" i="2"/>
  <c r="M56" i="2" s="1"/>
  <c r="L130" i="2"/>
  <c r="M130" i="2" s="1"/>
  <c r="L89" i="2"/>
  <c r="M89" i="2" s="1"/>
  <c r="L137" i="2"/>
  <c r="M137" i="2" s="1"/>
  <c r="L131" i="2"/>
  <c r="M131" i="2" s="1"/>
  <c r="L103" i="2"/>
  <c r="M103" i="2" s="1"/>
  <c r="L95" i="2"/>
  <c r="M95" i="2" s="1"/>
  <c r="L84" i="2"/>
  <c r="M84" i="2" s="1"/>
  <c r="L47" i="2"/>
  <c r="M47" i="2" s="1"/>
  <c r="L31" i="2"/>
  <c r="M31" i="2" s="1"/>
  <c r="L3" i="2"/>
  <c r="M3" i="2" s="1"/>
  <c r="L6" i="2"/>
  <c r="M6" i="2" s="1"/>
  <c r="L12" i="2"/>
  <c r="M12" i="2" s="1"/>
  <c r="L23" i="2"/>
  <c r="M23" i="2" s="1"/>
  <c r="L72" i="2"/>
  <c r="M72" i="2" s="1"/>
  <c r="L22" i="2"/>
  <c r="M22" i="2" s="1"/>
  <c r="M58" i="2"/>
  <c r="L66" i="2"/>
  <c r="M66" i="2" s="1"/>
  <c r="L109" i="2"/>
  <c r="M109" i="2" s="1"/>
  <c r="L121" i="2"/>
  <c r="M121" i="2" s="1"/>
  <c r="L120" i="2"/>
  <c r="M120" i="2" s="1"/>
  <c r="L113" i="2"/>
  <c r="M113" i="2" s="1"/>
  <c r="L105" i="2"/>
  <c r="M105" i="2" s="1"/>
  <c r="L114" i="2"/>
  <c r="M114" i="2" s="1"/>
  <c r="L157" i="2"/>
  <c r="L99" i="2"/>
  <c r="M99" i="2" s="1"/>
  <c r="L106" i="2"/>
  <c r="M106" i="2" s="1"/>
  <c r="L115" i="2"/>
  <c r="M115" i="2" s="1"/>
  <c r="L24" i="2"/>
  <c r="M24" i="2" s="1"/>
  <c r="L112" i="2"/>
  <c r="M112" i="2" s="1"/>
  <c r="L116" i="2"/>
  <c r="M116" i="2" s="1"/>
  <c r="L117" i="2"/>
  <c r="M117" i="2" s="1"/>
  <c r="L73" i="2"/>
  <c r="M73" i="2" s="1"/>
  <c r="L81" i="2"/>
  <c r="M81" i="2" s="1"/>
  <c r="L104" i="2"/>
  <c r="M104" i="2" s="1"/>
  <c r="L145" i="2"/>
  <c r="M145" i="2" s="1"/>
  <c r="L49" i="2"/>
  <c r="M49" i="2" s="1"/>
  <c r="L78" i="2"/>
  <c r="M78" i="2" s="1"/>
  <c r="L87" i="2"/>
  <c r="M87" i="2" s="1"/>
  <c r="L166" i="2"/>
  <c r="M166" i="2" s="1"/>
  <c r="L83" i="2"/>
  <c r="M83" i="2" s="1"/>
  <c r="L146" i="2"/>
  <c r="M146" i="2" s="1"/>
  <c r="L65" i="2"/>
  <c r="M65" i="2" s="1"/>
  <c r="L52" i="2"/>
  <c r="M52" i="2" s="1"/>
  <c r="L14" i="2"/>
  <c r="M14" i="2" s="1"/>
  <c r="L51" i="2"/>
  <c r="M51" i="2" s="1"/>
  <c r="L152" i="2"/>
  <c r="M152" i="2" s="1"/>
  <c r="L148" i="2"/>
  <c r="M148" i="2" s="1"/>
  <c r="L235" i="2"/>
  <c r="M235" i="2" s="1"/>
  <c r="L230" i="2"/>
  <c r="M230" i="2" s="1"/>
  <c r="L142" i="2"/>
  <c r="M142" i="2" s="1"/>
  <c r="L140" i="2"/>
  <c r="M140" i="2" s="1"/>
  <c r="L204" i="2"/>
  <c r="M204" i="2" s="1"/>
  <c r="L227" i="2"/>
  <c r="M227" i="2" s="1"/>
  <c r="L133" i="2"/>
  <c r="M133" i="2" s="1"/>
  <c r="L124" i="2"/>
  <c r="M124" i="2" s="1"/>
  <c r="L224" i="2"/>
  <c r="M224" i="2" s="1"/>
  <c r="L119" i="2"/>
  <c r="M119" i="2" s="1"/>
  <c r="L108" i="2"/>
  <c r="M108" i="2" s="1"/>
  <c r="L221" i="2"/>
  <c r="M221" i="2" s="1"/>
  <c r="L102" i="2"/>
  <c r="M102" i="2" s="1"/>
  <c r="L93" i="2"/>
  <c r="M93" i="2" s="1"/>
  <c r="L82" i="2"/>
  <c r="M82" i="2" s="1"/>
  <c r="L213" i="2"/>
  <c r="M213" i="2" s="1"/>
  <c r="L211" i="2"/>
  <c r="M211" i="2" s="1"/>
  <c r="L201" i="2"/>
  <c r="M201" i="2" s="1"/>
  <c r="L46" i="2"/>
  <c r="M46" i="2" s="1"/>
  <c r="L199" i="2"/>
  <c r="M199" i="2" s="1"/>
  <c r="L40" i="2"/>
  <c r="M40" i="2" s="1"/>
  <c r="L196" i="2"/>
  <c r="M196" i="2" s="1"/>
  <c r="L192" i="2"/>
  <c r="M192" i="2" s="1"/>
  <c r="L190" i="2"/>
  <c r="M190" i="2" s="1"/>
  <c r="L30" i="2"/>
  <c r="M30" i="2" s="1"/>
  <c r="L185" i="2"/>
  <c r="M185" i="2" s="1"/>
  <c r="L27" i="2"/>
  <c r="M27" i="2" s="1"/>
  <c r="L16" i="2"/>
  <c r="M16" i="2" s="1"/>
  <c r="L7" i="2"/>
  <c r="M7" i="2" s="1"/>
  <c r="L170" i="2"/>
  <c r="M170" i="2" s="1"/>
  <c r="L2" i="2"/>
  <c r="M2" i="2" s="1"/>
  <c r="L165" i="2"/>
  <c r="M165" i="2" s="1"/>
  <c r="L245" i="2"/>
  <c r="M245" i="2" s="1"/>
  <c r="L160" i="2"/>
  <c r="M160" i="2" s="1"/>
  <c r="L151" i="2"/>
  <c r="M151" i="2" s="1"/>
  <c r="L147" i="2"/>
  <c r="M147" i="2" s="1"/>
  <c r="L234" i="2"/>
  <c r="M234" i="2" s="1"/>
  <c r="L141" i="2"/>
  <c r="M141" i="2" s="1"/>
  <c r="L139" i="2"/>
  <c r="M139" i="2" s="1"/>
  <c r="L138" i="2"/>
  <c r="M138" i="2" s="1"/>
  <c r="L226" i="2"/>
  <c r="M226" i="2" s="1"/>
  <c r="L132" i="2"/>
  <c r="M132" i="2" s="1"/>
  <c r="L129" i="2"/>
  <c r="M129" i="2" s="1"/>
  <c r="L126" i="2"/>
  <c r="M126" i="2" s="1"/>
  <c r="L123" i="2"/>
  <c r="M123" i="2" s="1"/>
  <c r="L107" i="2"/>
  <c r="M107" i="2" s="1"/>
  <c r="L220" i="2"/>
  <c r="M220" i="2" s="1"/>
  <c r="L219" i="2"/>
  <c r="M219" i="2" s="1"/>
  <c r="L90" i="2"/>
  <c r="M90" i="2" s="1"/>
  <c r="L85" i="2"/>
  <c r="M85" i="2" s="1"/>
  <c r="L77" i="2"/>
  <c r="M77" i="2" s="1"/>
  <c r="L76" i="2"/>
  <c r="M76" i="2" s="1"/>
  <c r="L212" i="2"/>
  <c r="M212" i="2" s="1"/>
  <c r="L208" i="2"/>
  <c r="M208" i="2" s="1"/>
  <c r="L60" i="2"/>
  <c r="M60" i="2" s="1"/>
  <c r="L57" i="2"/>
  <c r="M57" i="2" s="1"/>
  <c r="L200" i="2"/>
  <c r="M200" i="2" s="1"/>
  <c r="L53" i="2"/>
  <c r="M53" i="2" s="1"/>
  <c r="L198" i="2"/>
  <c r="M198" i="2" s="1"/>
  <c r="L32" i="2"/>
  <c r="M32" i="2" s="1"/>
  <c r="L189" i="2"/>
  <c r="M189" i="2" s="1"/>
  <c r="L29" i="2"/>
  <c r="M29" i="2" s="1"/>
  <c r="L28" i="2"/>
  <c r="M28" i="2" s="1"/>
  <c r="L184" i="2"/>
  <c r="M184" i="2" s="1"/>
  <c r="L20" i="2"/>
  <c r="M20" i="2" s="1"/>
  <c r="L18" i="2"/>
  <c r="M18" i="2" s="1"/>
  <c r="L15" i="2"/>
  <c r="M15" i="2" s="1"/>
  <c r="L183" i="2"/>
  <c r="M183" i="2" s="1"/>
  <c r="L180" i="2"/>
  <c r="M180" i="2" s="1"/>
  <c r="L176" i="2"/>
  <c r="M176" i="2" s="1"/>
  <c r="L5" i="2"/>
  <c r="M5" i="2" s="1"/>
  <c r="L169" i="2"/>
  <c r="M169" i="2" s="1"/>
  <c r="F42" i="6" l="1"/>
  <c r="F3" i="6"/>
  <c r="F2" i="6"/>
  <c r="H41" i="6"/>
  <c r="L41" i="6" s="1"/>
  <c r="G41" i="6"/>
  <c r="K41" i="6" s="1"/>
  <c r="I41" i="6"/>
  <c r="M41" i="6" s="1"/>
  <c r="J41" i="6"/>
  <c r="N41" i="6" s="1"/>
  <c r="R29" i="2"/>
  <c r="W29" i="2" s="1"/>
  <c r="Q29" i="2"/>
  <c r="V29" i="2" s="1"/>
  <c r="P29" i="2"/>
  <c r="O29" i="2"/>
  <c r="T29" i="2" s="1"/>
  <c r="N29" i="2"/>
  <c r="S29" i="2" s="1"/>
  <c r="R141" i="2"/>
  <c r="W141" i="2" s="1"/>
  <c r="Q141" i="2"/>
  <c r="N141" i="2"/>
  <c r="S141" i="2" s="1"/>
  <c r="P141" i="2"/>
  <c r="U141" i="2" s="1"/>
  <c r="O141" i="2"/>
  <c r="T141" i="2" s="1"/>
  <c r="R196" i="2"/>
  <c r="W196" i="2" s="1"/>
  <c r="Q196" i="2"/>
  <c r="V196" i="2" s="1"/>
  <c r="N196" i="2"/>
  <c r="S196" i="2" s="1"/>
  <c r="P196" i="2"/>
  <c r="U196" i="2" s="1"/>
  <c r="O196" i="2"/>
  <c r="Q230" i="2"/>
  <c r="R230" i="2"/>
  <c r="W230" i="2" s="1"/>
  <c r="P230" i="2"/>
  <c r="N230" i="2"/>
  <c r="O230" i="2"/>
  <c r="R81" i="2"/>
  <c r="W81" i="2" s="1"/>
  <c r="Q81" i="2"/>
  <c r="V81" i="2" s="1"/>
  <c r="N81" i="2"/>
  <c r="P81" i="2"/>
  <c r="U81" i="2" s="1"/>
  <c r="O81" i="2"/>
  <c r="T81" i="2" s="1"/>
  <c r="R66" i="2"/>
  <c r="W66" i="2" s="1"/>
  <c r="P66" i="2"/>
  <c r="Q66" i="2"/>
  <c r="V66" i="2" s="1"/>
  <c r="N66" i="2"/>
  <c r="S66" i="2" s="1"/>
  <c r="O66" i="2"/>
  <c r="T66" i="2" s="1"/>
  <c r="R103" i="2"/>
  <c r="W103" i="2" s="1"/>
  <c r="N103" i="2"/>
  <c r="S103" i="2" s="1"/>
  <c r="Q103" i="2"/>
  <c r="V103" i="2" s="1"/>
  <c r="O103" i="2"/>
  <c r="T103" i="2" s="1"/>
  <c r="P103" i="2"/>
  <c r="R193" i="2"/>
  <c r="W193" i="2" s="1"/>
  <c r="Q193" i="2"/>
  <c r="V193" i="2" s="1"/>
  <c r="P193" i="2"/>
  <c r="U193" i="2" s="1"/>
  <c r="N193" i="2"/>
  <c r="O193" i="2"/>
  <c r="T193" i="2" s="1"/>
  <c r="R96" i="2"/>
  <c r="W96" i="2" s="1"/>
  <c r="Q96" i="2"/>
  <c r="V96" i="2" s="1"/>
  <c r="N96" i="2"/>
  <c r="P96" i="2"/>
  <c r="U96" i="2" s="1"/>
  <c r="O96" i="2"/>
  <c r="T96" i="2" s="1"/>
  <c r="R223" i="2"/>
  <c r="W223" i="2" s="1"/>
  <c r="Q223" i="2"/>
  <c r="P223" i="2"/>
  <c r="U223" i="2" s="1"/>
  <c r="N223" i="2"/>
  <c r="S223" i="2" s="1"/>
  <c r="O223" i="2"/>
  <c r="T223" i="2" s="1"/>
  <c r="R110" i="2"/>
  <c r="P110" i="2"/>
  <c r="U110" i="2" s="1"/>
  <c r="Q110" i="2"/>
  <c r="V110" i="2" s="1"/>
  <c r="N110" i="2"/>
  <c r="S110" i="2" s="1"/>
  <c r="O110" i="2"/>
  <c r="R203" i="2"/>
  <c r="W203" i="2" s="1"/>
  <c r="Q203" i="2"/>
  <c r="V203" i="2" s="1"/>
  <c r="P203" i="2"/>
  <c r="U203" i="2" s="1"/>
  <c r="N203" i="2"/>
  <c r="O203" i="2"/>
  <c r="T203" i="2" s="1"/>
  <c r="Q206" i="2"/>
  <c r="V206" i="2" s="1"/>
  <c r="R206" i="2"/>
  <c r="W206" i="2" s="1"/>
  <c r="P206" i="2"/>
  <c r="N206" i="2"/>
  <c r="S206" i="2" s="1"/>
  <c r="O206" i="2"/>
  <c r="T206" i="2" s="1"/>
  <c r="R258" i="2"/>
  <c r="Q258" i="2"/>
  <c r="P258" i="2"/>
  <c r="U258" i="2" s="1"/>
  <c r="N258" i="2"/>
  <c r="S258" i="2" s="1"/>
  <c r="O258" i="2"/>
  <c r="T258" i="2" s="1"/>
  <c r="R35" i="2"/>
  <c r="W35" i="2" s="1"/>
  <c r="Q35" i="2"/>
  <c r="V35" i="2" s="1"/>
  <c r="N35" i="2"/>
  <c r="S35" i="2" s="1"/>
  <c r="P35" i="2"/>
  <c r="U35" i="2" s="1"/>
  <c r="O35" i="2"/>
  <c r="R9" i="2"/>
  <c r="W9" i="2" s="1"/>
  <c r="Q9" i="2"/>
  <c r="V9" i="2" s="1"/>
  <c r="P9" i="2"/>
  <c r="U9" i="2" s="1"/>
  <c r="N9" i="2"/>
  <c r="O9" i="2"/>
  <c r="T9" i="2" s="1"/>
  <c r="R44" i="2"/>
  <c r="W44" i="2" s="1"/>
  <c r="Q44" i="2"/>
  <c r="V44" i="2" s="1"/>
  <c r="P44" i="2"/>
  <c r="N44" i="2"/>
  <c r="S44" i="2" s="1"/>
  <c r="O44" i="2"/>
  <c r="T44" i="2" s="1"/>
  <c r="R53" i="2"/>
  <c r="W53" i="2" s="1"/>
  <c r="Q53" i="2"/>
  <c r="N53" i="2"/>
  <c r="S53" i="2" s="1"/>
  <c r="P53" i="2"/>
  <c r="U53" i="2" s="1"/>
  <c r="O53" i="2"/>
  <c r="T53" i="2" s="1"/>
  <c r="R107" i="2"/>
  <c r="W107" i="2" s="1"/>
  <c r="N107" i="2"/>
  <c r="S107" i="2" s="1"/>
  <c r="Q107" i="2"/>
  <c r="V107" i="2" s="1"/>
  <c r="O107" i="2"/>
  <c r="T107" i="2" s="1"/>
  <c r="P107" i="2"/>
  <c r="R160" i="2"/>
  <c r="W160" i="2" s="1"/>
  <c r="Q160" i="2"/>
  <c r="V160" i="2" s="1"/>
  <c r="N160" i="2"/>
  <c r="S160" i="2" s="1"/>
  <c r="P160" i="2"/>
  <c r="O160" i="2"/>
  <c r="T160" i="2" s="1"/>
  <c r="R201" i="2"/>
  <c r="W201" i="2" s="1"/>
  <c r="Q201" i="2"/>
  <c r="V201" i="2" s="1"/>
  <c r="P201" i="2"/>
  <c r="N201" i="2"/>
  <c r="S201" i="2" s="1"/>
  <c r="O201" i="2"/>
  <c r="T201" i="2" s="1"/>
  <c r="R119" i="2"/>
  <c r="W119" i="2" s="1"/>
  <c r="N119" i="2"/>
  <c r="Q119" i="2"/>
  <c r="V119" i="2" s="1"/>
  <c r="O119" i="2"/>
  <c r="T119" i="2" s="1"/>
  <c r="P119" i="2"/>
  <c r="U119" i="2" s="1"/>
  <c r="R51" i="2"/>
  <c r="W51" i="2" s="1"/>
  <c r="Q51" i="2"/>
  <c r="V51" i="2" s="1"/>
  <c r="N51" i="2"/>
  <c r="S51" i="2" s="1"/>
  <c r="O51" i="2"/>
  <c r="T51" i="2" s="1"/>
  <c r="P51" i="2"/>
  <c r="R78" i="2"/>
  <c r="W78" i="2" s="1"/>
  <c r="P78" i="2"/>
  <c r="U78" i="2" s="1"/>
  <c r="Q78" i="2"/>
  <c r="V78" i="2" s="1"/>
  <c r="N78" i="2"/>
  <c r="O78" i="2"/>
  <c r="T78" i="2" s="1"/>
  <c r="R99" i="2"/>
  <c r="W99" i="2" s="1"/>
  <c r="N99" i="2"/>
  <c r="S99" i="2" s="1"/>
  <c r="Q99" i="2"/>
  <c r="O99" i="2"/>
  <c r="T99" i="2" s="1"/>
  <c r="P99" i="2"/>
  <c r="U99" i="2" s="1"/>
  <c r="R23" i="2"/>
  <c r="W23" i="2" s="1"/>
  <c r="Q23" i="2"/>
  <c r="N23" i="2"/>
  <c r="S23" i="2" s="1"/>
  <c r="P23" i="2"/>
  <c r="U23" i="2" s="1"/>
  <c r="F66" i="24" s="1"/>
  <c r="O23" i="2"/>
  <c r="T23" i="2" s="1"/>
  <c r="E66" i="24" s="1"/>
  <c r="R70" i="2"/>
  <c r="W70" i="2" s="1"/>
  <c r="P70" i="2"/>
  <c r="U70" i="2" s="1"/>
  <c r="Q70" i="2"/>
  <c r="V70" i="2" s="1"/>
  <c r="N70" i="2"/>
  <c r="S70" i="2" s="1"/>
  <c r="O70" i="2"/>
  <c r="Q218" i="2"/>
  <c r="V218" i="2" s="1"/>
  <c r="R218" i="2"/>
  <c r="W218" i="2" s="1"/>
  <c r="P218" i="2"/>
  <c r="U218" i="2" s="1"/>
  <c r="N218" i="2"/>
  <c r="O218" i="2"/>
  <c r="T218" i="2" s="1"/>
  <c r="R241" i="2"/>
  <c r="W241" i="2" s="1"/>
  <c r="Q241" i="2"/>
  <c r="V241" i="2" s="1"/>
  <c r="P241" i="2"/>
  <c r="N241" i="2"/>
  <c r="S241" i="2" s="1"/>
  <c r="O241" i="2"/>
  <c r="T241" i="2" s="1"/>
  <c r="R236" i="2"/>
  <c r="W236" i="2" s="1"/>
  <c r="N236" i="2"/>
  <c r="Q236" i="2"/>
  <c r="V236" i="2" s="1"/>
  <c r="O236" i="2"/>
  <c r="T236" i="2" s="1"/>
  <c r="P236" i="2"/>
  <c r="U236" i="2" s="1"/>
  <c r="R33" i="2"/>
  <c r="W33" i="2" s="1"/>
  <c r="Q33" i="2"/>
  <c r="V33" i="2" s="1"/>
  <c r="P33" i="2"/>
  <c r="U33" i="2" s="1"/>
  <c r="N33" i="2"/>
  <c r="S33" i="2" s="1"/>
  <c r="O33" i="2"/>
  <c r="R71" i="2"/>
  <c r="W71" i="2" s="1"/>
  <c r="N71" i="2"/>
  <c r="S71" i="2" s="1"/>
  <c r="Q71" i="2"/>
  <c r="V71" i="2" s="1"/>
  <c r="O71" i="2"/>
  <c r="P71" i="2"/>
  <c r="U71" i="2" s="1"/>
  <c r="Q210" i="2"/>
  <c r="V210" i="2" s="1"/>
  <c r="R210" i="2"/>
  <c r="W210" i="2" s="1"/>
  <c r="P210" i="2"/>
  <c r="N210" i="2"/>
  <c r="S210" i="2" s="1"/>
  <c r="O210" i="2"/>
  <c r="T210" i="2" s="1"/>
  <c r="R122" i="2"/>
  <c r="W122" i="2" s="1"/>
  <c r="P122" i="2"/>
  <c r="Q122" i="2"/>
  <c r="V122" i="2" s="1"/>
  <c r="N122" i="2"/>
  <c r="S122" i="2" s="1"/>
  <c r="O122" i="2"/>
  <c r="T122" i="2" s="1"/>
  <c r="R20" i="2"/>
  <c r="W20" i="2" s="1"/>
  <c r="Q20" i="2"/>
  <c r="V20" i="2" s="1"/>
  <c r="P20" i="2"/>
  <c r="U20" i="2" s="1"/>
  <c r="N20" i="2"/>
  <c r="S20" i="2" s="1"/>
  <c r="O20" i="2"/>
  <c r="R212" i="2"/>
  <c r="W212" i="2" s="1"/>
  <c r="N212" i="2"/>
  <c r="S212" i="2" s="1"/>
  <c r="Q212" i="2"/>
  <c r="V212" i="2" s="1"/>
  <c r="P212" i="2"/>
  <c r="O212" i="2"/>
  <c r="T212" i="2" s="1"/>
  <c r="R90" i="2"/>
  <c r="W90" i="2" s="1"/>
  <c r="P90" i="2"/>
  <c r="U90" i="2" s="1"/>
  <c r="Q90" i="2"/>
  <c r="N90" i="2"/>
  <c r="S90" i="2" s="1"/>
  <c r="O90" i="2"/>
  <c r="T90" i="2" s="1"/>
  <c r="R123" i="2"/>
  <c r="W123" i="2" s="1"/>
  <c r="N123" i="2"/>
  <c r="Q123" i="2"/>
  <c r="V123" i="2" s="1"/>
  <c r="O123" i="2"/>
  <c r="T123" i="2" s="1"/>
  <c r="P123" i="2"/>
  <c r="U123" i="2" s="1"/>
  <c r="Q226" i="2"/>
  <c r="R226" i="2"/>
  <c r="W226" i="2" s="1"/>
  <c r="P226" i="2"/>
  <c r="U226" i="2" s="1"/>
  <c r="N226" i="2"/>
  <c r="S226" i="2" s="1"/>
  <c r="O226" i="2"/>
  <c r="Q234" i="2"/>
  <c r="V234" i="2" s="1"/>
  <c r="R234" i="2"/>
  <c r="W234" i="2" s="1"/>
  <c r="P234" i="2"/>
  <c r="U234" i="2" s="1"/>
  <c r="N234" i="2"/>
  <c r="O234" i="2"/>
  <c r="T234" i="2" s="1"/>
  <c r="R245" i="2"/>
  <c r="W245" i="2" s="1"/>
  <c r="Q245" i="2"/>
  <c r="V245" i="2" s="1"/>
  <c r="P245" i="2"/>
  <c r="N245" i="2"/>
  <c r="S245" i="2" s="1"/>
  <c r="O245" i="2"/>
  <c r="T245" i="2" s="1"/>
  <c r="R7" i="2"/>
  <c r="W7" i="2" s="1"/>
  <c r="Q7" i="2"/>
  <c r="N7" i="2"/>
  <c r="P7" i="2"/>
  <c r="O7" i="2"/>
  <c r="R30" i="2"/>
  <c r="W30" i="2" s="1"/>
  <c r="P30" i="2"/>
  <c r="U30" i="2" s="1"/>
  <c r="Q30" i="2"/>
  <c r="V30" i="2" s="1"/>
  <c r="N30" i="2"/>
  <c r="S30" i="2" s="1"/>
  <c r="O30" i="2"/>
  <c r="R40" i="2"/>
  <c r="W40" i="2" s="1"/>
  <c r="Q40" i="2"/>
  <c r="V40" i="2" s="1"/>
  <c r="P40" i="2"/>
  <c r="U40" i="2" s="1"/>
  <c r="N40" i="2"/>
  <c r="O40" i="2"/>
  <c r="T40" i="2" s="1"/>
  <c r="R211" i="2"/>
  <c r="W211" i="2" s="1"/>
  <c r="Q211" i="2"/>
  <c r="V211" i="2" s="1"/>
  <c r="P211" i="2"/>
  <c r="N211" i="2"/>
  <c r="S211" i="2" s="1"/>
  <c r="O211" i="2"/>
  <c r="T211" i="2" s="1"/>
  <c r="R102" i="2"/>
  <c r="W102" i="2" s="1"/>
  <c r="P102" i="2"/>
  <c r="Q102" i="2"/>
  <c r="V102" i="2" s="1"/>
  <c r="N102" i="2"/>
  <c r="S102" i="2" s="1"/>
  <c r="O102" i="2"/>
  <c r="T102" i="2" s="1"/>
  <c r="R224" i="2"/>
  <c r="W224" i="2" s="1"/>
  <c r="Q224" i="2"/>
  <c r="V224" i="2" s="1"/>
  <c r="N224" i="2"/>
  <c r="S224" i="2" s="1"/>
  <c r="O224" i="2"/>
  <c r="T224" i="2" s="1"/>
  <c r="P224" i="2"/>
  <c r="R204" i="2"/>
  <c r="W204" i="2" s="1"/>
  <c r="N204" i="2"/>
  <c r="S204" i="2" s="1"/>
  <c r="Q204" i="2"/>
  <c r="V204" i="2" s="1"/>
  <c r="P204" i="2"/>
  <c r="O204" i="2"/>
  <c r="T204" i="2" s="1"/>
  <c r="R235" i="2"/>
  <c r="W235" i="2" s="1"/>
  <c r="Q235" i="2"/>
  <c r="V235" i="2" s="1"/>
  <c r="P235" i="2"/>
  <c r="N235" i="2"/>
  <c r="S235" i="2" s="1"/>
  <c r="O235" i="2"/>
  <c r="T235" i="2" s="1"/>
  <c r="R14" i="2"/>
  <c r="W14" i="2" s="1"/>
  <c r="P14" i="2"/>
  <c r="Q14" i="2"/>
  <c r="V14" i="2" s="1"/>
  <c r="G42" i="24" s="1"/>
  <c r="N14" i="2"/>
  <c r="S14" i="2" s="1"/>
  <c r="O14" i="2"/>
  <c r="T14" i="2" s="1"/>
  <c r="E42" i="24" s="1"/>
  <c r="R83" i="2"/>
  <c r="W83" i="2" s="1"/>
  <c r="N83" i="2"/>
  <c r="S83" i="2" s="1"/>
  <c r="Q83" i="2"/>
  <c r="V83" i="2" s="1"/>
  <c r="O83" i="2"/>
  <c r="T83" i="2" s="1"/>
  <c r="P83" i="2"/>
  <c r="R49" i="2"/>
  <c r="W49" i="2" s="1"/>
  <c r="Q49" i="2"/>
  <c r="V49" i="2" s="1"/>
  <c r="P49" i="2"/>
  <c r="U49" i="2" s="1"/>
  <c r="N49" i="2"/>
  <c r="O49" i="2"/>
  <c r="T49" i="2" s="1"/>
  <c r="R73" i="2"/>
  <c r="W73" i="2" s="1"/>
  <c r="Q73" i="2"/>
  <c r="V73" i="2" s="1"/>
  <c r="P73" i="2"/>
  <c r="N73" i="2"/>
  <c r="S73" i="2" s="1"/>
  <c r="O73" i="2"/>
  <c r="T73" i="2" s="1"/>
  <c r="R24" i="2"/>
  <c r="W24" i="2" s="1"/>
  <c r="Q24" i="2"/>
  <c r="P24" i="2"/>
  <c r="U24" i="2" s="1"/>
  <c r="N24" i="2"/>
  <c r="S24" i="2" s="1"/>
  <c r="O24" i="2"/>
  <c r="T24" i="2" s="1"/>
  <c r="R120" i="2"/>
  <c r="W120" i="2" s="1"/>
  <c r="Q120" i="2"/>
  <c r="V120" i="2" s="1"/>
  <c r="N120" i="2"/>
  <c r="S120" i="2" s="1"/>
  <c r="P120" i="2"/>
  <c r="U120" i="2" s="1"/>
  <c r="O120" i="2"/>
  <c r="R58" i="2"/>
  <c r="W58" i="2" s="1"/>
  <c r="P58" i="2"/>
  <c r="U58" i="2" s="1"/>
  <c r="Q58" i="2"/>
  <c r="V58" i="2" s="1"/>
  <c r="N58" i="2"/>
  <c r="O58" i="2"/>
  <c r="T58" i="2" s="1"/>
  <c r="R12" i="2"/>
  <c r="W12" i="2" s="1"/>
  <c r="Q12" i="2"/>
  <c r="V12" i="2" s="1"/>
  <c r="P12" i="2"/>
  <c r="N12" i="2"/>
  <c r="S12" i="2" s="1"/>
  <c r="O12" i="2"/>
  <c r="T12" i="2" s="1"/>
  <c r="R47" i="2"/>
  <c r="W47" i="2" s="1"/>
  <c r="Q47" i="2"/>
  <c r="P47" i="2"/>
  <c r="U47" i="2" s="1"/>
  <c r="N47" i="2"/>
  <c r="S47" i="2" s="1"/>
  <c r="O47" i="2"/>
  <c r="T47" i="2" s="1"/>
  <c r="R131" i="2"/>
  <c r="W131" i="2" s="1"/>
  <c r="N131" i="2"/>
  <c r="S131" i="2" s="1"/>
  <c r="Q131" i="2"/>
  <c r="V131" i="2" s="1"/>
  <c r="O131" i="2"/>
  <c r="T131" i="2" s="1"/>
  <c r="P131" i="2"/>
  <c r="R56" i="2"/>
  <c r="W56" i="2" s="1"/>
  <c r="Q56" i="2"/>
  <c r="V56" i="2" s="1"/>
  <c r="P56" i="2"/>
  <c r="U56" i="2" s="1"/>
  <c r="N56" i="2"/>
  <c r="O56" i="2"/>
  <c r="T56" i="2" s="1"/>
  <c r="R172" i="2"/>
  <c r="W172" i="2" s="1"/>
  <c r="Q172" i="2"/>
  <c r="V172" i="2" s="1"/>
  <c r="N172" i="2"/>
  <c r="P172" i="2"/>
  <c r="U172" i="2" s="1"/>
  <c r="O172" i="2"/>
  <c r="T172" i="2" s="1"/>
  <c r="R41" i="2"/>
  <c r="W41" i="2" s="1"/>
  <c r="Q41" i="2"/>
  <c r="P41" i="2"/>
  <c r="U41" i="2" s="1"/>
  <c r="N41" i="2"/>
  <c r="S41" i="2" s="1"/>
  <c r="O41" i="2"/>
  <c r="T41" i="2" s="1"/>
  <c r="R205" i="2"/>
  <c r="Q205" i="2"/>
  <c r="V205" i="2" s="1"/>
  <c r="N205" i="2"/>
  <c r="S205" i="2" s="1"/>
  <c r="P205" i="2"/>
  <c r="U205" i="2" s="1"/>
  <c r="O205" i="2"/>
  <c r="R50" i="2"/>
  <c r="W50" i="2" s="1"/>
  <c r="P50" i="2"/>
  <c r="U50" i="2" s="1"/>
  <c r="Q50" i="2"/>
  <c r="V50" i="2" s="1"/>
  <c r="N50" i="2"/>
  <c r="O50" i="2"/>
  <c r="T50" i="2" s="1"/>
  <c r="R134" i="2"/>
  <c r="W134" i="2" s="1"/>
  <c r="P134" i="2"/>
  <c r="U134" i="2" s="1"/>
  <c r="Q134" i="2"/>
  <c r="N134" i="2"/>
  <c r="S134" i="2" s="1"/>
  <c r="O134" i="2"/>
  <c r="T134" i="2" s="1"/>
  <c r="R163" i="2"/>
  <c r="W163" i="2" s="1"/>
  <c r="N163" i="2"/>
  <c r="Q163" i="2"/>
  <c r="V163" i="2" s="1"/>
  <c r="O163" i="2"/>
  <c r="T163" i="2" s="1"/>
  <c r="P163" i="2"/>
  <c r="U163" i="2" s="1"/>
  <c r="R191" i="2"/>
  <c r="W191" i="2" s="1"/>
  <c r="N191" i="2"/>
  <c r="S191" i="2" s="1"/>
  <c r="Q191" i="2"/>
  <c r="V191" i="2" s="1"/>
  <c r="O191" i="2"/>
  <c r="T191" i="2" s="1"/>
  <c r="P191" i="2"/>
  <c r="Q222" i="2"/>
  <c r="V222" i="2" s="1"/>
  <c r="R222" i="2"/>
  <c r="W222" i="2" s="1"/>
  <c r="P222" i="2"/>
  <c r="U222" i="2" s="1"/>
  <c r="N222" i="2"/>
  <c r="O222" i="2"/>
  <c r="T222" i="2" s="1"/>
  <c r="R153" i="2"/>
  <c r="W153" i="2" s="1"/>
  <c r="Q153" i="2"/>
  <c r="V153" i="2" s="1"/>
  <c r="G273" i="24" s="1"/>
  <c r="P153" i="2"/>
  <c r="N153" i="2"/>
  <c r="S153" i="2" s="1"/>
  <c r="O153" i="2"/>
  <c r="T153" i="2" s="1"/>
  <c r="R181" i="2"/>
  <c r="W181" i="2" s="1"/>
  <c r="Q181" i="2"/>
  <c r="N181" i="2"/>
  <c r="S181" i="2" s="1"/>
  <c r="P181" i="2"/>
  <c r="U181" i="2" s="1"/>
  <c r="F40" i="24" s="1"/>
  <c r="O181" i="2"/>
  <c r="T181" i="2" s="1"/>
  <c r="R39" i="2"/>
  <c r="W39" i="2" s="1"/>
  <c r="Q39" i="2"/>
  <c r="V39" i="2" s="1"/>
  <c r="N39" i="2"/>
  <c r="S39" i="2" s="1"/>
  <c r="P39" i="2"/>
  <c r="U39" i="2" s="1"/>
  <c r="O39" i="2"/>
  <c r="R128" i="2"/>
  <c r="W128" i="2" s="1"/>
  <c r="Q128" i="2"/>
  <c r="V128" i="2" s="1"/>
  <c r="N128" i="2"/>
  <c r="S128" i="2" s="1"/>
  <c r="P128" i="2"/>
  <c r="O128" i="2"/>
  <c r="T128" i="2" s="1"/>
  <c r="R240" i="2"/>
  <c r="W240" i="2" s="1"/>
  <c r="Q240" i="2"/>
  <c r="V240" i="2" s="1"/>
  <c r="N240" i="2"/>
  <c r="P240" i="2"/>
  <c r="U240" i="2" s="1"/>
  <c r="O240" i="2"/>
  <c r="T240" i="2" s="1"/>
  <c r="R4" i="2"/>
  <c r="W4" i="2" s="1"/>
  <c r="Q4" i="2"/>
  <c r="P4" i="2"/>
  <c r="U4" i="2" s="1"/>
  <c r="O4" i="2"/>
  <c r="T4" i="2" s="1"/>
  <c r="N4" i="2"/>
  <c r="S4" i="2" s="1"/>
  <c r="R54" i="2"/>
  <c r="W54" i="2" s="1"/>
  <c r="P54" i="2"/>
  <c r="U54" i="2" s="1"/>
  <c r="Q54" i="2"/>
  <c r="V54" i="2" s="1"/>
  <c r="N54" i="2"/>
  <c r="S54" i="2" s="1"/>
  <c r="O54" i="2"/>
  <c r="R55" i="2"/>
  <c r="W55" i="2" s="1"/>
  <c r="Q55" i="2"/>
  <c r="V55" i="2" s="1"/>
  <c r="N55" i="2"/>
  <c r="S55" i="2" s="1"/>
  <c r="O55" i="2"/>
  <c r="P55" i="2"/>
  <c r="U55" i="2" s="1"/>
  <c r="R179" i="2"/>
  <c r="W179" i="2" s="1"/>
  <c r="N179" i="2"/>
  <c r="S179" i="2" s="1"/>
  <c r="Q179" i="2"/>
  <c r="O179" i="2"/>
  <c r="T179" i="2" s="1"/>
  <c r="P179" i="2"/>
  <c r="U179" i="2" s="1"/>
  <c r="R178" i="2"/>
  <c r="W178" i="2" s="1"/>
  <c r="P178" i="2"/>
  <c r="Q178" i="2"/>
  <c r="V178" i="2" s="1"/>
  <c r="G26" i="24" s="1"/>
  <c r="N178" i="2"/>
  <c r="S178" i="2" s="1"/>
  <c r="O178" i="2"/>
  <c r="T178" i="2" s="1"/>
  <c r="E26" i="24" s="1"/>
  <c r="R159" i="2"/>
  <c r="W159" i="2" s="1"/>
  <c r="N159" i="2"/>
  <c r="S159" i="2" s="1"/>
  <c r="Q159" i="2"/>
  <c r="V159" i="2" s="1"/>
  <c r="P159" i="2"/>
  <c r="U159" i="2" s="1"/>
  <c r="O159" i="2"/>
  <c r="Q238" i="2"/>
  <c r="V238" i="2" s="1"/>
  <c r="R238" i="2"/>
  <c r="W238" i="2" s="1"/>
  <c r="P238" i="2"/>
  <c r="U238" i="2" s="1"/>
  <c r="N238" i="2"/>
  <c r="O238" i="2"/>
  <c r="T238" i="2" s="1"/>
  <c r="R247" i="2"/>
  <c r="W247" i="2" s="1"/>
  <c r="Q247" i="2"/>
  <c r="V247" i="2" s="1"/>
  <c r="P247" i="2"/>
  <c r="N247" i="2"/>
  <c r="S247" i="2" s="1"/>
  <c r="O247" i="2"/>
  <c r="T247" i="2" s="1"/>
  <c r="R261" i="2"/>
  <c r="N261" i="2"/>
  <c r="Q261" i="2"/>
  <c r="V261" i="2" s="1"/>
  <c r="P261" i="2"/>
  <c r="U261" i="2" s="1"/>
  <c r="O261" i="2"/>
  <c r="T261" i="2" s="1"/>
  <c r="R25" i="2"/>
  <c r="W25" i="2" s="1"/>
  <c r="Q25" i="2"/>
  <c r="V25" i="2" s="1"/>
  <c r="P25" i="2"/>
  <c r="U25" i="2" s="1"/>
  <c r="N25" i="2"/>
  <c r="S25" i="2" s="1"/>
  <c r="O25" i="2"/>
  <c r="R75" i="2"/>
  <c r="W75" i="2" s="1"/>
  <c r="N75" i="2"/>
  <c r="S75" i="2" s="1"/>
  <c r="Q75" i="2"/>
  <c r="V75" i="2" s="1"/>
  <c r="O75" i="2"/>
  <c r="P75" i="2"/>
  <c r="U75" i="2" s="1"/>
  <c r="R74" i="2"/>
  <c r="W74" i="2" s="1"/>
  <c r="P74" i="2"/>
  <c r="U74" i="2" s="1"/>
  <c r="Q74" i="2"/>
  <c r="N74" i="2"/>
  <c r="S74" i="2" s="1"/>
  <c r="O74" i="2"/>
  <c r="T74" i="2" s="1"/>
  <c r="R176" i="2"/>
  <c r="W176" i="2" s="1"/>
  <c r="Q176" i="2"/>
  <c r="N176" i="2"/>
  <c r="S176" i="2" s="1"/>
  <c r="P176" i="2"/>
  <c r="U176" i="2" s="1"/>
  <c r="O176" i="2"/>
  <c r="T176" i="2" s="1"/>
  <c r="R208" i="2"/>
  <c r="Q208" i="2"/>
  <c r="V208" i="2" s="1"/>
  <c r="N208" i="2"/>
  <c r="S208" i="2" s="1"/>
  <c r="O208" i="2"/>
  <c r="T208" i="2" s="1"/>
  <c r="P208" i="2"/>
  <c r="R132" i="2"/>
  <c r="W132" i="2" s="1"/>
  <c r="Q132" i="2"/>
  <c r="V132" i="2" s="1"/>
  <c r="P132" i="2"/>
  <c r="U132" i="2" s="1"/>
  <c r="N132" i="2"/>
  <c r="O132" i="2"/>
  <c r="T132" i="2" s="1"/>
  <c r="R185" i="2"/>
  <c r="W185" i="2" s="1"/>
  <c r="Q185" i="2"/>
  <c r="V185" i="2" s="1"/>
  <c r="P185" i="2"/>
  <c r="N185" i="2"/>
  <c r="S185" i="2" s="1"/>
  <c r="O185" i="2"/>
  <c r="T185" i="2" s="1"/>
  <c r="R93" i="2"/>
  <c r="W93" i="2" s="1"/>
  <c r="Q93" i="2"/>
  <c r="N93" i="2"/>
  <c r="S93" i="2" s="1"/>
  <c r="P93" i="2"/>
  <c r="U93" i="2" s="1"/>
  <c r="O93" i="2"/>
  <c r="T93" i="2" s="1"/>
  <c r="R227" i="2"/>
  <c r="W227" i="2" s="1"/>
  <c r="Q227" i="2"/>
  <c r="V227" i="2" s="1"/>
  <c r="P227" i="2"/>
  <c r="U227" i="2" s="1"/>
  <c r="N227" i="2"/>
  <c r="S227" i="2" s="1"/>
  <c r="O227" i="2"/>
  <c r="R146" i="2"/>
  <c r="W146" i="2" s="1"/>
  <c r="P146" i="2"/>
  <c r="U146" i="2" s="1"/>
  <c r="Q146" i="2"/>
  <c r="V146" i="2" s="1"/>
  <c r="N146" i="2"/>
  <c r="O146" i="2"/>
  <c r="T146" i="2" s="1"/>
  <c r="R112" i="2"/>
  <c r="W112" i="2" s="1"/>
  <c r="Q112" i="2"/>
  <c r="V112" i="2" s="1"/>
  <c r="N112" i="2"/>
  <c r="P112" i="2"/>
  <c r="U112" i="2" s="1"/>
  <c r="O112" i="2"/>
  <c r="T112" i="2" s="1"/>
  <c r="R113" i="2"/>
  <c r="W113" i="2" s="1"/>
  <c r="Q113" i="2"/>
  <c r="N113" i="2"/>
  <c r="S113" i="2" s="1"/>
  <c r="P113" i="2"/>
  <c r="U113" i="2" s="1"/>
  <c r="O113" i="2"/>
  <c r="T113" i="2" s="1"/>
  <c r="R31" i="2"/>
  <c r="W31" i="2" s="1"/>
  <c r="Q31" i="2"/>
  <c r="V31" i="2" s="1"/>
  <c r="P31" i="2"/>
  <c r="U31" i="2" s="1"/>
  <c r="N31" i="2"/>
  <c r="S31" i="2" s="1"/>
  <c r="O31" i="2"/>
  <c r="R130" i="2"/>
  <c r="W130" i="2" s="1"/>
  <c r="P130" i="2"/>
  <c r="U130" i="2" s="1"/>
  <c r="Q130" i="2"/>
  <c r="V130" i="2" s="1"/>
  <c r="N130" i="2"/>
  <c r="O130" i="2"/>
  <c r="T130" i="2" s="1"/>
  <c r="R34" i="2"/>
  <c r="W34" i="2" s="1"/>
  <c r="P34" i="2"/>
  <c r="U34" i="2" s="1"/>
  <c r="Q34" i="2"/>
  <c r="N34" i="2"/>
  <c r="S34" i="2" s="1"/>
  <c r="O34" i="2"/>
  <c r="T34" i="2" s="1"/>
  <c r="E89" i="24" s="1"/>
  <c r="R125" i="2"/>
  <c r="W125" i="2" s="1"/>
  <c r="Q125" i="2"/>
  <c r="N125" i="2"/>
  <c r="S125" i="2" s="1"/>
  <c r="P125" i="2"/>
  <c r="U125" i="2" s="1"/>
  <c r="O125" i="2"/>
  <c r="T125" i="2" s="1"/>
  <c r="R17" i="2"/>
  <c r="W17" i="2" s="1"/>
  <c r="Q17" i="2"/>
  <c r="V17" i="2" s="1"/>
  <c r="P17" i="2"/>
  <c r="U17" i="2" s="1"/>
  <c r="N17" i="2"/>
  <c r="S17" i="2" s="1"/>
  <c r="O17" i="2"/>
  <c r="R175" i="2"/>
  <c r="W175" i="2" s="1"/>
  <c r="N175" i="2"/>
  <c r="S175" i="2" s="1"/>
  <c r="Q175" i="2"/>
  <c r="V175" i="2" s="1"/>
  <c r="P175" i="2"/>
  <c r="O175" i="2"/>
  <c r="T175" i="2" s="1"/>
  <c r="R237" i="2"/>
  <c r="W237" i="2" s="1"/>
  <c r="Q237" i="2"/>
  <c r="V237" i="2" s="1"/>
  <c r="P237" i="2"/>
  <c r="N237" i="2"/>
  <c r="S237" i="2" s="1"/>
  <c r="O237" i="2"/>
  <c r="T237" i="2" s="1"/>
  <c r="R164" i="2"/>
  <c r="W164" i="2" s="1"/>
  <c r="Q164" i="2"/>
  <c r="P164" i="2"/>
  <c r="U164" i="2" s="1"/>
  <c r="N164" i="2"/>
  <c r="S164" i="2" s="1"/>
  <c r="O164" i="2"/>
  <c r="T164" i="2" s="1"/>
  <c r="R177" i="2"/>
  <c r="W177" i="2" s="1"/>
  <c r="Q177" i="2"/>
  <c r="V177" i="2" s="1"/>
  <c r="G34" i="24" s="1"/>
  <c r="N177" i="2"/>
  <c r="S177" i="2" s="1"/>
  <c r="P177" i="2"/>
  <c r="U177" i="2" s="1"/>
  <c r="O177" i="2"/>
  <c r="R180" i="2"/>
  <c r="W180" i="2" s="1"/>
  <c r="Q180" i="2"/>
  <c r="V180" i="2" s="1"/>
  <c r="P180" i="2"/>
  <c r="U180" i="2" s="1"/>
  <c r="F35" i="24" s="1"/>
  <c r="N180" i="2"/>
  <c r="O180" i="2"/>
  <c r="T180" i="2" s="1"/>
  <c r="R189" i="2"/>
  <c r="W189" i="2" s="1"/>
  <c r="Q189" i="2"/>
  <c r="V189" i="2" s="1"/>
  <c r="P189" i="2"/>
  <c r="N189" i="2"/>
  <c r="S189" i="2" s="1"/>
  <c r="O189" i="2"/>
  <c r="T189" i="2" s="1"/>
  <c r="R169" i="2"/>
  <c r="W169" i="2" s="1"/>
  <c r="Q169" i="2"/>
  <c r="P169" i="2"/>
  <c r="U169" i="2" s="1"/>
  <c r="N169" i="2"/>
  <c r="S169" i="2" s="1"/>
  <c r="O169" i="2"/>
  <c r="T169" i="2" s="1"/>
  <c r="R183" i="2"/>
  <c r="N183" i="2"/>
  <c r="S183" i="2" s="1"/>
  <c r="Q183" i="2"/>
  <c r="V183" i="2" s="1"/>
  <c r="O183" i="2"/>
  <c r="T183" i="2" s="1"/>
  <c r="P183" i="2"/>
  <c r="R184" i="2"/>
  <c r="W184" i="2" s="1"/>
  <c r="Q184" i="2"/>
  <c r="V184" i="2" s="1"/>
  <c r="P184" i="2"/>
  <c r="U184" i="2" s="1"/>
  <c r="N184" i="2"/>
  <c r="O184" i="2"/>
  <c r="T184" i="2" s="1"/>
  <c r="R32" i="2"/>
  <c r="W32" i="2" s="1"/>
  <c r="Q32" i="2"/>
  <c r="V32" i="2" s="1"/>
  <c r="P32" i="2"/>
  <c r="N32" i="2"/>
  <c r="S32" i="2" s="1"/>
  <c r="O32" i="2"/>
  <c r="T32" i="2" s="1"/>
  <c r="R57" i="2"/>
  <c r="W57" i="2" s="1"/>
  <c r="Q57" i="2"/>
  <c r="P57" i="2"/>
  <c r="U57" i="2" s="1"/>
  <c r="N57" i="2"/>
  <c r="S57" i="2" s="1"/>
  <c r="O57" i="2"/>
  <c r="T57" i="2" s="1"/>
  <c r="R76" i="2"/>
  <c r="W76" i="2" s="1"/>
  <c r="Q76" i="2"/>
  <c r="V76" i="2" s="1"/>
  <c r="N76" i="2"/>
  <c r="S76" i="2" s="1"/>
  <c r="P76" i="2"/>
  <c r="U76" i="2" s="1"/>
  <c r="O76" i="2"/>
  <c r="T76" i="2" s="1"/>
  <c r="R219" i="2"/>
  <c r="W219" i="2" s="1"/>
  <c r="Q219" i="2"/>
  <c r="V219" i="2" s="1"/>
  <c r="P219" i="2"/>
  <c r="U219" i="2" s="1"/>
  <c r="N219" i="2"/>
  <c r="O219" i="2"/>
  <c r="T219" i="2" s="1"/>
  <c r="R126" i="2"/>
  <c r="W126" i="2" s="1"/>
  <c r="P126" i="2"/>
  <c r="U126" i="2" s="1"/>
  <c r="Q126" i="2"/>
  <c r="N126" i="2"/>
  <c r="S126" i="2" s="1"/>
  <c r="O126" i="2"/>
  <c r="T126" i="2" s="1"/>
  <c r="R138" i="2"/>
  <c r="W138" i="2" s="1"/>
  <c r="P138" i="2"/>
  <c r="Q138" i="2"/>
  <c r="V138" i="2" s="1"/>
  <c r="N138" i="2"/>
  <c r="S138" i="2" s="1"/>
  <c r="O138" i="2"/>
  <c r="T138" i="2" s="1"/>
  <c r="R147" i="2"/>
  <c r="N147" i="2"/>
  <c r="S147" i="2" s="1"/>
  <c r="Q147" i="2"/>
  <c r="V147" i="2" s="1"/>
  <c r="O147" i="2"/>
  <c r="T147" i="2" s="1"/>
  <c r="P147" i="2"/>
  <c r="R165" i="2"/>
  <c r="W165" i="2" s="1"/>
  <c r="Q165" i="2"/>
  <c r="V165" i="2" s="1"/>
  <c r="N165" i="2"/>
  <c r="S165" i="2" s="1"/>
  <c r="P165" i="2"/>
  <c r="O165" i="2"/>
  <c r="T165" i="2" s="1"/>
  <c r="R16" i="2"/>
  <c r="W16" i="2" s="1"/>
  <c r="Q16" i="2"/>
  <c r="V16" i="2" s="1"/>
  <c r="P16" i="2"/>
  <c r="N16" i="2"/>
  <c r="S16" i="2" s="1"/>
  <c r="O16" i="2"/>
  <c r="T16" i="2" s="1"/>
  <c r="R190" i="2"/>
  <c r="W190" i="2" s="1"/>
  <c r="P190" i="2"/>
  <c r="Q190" i="2"/>
  <c r="V190" i="2" s="1"/>
  <c r="N190" i="2"/>
  <c r="S190" i="2" s="1"/>
  <c r="O190" i="2"/>
  <c r="T190" i="2" s="1"/>
  <c r="R199" i="2"/>
  <c r="W199" i="2" s="1"/>
  <c r="N199" i="2"/>
  <c r="S199" i="2" s="1"/>
  <c r="Q199" i="2"/>
  <c r="V199" i="2" s="1"/>
  <c r="O199" i="2"/>
  <c r="T199" i="2" s="1"/>
  <c r="P199" i="2"/>
  <c r="R213" i="2"/>
  <c r="W213" i="2" s="1"/>
  <c r="Q213" i="2"/>
  <c r="V213" i="2" s="1"/>
  <c r="N213" i="2"/>
  <c r="S213" i="2" s="1"/>
  <c r="P213" i="2"/>
  <c r="O213" i="2"/>
  <c r="T213" i="2" s="1"/>
  <c r="R221" i="2"/>
  <c r="W221" i="2" s="1"/>
  <c r="Q221" i="2"/>
  <c r="V221" i="2" s="1"/>
  <c r="N221" i="2"/>
  <c r="P221" i="2"/>
  <c r="U221" i="2" s="1"/>
  <c r="O221" i="2"/>
  <c r="T221" i="2" s="1"/>
  <c r="R124" i="2"/>
  <c r="W124" i="2" s="1"/>
  <c r="Q124" i="2"/>
  <c r="N124" i="2"/>
  <c r="S124" i="2" s="1"/>
  <c r="P124" i="2"/>
  <c r="U124" i="2" s="1"/>
  <c r="O124" i="2"/>
  <c r="T124" i="2" s="1"/>
  <c r="R140" i="2"/>
  <c r="W140" i="2" s="1"/>
  <c r="Q140" i="2"/>
  <c r="V140" i="2" s="1"/>
  <c r="N140" i="2"/>
  <c r="S140" i="2" s="1"/>
  <c r="P140" i="2"/>
  <c r="U140" i="2" s="1"/>
  <c r="O140" i="2"/>
  <c r="R148" i="2"/>
  <c r="W148" i="2" s="1"/>
  <c r="Q148" i="2"/>
  <c r="V148" i="2" s="1"/>
  <c r="P148" i="2"/>
  <c r="U148" i="2" s="1"/>
  <c r="N148" i="2"/>
  <c r="O148" i="2"/>
  <c r="T148" i="2" s="1"/>
  <c r="R52" i="2"/>
  <c r="W52" i="2" s="1"/>
  <c r="Q52" i="2"/>
  <c r="V52" i="2" s="1"/>
  <c r="P52" i="2"/>
  <c r="N52" i="2"/>
  <c r="S52" i="2" s="1"/>
  <c r="O52" i="2"/>
  <c r="T52" i="2" s="1"/>
  <c r="R166" i="2"/>
  <c r="W166" i="2" s="1"/>
  <c r="P166" i="2"/>
  <c r="Q166" i="2"/>
  <c r="V166" i="2" s="1"/>
  <c r="N166" i="2"/>
  <c r="S166" i="2" s="1"/>
  <c r="O166" i="2"/>
  <c r="T166" i="2" s="1"/>
  <c r="R145" i="2"/>
  <c r="Q145" i="2"/>
  <c r="V145" i="2" s="1"/>
  <c r="N145" i="2"/>
  <c r="S145" i="2" s="1"/>
  <c r="P145" i="2"/>
  <c r="U145" i="2" s="1"/>
  <c r="O145" i="2"/>
  <c r="R117" i="2"/>
  <c r="W117" i="2" s="1"/>
  <c r="Q117" i="2"/>
  <c r="V117" i="2" s="1"/>
  <c r="N117" i="2"/>
  <c r="S117" i="2" s="1"/>
  <c r="P117" i="2"/>
  <c r="O117" i="2"/>
  <c r="T117" i="2" s="1"/>
  <c r="R115" i="2"/>
  <c r="W115" i="2" s="1"/>
  <c r="N115" i="2"/>
  <c r="S115" i="2" s="1"/>
  <c r="Q115" i="2"/>
  <c r="O115" i="2"/>
  <c r="T115" i="2" s="1"/>
  <c r="P115" i="2"/>
  <c r="U115" i="2" s="1"/>
  <c r="R114" i="2"/>
  <c r="W114" i="2" s="1"/>
  <c r="P114" i="2"/>
  <c r="Q114" i="2"/>
  <c r="V114" i="2" s="1"/>
  <c r="N114" i="2"/>
  <c r="S114" i="2" s="1"/>
  <c r="O114" i="2"/>
  <c r="T114" i="2" s="1"/>
  <c r="R121" i="2"/>
  <c r="W121" i="2" s="1"/>
  <c r="Q121" i="2"/>
  <c r="V121" i="2" s="1"/>
  <c r="P121" i="2"/>
  <c r="U121" i="2" s="1"/>
  <c r="N121" i="2"/>
  <c r="S121" i="2" s="1"/>
  <c r="O121" i="2"/>
  <c r="R22" i="2"/>
  <c r="W22" i="2" s="1"/>
  <c r="P22" i="2"/>
  <c r="U22" i="2" s="1"/>
  <c r="Q22" i="2"/>
  <c r="V22" i="2" s="1"/>
  <c r="G65" i="24" s="1"/>
  <c r="N22" i="2"/>
  <c r="O22" i="2"/>
  <c r="T22" i="2" s="1"/>
  <c r="E65" i="24" s="1"/>
  <c r="R84" i="2"/>
  <c r="W84" i="2" s="1"/>
  <c r="Q84" i="2"/>
  <c r="V84" i="2" s="1"/>
  <c r="P84" i="2"/>
  <c r="N84" i="2"/>
  <c r="S84" i="2" s="1"/>
  <c r="O84" i="2"/>
  <c r="T84" i="2" s="1"/>
  <c r="R137" i="2"/>
  <c r="W137" i="2" s="1"/>
  <c r="Q137" i="2"/>
  <c r="P137" i="2"/>
  <c r="U137" i="2" s="1"/>
  <c r="N137" i="2"/>
  <c r="S137" i="2" s="1"/>
  <c r="O137" i="2"/>
  <c r="T137" i="2" s="1"/>
  <c r="R79" i="2"/>
  <c r="W79" i="2" s="1"/>
  <c r="N79" i="2"/>
  <c r="S79" i="2" s="1"/>
  <c r="Q79" i="2"/>
  <c r="V79" i="2" s="1"/>
  <c r="P79" i="2"/>
  <c r="U79" i="2" s="1"/>
  <c r="O79" i="2"/>
  <c r="R13" i="2"/>
  <c r="W13" i="2" s="1"/>
  <c r="Q13" i="2"/>
  <c r="V13" i="2" s="1"/>
  <c r="P13" i="2"/>
  <c r="U13" i="2" s="1"/>
  <c r="O13" i="2"/>
  <c r="N13" i="2"/>
  <c r="S13" i="2" s="1"/>
  <c r="R48" i="2"/>
  <c r="W48" i="2" s="1"/>
  <c r="Q48" i="2"/>
  <c r="V48" i="2" s="1"/>
  <c r="P48" i="2"/>
  <c r="N48" i="2"/>
  <c r="S48" i="2" s="1"/>
  <c r="O48" i="2"/>
  <c r="T48" i="2" s="1"/>
  <c r="R149" i="2"/>
  <c r="W149" i="2" s="1"/>
  <c r="Q149" i="2"/>
  <c r="N149" i="2"/>
  <c r="S149" i="2" s="1"/>
  <c r="P149" i="2"/>
  <c r="U149" i="2" s="1"/>
  <c r="F274" i="24" s="1"/>
  <c r="O149" i="2"/>
  <c r="T149" i="2" s="1"/>
  <c r="Q214" i="2"/>
  <c r="R214" i="2"/>
  <c r="W214" i="2" s="1"/>
  <c r="P214" i="2"/>
  <c r="U214" i="2" s="1"/>
  <c r="N214" i="2"/>
  <c r="S214" i="2" s="1"/>
  <c r="O214" i="2"/>
  <c r="R232" i="2"/>
  <c r="W232" i="2" s="1"/>
  <c r="N232" i="2"/>
  <c r="S232" i="2" s="1"/>
  <c r="Q232" i="2"/>
  <c r="V232" i="2" s="1"/>
  <c r="O232" i="2"/>
  <c r="P232" i="2"/>
  <c r="U232" i="2" s="1"/>
  <c r="R171" i="2"/>
  <c r="W171" i="2" s="1"/>
  <c r="N171" i="2"/>
  <c r="S171" i="2" s="1"/>
  <c r="Q171" i="2"/>
  <c r="O171" i="2"/>
  <c r="T171" i="2" s="1"/>
  <c r="P171" i="2"/>
  <c r="U171" i="2" s="1"/>
  <c r="F2" i="24" s="1"/>
  <c r="F10" i="24" s="1"/>
  <c r="R36" i="2"/>
  <c r="W36" i="2" s="1"/>
  <c r="Q36" i="2"/>
  <c r="P36" i="2"/>
  <c r="U36" i="2" s="1"/>
  <c r="N36" i="2"/>
  <c r="S36" i="2" s="1"/>
  <c r="O36" i="2"/>
  <c r="T36" i="2" s="1"/>
  <c r="R135" i="2"/>
  <c r="N135" i="2"/>
  <c r="S135" i="2" s="1"/>
  <c r="Q135" i="2"/>
  <c r="V135" i="2" s="1"/>
  <c r="O135" i="2"/>
  <c r="T135" i="2" s="1"/>
  <c r="P135" i="2"/>
  <c r="Q242" i="2"/>
  <c r="V242" i="2" s="1"/>
  <c r="R242" i="2"/>
  <c r="W242" i="2" s="1"/>
  <c r="P242" i="2"/>
  <c r="U242" i="2" s="1"/>
  <c r="N242" i="2"/>
  <c r="O242" i="2"/>
  <c r="T242" i="2" s="1"/>
  <c r="R19" i="2"/>
  <c r="W19" i="2" s="1"/>
  <c r="Q19" i="2"/>
  <c r="V19" i="2" s="1"/>
  <c r="N19" i="2"/>
  <c r="P19" i="2"/>
  <c r="U19" i="2" s="1"/>
  <c r="O19" i="2"/>
  <c r="T19" i="2" s="1"/>
  <c r="R45" i="2"/>
  <c r="W45" i="2" s="1"/>
  <c r="Q45" i="2"/>
  <c r="P45" i="2"/>
  <c r="U45" i="2" s="1"/>
  <c r="N45" i="2"/>
  <c r="S45" i="2" s="1"/>
  <c r="O45" i="2"/>
  <c r="T45" i="2" s="1"/>
  <c r="R136" i="2"/>
  <c r="W136" i="2" s="1"/>
  <c r="Q136" i="2"/>
  <c r="V136" i="2" s="1"/>
  <c r="N136" i="2"/>
  <c r="S136" i="2" s="1"/>
  <c r="P136" i="2"/>
  <c r="U136" i="2" s="1"/>
  <c r="O136" i="2"/>
  <c r="R244" i="2"/>
  <c r="W244" i="2" s="1"/>
  <c r="N244" i="2"/>
  <c r="S244" i="2" s="1"/>
  <c r="Q244" i="2"/>
  <c r="V244" i="2" s="1"/>
  <c r="P244" i="2"/>
  <c r="O244" i="2"/>
  <c r="T244" i="2" s="1"/>
  <c r="R155" i="2"/>
  <c r="W155" i="2" s="1"/>
  <c r="N155" i="2"/>
  <c r="S155" i="2" s="1"/>
  <c r="Q155" i="2"/>
  <c r="O155" i="2"/>
  <c r="T155" i="2" s="1"/>
  <c r="P155" i="2"/>
  <c r="U155" i="2" s="1"/>
  <c r="R26" i="2"/>
  <c r="W26" i="2" s="1"/>
  <c r="P26" i="2"/>
  <c r="Q26" i="2"/>
  <c r="V26" i="2" s="1"/>
  <c r="N26" i="2"/>
  <c r="S26" i="2" s="1"/>
  <c r="O26" i="2"/>
  <c r="T26" i="2" s="1"/>
  <c r="R86" i="2"/>
  <c r="P86" i="2"/>
  <c r="U86" i="2" s="1"/>
  <c r="Q86" i="2"/>
  <c r="V86" i="2" s="1"/>
  <c r="N86" i="2"/>
  <c r="S86" i="2" s="1"/>
  <c r="O86" i="2"/>
  <c r="R216" i="2"/>
  <c r="W216" i="2" s="1"/>
  <c r="N216" i="2"/>
  <c r="S216" i="2" s="1"/>
  <c r="Q216" i="2"/>
  <c r="V216" i="2" s="1"/>
  <c r="O216" i="2"/>
  <c r="P216" i="2"/>
  <c r="U216" i="2" s="1"/>
  <c r="R67" i="2"/>
  <c r="W67" i="2" s="1"/>
  <c r="Q67" i="2"/>
  <c r="V67" i="2" s="1"/>
  <c r="N67" i="2"/>
  <c r="O67" i="2"/>
  <c r="T67" i="2" s="1"/>
  <c r="P67" i="2"/>
  <c r="U67" i="2" s="1"/>
  <c r="R173" i="2"/>
  <c r="W173" i="2" s="1"/>
  <c r="Q173" i="2"/>
  <c r="P173" i="2"/>
  <c r="U173" i="2" s="1"/>
  <c r="N173" i="2"/>
  <c r="S173" i="2" s="1"/>
  <c r="O173" i="2"/>
  <c r="T173" i="2" s="1"/>
  <c r="R68" i="2"/>
  <c r="W68" i="2" s="1"/>
  <c r="Q68" i="2"/>
  <c r="V68" i="2" s="1"/>
  <c r="P68" i="2"/>
  <c r="U68" i="2" s="1"/>
  <c r="N68" i="2"/>
  <c r="S68" i="2" s="1"/>
  <c r="O68" i="2"/>
  <c r="R231" i="2"/>
  <c r="W231" i="2" s="1"/>
  <c r="Q231" i="2"/>
  <c r="P231" i="2"/>
  <c r="U231" i="2" s="1"/>
  <c r="N231" i="2"/>
  <c r="O231" i="2"/>
  <c r="T231" i="2" s="1"/>
  <c r="R182" i="2"/>
  <c r="W182" i="2" s="1"/>
  <c r="P182" i="2"/>
  <c r="U182" i="2" s="1"/>
  <c r="Q182" i="2"/>
  <c r="N182" i="2"/>
  <c r="S182" i="2" s="1"/>
  <c r="O182" i="2"/>
  <c r="T182" i="2" s="1"/>
  <c r="Q259" i="2"/>
  <c r="V259" i="2" s="1"/>
  <c r="R259" i="2"/>
  <c r="P259" i="2"/>
  <c r="U259" i="2" s="1"/>
  <c r="N259" i="2"/>
  <c r="S259" i="2" s="1"/>
  <c r="O259" i="2"/>
  <c r="T259" i="2" s="1"/>
  <c r="R38" i="2"/>
  <c r="W38" i="2" s="1"/>
  <c r="P38" i="2"/>
  <c r="U38" i="2" s="1"/>
  <c r="Q38" i="2"/>
  <c r="V38" i="2" s="1"/>
  <c r="N38" i="2"/>
  <c r="S38" i="2" s="1"/>
  <c r="O38" i="2"/>
  <c r="R63" i="2"/>
  <c r="W63" i="2" s="1"/>
  <c r="Q63" i="2"/>
  <c r="V63" i="2" s="1"/>
  <c r="P63" i="2"/>
  <c r="U63" i="2" s="1"/>
  <c r="N63" i="2"/>
  <c r="O63" i="2"/>
  <c r="T63" i="2" s="1"/>
  <c r="R61" i="2"/>
  <c r="W61" i="2" s="1"/>
  <c r="Q61" i="2"/>
  <c r="V61" i="2" s="1"/>
  <c r="P61" i="2"/>
  <c r="N61" i="2"/>
  <c r="S61" i="2" s="1"/>
  <c r="O61" i="2"/>
  <c r="T61" i="2" s="1"/>
  <c r="R18" i="2"/>
  <c r="W18" i="2" s="1"/>
  <c r="P18" i="2"/>
  <c r="Q18" i="2"/>
  <c r="V18" i="2" s="1"/>
  <c r="N18" i="2"/>
  <c r="S18" i="2" s="1"/>
  <c r="O18" i="2"/>
  <c r="T18" i="2" s="1"/>
  <c r="E55" i="24" s="1"/>
  <c r="R85" i="2"/>
  <c r="W85" i="2" s="1"/>
  <c r="Q85" i="2"/>
  <c r="V85" i="2" s="1"/>
  <c r="N85" i="2"/>
  <c r="S85" i="2" s="1"/>
  <c r="P85" i="2"/>
  <c r="U85" i="2" s="1"/>
  <c r="O85" i="2"/>
  <c r="R170" i="2"/>
  <c r="W170" i="2" s="1"/>
  <c r="P170" i="2"/>
  <c r="U170" i="2" s="1"/>
  <c r="Q170" i="2"/>
  <c r="V170" i="2" s="1"/>
  <c r="N170" i="2"/>
  <c r="O170" i="2"/>
  <c r="T170" i="2" s="1"/>
  <c r="P5" i="2"/>
  <c r="U5" i="2" s="1"/>
  <c r="R5" i="2"/>
  <c r="W5" i="2" s="1"/>
  <c r="Q5" i="2"/>
  <c r="N5" i="2"/>
  <c r="S5" i="2" s="1"/>
  <c r="O5" i="2"/>
  <c r="T5" i="2" s="1"/>
  <c r="R15" i="2"/>
  <c r="W15" i="2" s="1"/>
  <c r="Q15" i="2"/>
  <c r="P15" i="2"/>
  <c r="U15" i="2" s="1"/>
  <c r="F54" i="24" s="1"/>
  <c r="N15" i="2"/>
  <c r="S15" i="2" s="1"/>
  <c r="O15" i="2"/>
  <c r="T15" i="2" s="1"/>
  <c r="E54" i="24" s="1"/>
  <c r="R28" i="2"/>
  <c r="W28" i="2" s="1"/>
  <c r="Q28" i="2"/>
  <c r="V28" i="2" s="1"/>
  <c r="P28" i="2"/>
  <c r="U28" i="2" s="1"/>
  <c r="N28" i="2"/>
  <c r="S28" i="2" s="1"/>
  <c r="O28" i="2"/>
  <c r="R198" i="2"/>
  <c r="W198" i="2" s="1"/>
  <c r="P198" i="2"/>
  <c r="U198" i="2" s="1"/>
  <c r="Q198" i="2"/>
  <c r="V198" i="2" s="1"/>
  <c r="N198" i="2"/>
  <c r="O198" i="2"/>
  <c r="T198" i="2" s="1"/>
  <c r="R60" i="2"/>
  <c r="W60" i="2" s="1"/>
  <c r="Q60" i="2"/>
  <c r="V60" i="2" s="1"/>
  <c r="P60" i="2"/>
  <c r="N60" i="2"/>
  <c r="S60" i="2" s="1"/>
  <c r="O60" i="2"/>
  <c r="T60" i="2" s="1"/>
  <c r="R77" i="2"/>
  <c r="W77" i="2" s="1"/>
  <c r="Q77" i="2"/>
  <c r="N77" i="2"/>
  <c r="S77" i="2" s="1"/>
  <c r="P77" i="2"/>
  <c r="U77" i="2" s="1"/>
  <c r="O77" i="2"/>
  <c r="T77" i="2" s="1"/>
  <c r="R220" i="2"/>
  <c r="N220" i="2"/>
  <c r="S220" i="2" s="1"/>
  <c r="Q220" i="2"/>
  <c r="V220" i="2" s="1"/>
  <c r="P220" i="2"/>
  <c r="U220" i="2" s="1"/>
  <c r="O220" i="2"/>
  <c r="R129" i="2"/>
  <c r="W129" i="2" s="1"/>
  <c r="Q129" i="2"/>
  <c r="V129" i="2" s="1"/>
  <c r="N129" i="2"/>
  <c r="S129" i="2" s="1"/>
  <c r="P129" i="2"/>
  <c r="O129" i="2"/>
  <c r="T129" i="2" s="1"/>
  <c r="R139" i="2"/>
  <c r="W139" i="2" s="1"/>
  <c r="N139" i="2"/>
  <c r="S139" i="2" s="1"/>
  <c r="Q139" i="2"/>
  <c r="O139" i="2"/>
  <c r="T139" i="2" s="1"/>
  <c r="P139" i="2"/>
  <c r="U139" i="2" s="1"/>
  <c r="R151" i="2"/>
  <c r="W151" i="2" s="1"/>
  <c r="N151" i="2"/>
  <c r="Q151" i="2"/>
  <c r="V151" i="2" s="1"/>
  <c r="O151" i="2"/>
  <c r="T151" i="2" s="1"/>
  <c r="P151" i="2"/>
  <c r="U151" i="2" s="1"/>
  <c r="R2" i="2"/>
  <c r="W2" i="2" s="1"/>
  <c r="Q2" i="2"/>
  <c r="V2" i="2" s="1"/>
  <c r="P2" i="2"/>
  <c r="U2" i="2" s="1"/>
  <c r="O2" i="2"/>
  <c r="T2" i="2" s="1"/>
  <c r="N2" i="2"/>
  <c r="R27" i="2"/>
  <c r="W27" i="2" s="1"/>
  <c r="Q27" i="2"/>
  <c r="V27" i="2" s="1"/>
  <c r="N27" i="2"/>
  <c r="S27" i="2" s="1"/>
  <c r="P27" i="2"/>
  <c r="O27" i="2"/>
  <c r="T27" i="2" s="1"/>
  <c r="E88" i="24" s="1"/>
  <c r="R192" i="2"/>
  <c r="W192" i="2" s="1"/>
  <c r="Q192" i="2"/>
  <c r="V192" i="2" s="1"/>
  <c r="P192" i="2"/>
  <c r="N192" i="2"/>
  <c r="S192" i="2" s="1"/>
  <c r="O192" i="2"/>
  <c r="T192" i="2" s="1"/>
  <c r="R46" i="2"/>
  <c r="W46" i="2" s="1"/>
  <c r="P46" i="2"/>
  <c r="Q46" i="2"/>
  <c r="V46" i="2" s="1"/>
  <c r="N46" i="2"/>
  <c r="S46" i="2" s="1"/>
  <c r="O46" i="2"/>
  <c r="T46" i="2" s="1"/>
  <c r="R82" i="2"/>
  <c r="W82" i="2" s="1"/>
  <c r="P82" i="2"/>
  <c r="U82" i="2" s="1"/>
  <c r="Q82" i="2"/>
  <c r="V82" i="2" s="1"/>
  <c r="N82" i="2"/>
  <c r="S82" i="2" s="1"/>
  <c r="O82" i="2"/>
  <c r="R108" i="2"/>
  <c r="W108" i="2" s="1"/>
  <c r="Q108" i="2"/>
  <c r="V108" i="2" s="1"/>
  <c r="N108" i="2"/>
  <c r="S108" i="2" s="1"/>
  <c r="P108" i="2"/>
  <c r="O108" i="2"/>
  <c r="T108" i="2" s="1"/>
  <c r="R133" i="2"/>
  <c r="W133" i="2" s="1"/>
  <c r="Q133" i="2"/>
  <c r="V133" i="2" s="1"/>
  <c r="N133" i="2"/>
  <c r="P133" i="2"/>
  <c r="U133" i="2" s="1"/>
  <c r="O133" i="2"/>
  <c r="T133" i="2" s="1"/>
  <c r="R142" i="2"/>
  <c r="W142" i="2" s="1"/>
  <c r="P142" i="2"/>
  <c r="Q142" i="2"/>
  <c r="V142" i="2" s="1"/>
  <c r="N142" i="2"/>
  <c r="S142" i="2" s="1"/>
  <c r="O142" i="2"/>
  <c r="T142" i="2" s="1"/>
  <c r="R152" i="2"/>
  <c r="W152" i="2" s="1"/>
  <c r="Q152" i="2"/>
  <c r="V152" i="2" s="1"/>
  <c r="N152" i="2"/>
  <c r="S152" i="2" s="1"/>
  <c r="P152" i="2"/>
  <c r="U152" i="2" s="1"/>
  <c r="O152" i="2"/>
  <c r="R65" i="2"/>
  <c r="W65" i="2" s="1"/>
  <c r="Q65" i="2"/>
  <c r="V65" i="2" s="1"/>
  <c r="P65" i="2"/>
  <c r="U65" i="2" s="1"/>
  <c r="N65" i="2"/>
  <c r="O65" i="2"/>
  <c r="T65" i="2" s="1"/>
  <c r="R87" i="2"/>
  <c r="W87" i="2" s="1"/>
  <c r="N87" i="2"/>
  <c r="S87" i="2" s="1"/>
  <c r="Q87" i="2"/>
  <c r="O87" i="2"/>
  <c r="T87" i="2" s="1"/>
  <c r="P87" i="2"/>
  <c r="U87" i="2" s="1"/>
  <c r="R104" i="2"/>
  <c r="W104" i="2" s="1"/>
  <c r="Q104" i="2"/>
  <c r="N104" i="2"/>
  <c r="S104" i="2" s="1"/>
  <c r="P104" i="2"/>
  <c r="U104" i="2" s="1"/>
  <c r="O104" i="2"/>
  <c r="T104" i="2" s="1"/>
  <c r="R116" i="2"/>
  <c r="W116" i="2" s="1"/>
  <c r="Q116" i="2"/>
  <c r="V116" i="2" s="1"/>
  <c r="P116" i="2"/>
  <c r="U116" i="2" s="1"/>
  <c r="N116" i="2"/>
  <c r="S116" i="2" s="1"/>
  <c r="O116" i="2"/>
  <c r="R106" i="2"/>
  <c r="W106" i="2" s="1"/>
  <c r="P106" i="2"/>
  <c r="U106" i="2" s="1"/>
  <c r="Q106" i="2"/>
  <c r="V106" i="2" s="1"/>
  <c r="N106" i="2"/>
  <c r="O106" i="2"/>
  <c r="T106" i="2" s="1"/>
  <c r="R105" i="2"/>
  <c r="W105" i="2" s="1"/>
  <c r="Q105" i="2"/>
  <c r="V105" i="2" s="1"/>
  <c r="P105" i="2"/>
  <c r="N105" i="2"/>
  <c r="S105" i="2" s="1"/>
  <c r="O105" i="2"/>
  <c r="T105" i="2" s="1"/>
  <c r="R109" i="2"/>
  <c r="W109" i="2" s="1"/>
  <c r="Q109" i="2"/>
  <c r="N109" i="2"/>
  <c r="S109" i="2" s="1"/>
  <c r="P109" i="2"/>
  <c r="U109" i="2" s="1"/>
  <c r="O109" i="2"/>
  <c r="T109" i="2" s="1"/>
  <c r="R72" i="2"/>
  <c r="W72" i="2" s="1"/>
  <c r="Q72" i="2"/>
  <c r="V72" i="2" s="1"/>
  <c r="N72" i="2"/>
  <c r="S72" i="2" s="1"/>
  <c r="P72" i="2"/>
  <c r="U72" i="2" s="1"/>
  <c r="O72" i="2"/>
  <c r="R95" i="2"/>
  <c r="W95" i="2" s="1"/>
  <c r="N95" i="2"/>
  <c r="S95" i="2" s="1"/>
  <c r="Q95" i="2"/>
  <c r="V95" i="2" s="1"/>
  <c r="P95" i="2"/>
  <c r="O95" i="2"/>
  <c r="T95" i="2" s="1"/>
  <c r="R89" i="2"/>
  <c r="W89" i="2" s="1"/>
  <c r="Q89" i="2"/>
  <c r="V89" i="2" s="1"/>
  <c r="P89" i="2"/>
  <c r="N89" i="2"/>
  <c r="S89" i="2" s="1"/>
  <c r="O89" i="2"/>
  <c r="T89" i="2" s="1"/>
  <c r="R91" i="2"/>
  <c r="W91" i="2" s="1"/>
  <c r="N91" i="2"/>
  <c r="Q91" i="2"/>
  <c r="V91" i="2" s="1"/>
  <c r="O91" i="2"/>
  <c r="T91" i="2" s="1"/>
  <c r="P91" i="2"/>
  <c r="U91" i="2" s="1"/>
  <c r="R187" i="2"/>
  <c r="W187" i="2" s="1"/>
  <c r="N187" i="2"/>
  <c r="S187" i="2" s="1"/>
  <c r="Q187" i="2"/>
  <c r="V187" i="2" s="1"/>
  <c r="P187" i="2"/>
  <c r="U187" i="2" s="1"/>
  <c r="O187" i="2"/>
  <c r="R80" i="2"/>
  <c r="W80" i="2" s="1"/>
  <c r="Q80" i="2"/>
  <c r="V80" i="2" s="1"/>
  <c r="N80" i="2"/>
  <c r="S80" i="2" s="1"/>
  <c r="P80" i="2"/>
  <c r="O80" i="2"/>
  <c r="T80" i="2" s="1"/>
  <c r="R188" i="2"/>
  <c r="W188" i="2" s="1"/>
  <c r="Q188" i="2"/>
  <c r="V188" i="2" s="1"/>
  <c r="N188" i="2"/>
  <c r="P188" i="2"/>
  <c r="U188" i="2" s="1"/>
  <c r="O188" i="2"/>
  <c r="T188" i="2" s="1"/>
  <c r="R92" i="2"/>
  <c r="W92" i="2" s="1"/>
  <c r="Q92" i="2"/>
  <c r="N92" i="2"/>
  <c r="S92" i="2" s="1"/>
  <c r="P92" i="2"/>
  <c r="U92" i="2" s="1"/>
  <c r="O92" i="2"/>
  <c r="T92" i="2" s="1"/>
  <c r="R150" i="2"/>
  <c r="W150" i="2" s="1"/>
  <c r="P150" i="2"/>
  <c r="U150" i="2" s="1"/>
  <c r="Q150" i="2"/>
  <c r="V150" i="2" s="1"/>
  <c r="N150" i="2"/>
  <c r="S150" i="2" s="1"/>
  <c r="O150" i="2"/>
  <c r="R174" i="2"/>
  <c r="W174" i="2" s="1"/>
  <c r="P174" i="2"/>
  <c r="U174" i="2" s="1"/>
  <c r="Q174" i="2"/>
  <c r="V174" i="2" s="1"/>
  <c r="N174" i="2"/>
  <c r="O174" i="2"/>
  <c r="T174" i="2" s="1"/>
  <c r="R207" i="2"/>
  <c r="W207" i="2" s="1"/>
  <c r="Q207" i="2"/>
  <c r="V207" i="2" s="1"/>
  <c r="P207" i="2"/>
  <c r="N207" i="2"/>
  <c r="S207" i="2" s="1"/>
  <c r="O207" i="2"/>
  <c r="T207" i="2" s="1"/>
  <c r="R228" i="2"/>
  <c r="W228" i="2" s="1"/>
  <c r="N228" i="2"/>
  <c r="Q228" i="2"/>
  <c r="V228" i="2" s="1"/>
  <c r="P228" i="2"/>
  <c r="U228" i="2" s="1"/>
  <c r="O228" i="2"/>
  <c r="T228" i="2" s="1"/>
  <c r="Q246" i="2"/>
  <c r="R246" i="2"/>
  <c r="W246" i="2" s="1"/>
  <c r="P246" i="2"/>
  <c r="U246" i="2" s="1"/>
  <c r="N246" i="2"/>
  <c r="S246" i="2" s="1"/>
  <c r="O246" i="2"/>
  <c r="R186" i="2"/>
  <c r="W186" i="2" s="1"/>
  <c r="P186" i="2"/>
  <c r="U186" i="2" s="1"/>
  <c r="F81" i="24" s="1"/>
  <c r="Q186" i="2"/>
  <c r="V186" i="2" s="1"/>
  <c r="G81" i="24" s="1"/>
  <c r="N186" i="2"/>
  <c r="O186" i="2"/>
  <c r="T186" i="2" s="1"/>
  <c r="E81" i="24" s="1"/>
  <c r="R217" i="2"/>
  <c r="W217" i="2" s="1"/>
  <c r="Q217" i="2"/>
  <c r="V217" i="2" s="1"/>
  <c r="P217" i="2"/>
  <c r="N217" i="2"/>
  <c r="S217" i="2" s="1"/>
  <c r="O217" i="2"/>
  <c r="T217" i="2" s="1"/>
  <c r="R229" i="2"/>
  <c r="W229" i="2" s="1"/>
  <c r="Q229" i="2"/>
  <c r="N229" i="2"/>
  <c r="S229" i="2" s="1"/>
  <c r="P229" i="2"/>
  <c r="U229" i="2" s="1"/>
  <c r="O229" i="2"/>
  <c r="T229" i="2" s="1"/>
  <c r="R127" i="2"/>
  <c r="W127" i="2" s="1"/>
  <c r="N127" i="2"/>
  <c r="S127" i="2" s="1"/>
  <c r="Q127" i="2"/>
  <c r="V127" i="2" s="1"/>
  <c r="P127" i="2"/>
  <c r="U127" i="2" s="1"/>
  <c r="O127" i="2"/>
  <c r="R162" i="2"/>
  <c r="W162" i="2" s="1"/>
  <c r="P162" i="2"/>
  <c r="U162" i="2" s="1"/>
  <c r="Q162" i="2"/>
  <c r="V162" i="2" s="1"/>
  <c r="N162" i="2"/>
  <c r="O162" i="2"/>
  <c r="T162" i="2" s="1"/>
  <c r="R88" i="2"/>
  <c r="W88" i="2" s="1"/>
  <c r="Q88" i="2"/>
  <c r="V88" i="2" s="1"/>
  <c r="N88" i="2"/>
  <c r="P88" i="2"/>
  <c r="U88" i="2" s="1"/>
  <c r="O88" i="2"/>
  <c r="T88" i="2" s="1"/>
  <c r="R111" i="2"/>
  <c r="W111" i="2" s="1"/>
  <c r="N111" i="2"/>
  <c r="Q111" i="2"/>
  <c r="V111" i="2" s="1"/>
  <c r="P111" i="2"/>
  <c r="U111" i="2" s="1"/>
  <c r="O111" i="2"/>
  <c r="T111" i="2" s="1"/>
  <c r="R243" i="2"/>
  <c r="W243" i="2" s="1"/>
  <c r="Q243" i="2"/>
  <c r="V243" i="2" s="1"/>
  <c r="P243" i="2"/>
  <c r="U243" i="2" s="1"/>
  <c r="N243" i="2"/>
  <c r="S243" i="2" s="1"/>
  <c r="O243" i="2"/>
  <c r="R64" i="2"/>
  <c r="W64" i="2" s="1"/>
  <c r="Q64" i="2"/>
  <c r="V64" i="2" s="1"/>
  <c r="P64" i="2"/>
  <c r="U64" i="2" s="1"/>
  <c r="N64" i="2"/>
  <c r="O64" i="2"/>
  <c r="T64" i="2" s="1"/>
  <c r="R209" i="2"/>
  <c r="W209" i="2" s="1"/>
  <c r="Q209" i="2"/>
  <c r="V209" i="2" s="1"/>
  <c r="P209" i="2"/>
  <c r="U209" i="2" s="1"/>
  <c r="N209" i="2"/>
  <c r="S209" i="2" s="1"/>
  <c r="O209" i="2"/>
  <c r="T209" i="2" s="1"/>
  <c r="R143" i="2"/>
  <c r="W143" i="2" s="1"/>
  <c r="N143" i="2"/>
  <c r="Q143" i="2"/>
  <c r="V143" i="2" s="1"/>
  <c r="P143" i="2"/>
  <c r="U143" i="2" s="1"/>
  <c r="O143" i="2"/>
  <c r="T143" i="2" s="1"/>
  <c r="R239" i="2"/>
  <c r="W239" i="2" s="1"/>
  <c r="Q239" i="2"/>
  <c r="V239" i="2" s="1"/>
  <c r="P239" i="2"/>
  <c r="U239" i="2" s="1"/>
  <c r="N239" i="2"/>
  <c r="S239" i="2" s="1"/>
  <c r="O239" i="2"/>
  <c r="R233" i="2"/>
  <c r="W233" i="2" s="1"/>
  <c r="Q233" i="2"/>
  <c r="V233" i="2" s="1"/>
  <c r="P233" i="2"/>
  <c r="U233" i="2" s="1"/>
  <c r="N233" i="2"/>
  <c r="O233" i="2"/>
  <c r="T233" i="2" s="1"/>
  <c r="R11" i="2"/>
  <c r="W11" i="2" s="1"/>
  <c r="Q11" i="2"/>
  <c r="V11" i="2" s="1"/>
  <c r="N11" i="2"/>
  <c r="P11" i="2"/>
  <c r="U11" i="2" s="1"/>
  <c r="O11" i="2"/>
  <c r="T11" i="2" s="1"/>
  <c r="R8" i="2"/>
  <c r="W8" i="2" s="1"/>
  <c r="Q8" i="2"/>
  <c r="P8" i="2"/>
  <c r="U8" i="2" s="1"/>
  <c r="N8" i="2"/>
  <c r="S8" i="2" s="1"/>
  <c r="O8" i="2"/>
  <c r="T8" i="2" s="1"/>
  <c r="R37" i="2"/>
  <c r="W37" i="2" s="1"/>
  <c r="Q37" i="2"/>
  <c r="V37" i="2" s="1"/>
  <c r="P37" i="2"/>
  <c r="U37" i="2" s="1"/>
  <c r="N37" i="2"/>
  <c r="S37" i="2" s="1"/>
  <c r="O37" i="2"/>
  <c r="R59" i="2"/>
  <c r="W59" i="2" s="1"/>
  <c r="Q59" i="2"/>
  <c r="V59" i="2" s="1"/>
  <c r="N59" i="2"/>
  <c r="S59" i="2" s="1"/>
  <c r="O59" i="2"/>
  <c r="P59" i="2"/>
  <c r="U59" i="2" s="1"/>
  <c r="O200" i="2"/>
  <c r="R200" i="2"/>
  <c r="W200" i="2" s="1"/>
  <c r="P200" i="2"/>
  <c r="Q200" i="2"/>
  <c r="V200" i="2" s="1"/>
  <c r="N200" i="2"/>
  <c r="S200" i="2" s="1"/>
  <c r="N6" i="2"/>
  <c r="S6" i="2" s="1"/>
  <c r="P6" i="2"/>
  <c r="Q6" i="2"/>
  <c r="V6" i="2" s="1"/>
  <c r="O6" i="2"/>
  <c r="T6" i="2" s="1"/>
  <c r="R6" i="2"/>
  <c r="W6" i="2" s="1"/>
  <c r="Q3" i="2"/>
  <c r="N3" i="2"/>
  <c r="S3" i="2" s="1"/>
  <c r="O3" i="2"/>
  <c r="T3" i="2" s="1"/>
  <c r="R3" i="2"/>
  <c r="W3" i="2" s="1"/>
  <c r="P3" i="2"/>
  <c r="D19" i="24"/>
  <c r="D131" i="24"/>
  <c r="D134" i="24" s="1"/>
  <c r="H134" i="24" s="1"/>
  <c r="I134" i="24" s="1"/>
  <c r="D145" i="24"/>
  <c r="H145" i="24" s="1"/>
  <c r="I145" i="24" s="1"/>
  <c r="D282" i="24"/>
  <c r="H282" i="24" s="1"/>
  <c r="I282" i="24" s="1"/>
  <c r="D144" i="24"/>
  <c r="H144" i="24" s="1"/>
  <c r="I144" i="24" s="1"/>
  <c r="W205" i="2"/>
  <c r="D40" i="24"/>
  <c r="H40" i="24" s="1"/>
  <c r="I40" i="24" s="1"/>
  <c r="D26" i="24"/>
  <c r="H26" i="24" s="1"/>
  <c r="I26" i="24" s="1"/>
  <c r="D316" i="24"/>
  <c r="D312" i="24" s="1"/>
  <c r="H312" i="24" s="1"/>
  <c r="I312" i="24" s="1"/>
  <c r="D325" i="24"/>
  <c r="H325" i="24" s="1"/>
  <c r="I325" i="24" s="1"/>
  <c r="W183" i="2"/>
  <c r="W220" i="2"/>
  <c r="D98" i="24"/>
  <c r="D101" i="24" s="1"/>
  <c r="H101" i="24" s="1"/>
  <c r="I101" i="24" s="1"/>
  <c r="D81" i="24"/>
  <c r="D79" i="24" s="1"/>
  <c r="H79" i="24" s="1"/>
  <c r="I79" i="24" s="1"/>
  <c r="D297" i="24"/>
  <c r="D298" i="24" s="1"/>
  <c r="H298" i="24" s="1"/>
  <c r="I298" i="24" s="1"/>
  <c r="D346" i="24"/>
  <c r="D349" i="24" s="1"/>
  <c r="H349" i="24" s="1"/>
  <c r="I349" i="24" s="1"/>
  <c r="W208" i="2"/>
  <c r="D321" i="24"/>
  <c r="D326" i="24" s="1"/>
  <c r="H326" i="24" s="1"/>
  <c r="I326" i="24" s="1"/>
  <c r="D239" i="24"/>
  <c r="H239" i="24" s="1"/>
  <c r="I239" i="24" s="1"/>
  <c r="D176" i="24"/>
  <c r="H176" i="24" s="1"/>
  <c r="I176" i="24" s="1"/>
  <c r="D360" i="24"/>
  <c r="H360" i="24" s="1"/>
  <c r="I360" i="24" s="1"/>
  <c r="D271" i="24"/>
  <c r="H271" i="24" s="1"/>
  <c r="I271" i="24" s="1"/>
  <c r="D179" i="24"/>
  <c r="H179" i="24" s="1"/>
  <c r="I179" i="24" s="1"/>
  <c r="H112" i="24"/>
  <c r="I112" i="24" s="1"/>
  <c r="D42" i="24"/>
  <c r="H42" i="24" s="1"/>
  <c r="I42" i="24" s="1"/>
  <c r="D118" i="24"/>
  <c r="H118" i="24" s="1"/>
  <c r="I118" i="24" s="1"/>
  <c r="D264" i="24"/>
  <c r="H264" i="24" s="1"/>
  <c r="I264" i="24" s="1"/>
  <c r="D279" i="24"/>
  <c r="H279" i="24" s="1"/>
  <c r="I279" i="24" s="1"/>
  <c r="W147" i="2"/>
  <c r="D323" i="24"/>
  <c r="H323" i="24" s="1"/>
  <c r="I323" i="24" s="1"/>
  <c r="W145" i="2"/>
  <c r="D65" i="24"/>
  <c r="H65" i="24" s="1"/>
  <c r="I65" i="24" s="1"/>
  <c r="D100" i="24"/>
  <c r="H100" i="24" s="1"/>
  <c r="I100" i="24" s="1"/>
  <c r="D291" i="24"/>
  <c r="H291" i="24" s="1"/>
  <c r="I291" i="24" s="1"/>
  <c r="W135" i="2"/>
  <c r="W86" i="2"/>
  <c r="D233" i="24"/>
  <c r="H233" i="24" s="1"/>
  <c r="I233" i="24" s="1"/>
  <c r="S63" i="2"/>
  <c r="D269" i="24"/>
  <c r="H269" i="24" s="1"/>
  <c r="I269" i="24" s="1"/>
  <c r="D293" i="24"/>
  <c r="H293" i="24" s="1"/>
  <c r="I293" i="24" s="1"/>
  <c r="D275" i="24"/>
  <c r="H275" i="24" s="1"/>
  <c r="I275" i="24" s="1"/>
  <c r="D200" i="24"/>
  <c r="H200" i="24" s="1"/>
  <c r="I200" i="24" s="1"/>
  <c r="D202" i="24"/>
  <c r="H202" i="24" s="1"/>
  <c r="I202" i="24" s="1"/>
  <c r="D27" i="24"/>
  <c r="H27" i="24" s="1"/>
  <c r="I27" i="24" s="1"/>
  <c r="D217" i="24"/>
  <c r="H217" i="24" s="1"/>
  <c r="I217" i="24" s="1"/>
  <c r="D54" i="24"/>
  <c r="H54" i="24" s="1"/>
  <c r="I54" i="24" s="1"/>
  <c r="D270" i="24"/>
  <c r="H270" i="24" s="1"/>
  <c r="I270" i="24" s="1"/>
  <c r="D166" i="24"/>
  <c r="H166" i="24" s="1"/>
  <c r="I166" i="24" s="1"/>
  <c r="D66" i="24"/>
  <c r="H66" i="24" s="1"/>
  <c r="I66" i="24" s="1"/>
  <c r="W110" i="2"/>
  <c r="D28" i="24"/>
  <c r="H28" i="24" s="1"/>
  <c r="I28" i="24" s="1"/>
  <c r="D143" i="24"/>
  <c r="H143" i="24" s="1"/>
  <c r="I143" i="24" s="1"/>
  <c r="M157" i="2"/>
  <c r="L156" i="2"/>
  <c r="M156" i="2" s="1"/>
  <c r="L154" i="2"/>
  <c r="M154" i="2" s="1"/>
  <c r="D353" i="24"/>
  <c r="H353" i="24" s="1"/>
  <c r="I353" i="24" s="1"/>
  <c r="D189" i="24"/>
  <c r="H189" i="24" s="1"/>
  <c r="I189" i="24" s="1"/>
  <c r="D41" i="24"/>
  <c r="H41" i="24" s="1"/>
  <c r="I41" i="24" s="1"/>
  <c r="E198" i="24" a="1"/>
  <c r="E198" i="24" s="1"/>
  <c r="D201" i="24"/>
  <c r="H201" i="24" s="1"/>
  <c r="I201" i="24" s="1"/>
  <c r="D199" i="24"/>
  <c r="H199" i="24" s="1"/>
  <c r="I199" i="24" s="1"/>
  <c r="D292" i="24"/>
  <c r="H292" i="24" s="1"/>
  <c r="I292" i="24" s="1"/>
  <c r="D362" i="24"/>
  <c r="D211" i="24"/>
  <c r="D253" i="24"/>
  <c r="H253" i="24" s="1"/>
  <c r="I253" i="24" s="1"/>
  <c r="D250" i="24"/>
  <c r="H250" i="24" s="1"/>
  <c r="I250" i="24" s="1"/>
  <c r="D318" i="24"/>
  <c r="H318" i="24" s="1"/>
  <c r="I318" i="24" s="1"/>
  <c r="D278" i="24"/>
  <c r="H278" i="24" s="1"/>
  <c r="I278" i="24" s="1"/>
  <c r="D273" i="24"/>
  <c r="H273" i="24" s="1"/>
  <c r="I273" i="24" s="1"/>
  <c r="D268" i="24"/>
  <c r="H268" i="24" s="1"/>
  <c r="I268" i="24" s="1"/>
  <c r="D263" i="24"/>
  <c r="H263" i="24" s="1"/>
  <c r="I263" i="24" s="1"/>
  <c r="D337" i="24"/>
  <c r="D317" i="24"/>
  <c r="H317" i="24" s="1"/>
  <c r="I317" i="24" s="1"/>
  <c r="D315" i="24"/>
  <c r="H315" i="24" s="1"/>
  <c r="I315" i="24" s="1"/>
  <c r="D248" i="24"/>
  <c r="D190" i="24"/>
  <c r="D191" i="24" s="1"/>
  <c r="D313" i="24"/>
  <c r="H313" i="24" s="1"/>
  <c r="I313" i="24" s="1"/>
  <c r="F32" i="6"/>
  <c r="D227" i="24" s="1"/>
  <c r="D226" i="24" s="1"/>
  <c r="H226" i="24" s="1"/>
  <c r="I226" i="24" s="1"/>
  <c r="D218" i="24"/>
  <c r="D266" i="24"/>
  <c r="H266" i="24" s="1"/>
  <c r="I266" i="24" s="1"/>
  <c r="D265" i="24"/>
  <c r="H265" i="24" s="1"/>
  <c r="I265" i="24" s="1"/>
  <c r="D295" i="24"/>
  <c r="H295" i="24" s="1"/>
  <c r="I295" i="24" s="1"/>
  <c r="D294" i="24"/>
  <c r="H294" i="24" s="1"/>
  <c r="I294" i="24" s="1"/>
  <c r="D276" i="24"/>
  <c r="H276" i="24" s="1"/>
  <c r="I276" i="24" s="1"/>
  <c r="D194" i="24"/>
  <c r="H194" i="24" s="1"/>
  <c r="I194" i="24" s="1"/>
  <c r="D300" i="24"/>
  <c r="H300" i="24" s="1"/>
  <c r="I300" i="24" s="1"/>
  <c r="D310" i="24"/>
  <c r="H310" i="24" s="1"/>
  <c r="I310" i="24" s="1"/>
  <c r="D277" i="24"/>
  <c r="H277" i="24" s="1"/>
  <c r="I277" i="24" s="1"/>
  <c r="D314" i="24"/>
  <c r="H314" i="24" s="1"/>
  <c r="I314" i="24" s="1"/>
  <c r="D238" i="24"/>
  <c r="H238" i="24" s="1"/>
  <c r="I238" i="24" s="1"/>
  <c r="D244" i="24"/>
  <c r="H244" i="24" s="1"/>
  <c r="I244" i="24" s="1"/>
  <c r="D243" i="24"/>
  <c r="H243" i="24" s="1"/>
  <c r="I243" i="24" s="1"/>
  <c r="D241" i="24"/>
  <c r="H241" i="24" s="1"/>
  <c r="I241" i="24" s="1"/>
  <c r="D246" i="24"/>
  <c r="H246" i="24" s="1"/>
  <c r="I246" i="24" s="1"/>
  <c r="D245" i="24"/>
  <c r="H245" i="24" s="1"/>
  <c r="I245" i="24" s="1"/>
  <c r="D254" i="24"/>
  <c r="H254" i="24" s="1"/>
  <c r="I254" i="24" s="1"/>
  <c r="D251" i="24"/>
  <c r="H251" i="24" s="1"/>
  <c r="I251" i="24" s="1"/>
  <c r="D196" i="24"/>
  <c r="H196" i="24" s="1"/>
  <c r="I196" i="24" s="1"/>
  <c r="D195" i="24"/>
  <c r="H195" i="24" s="1"/>
  <c r="I195" i="24" s="1"/>
  <c r="D193" i="24"/>
  <c r="H193" i="24" s="1"/>
  <c r="I193" i="24" s="1"/>
  <c r="D280" i="24"/>
  <c r="H280" i="24" s="1"/>
  <c r="I280" i="24" s="1"/>
  <c r="D274" i="24"/>
  <c r="H274" i="24" s="1"/>
  <c r="I274" i="24" s="1"/>
  <c r="D331" i="24"/>
  <c r="D206" i="24"/>
  <c r="H206" i="24" s="1"/>
  <c r="I206" i="24" s="1"/>
  <c r="D285" i="24"/>
  <c r="D230" i="24"/>
  <c r="H230" i="24" s="1"/>
  <c r="I230" i="24" s="1"/>
  <c r="D309" i="24"/>
  <c r="H309" i="24" s="1"/>
  <c r="I309" i="24" s="1"/>
  <c r="D307" i="24"/>
  <c r="H307" i="24" s="1"/>
  <c r="I307" i="24" s="1"/>
  <c r="D205" i="24"/>
  <c r="H205" i="24" s="1"/>
  <c r="I205" i="24" s="1"/>
  <c r="D352" i="24"/>
  <c r="H352" i="24" s="1"/>
  <c r="I352" i="24" s="1"/>
  <c r="D247" i="24"/>
  <c r="H247" i="24" s="1"/>
  <c r="I247" i="24" s="1"/>
  <c r="D324" i="24"/>
  <c r="H324" i="24" s="1"/>
  <c r="I324" i="24" s="1"/>
  <c r="D322" i="24"/>
  <c r="H322" i="24" s="1"/>
  <c r="I322" i="24" s="1"/>
  <c r="D242" i="24"/>
  <c r="H242" i="24" s="1"/>
  <c r="I242" i="24" s="1"/>
  <c r="D232" i="24"/>
  <c r="H232" i="24" s="1"/>
  <c r="I232" i="24" s="1"/>
  <c r="D231" i="24"/>
  <c r="H231" i="24" s="1"/>
  <c r="I231" i="24" s="1"/>
  <c r="D174" i="24"/>
  <c r="H174" i="24" s="1"/>
  <c r="I174" i="24" s="1"/>
  <c r="D203" i="24"/>
  <c r="H203" i="24" s="1"/>
  <c r="I203" i="24" s="1"/>
  <c r="D204" i="24"/>
  <c r="H204" i="24" s="1"/>
  <c r="I204" i="24" s="1"/>
  <c r="D283" i="24"/>
  <c r="H283" i="24" s="1"/>
  <c r="I283" i="24" s="1"/>
  <c r="D178" i="24"/>
  <c r="D175" i="24"/>
  <c r="H175" i="24" s="1"/>
  <c r="I175" i="24" s="1"/>
  <c r="D289" i="24"/>
  <c r="H289" i="24" s="1"/>
  <c r="I289" i="24" s="1"/>
  <c r="D237" i="24"/>
  <c r="H237" i="24" s="1"/>
  <c r="I237" i="24" s="1"/>
  <c r="D236" i="24"/>
  <c r="H236" i="24" s="1"/>
  <c r="I236" i="24" s="1"/>
  <c r="D208" i="24"/>
  <c r="H208" i="24" s="1"/>
  <c r="I208" i="24" s="1"/>
  <c r="D235" i="24"/>
  <c r="H235" i="24" s="1"/>
  <c r="I235" i="24" s="1"/>
  <c r="D213" i="24"/>
  <c r="H213" i="24" s="1"/>
  <c r="I213" i="24" s="1"/>
  <c r="D207" i="24"/>
  <c r="D272" i="24"/>
  <c r="H272" i="24" s="1"/>
  <c r="I272" i="24" s="1"/>
  <c r="D354" i="24"/>
  <c r="D301" i="24"/>
  <c r="H301" i="24" s="1"/>
  <c r="I301" i="24" s="1"/>
  <c r="D303" i="24"/>
  <c r="H303" i="24" s="1"/>
  <c r="I303" i="24" s="1"/>
  <c r="D281" i="24"/>
  <c r="D267" i="24"/>
  <c r="H267" i="24" s="1"/>
  <c r="I267" i="24" s="1"/>
  <c r="D262" i="24"/>
  <c r="H262" i="24" s="1"/>
  <c r="I262" i="24" s="1"/>
  <c r="D363" i="24"/>
  <c r="H363" i="24" s="1"/>
  <c r="I363" i="24" s="1"/>
  <c r="D308" i="24"/>
  <c r="H308" i="24" s="1"/>
  <c r="I308" i="24" s="1"/>
  <c r="D357" i="24"/>
  <c r="H357" i="24" s="1"/>
  <c r="I357" i="24" s="1"/>
  <c r="D356" i="24"/>
  <c r="H356" i="24" s="1"/>
  <c r="I356" i="24" s="1"/>
  <c r="F29" i="6"/>
  <c r="D150" i="24" s="1"/>
  <c r="H150" i="24" s="1"/>
  <c r="I150" i="24" s="1"/>
  <c r="D168" i="24"/>
  <c r="H168" i="24" s="1"/>
  <c r="I168" i="24" s="1"/>
  <c r="F27" i="6"/>
  <c r="D161" i="24" s="1"/>
  <c r="D159" i="24"/>
  <c r="D160" i="24" s="1"/>
  <c r="D171" i="24"/>
  <c r="H171" i="24" s="1"/>
  <c r="I171" i="24" s="1"/>
  <c r="E167" i="24" a="1"/>
  <c r="E167" i="24" s="1"/>
  <c r="D165" i="24"/>
  <c r="H165" i="24" s="1"/>
  <c r="I165" i="24" s="1"/>
  <c r="D172" i="24"/>
  <c r="H172" i="24" s="1"/>
  <c r="I172" i="24" s="1"/>
  <c r="D153" i="24"/>
  <c r="H153" i="24" s="1"/>
  <c r="I153" i="24" s="1"/>
  <c r="D157" i="24"/>
  <c r="D141" i="24"/>
  <c r="D147" i="24"/>
  <c r="H147" i="24" s="1"/>
  <c r="I147" i="24" s="1"/>
  <c r="D83" i="24"/>
  <c r="H83" i="24" s="1"/>
  <c r="I83" i="24" s="1"/>
  <c r="D89" i="24"/>
  <c r="H89" i="24" s="1"/>
  <c r="I89" i="24" s="1"/>
  <c r="D80" i="24"/>
  <c r="H80" i="24" s="1"/>
  <c r="I80" i="24" s="1"/>
  <c r="D74" i="24"/>
  <c r="H74" i="24" s="1"/>
  <c r="I74" i="24" s="1"/>
  <c r="D84" i="24"/>
  <c r="H84" i="24" s="1"/>
  <c r="I84" i="24" s="1"/>
  <c r="D126" i="24"/>
  <c r="H126" i="24" s="1"/>
  <c r="I126" i="24" s="1"/>
  <c r="D125" i="24"/>
  <c r="H125" i="24" s="1"/>
  <c r="I125" i="24" s="1"/>
  <c r="F36" i="6"/>
  <c r="D17" i="24" s="1"/>
  <c r="H17" i="24" s="1"/>
  <c r="I17" i="24" s="1"/>
  <c r="D113" i="24"/>
  <c r="H113" i="24" s="1"/>
  <c r="I113" i="24" s="1"/>
  <c r="E37" i="24"/>
  <c r="F11" i="6"/>
  <c r="D63" i="24"/>
  <c r="D75" i="24"/>
  <c r="D88" i="24"/>
  <c r="H88" i="24" s="1"/>
  <c r="I88" i="24" s="1"/>
  <c r="H99" i="24"/>
  <c r="I99" i="24" s="1"/>
  <c r="D4" i="24"/>
  <c r="H4" i="24" s="1"/>
  <c r="I4" i="24" s="1"/>
  <c r="D124" i="24"/>
  <c r="H124" i="24" s="1"/>
  <c r="I124" i="24" s="1"/>
  <c r="D123" i="24"/>
  <c r="H123" i="24" s="1"/>
  <c r="I123" i="24" s="1"/>
  <c r="D2" i="24"/>
  <c r="D121" i="24"/>
  <c r="H121" i="24" s="1"/>
  <c r="I121" i="24" s="1"/>
  <c r="D122" i="24"/>
  <c r="H122" i="24" s="1"/>
  <c r="I122" i="24" s="1"/>
  <c r="D119" i="24"/>
  <c r="H119" i="24" s="1"/>
  <c r="I119" i="24" s="1"/>
  <c r="D56" i="24"/>
  <c r="H56" i="24" s="1"/>
  <c r="I56" i="24" s="1"/>
  <c r="D120" i="24"/>
  <c r="H120" i="24" s="1"/>
  <c r="I120" i="24" s="1"/>
  <c r="D6" i="24"/>
  <c r="H6" i="24" s="1"/>
  <c r="I6" i="24" s="1"/>
  <c r="D9" i="24"/>
  <c r="H9" i="24" s="1"/>
  <c r="I9" i="24" s="1"/>
  <c r="D136" i="24"/>
  <c r="H136" i="24" s="1"/>
  <c r="I136" i="24" s="1"/>
  <c r="D137" i="24"/>
  <c r="H137" i="24" s="1"/>
  <c r="I137" i="24" s="1"/>
  <c r="F37" i="24"/>
  <c r="U44" i="2"/>
  <c r="D117" i="24"/>
  <c r="H117" i="24" s="1"/>
  <c r="I117" i="24" s="1"/>
  <c r="H132" i="24"/>
  <c r="I132" i="24" s="1"/>
  <c r="D29" i="24"/>
  <c r="D82" i="24"/>
  <c r="H82" i="24" s="1"/>
  <c r="I82" i="24" s="1"/>
  <c r="D3" i="24"/>
  <c r="H3" i="24" s="1"/>
  <c r="I3" i="24" s="1"/>
  <c r="F22" i="6"/>
  <c r="D148" i="24" s="1"/>
  <c r="D108" i="24"/>
  <c r="D52" i="24"/>
  <c r="D55" i="24"/>
  <c r="H55" i="24" s="1"/>
  <c r="I55" i="24" s="1"/>
  <c r="D35" i="24"/>
  <c r="D57" i="24"/>
  <c r="H57" i="24" s="1"/>
  <c r="I57" i="24" s="1"/>
  <c r="D58" i="24"/>
  <c r="H58" i="24" s="1"/>
  <c r="I58" i="24" s="1"/>
  <c r="D135" i="24"/>
  <c r="H135" i="24" s="1"/>
  <c r="I135" i="24" s="1"/>
  <c r="D128" i="24"/>
  <c r="D127" i="24"/>
  <c r="H127" i="24" s="1"/>
  <c r="I127" i="24" s="1"/>
  <c r="D7" i="24"/>
  <c r="D85" i="24"/>
  <c r="G37" i="24"/>
  <c r="D23" i="24"/>
  <c r="T177" i="2"/>
  <c r="E34" i="24" s="1"/>
  <c r="D34" i="24"/>
  <c r="H34" i="24" s="1"/>
  <c r="I34" i="24" s="1"/>
  <c r="F33" i="6"/>
  <c r="D334" i="24" s="1"/>
  <c r="H334" i="24" s="1"/>
  <c r="I334" i="24" s="1"/>
  <c r="F34" i="6"/>
  <c r="D328" i="24" s="1"/>
  <c r="F37" i="6"/>
  <c r="D329" i="24" s="1"/>
  <c r="V74" i="2"/>
  <c r="T37" i="2"/>
  <c r="V8" i="2"/>
  <c r="S9" i="2"/>
  <c r="T75" i="2"/>
  <c r="V258" i="2"/>
  <c r="S11" i="2"/>
  <c r="T35" i="2"/>
  <c r="S261" i="2"/>
  <c r="T25" i="2"/>
  <c r="T38" i="2"/>
  <c r="U247" i="2"/>
  <c r="V182" i="2"/>
  <c r="S233" i="2"/>
  <c r="F43" i="6"/>
  <c r="F16" i="6"/>
  <c r="D96" i="24" s="1"/>
  <c r="F24" i="6"/>
  <c r="D257" i="24" s="1"/>
  <c r="F10" i="6"/>
  <c r="D49" i="24" s="1"/>
  <c r="F20" i="6"/>
  <c r="D116" i="24" s="1"/>
  <c r="F21" i="6"/>
  <c r="D223" i="24" s="1"/>
  <c r="H223" i="24" s="1"/>
  <c r="I223" i="24" s="1"/>
  <c r="F19" i="6"/>
  <c r="D105" i="24" s="1"/>
  <c r="F25" i="6"/>
  <c r="F26" i="6"/>
  <c r="D181" i="24" s="1"/>
  <c r="F14" i="6"/>
  <c r="F15" i="6"/>
  <c r="F17" i="6"/>
  <c r="D220" i="24" s="1"/>
  <c r="H220" i="24" s="1"/>
  <c r="I220" i="24" s="1"/>
  <c r="F18" i="6"/>
  <c r="D71" i="24" s="1"/>
  <c r="F12" i="6"/>
  <c r="D67" i="24" s="1"/>
  <c r="F13" i="6"/>
  <c r="D68" i="24" s="1"/>
  <c r="F23" i="6"/>
  <c r="D256" i="24" s="1"/>
  <c r="F31" i="6"/>
  <c r="D259" i="24" s="1"/>
  <c r="F30" i="6"/>
  <c r="D183" i="24" s="1"/>
  <c r="F28" i="6"/>
  <c r="D164" i="24" s="1"/>
  <c r="F35" i="6"/>
  <c r="F6" i="6"/>
  <c r="F39" i="6"/>
  <c r="I39" i="6" s="1"/>
  <c r="M39" i="6" s="1"/>
  <c r="F38" i="6"/>
  <c r="S238" i="2"/>
  <c r="S231" i="2"/>
  <c r="V231" i="2"/>
  <c r="T239" i="2"/>
  <c r="U206" i="2"/>
  <c r="T68" i="2"/>
  <c r="F7" i="6"/>
  <c r="F4" i="6"/>
  <c r="D11" i="24" s="1"/>
  <c r="F5" i="6"/>
  <c r="F9" i="6"/>
  <c r="D48" i="24" s="1"/>
  <c r="F8" i="6"/>
  <c r="V173" i="2"/>
  <c r="T28" i="2"/>
  <c r="T85" i="2"/>
  <c r="S170" i="2"/>
  <c r="U213" i="2"/>
  <c r="U204" i="2"/>
  <c r="V87" i="2"/>
  <c r="V104" i="2"/>
  <c r="T116" i="2"/>
  <c r="S106" i="2"/>
  <c r="U105" i="2"/>
  <c r="V109" i="2"/>
  <c r="U6" i="2"/>
  <c r="F4" i="24" s="1"/>
  <c r="U131" i="2"/>
  <c r="S56" i="2"/>
  <c r="S172" i="2"/>
  <c r="V34" i="2"/>
  <c r="S218" i="2"/>
  <c r="S193" i="2"/>
  <c r="T150" i="2"/>
  <c r="V171" i="2"/>
  <c r="U191" i="2"/>
  <c r="S222" i="2"/>
  <c r="U153" i="2"/>
  <c r="F273" i="24" s="1"/>
  <c r="U175" i="2"/>
  <c r="S186" i="2"/>
  <c r="U217" i="2"/>
  <c r="V229" i="2"/>
  <c r="V155" i="2"/>
  <c r="U26" i="2"/>
  <c r="T86" i="2"/>
  <c r="T216" i="2"/>
  <c r="S64" i="2"/>
  <c r="T159" i="2"/>
  <c r="U107" i="2"/>
  <c r="U160" i="2"/>
  <c r="U199" i="2"/>
  <c r="U235" i="2"/>
  <c r="T20" i="2"/>
  <c r="T200" i="2"/>
  <c r="U200" i="2"/>
  <c r="V226" i="2"/>
  <c r="T226" i="2"/>
  <c r="U245" i="2"/>
  <c r="U192" i="2"/>
  <c r="U46" i="2"/>
  <c r="S221" i="2"/>
  <c r="V124" i="2"/>
  <c r="S148" i="2"/>
  <c r="U14" i="2"/>
  <c r="F42" i="24" s="1"/>
  <c r="S78" i="2"/>
  <c r="S81" i="2"/>
  <c r="S112" i="2"/>
  <c r="V99" i="2"/>
  <c r="V113" i="2"/>
  <c r="T72" i="2"/>
  <c r="V3" i="2"/>
  <c r="U3" i="2"/>
  <c r="U84" i="2"/>
  <c r="V137" i="2"/>
  <c r="T79" i="2"/>
  <c r="T13" i="2"/>
  <c r="V41" i="2"/>
  <c r="T205" i="2"/>
  <c r="S50" i="2"/>
  <c r="U241" i="2"/>
  <c r="S174" i="2"/>
  <c r="V36" i="2"/>
  <c r="U135" i="2"/>
  <c r="S242" i="2"/>
  <c r="V181" i="2"/>
  <c r="T33" i="2"/>
  <c r="E84" i="24" s="1"/>
  <c r="V223" i="2"/>
  <c r="U237" i="2"/>
  <c r="T127" i="2"/>
  <c r="S162" i="2"/>
  <c r="S88" i="2"/>
  <c r="S111" i="2"/>
  <c r="T243" i="2"/>
  <c r="U61" i="2"/>
  <c r="S143" i="2"/>
  <c r="S180" i="2"/>
  <c r="V53" i="2"/>
  <c r="V141" i="2"/>
  <c r="U190" i="2"/>
  <c r="U102" i="2"/>
  <c r="U51" i="2"/>
  <c r="V169" i="2"/>
  <c r="U29" i="2"/>
  <c r="U212" i="2"/>
  <c r="S123" i="2"/>
  <c r="V5" i="2"/>
  <c r="S184" i="2"/>
  <c r="V126" i="2"/>
  <c r="U147" i="2"/>
  <c r="U165" i="2"/>
  <c r="U185" i="2"/>
  <c r="T196" i="2"/>
  <c r="U201" i="2"/>
  <c r="T82" i="2"/>
  <c r="U108" i="2"/>
  <c r="S133" i="2"/>
  <c r="U142" i="2"/>
  <c r="T152" i="2"/>
  <c r="U52" i="2"/>
  <c r="U83" i="2"/>
  <c r="S49" i="2"/>
  <c r="U73" i="2"/>
  <c r="V24" i="2"/>
  <c r="T120" i="2"/>
  <c r="U66" i="2"/>
  <c r="V23" i="2"/>
  <c r="G66" i="24" s="1"/>
  <c r="T31" i="2"/>
  <c r="U95" i="2"/>
  <c r="U89" i="2"/>
  <c r="S91" i="2"/>
  <c r="U48" i="2"/>
  <c r="V214" i="2"/>
  <c r="T214" i="2"/>
  <c r="V134" i="2"/>
  <c r="S163" i="2"/>
  <c r="T17" i="2"/>
  <c r="U207" i="2"/>
  <c r="S228" i="2"/>
  <c r="V246" i="2"/>
  <c r="T246" i="2"/>
  <c r="S19" i="2"/>
  <c r="T39" i="2"/>
  <c r="U128" i="2"/>
  <c r="S240" i="2"/>
  <c r="T71" i="2"/>
  <c r="V164" i="2"/>
  <c r="T110" i="2"/>
  <c r="U210" i="2"/>
  <c r="S203" i="2"/>
  <c r="U122" i="2"/>
  <c r="S67" i="2"/>
  <c r="U18" i="2"/>
  <c r="U208" i="2"/>
  <c r="S132" i="2"/>
  <c r="U224" i="2"/>
  <c r="S146" i="2"/>
  <c r="U183" i="2"/>
  <c r="V90" i="2"/>
  <c r="S234" i="2"/>
  <c r="U189" i="2"/>
  <c r="V57" i="2"/>
  <c r="S219" i="2"/>
  <c r="U138" i="2"/>
  <c r="V176" i="2"/>
  <c r="V15" i="2"/>
  <c r="G54" i="24" s="1"/>
  <c r="U32" i="2"/>
  <c r="S198" i="2"/>
  <c r="U60" i="2"/>
  <c r="V77" i="2"/>
  <c r="T220" i="2"/>
  <c r="U129" i="2"/>
  <c r="V139" i="2"/>
  <c r="S151" i="2"/>
  <c r="S2" i="2"/>
  <c r="U16" i="2"/>
  <c r="T30" i="2"/>
  <c r="S40" i="2"/>
  <c r="U211" i="2"/>
  <c r="V93" i="2"/>
  <c r="S119" i="2"/>
  <c r="T227" i="2"/>
  <c r="S65" i="2"/>
  <c r="U166" i="2"/>
  <c r="T145" i="2"/>
  <c r="U117" i="2"/>
  <c r="V115" i="2"/>
  <c r="U114" i="2"/>
  <c r="T121" i="2"/>
  <c r="S58" i="2"/>
  <c r="U12" i="2"/>
  <c r="V47" i="2"/>
  <c r="U103" i="2"/>
  <c r="S130" i="2"/>
  <c r="T70" i="2"/>
  <c r="T187" i="2"/>
  <c r="U80" i="2"/>
  <c r="V149" i="2"/>
  <c r="G274" i="24" s="1"/>
  <c r="S188" i="2"/>
  <c r="V92" i="2"/>
  <c r="T232" i="2"/>
  <c r="S96" i="2"/>
  <c r="S236" i="2"/>
  <c r="V45" i="2"/>
  <c r="T136" i="2"/>
  <c r="U244" i="2"/>
  <c r="V4" i="2"/>
  <c r="T54" i="2"/>
  <c r="T55" i="2"/>
  <c r="V179" i="2"/>
  <c r="U178" i="2"/>
  <c r="F26" i="24" s="1"/>
  <c r="T59" i="2"/>
  <c r="S22" i="2"/>
  <c r="V125" i="2"/>
  <c r="T140" i="2"/>
  <c r="U27" i="2"/>
  <c r="D59" i="24" l="1"/>
  <c r="D60" i="24" s="1"/>
  <c r="H60" i="24" s="1"/>
  <c r="I60" i="24" s="1"/>
  <c r="D146" i="24"/>
  <c r="H146" i="24" s="1"/>
  <c r="I146" i="24" s="1"/>
  <c r="H131" i="24"/>
  <c r="I131" i="24" s="1"/>
  <c r="J3" i="6"/>
  <c r="N3" i="6" s="1"/>
  <c r="D5" i="24"/>
  <c r="G3" i="6"/>
  <c r="K3" i="6" s="1"/>
  <c r="H3" i="6"/>
  <c r="L3" i="6" s="1"/>
  <c r="I3" i="6"/>
  <c r="M3" i="6" s="1"/>
  <c r="H81" i="24"/>
  <c r="I81" i="24" s="1"/>
  <c r="R156" i="2"/>
  <c r="W156" i="2" s="1"/>
  <c r="Q156" i="2"/>
  <c r="V156" i="2" s="1"/>
  <c r="N156" i="2"/>
  <c r="S156" i="2" s="1"/>
  <c r="P156" i="2"/>
  <c r="U156" i="2" s="1"/>
  <c r="O156" i="2"/>
  <c r="T156" i="2" s="1"/>
  <c r="R157" i="2"/>
  <c r="W157" i="2" s="1"/>
  <c r="Q157" i="2"/>
  <c r="V157" i="2" s="1"/>
  <c r="N157" i="2"/>
  <c r="S157" i="2" s="1"/>
  <c r="P157" i="2"/>
  <c r="U157" i="2" s="1"/>
  <c r="O157" i="2"/>
  <c r="T157" i="2" s="1"/>
  <c r="R154" i="2"/>
  <c r="W154" i="2" s="1"/>
  <c r="P154" i="2"/>
  <c r="U154" i="2" s="1"/>
  <c r="Q154" i="2"/>
  <c r="V154" i="2" s="1"/>
  <c r="N154" i="2"/>
  <c r="S154" i="2" s="1"/>
  <c r="O154" i="2"/>
  <c r="T154" i="2" s="1"/>
  <c r="D133" i="24"/>
  <c r="H133" i="24" s="1"/>
  <c r="I133" i="24" s="1"/>
  <c r="D43" i="24"/>
  <c r="H43" i="24" s="1"/>
  <c r="I43" i="24" s="1"/>
  <c r="D78" i="24"/>
  <c r="H78" i="24" s="1"/>
  <c r="I78" i="24" s="1"/>
  <c r="H316" i="24"/>
  <c r="I316" i="24" s="1"/>
  <c r="D348" i="24"/>
  <c r="H348" i="24" s="1"/>
  <c r="I348" i="24" s="1"/>
  <c r="D102" i="24"/>
  <c r="H102" i="24" s="1"/>
  <c r="I102" i="24" s="1"/>
  <c r="D44" i="24"/>
  <c r="H44" i="24" s="1"/>
  <c r="I44" i="24" s="1"/>
  <c r="D311" i="24"/>
  <c r="H311" i="24" s="1"/>
  <c r="I311" i="24" s="1"/>
  <c r="I32" i="6"/>
  <c r="M32" i="6" s="1"/>
  <c r="H98" i="24"/>
  <c r="I98" i="24" s="1"/>
  <c r="H321" i="24"/>
  <c r="I321" i="24" s="1"/>
  <c r="D347" i="24"/>
  <c r="H347" i="24" s="1"/>
  <c r="I347" i="24" s="1"/>
  <c r="H346" i="24"/>
  <c r="I346" i="24" s="1"/>
  <c r="D30" i="24"/>
  <c r="H30" i="24" s="1"/>
  <c r="I30" i="24" s="1"/>
  <c r="J32" i="6"/>
  <c r="N32" i="6" s="1"/>
  <c r="D31" i="24"/>
  <c r="H31" i="24" s="1"/>
  <c r="I31" i="24" s="1"/>
  <c r="D299" i="24"/>
  <c r="H299" i="24" s="1"/>
  <c r="I299" i="24" s="1"/>
  <c r="H297" i="24"/>
  <c r="I297" i="24" s="1"/>
  <c r="D343" i="24"/>
  <c r="H343" i="24" s="1"/>
  <c r="I343" i="24" s="1"/>
  <c r="D350" i="24"/>
  <c r="H350" i="24" s="1"/>
  <c r="I350" i="24" s="1"/>
  <c r="G32" i="6"/>
  <c r="K32" i="6" s="1"/>
  <c r="D345" i="24"/>
  <c r="H345" i="24" s="1"/>
  <c r="I345" i="24" s="1"/>
  <c r="E189" i="24" a="1"/>
  <c r="E189" i="24" s="1"/>
  <c r="E310" i="24" a="1"/>
  <c r="E310" i="24" s="1"/>
  <c r="E41" i="24" a="1"/>
  <c r="E41" i="24" s="1"/>
  <c r="E166" i="24" a="1"/>
  <c r="E166" i="24" s="1"/>
  <c r="E190" i="24" a="1"/>
  <c r="E190" i="24" s="1"/>
  <c r="H191" i="24" s="1"/>
  <c r="I191" i="24" s="1"/>
  <c r="E217" i="24" a="1"/>
  <c r="E217" i="24" s="1"/>
  <c r="E196" i="24" a="1"/>
  <c r="E196" i="24" s="1"/>
  <c r="E275" i="24" a="1"/>
  <c r="E275" i="24" s="1"/>
  <c r="E269" i="24" a="1"/>
  <c r="E269" i="24" s="1"/>
  <c r="E264" i="24" a="1"/>
  <c r="E264" i="24" s="1"/>
  <c r="E270" i="24" a="1"/>
  <c r="E270" i="24" s="1"/>
  <c r="E277" i="24" a="1"/>
  <c r="E277" i="24" s="1"/>
  <c r="E279" i="24" a="1"/>
  <c r="E279" i="24" s="1"/>
  <c r="E308" i="24" a="1"/>
  <c r="E308" i="24" s="1"/>
  <c r="E236" i="24" a="1"/>
  <c r="E236" i="24" s="1"/>
  <c r="E276" i="24" a="1"/>
  <c r="E276" i="24" s="1"/>
  <c r="E353" i="24" a="1"/>
  <c r="E353" i="24" s="1"/>
  <c r="E297" i="24" a="1"/>
  <c r="E297" i="24" s="1"/>
  <c r="E316" i="24" a="1"/>
  <c r="E316" i="24" s="1"/>
  <c r="E363" i="24" a="1"/>
  <c r="E363" i="24" s="1"/>
  <c r="E239" i="24" a="1"/>
  <c r="E239" i="24" s="1"/>
  <c r="E235" i="24" a="1"/>
  <c r="E235" i="24" s="1"/>
  <c r="E230" i="24" a="1"/>
  <c r="E230" i="24" s="1"/>
  <c r="E206" i="24" a="1"/>
  <c r="E206" i="24" s="1"/>
  <c r="E331" i="24" a="1"/>
  <c r="E331" i="24" s="1"/>
  <c r="E280" i="24" a="1"/>
  <c r="E280" i="24" s="1"/>
  <c r="E274" i="24"/>
  <c r="E213" i="24" a="1"/>
  <c r="E213" i="24" s="1"/>
  <c r="E245" i="24" a="1"/>
  <c r="E245" i="24" s="1"/>
  <c r="E165" i="24" a="1"/>
  <c r="E165" i="24" s="1"/>
  <c r="E352" i="24" a="1"/>
  <c r="E352" i="24" s="1"/>
  <c r="E247" i="24" a="1"/>
  <c r="E247" i="24" s="1"/>
  <c r="E272" i="24" a="1"/>
  <c r="E272" i="24" s="1"/>
  <c r="E254" i="24" a="1"/>
  <c r="E254" i="24" s="1"/>
  <c r="E251" i="24" a="1"/>
  <c r="E251" i="24" s="1"/>
  <c r="E246" i="24" a="1"/>
  <c r="E246" i="24" s="1"/>
  <c r="E244" i="24" a="1"/>
  <c r="E244" i="24" s="1"/>
  <c r="E237" i="24" a="1"/>
  <c r="E237" i="24" s="1"/>
  <c r="E243" i="24" a="1"/>
  <c r="E243" i="24" s="1"/>
  <c r="E241" i="24" a="1"/>
  <c r="E241" i="24" s="1"/>
  <c r="E238" i="24" a="1"/>
  <c r="E238" i="24" s="1"/>
  <c r="E314" i="24" a="1"/>
  <c r="E314" i="24" s="1"/>
  <c r="E205" i="24" a="1"/>
  <c r="E205" i="24" s="1"/>
  <c r="E300" i="24" a="1"/>
  <c r="E300" i="24" s="1"/>
  <c r="E194" i="24" a="1"/>
  <c r="E194" i="24" s="1"/>
  <c r="E211" i="24" a="1"/>
  <c r="E211" i="24" s="1"/>
  <c r="E346" i="24" a="1"/>
  <c r="E233" i="24" a="1"/>
  <c r="E233" i="24" s="1"/>
  <c r="E317" i="24" a="1"/>
  <c r="E317" i="24" s="1"/>
  <c r="E315" i="24" a="1"/>
  <c r="E315" i="24" s="1"/>
  <c r="E268" i="24" a="1"/>
  <c r="E268" i="24" s="1"/>
  <c r="E263" i="24" a="1"/>
  <c r="E263" i="24" s="1"/>
  <c r="E318" i="24" a="1"/>
  <c r="E318" i="24" s="1"/>
  <c r="E202" i="24" a="1"/>
  <c r="E202" i="24" s="1"/>
  <c r="E200" i="24" a="1"/>
  <c r="E200" i="24" s="1"/>
  <c r="E204" i="24" a="1"/>
  <c r="E204" i="24" s="1"/>
  <c r="E203" i="24" a="1"/>
  <c r="E203" i="24" s="1"/>
  <c r="E253" i="24" a="1"/>
  <c r="E253" i="24" s="1"/>
  <c r="E250" i="24" a="1"/>
  <c r="E250" i="24" s="1"/>
  <c r="E176" i="24" a="1"/>
  <c r="E176" i="24" s="1"/>
  <c r="E313" i="24" a="1"/>
  <c r="E313" i="24" s="1"/>
  <c r="E354" i="24" a="1"/>
  <c r="E354" i="24" s="1"/>
  <c r="E195" i="24" a="1"/>
  <c r="E195" i="24" s="1"/>
  <c r="E193" i="24" a="1"/>
  <c r="E193" i="24" s="1"/>
  <c r="E208" i="24" a="1"/>
  <c r="E208" i="24" s="1"/>
  <c r="E218" i="24" a="1"/>
  <c r="E218" i="24" s="1"/>
  <c r="E362" i="24" a="1"/>
  <c r="E362" i="24" s="1"/>
  <c r="E289" i="24" a="1"/>
  <c r="E289" i="24" s="1"/>
  <c r="E360" i="24" a="1"/>
  <c r="E360" i="24" s="1"/>
  <c r="H227" i="24"/>
  <c r="I227" i="24" s="1"/>
  <c r="H248" i="24"/>
  <c r="I248" i="24" s="1"/>
  <c r="D249" i="24"/>
  <c r="H249" i="24" s="1"/>
  <c r="I249" i="24" s="1"/>
  <c r="H337" i="24"/>
  <c r="I337" i="24" s="1"/>
  <c r="D338" i="24"/>
  <c r="H338" i="24" s="1"/>
  <c r="I338" i="24" s="1"/>
  <c r="D364" i="24"/>
  <c r="H364" i="24" s="1"/>
  <c r="I364" i="24" s="1"/>
  <c r="H362" i="24"/>
  <c r="I362" i="24" s="1"/>
  <c r="E325" i="24" a="1"/>
  <c r="E325" i="24" s="1"/>
  <c r="E285" i="24" a="1"/>
  <c r="E285" i="24" s="1"/>
  <c r="H32" i="6"/>
  <c r="L32" i="6" s="1"/>
  <c r="E179" i="24" a="1"/>
  <c r="E179" i="24" s="1"/>
  <c r="D284" i="24"/>
  <c r="H284" i="24" s="1"/>
  <c r="I284" i="24" s="1"/>
  <c r="H281" i="24"/>
  <c r="I281" i="24" s="1"/>
  <c r="H178" i="24"/>
  <c r="I178" i="24" s="1"/>
  <c r="D180" i="24"/>
  <c r="H180" i="24" s="1"/>
  <c r="I180" i="24" s="1"/>
  <c r="D286" i="24"/>
  <c r="H286" i="24" s="1"/>
  <c r="I286" i="24" s="1"/>
  <c r="H285" i="24"/>
  <c r="I285" i="24" s="1"/>
  <c r="D332" i="24"/>
  <c r="H332" i="24" s="1"/>
  <c r="I332" i="24" s="1"/>
  <c r="H331" i="24"/>
  <c r="I331" i="24" s="1"/>
  <c r="D333" i="24"/>
  <c r="H333" i="24" s="1"/>
  <c r="I333" i="24" s="1"/>
  <c r="E295" i="24" a="1"/>
  <c r="E295" i="24" s="1"/>
  <c r="E294" i="24" a="1"/>
  <c r="E294" i="24" s="1"/>
  <c r="E282" i="24" a="1"/>
  <c r="E282" i="24" s="1"/>
  <c r="E281" i="24" a="1"/>
  <c r="E281" i="24" s="1"/>
  <c r="E323" i="24" a="1"/>
  <c r="E323" i="24" s="1"/>
  <c r="E201" i="24" a="1"/>
  <c r="E201" i="24" s="1"/>
  <c r="E199" i="24" a="1"/>
  <c r="E199" i="24" s="1"/>
  <c r="E324" i="24" a="1"/>
  <c r="E324" i="24" s="1"/>
  <c r="E322" i="24" a="1"/>
  <c r="E322" i="24" s="1"/>
  <c r="E248" i="24" a="1"/>
  <c r="E248" i="24" s="1"/>
  <c r="E337" i="24" a="1"/>
  <c r="E337" i="24" s="1"/>
  <c r="E301" i="24" a="1"/>
  <c r="E301" i="24" s="1"/>
  <c r="E303" i="24" a="1"/>
  <c r="E303" i="24" s="1"/>
  <c r="E271" i="24" a="1"/>
  <c r="E271" i="24" s="1"/>
  <c r="E309" i="24" a="1"/>
  <c r="E309" i="24" s="1"/>
  <c r="E307" i="24" a="1"/>
  <c r="E307" i="24" s="1"/>
  <c r="E267" i="24" a="1"/>
  <c r="E267" i="24" s="1"/>
  <c r="E262" i="24" a="1"/>
  <c r="E262" i="24" s="1"/>
  <c r="E174" i="24" a="1"/>
  <c r="E174" i="24" s="1"/>
  <c r="E265" i="24" a="1"/>
  <c r="E265" i="24" s="1"/>
  <c r="E266" i="24" a="1"/>
  <c r="E266" i="24" s="1"/>
  <c r="E292" i="24" a="1"/>
  <c r="E292" i="24" s="1"/>
  <c r="E175" i="24" a="1"/>
  <c r="E175" i="24" s="1"/>
  <c r="E178" i="24" a="1"/>
  <c r="E178" i="24" s="1"/>
  <c r="E278" i="24" a="1"/>
  <c r="E278" i="24" s="1"/>
  <c r="E273" i="24"/>
  <c r="E283" i="24" a="1"/>
  <c r="E283" i="24" s="1"/>
  <c r="E207" i="24" a="1"/>
  <c r="E207" i="24" s="1"/>
  <c r="E231" i="24" a="1"/>
  <c r="E231" i="24" s="1"/>
  <c r="E232" i="24" a="1"/>
  <c r="E232" i="24" s="1"/>
  <c r="E242" i="24" a="1"/>
  <c r="E242" i="24" s="1"/>
  <c r="H354" i="24"/>
  <c r="I354" i="24" s="1"/>
  <c r="D355" i="24"/>
  <c r="H355" i="24" s="1"/>
  <c r="I355" i="24" s="1"/>
  <c r="H207" i="24"/>
  <c r="I207" i="24" s="1"/>
  <c r="D209" i="24"/>
  <c r="H209" i="24" s="1"/>
  <c r="I209" i="24" s="1"/>
  <c r="D219" i="24"/>
  <c r="H219" i="24" s="1"/>
  <c r="I219" i="24" s="1"/>
  <c r="H218" i="24"/>
  <c r="I218" i="24" s="1"/>
  <c r="H190" i="24"/>
  <c r="I190" i="24" s="1"/>
  <c r="H211" i="24"/>
  <c r="I211" i="24" s="1"/>
  <c r="D212" i="24"/>
  <c r="H212" i="24" s="1"/>
  <c r="I212" i="24" s="1"/>
  <c r="D255" i="24"/>
  <c r="H255" i="24" s="1"/>
  <c r="I255" i="24" s="1"/>
  <c r="H256" i="24"/>
  <c r="I256" i="24" s="1"/>
  <c r="D258" i="24"/>
  <c r="H258" i="24" s="1"/>
  <c r="I258" i="24" s="1"/>
  <c r="H257" i="24"/>
  <c r="I257" i="24" s="1"/>
  <c r="D327" i="24"/>
  <c r="H327" i="24" s="1"/>
  <c r="I327" i="24" s="1"/>
  <c r="H328" i="24"/>
  <c r="I328" i="24" s="1"/>
  <c r="D260" i="24"/>
  <c r="H260" i="24" s="1"/>
  <c r="I260" i="24" s="1"/>
  <c r="H259" i="24"/>
  <c r="I259" i="24" s="1"/>
  <c r="E293" i="24" a="1"/>
  <c r="E293" i="24" s="1"/>
  <c r="D361" i="24" s="1" a="1"/>
  <c r="D361" i="24" s="1"/>
  <c r="H361" i="24" s="1"/>
  <c r="I361" i="24" s="1"/>
  <c r="D330" i="24"/>
  <c r="H330" i="24" s="1"/>
  <c r="I330" i="24" s="1"/>
  <c r="H329" i="24"/>
  <c r="I329" i="24" s="1"/>
  <c r="E357" i="24" a="1"/>
  <c r="E357" i="24" s="1"/>
  <c r="E356" i="24" a="1"/>
  <c r="E356" i="24" s="1"/>
  <c r="D151" i="24"/>
  <c r="H151" i="24" s="1"/>
  <c r="I151" i="24" s="1"/>
  <c r="H59" i="24"/>
  <c r="I59" i="24" s="1"/>
  <c r="E291" i="24" a="1"/>
  <c r="E291" i="24" s="1"/>
  <c r="D222" i="24"/>
  <c r="H222" i="24" s="1"/>
  <c r="I222" i="24" s="1"/>
  <c r="D221" i="24"/>
  <c r="H221" i="24" s="1"/>
  <c r="I221" i="24" s="1"/>
  <c r="H181" i="24"/>
  <c r="I181" i="24" s="1"/>
  <c r="D182" i="24"/>
  <c r="H182" i="24" s="1"/>
  <c r="I182" i="24" s="1"/>
  <c r="D335" i="24"/>
  <c r="H335" i="24" s="1"/>
  <c r="I335" i="24" s="1"/>
  <c r="D336" i="24"/>
  <c r="H336" i="24" s="1"/>
  <c r="I336" i="24" s="1"/>
  <c r="I38" i="6"/>
  <c r="M38" i="6" s="1"/>
  <c r="D351" i="24"/>
  <c r="H351" i="24" s="1"/>
  <c r="I351" i="24" s="1"/>
  <c r="D225" i="24"/>
  <c r="H225" i="24" s="1"/>
  <c r="I225" i="24" s="1"/>
  <c r="D224" i="24"/>
  <c r="H224" i="24" s="1"/>
  <c r="I224" i="24" s="1"/>
  <c r="D184" i="24"/>
  <c r="H184" i="24" s="1"/>
  <c r="I184" i="24" s="1"/>
  <c r="H183" i="24"/>
  <c r="I183" i="24" s="1"/>
  <c r="H160" i="24"/>
  <c r="I160" i="24" s="1"/>
  <c r="H159" i="24"/>
  <c r="I159" i="24" s="1"/>
  <c r="D163" i="24"/>
  <c r="H163" i="24" s="1"/>
  <c r="I163" i="24" s="1"/>
  <c r="H164" i="24"/>
  <c r="I164" i="24" s="1"/>
  <c r="D162" i="24"/>
  <c r="H162" i="24" s="1"/>
  <c r="I162" i="24" s="1"/>
  <c r="H161" i="24"/>
  <c r="I161" i="24" s="1"/>
  <c r="E168" i="24" a="1"/>
  <c r="E168" i="24" s="1"/>
  <c r="E171" i="24" a="1"/>
  <c r="E171" i="24" s="1"/>
  <c r="E159" i="24" a="1"/>
  <c r="E159" i="24" s="1"/>
  <c r="E172" i="24" a="1"/>
  <c r="E172" i="24" s="1"/>
  <c r="D170" i="24"/>
  <c r="H170" i="24" s="1"/>
  <c r="I170" i="24" s="1"/>
  <c r="D169" i="24"/>
  <c r="H169" i="24" s="1"/>
  <c r="I169" i="24" s="1"/>
  <c r="E145" i="24" a="1"/>
  <c r="E145" i="24" s="1"/>
  <c r="H36" i="6"/>
  <c r="L36" i="6" s="1"/>
  <c r="E17" i="24" s="1"/>
  <c r="E141" i="24" a="1"/>
  <c r="E141" i="24" s="1"/>
  <c r="E157" i="24" a="1"/>
  <c r="E157" i="24" s="1"/>
  <c r="E153" i="24" a="1"/>
  <c r="E153" i="24" s="1"/>
  <c r="E144" i="24" a="1"/>
  <c r="E144" i="24" s="1"/>
  <c r="D155" i="24"/>
  <c r="H141" i="24"/>
  <c r="I141" i="24" s="1"/>
  <c r="D142" i="24"/>
  <c r="H142" i="24" s="1"/>
  <c r="I142" i="24" s="1"/>
  <c r="E143" i="24" a="1"/>
  <c r="E143" i="24" s="1"/>
  <c r="H157" i="24"/>
  <c r="I157" i="24" s="1"/>
  <c r="D158" i="24"/>
  <c r="H158" i="24" s="1"/>
  <c r="I158" i="24" s="1"/>
  <c r="E147" i="24" a="1"/>
  <c r="E147" i="24" s="1"/>
  <c r="D149" i="24"/>
  <c r="H149" i="24" s="1"/>
  <c r="I149" i="24" s="1"/>
  <c r="H148" i="24"/>
  <c r="I148" i="24" s="1"/>
  <c r="I36" i="6"/>
  <c r="M36" i="6" s="1"/>
  <c r="F17" i="24" s="1"/>
  <c r="G36" i="6"/>
  <c r="K36" i="6" s="1"/>
  <c r="J36" i="6"/>
  <c r="N36" i="6" s="1"/>
  <c r="G17" i="24" s="1"/>
  <c r="D18" i="24"/>
  <c r="H18" i="24" s="1"/>
  <c r="I18" i="24" s="1"/>
  <c r="E113" i="24" a="1"/>
  <c r="E113" i="24" s="1"/>
  <c r="F9" i="24"/>
  <c r="F6" i="24"/>
  <c r="F28" i="24"/>
  <c r="G27" i="24"/>
  <c r="E117" i="24" a="1"/>
  <c r="E117" i="24" s="1"/>
  <c r="H35" i="24"/>
  <c r="I35" i="24" s="1"/>
  <c r="D36" i="24"/>
  <c r="H36" i="24" s="1"/>
  <c r="I36" i="24" s="1"/>
  <c r="H52" i="24"/>
  <c r="I52" i="24" s="1"/>
  <c r="D53" i="24"/>
  <c r="H53" i="24" s="1"/>
  <c r="I53" i="24" s="1"/>
  <c r="H29" i="24"/>
  <c r="I29" i="24" s="1"/>
  <c r="D32" i="24"/>
  <c r="D77" i="24"/>
  <c r="H77" i="24" s="1"/>
  <c r="I77" i="24" s="1"/>
  <c r="D76" i="24"/>
  <c r="H76" i="24" s="1"/>
  <c r="I76" i="24" s="1"/>
  <c r="H75" i="24"/>
  <c r="I75" i="24" s="1"/>
  <c r="G56" i="24"/>
  <c r="G88" i="24"/>
  <c r="E6" i="24"/>
  <c r="E9" i="24"/>
  <c r="E122" i="24" a="1"/>
  <c r="E122" i="24" s="1"/>
  <c r="E119" i="24" a="1"/>
  <c r="E119" i="24" s="1"/>
  <c r="E56" i="24"/>
  <c r="E120" i="24" a="1"/>
  <c r="E120" i="24" s="1"/>
  <c r="F85" i="24"/>
  <c r="F82" i="24"/>
  <c r="F55" i="24"/>
  <c r="E121" i="24" a="1"/>
  <c r="E121" i="24" s="1"/>
  <c r="E124" i="24" a="1"/>
  <c r="E124" i="24" s="1"/>
  <c r="E123" i="24" a="1"/>
  <c r="E123" i="24" s="1"/>
  <c r="E83" i="24"/>
  <c r="E126" i="24" a="1"/>
  <c r="E126" i="24" s="1"/>
  <c r="E125" i="24" a="1"/>
  <c r="E125" i="24" s="1"/>
  <c r="E63" i="24"/>
  <c r="E3" i="24"/>
  <c r="E128" i="24" a="1"/>
  <c r="E127" i="24" a="1"/>
  <c r="E127" i="24" s="1"/>
  <c r="E75" i="24"/>
  <c r="E135" i="24" a="1"/>
  <c r="E135" i="24" s="1"/>
  <c r="E35" i="24"/>
  <c r="E40" i="24"/>
  <c r="E100" i="24"/>
  <c r="E7" i="24"/>
  <c r="E8" i="24" s="1"/>
  <c r="E58" i="24"/>
  <c r="E57" i="24"/>
  <c r="E108" i="24" a="1"/>
  <c r="E108" i="24" s="1"/>
  <c r="E80" i="24"/>
  <c r="E74" i="24"/>
  <c r="E2" i="24"/>
  <c r="E10" i="24" s="1"/>
  <c r="E4" i="24"/>
  <c r="E23" i="24"/>
  <c r="E28" i="24"/>
  <c r="H85" i="24"/>
  <c r="I85" i="24" s="1"/>
  <c r="D87" i="24"/>
  <c r="H87" i="24" s="1"/>
  <c r="I87" i="24" s="1"/>
  <c r="D86" i="24"/>
  <c r="H86" i="24" s="1"/>
  <c r="I86" i="24" s="1"/>
  <c r="D10" i="24"/>
  <c r="H10" i="24" s="1"/>
  <c r="I10" i="24" s="1"/>
  <c r="H2" i="24"/>
  <c r="I2" i="24" s="1"/>
  <c r="E136" i="24" a="1"/>
  <c r="E136" i="24" s="1"/>
  <c r="E137" i="24" a="1"/>
  <c r="E137" i="24" s="1"/>
  <c r="E118" i="24" a="1"/>
  <c r="E118" i="24" s="1"/>
  <c r="E52" i="24"/>
  <c r="E53" i="24" s="1"/>
  <c r="F88" i="24"/>
  <c r="F65" i="24"/>
  <c r="G9" i="24"/>
  <c r="G6" i="24"/>
  <c r="F56" i="24"/>
  <c r="G82" i="24"/>
  <c r="G85" i="24"/>
  <c r="F52" i="24"/>
  <c r="F53" i="24" s="1"/>
  <c r="G55" i="24"/>
  <c r="G83" i="24"/>
  <c r="F63" i="24"/>
  <c r="G3" i="24"/>
  <c r="F75" i="24"/>
  <c r="G35" i="24"/>
  <c r="G84" i="24"/>
  <c r="F100" i="24"/>
  <c r="F7" i="24"/>
  <c r="F8" i="24" s="1"/>
  <c r="F57" i="24"/>
  <c r="F58" i="24"/>
  <c r="G80" i="24"/>
  <c r="G74" i="24"/>
  <c r="F89" i="24"/>
  <c r="F23" i="24"/>
  <c r="G42" i="6"/>
  <c r="K42" i="6" s="1"/>
  <c r="D104" i="24"/>
  <c r="D114" i="24"/>
  <c r="H114" i="24" s="1"/>
  <c r="I114" i="24" s="1"/>
  <c r="D115" i="24"/>
  <c r="H115" i="24" s="1"/>
  <c r="I115" i="24" s="1"/>
  <c r="H116" i="24"/>
  <c r="I116" i="24" s="1"/>
  <c r="G28" i="24"/>
  <c r="E27" i="24"/>
  <c r="D25" i="24"/>
  <c r="H25" i="24" s="1"/>
  <c r="I25" i="24" s="1"/>
  <c r="D24" i="24"/>
  <c r="H24" i="24" s="1"/>
  <c r="I24" i="24" s="1"/>
  <c r="H23" i="24"/>
  <c r="I23" i="24" s="1"/>
  <c r="H128" i="24"/>
  <c r="I128" i="24" s="1"/>
  <c r="D129" i="24"/>
  <c r="D111" i="24"/>
  <c r="H111" i="24" s="1"/>
  <c r="I111" i="24" s="1"/>
  <c r="D110" i="24"/>
  <c r="H110" i="24" s="1"/>
  <c r="I110" i="24" s="1"/>
  <c r="H108" i="24"/>
  <c r="I108" i="24" s="1"/>
  <c r="H63" i="24"/>
  <c r="I63" i="24" s="1"/>
  <c r="D64" i="24"/>
  <c r="H64" i="24" s="1"/>
  <c r="I64" i="24" s="1"/>
  <c r="E85" i="24"/>
  <c r="E82" i="24"/>
  <c r="G52" i="24"/>
  <c r="G53" i="24" s="1"/>
  <c r="F83" i="24"/>
  <c r="G63" i="24"/>
  <c r="F3" i="24"/>
  <c r="G75" i="24"/>
  <c r="F84" i="24"/>
  <c r="G40" i="24"/>
  <c r="G100" i="24"/>
  <c r="G7" i="24"/>
  <c r="G8" i="24" s="1"/>
  <c r="E131" i="24" a="1"/>
  <c r="G58" i="24"/>
  <c r="G57" i="24"/>
  <c r="F80" i="24"/>
  <c r="F74" i="24"/>
  <c r="G2" i="24"/>
  <c r="G10" i="24" s="1"/>
  <c r="G89" i="24"/>
  <c r="G4" i="24"/>
  <c r="G23" i="24"/>
  <c r="H105" i="24"/>
  <c r="I105" i="24" s="1"/>
  <c r="D97" i="24"/>
  <c r="H97" i="24" s="1"/>
  <c r="I97" i="24" s="1"/>
  <c r="D106" i="24"/>
  <c r="H106" i="24" s="1"/>
  <c r="I106" i="24" s="1"/>
  <c r="F27" i="24"/>
  <c r="H7" i="24"/>
  <c r="I7" i="24" s="1"/>
  <c r="D8" i="24"/>
  <c r="H8" i="24" s="1"/>
  <c r="I8" i="24" s="1"/>
  <c r="H5" i="24"/>
  <c r="I5" i="24" s="1"/>
  <c r="D46" i="24"/>
  <c r="H46" i="24" s="1"/>
  <c r="I46" i="24" s="1"/>
  <c r="H48" i="24"/>
  <c r="I48" i="24" s="1"/>
  <c r="D47" i="24"/>
  <c r="H47" i="24" s="1"/>
  <c r="I47" i="24" s="1"/>
  <c r="F98" i="24"/>
  <c r="D90" i="24"/>
  <c r="G98" i="24"/>
  <c r="H71" i="24"/>
  <c r="I71" i="24" s="1"/>
  <c r="D73" i="24"/>
  <c r="H73" i="24" s="1"/>
  <c r="I73" i="24" s="1"/>
  <c r="D72" i="24"/>
  <c r="H72" i="24" s="1"/>
  <c r="I72" i="24" s="1"/>
  <c r="E98" i="24"/>
  <c r="D45" i="24"/>
  <c r="H68" i="24"/>
  <c r="I68" i="24" s="1"/>
  <c r="D62" i="24"/>
  <c r="H62" i="24" s="1"/>
  <c r="I62" i="24" s="1"/>
  <c r="D50" i="24"/>
  <c r="H50" i="24" s="1"/>
  <c r="I50" i="24" s="1"/>
  <c r="D51" i="24"/>
  <c r="H51" i="24" s="1"/>
  <c r="I51" i="24" s="1"/>
  <c r="H49" i="24"/>
  <c r="I49" i="24" s="1"/>
  <c r="D69" i="24"/>
  <c r="H69" i="24" s="1"/>
  <c r="I69" i="24" s="1"/>
  <c r="H96" i="24"/>
  <c r="I96" i="24" s="1"/>
  <c r="D70" i="24"/>
  <c r="H70" i="24" s="1"/>
  <c r="I70" i="24" s="1"/>
  <c r="D93" i="24"/>
  <c r="D14" i="24"/>
  <c r="F34" i="24"/>
  <c r="D13" i="24"/>
  <c r="H13" i="24" s="1"/>
  <c r="I13" i="24" s="1"/>
  <c r="D12" i="24"/>
  <c r="H12" i="24" s="1"/>
  <c r="I12" i="24" s="1"/>
  <c r="H11" i="24"/>
  <c r="I11" i="24" s="1"/>
  <c r="D21" i="24"/>
  <c r="G37" i="6"/>
  <c r="K37" i="6" s="1"/>
  <c r="J37" i="6"/>
  <c r="N37" i="6" s="1"/>
  <c r="I37" i="6"/>
  <c r="M37" i="6" s="1"/>
  <c r="H37" i="6"/>
  <c r="L37" i="6" s="1"/>
  <c r="J16" i="6"/>
  <c r="N16" i="6" s="1"/>
  <c r="G96" i="24" s="1"/>
  <c r="G16" i="6"/>
  <c r="K16" i="6" s="1"/>
  <c r="H16" i="6"/>
  <c r="L16" i="6" s="1"/>
  <c r="E96" i="24" s="1"/>
  <c r="I16" i="6"/>
  <c r="M16" i="6" s="1"/>
  <c r="F96" i="24" s="1"/>
  <c r="J43" i="6"/>
  <c r="N43" i="6" s="1"/>
  <c r="G43" i="6"/>
  <c r="K43" i="6" s="1"/>
  <c r="I43" i="6"/>
  <c r="M43" i="6" s="1"/>
  <c r="H43" i="6"/>
  <c r="L43" i="6" s="1"/>
  <c r="G28" i="6"/>
  <c r="K28" i="6" s="1"/>
  <c r="H28" i="6"/>
  <c r="L28" i="6" s="1"/>
  <c r="J28" i="6"/>
  <c r="N28" i="6" s="1"/>
  <c r="I28" i="6"/>
  <c r="M28" i="6" s="1"/>
  <c r="G29" i="6"/>
  <c r="K29" i="6" s="1"/>
  <c r="I29" i="6"/>
  <c r="M29" i="6" s="1"/>
  <c r="H29" i="6"/>
  <c r="L29" i="6" s="1"/>
  <c r="J29" i="6"/>
  <c r="N29" i="6" s="1"/>
  <c r="G14" i="6"/>
  <c r="K14" i="6" s="1"/>
  <c r="J14" i="6"/>
  <c r="N14" i="6" s="1"/>
  <c r="G90" i="24" s="1"/>
  <c r="I14" i="6"/>
  <c r="M14" i="6" s="1"/>
  <c r="F90" i="24" s="1"/>
  <c r="H14" i="6"/>
  <c r="L14" i="6" s="1"/>
  <c r="I25" i="6"/>
  <c r="M25" i="6" s="1"/>
  <c r="J25" i="6"/>
  <c r="N25" i="6" s="1"/>
  <c r="H25" i="6"/>
  <c r="L25" i="6" s="1"/>
  <c r="G25" i="6"/>
  <c r="K25" i="6" s="1"/>
  <c r="G22" i="6"/>
  <c r="K22" i="6" s="1"/>
  <c r="H22" i="6"/>
  <c r="L22" i="6" s="1"/>
  <c r="J22" i="6"/>
  <c r="N22" i="6" s="1"/>
  <c r="I22" i="6"/>
  <c r="M22" i="6" s="1"/>
  <c r="G10" i="6"/>
  <c r="K10" i="6" s="1"/>
  <c r="I10" i="6"/>
  <c r="M10" i="6" s="1"/>
  <c r="F49" i="24" s="1"/>
  <c r="H10" i="6"/>
  <c r="L10" i="6" s="1"/>
  <c r="E49" i="24" s="1"/>
  <c r="J10" i="6"/>
  <c r="N10" i="6" s="1"/>
  <c r="G49" i="24" s="1"/>
  <c r="G33" i="6"/>
  <c r="K33" i="6" s="1"/>
  <c r="J33" i="6"/>
  <c r="N33" i="6" s="1"/>
  <c r="H33" i="6"/>
  <c r="L33" i="6" s="1"/>
  <c r="I33" i="6"/>
  <c r="M33" i="6" s="1"/>
  <c r="G27" i="6"/>
  <c r="K27" i="6" s="1"/>
  <c r="H27" i="6"/>
  <c r="L27" i="6" s="1"/>
  <c r="I27" i="6"/>
  <c r="M27" i="6" s="1"/>
  <c r="J27" i="6"/>
  <c r="N27" i="6" s="1"/>
  <c r="G31" i="6"/>
  <c r="K31" i="6" s="1"/>
  <c r="J31" i="6"/>
  <c r="N31" i="6" s="1"/>
  <c r="H31" i="6"/>
  <c r="L31" i="6" s="1"/>
  <c r="I31" i="6"/>
  <c r="M31" i="6" s="1"/>
  <c r="G13" i="6"/>
  <c r="K13" i="6" s="1"/>
  <c r="J13" i="6"/>
  <c r="N13" i="6" s="1"/>
  <c r="G68" i="24" s="1"/>
  <c r="H13" i="6"/>
  <c r="L13" i="6" s="1"/>
  <c r="E68" i="24" s="1"/>
  <c r="I13" i="6"/>
  <c r="M13" i="6" s="1"/>
  <c r="F68" i="24" s="1"/>
  <c r="G18" i="6"/>
  <c r="K18" i="6" s="1"/>
  <c r="I18" i="6"/>
  <c r="M18" i="6" s="1"/>
  <c r="F71" i="24" s="1"/>
  <c r="H18" i="6"/>
  <c r="L18" i="6" s="1"/>
  <c r="E71" i="24" s="1"/>
  <c r="J18" i="6"/>
  <c r="N18" i="6" s="1"/>
  <c r="G71" i="24" s="1"/>
  <c r="G34" i="6"/>
  <c r="K34" i="6" s="1"/>
  <c r="J34" i="6"/>
  <c r="N34" i="6" s="1"/>
  <c r="I34" i="6"/>
  <c r="M34" i="6" s="1"/>
  <c r="H34" i="6"/>
  <c r="L34" i="6" s="1"/>
  <c r="I21" i="6"/>
  <c r="M21" i="6" s="1"/>
  <c r="G21" i="6"/>
  <c r="K21" i="6" s="1"/>
  <c r="J21" i="6"/>
  <c r="N21" i="6" s="1"/>
  <c r="H21" i="6"/>
  <c r="L21" i="6" s="1"/>
  <c r="G35" i="6"/>
  <c r="K35" i="6" s="1"/>
  <c r="H35" i="6"/>
  <c r="L35" i="6" s="1"/>
  <c r="J35" i="6"/>
  <c r="N35" i="6" s="1"/>
  <c r="I35" i="6"/>
  <c r="M35" i="6" s="1"/>
  <c r="G12" i="6"/>
  <c r="K12" i="6" s="1"/>
  <c r="H12" i="6"/>
  <c r="L12" i="6" s="1"/>
  <c r="I12" i="6"/>
  <c r="M12" i="6" s="1"/>
  <c r="J12" i="6"/>
  <c r="N12" i="6" s="1"/>
  <c r="I17" i="6"/>
  <c r="M17" i="6" s="1"/>
  <c r="H17" i="6"/>
  <c r="L17" i="6" s="1"/>
  <c r="G17" i="6"/>
  <c r="K17" i="6" s="1"/>
  <c r="J17" i="6"/>
  <c r="N17" i="6" s="1"/>
  <c r="G19" i="6"/>
  <c r="K19" i="6" s="1"/>
  <c r="H19" i="6"/>
  <c r="L19" i="6" s="1"/>
  <c r="E105" i="24" s="1"/>
  <c r="J19" i="6"/>
  <c r="N19" i="6" s="1"/>
  <c r="G105" i="24" s="1"/>
  <c r="I19" i="6"/>
  <c r="M19" i="6" s="1"/>
  <c r="F105" i="24" s="1"/>
  <c r="G20" i="6"/>
  <c r="K20" i="6" s="1"/>
  <c r="J20" i="6"/>
  <c r="N20" i="6" s="1"/>
  <c r="H20" i="6"/>
  <c r="L20" i="6" s="1"/>
  <c r="I20" i="6"/>
  <c r="M20" i="6" s="1"/>
  <c r="G24" i="6"/>
  <c r="K24" i="6" s="1"/>
  <c r="J24" i="6"/>
  <c r="N24" i="6" s="1"/>
  <c r="I24" i="6"/>
  <c r="M24" i="6" s="1"/>
  <c r="H24" i="6"/>
  <c r="L24" i="6" s="1"/>
  <c r="G30" i="6"/>
  <c r="K30" i="6" s="1"/>
  <c r="J30" i="6"/>
  <c r="N30" i="6" s="1"/>
  <c r="H30" i="6"/>
  <c r="L30" i="6" s="1"/>
  <c r="I30" i="6"/>
  <c r="M30" i="6" s="1"/>
  <c r="G23" i="6"/>
  <c r="K23" i="6" s="1"/>
  <c r="I23" i="6"/>
  <c r="M23" i="6" s="1"/>
  <c r="J23" i="6"/>
  <c r="N23" i="6" s="1"/>
  <c r="H23" i="6"/>
  <c r="L23" i="6" s="1"/>
  <c r="G11" i="6"/>
  <c r="K11" i="6" s="1"/>
  <c r="J11" i="6"/>
  <c r="N11" i="6" s="1"/>
  <c r="I11" i="6"/>
  <c r="M11" i="6" s="1"/>
  <c r="H11" i="6"/>
  <c r="L11" i="6" s="1"/>
  <c r="G15" i="6"/>
  <c r="K15" i="6" s="1"/>
  <c r="I15" i="6"/>
  <c r="M15" i="6" s="1"/>
  <c r="F93" i="24" s="1"/>
  <c r="H15" i="6"/>
  <c r="L15" i="6" s="1"/>
  <c r="J15" i="6"/>
  <c r="N15" i="6" s="1"/>
  <c r="G26" i="6"/>
  <c r="K26" i="6" s="1"/>
  <c r="I26" i="6"/>
  <c r="M26" i="6" s="1"/>
  <c r="J26" i="6"/>
  <c r="N26" i="6" s="1"/>
  <c r="H26" i="6"/>
  <c r="L26" i="6" s="1"/>
  <c r="I42" i="6"/>
  <c r="M42" i="6" s="1"/>
  <c r="F104" i="24" s="1"/>
  <c r="H42" i="6"/>
  <c r="L42" i="6" s="1"/>
  <c r="E104" i="24" s="1"/>
  <c r="J42" i="6"/>
  <c r="N42" i="6" s="1"/>
  <c r="G104" i="24" s="1"/>
  <c r="H39" i="6"/>
  <c r="L39" i="6" s="1"/>
  <c r="G39" i="6"/>
  <c r="K39" i="6" s="1"/>
  <c r="J39" i="6"/>
  <c r="N39" i="6" s="1"/>
  <c r="H38" i="6"/>
  <c r="L38" i="6" s="1"/>
  <c r="G38" i="6"/>
  <c r="K38" i="6" s="1"/>
  <c r="J38" i="6"/>
  <c r="N38" i="6" s="1"/>
  <c r="J4" i="6"/>
  <c r="N4" i="6" s="1"/>
  <c r="G11" i="24" s="1"/>
  <c r="I4" i="6"/>
  <c r="M4" i="6" s="1"/>
  <c r="G4" i="6"/>
  <c r="K4" i="6" s="1"/>
  <c r="H4" i="6"/>
  <c r="L4" i="6" s="1"/>
  <c r="E11" i="24" s="1"/>
  <c r="J7" i="6"/>
  <c r="N7" i="6" s="1"/>
  <c r="H7" i="6"/>
  <c r="L7" i="6" s="1"/>
  <c r="I7" i="6"/>
  <c r="M7" i="6" s="1"/>
  <c r="G7" i="6"/>
  <c r="K7" i="6" s="1"/>
  <c r="J9" i="6"/>
  <c r="N9" i="6" s="1"/>
  <c r="G48" i="24" s="1"/>
  <c r="G9" i="6"/>
  <c r="K9" i="6" s="1"/>
  <c r="H9" i="6"/>
  <c r="L9" i="6" s="1"/>
  <c r="E48" i="24" s="1"/>
  <c r="I9" i="6"/>
  <c r="M9" i="6" s="1"/>
  <c r="G6" i="6"/>
  <c r="K6" i="6" s="1"/>
  <c r="J6" i="6"/>
  <c r="N6" i="6" s="1"/>
  <c r="H6" i="6"/>
  <c r="L6" i="6" s="1"/>
  <c r="I6" i="6"/>
  <c r="M6" i="6" s="1"/>
  <c r="J2" i="6"/>
  <c r="N2" i="6" s="1"/>
  <c r="H2" i="6"/>
  <c r="L2" i="6" s="1"/>
  <c r="G2" i="6"/>
  <c r="K2" i="6" s="1"/>
  <c r="I2" i="6"/>
  <c r="M2" i="6" s="1"/>
  <c r="J5" i="6"/>
  <c r="N5" i="6" s="1"/>
  <c r="H5" i="6"/>
  <c r="L5" i="6" s="1"/>
  <c r="I5" i="6"/>
  <c r="M5" i="6" s="1"/>
  <c r="G5" i="6"/>
  <c r="K5" i="6" s="1"/>
  <c r="I8" i="6"/>
  <c r="M8" i="6" s="1"/>
  <c r="G8" i="6"/>
  <c r="K8" i="6" s="1"/>
  <c r="H8" i="6"/>
  <c r="L8" i="6" s="1"/>
  <c r="J8" i="6"/>
  <c r="N8" i="6" s="1"/>
  <c r="V230" i="2"/>
  <c r="U230" i="2"/>
  <c r="S230" i="2"/>
  <c r="T230" i="2"/>
  <c r="S7" i="2"/>
  <c r="V7" i="2"/>
  <c r="U7" i="2"/>
  <c r="T7" i="2"/>
  <c r="E350" i="24" l="1" a="1"/>
  <c r="E350" i="24" s="1"/>
  <c r="E227" i="24" a="1"/>
  <c r="E227" i="24" s="1"/>
  <c r="E343" i="24" a="1"/>
  <c r="E343" i="24" s="1"/>
  <c r="E345" i="24" a="1"/>
  <c r="E345" i="24" s="1"/>
  <c r="E256" i="24" a="1"/>
  <c r="E256" i="24" s="1"/>
  <c r="E321" i="24" a="1"/>
  <c r="E321" i="24" s="1"/>
  <c r="E346" i="24"/>
  <c r="E347" i="24" s="1"/>
  <c r="G347" i="24"/>
  <c r="F347" i="24"/>
  <c r="E181" i="24" a="1"/>
  <c r="E181" i="24" s="1"/>
  <c r="E223" i="24" a="1"/>
  <c r="E223" i="24" s="1"/>
  <c r="E328" i="24" a="1"/>
  <c r="E328" i="24" s="1"/>
  <c r="E329" i="24" a="1"/>
  <c r="E329" i="24" s="1"/>
  <c r="E351" i="24" a="1"/>
  <c r="E351" i="24" s="1"/>
  <c r="E183" i="24" a="1"/>
  <c r="E183" i="24" s="1"/>
  <c r="E259" i="24" a="1"/>
  <c r="E259" i="24" s="1"/>
  <c r="E334" i="24" a="1"/>
  <c r="E334" i="24" s="1"/>
  <c r="E257" i="24" a="1"/>
  <c r="E257" i="24" s="1"/>
  <c r="E220" i="24" a="1"/>
  <c r="E220" i="24" s="1"/>
  <c r="E161" i="24" a="1"/>
  <c r="E161" i="24" s="1"/>
  <c r="E164" i="24" a="1"/>
  <c r="E164" i="24" s="1"/>
  <c r="E150" i="24" a="1"/>
  <c r="E150" i="24" s="1"/>
  <c r="E155" i="24" a="1"/>
  <c r="E155" i="24" s="1"/>
  <c r="E148" i="24" a="1"/>
  <c r="E148" i="24" s="1"/>
  <c r="H155" i="24"/>
  <c r="I155" i="24" s="1"/>
  <c r="D156" i="24"/>
  <c r="H156" i="24" s="1"/>
  <c r="I156" i="24" s="1"/>
  <c r="E116" i="24" a="1"/>
  <c r="E116" i="24" s="1"/>
  <c r="F29" i="24"/>
  <c r="F32" i="24" s="1"/>
  <c r="F33" i="24" s="1"/>
  <c r="G29" i="24"/>
  <c r="G32" i="24" s="1"/>
  <c r="G33" i="24" s="1"/>
  <c r="D20" i="24"/>
  <c r="H20" i="24" s="1"/>
  <c r="I20" i="24" s="1"/>
  <c r="H19" i="24"/>
  <c r="I19" i="24" s="1"/>
  <c r="D103" i="24"/>
  <c r="H103" i="24" s="1"/>
  <c r="I103" i="24" s="1"/>
  <c r="H104" i="24"/>
  <c r="I104" i="24" s="1"/>
  <c r="D107" i="24"/>
  <c r="H107" i="24" s="1"/>
  <c r="I107" i="24" s="1"/>
  <c r="E29" i="24"/>
  <c r="E32" i="24" s="1"/>
  <c r="E33" i="24" s="1"/>
  <c r="E131" i="24"/>
  <c r="H129" i="24"/>
  <c r="I129" i="24" s="1"/>
  <c r="D130" i="24"/>
  <c r="H130" i="24" s="1"/>
  <c r="I130" i="24" s="1"/>
  <c r="E128" i="24"/>
  <c r="E129" i="24" s="1"/>
  <c r="E130" i="24" s="1"/>
  <c r="G129" i="24"/>
  <c r="G130" i="24" s="1"/>
  <c r="F129" i="24"/>
  <c r="F130" i="24" s="1"/>
  <c r="D33" i="24"/>
  <c r="H33" i="24" s="1"/>
  <c r="I33" i="24" s="1"/>
  <c r="H32" i="24"/>
  <c r="I32" i="24" s="1"/>
  <c r="E93" i="24"/>
  <c r="F67" i="24"/>
  <c r="H93" i="24"/>
  <c r="I93" i="24" s="1"/>
  <c r="D95" i="24"/>
  <c r="H95" i="24" s="1"/>
  <c r="I95" i="24" s="1"/>
  <c r="D94" i="24"/>
  <c r="H94" i="24" s="1"/>
  <c r="I94" i="24" s="1"/>
  <c r="H45" i="24"/>
  <c r="I45" i="24" s="1"/>
  <c r="D38" i="24"/>
  <c r="H38" i="24" s="1"/>
  <c r="I38" i="24" s="1"/>
  <c r="D39" i="24"/>
  <c r="H39" i="24" s="1"/>
  <c r="I39" i="24" s="1"/>
  <c r="D91" i="24"/>
  <c r="H91" i="24" s="1"/>
  <c r="I91" i="24" s="1"/>
  <c r="D92" i="24"/>
  <c r="H92" i="24" s="1"/>
  <c r="I92" i="24" s="1"/>
  <c r="H90" i="24"/>
  <c r="I90" i="24" s="1"/>
  <c r="G93" i="24"/>
  <c r="F45" i="24"/>
  <c r="E67" i="24"/>
  <c r="G45" i="24"/>
  <c r="D61" i="24"/>
  <c r="H61" i="24" s="1"/>
  <c r="I61" i="24" s="1"/>
  <c r="H67" i="24"/>
  <c r="I67" i="24" s="1"/>
  <c r="E45" i="24"/>
  <c r="F48" i="24"/>
  <c r="G67" i="24"/>
  <c r="E90" i="24"/>
  <c r="D22" i="24"/>
  <c r="H22" i="24" s="1"/>
  <c r="I22" i="24" s="1"/>
  <c r="H21" i="24"/>
  <c r="I21" i="24" s="1"/>
  <c r="F21" i="24"/>
  <c r="F11" i="24"/>
  <c r="G14" i="24"/>
  <c r="G19" i="24"/>
  <c r="G5" i="24"/>
  <c r="G21" i="24"/>
  <c r="D16" i="24"/>
  <c r="H16" i="24" s="1"/>
  <c r="I16" i="24" s="1"/>
  <c r="D15" i="24"/>
  <c r="H15" i="24" s="1"/>
  <c r="I15" i="24" s="1"/>
  <c r="H14" i="24"/>
  <c r="I14" i="24" s="1"/>
  <c r="F14" i="24"/>
  <c r="E14" i="24"/>
  <c r="E5" i="24"/>
  <c r="E19" i="24"/>
  <c r="E21" i="24"/>
  <c r="F19" i="24"/>
  <c r="F5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<sst xmlns="http://schemas.openxmlformats.org/spreadsheetml/2006/main" count="2536" uniqueCount="1156">
  <si>
    <t>Apples, Granny</t>
  </si>
  <si>
    <t>Apples, Gala</t>
  </si>
  <si>
    <t>Beets, Cut 25#</t>
  </si>
  <si>
    <t>Broccoli Crowns</t>
  </si>
  <si>
    <t>Broccoli 14 ct</t>
  </si>
  <si>
    <t>Broccoli Flor 6/3#</t>
  </si>
  <si>
    <t>Brussel Sprouts</t>
  </si>
  <si>
    <t>Cabbage, Bag</t>
  </si>
  <si>
    <t>Cabbage, Red</t>
  </si>
  <si>
    <t>Cabbage, Savoy</t>
  </si>
  <si>
    <t>Canteloupes</t>
  </si>
  <si>
    <t>Carrots,50#</t>
  </si>
  <si>
    <t>Carrots, Baby 30/1#</t>
  </si>
  <si>
    <t>Carrots, Rainbow</t>
  </si>
  <si>
    <t>Cauliflower</t>
  </si>
  <si>
    <t>Celery 30 ct</t>
  </si>
  <si>
    <t>Collards, Dozen</t>
  </si>
  <si>
    <t>Corn, Yellow</t>
  </si>
  <si>
    <t>Grapes, Red SL</t>
  </si>
  <si>
    <t>Grapes, White SL</t>
  </si>
  <si>
    <t>Honeydews</t>
  </si>
  <si>
    <t>Jicama</t>
  </si>
  <si>
    <t>Kale</t>
  </si>
  <si>
    <t>Kiwi, Bulk</t>
  </si>
  <si>
    <t>Lemons, 140</t>
  </si>
  <si>
    <t>Mangoes</t>
  </si>
  <si>
    <t>Mushroom, Crimini</t>
  </si>
  <si>
    <t>Mushroom, 10#</t>
  </si>
  <si>
    <t>Napa</t>
  </si>
  <si>
    <t>Onions, Red 25#</t>
  </si>
  <si>
    <t>Onions, Yellow 50#</t>
  </si>
  <si>
    <t>Oranges, 113 ct</t>
  </si>
  <si>
    <t>Oranges, 125 ct</t>
  </si>
  <si>
    <t>Parsnips, 25#</t>
  </si>
  <si>
    <t>Pears, Bosc</t>
  </si>
  <si>
    <t>Pears, Green</t>
  </si>
  <si>
    <t>Peppers, Green</t>
  </si>
  <si>
    <t>Peppers, Red</t>
  </si>
  <si>
    <t>Peppers, Yellow</t>
  </si>
  <si>
    <t>Pineapples</t>
  </si>
  <si>
    <t>Potatoes, 90 ct</t>
  </si>
  <si>
    <t>Potatoes, Red A</t>
  </si>
  <si>
    <t>Potatoes, Sweet JBO</t>
  </si>
  <si>
    <t>Tomatoes, Roma</t>
  </si>
  <si>
    <t>Tomatoes, Grape</t>
  </si>
  <si>
    <t>Tomatoes, Cherry</t>
  </si>
  <si>
    <t>Tomatoes, 5x6</t>
  </si>
  <si>
    <t>Turnips, Cut 25#</t>
  </si>
  <si>
    <t>Radishes, 40#</t>
  </si>
  <si>
    <t>Rutabags</t>
  </si>
  <si>
    <t>Sno Peas 10#</t>
  </si>
  <si>
    <t>Squash, Acorn</t>
  </si>
  <si>
    <t>Squash, Butternut</t>
  </si>
  <si>
    <t>Squash, Yellow 1/2</t>
  </si>
  <si>
    <t>Squash, Yellow Full</t>
  </si>
  <si>
    <t>Squash, Zuke 1/2</t>
  </si>
  <si>
    <t>Squash, Zuke Full</t>
  </si>
  <si>
    <t>Sugar Snaps</t>
  </si>
  <si>
    <t xml:space="preserve">Strawberries </t>
  </si>
  <si>
    <t>Watermelon, (IND)</t>
  </si>
  <si>
    <t>SQUASH, SLICED (20# CASE)</t>
  </si>
  <si>
    <t>STRAWBERRIES, TRIMMED (50 X 2oz)</t>
  </si>
  <si>
    <t>BROCCOLI FLORETS (6x3#CASE)</t>
  </si>
  <si>
    <t>BRUSSELS SPROUT, TRIMMED &amp; HALVED (4 X 5# CASE)</t>
  </si>
  <si>
    <t>CANTALOUPE, CUBED (50 X 2.7oz)</t>
  </si>
  <si>
    <t>CANTALOUPE CUBED (5# CASE)</t>
  </si>
  <si>
    <t>CANTALOUPE, HALVED (5#CASE)</t>
  </si>
  <si>
    <t>CANTALOUPE, SLICED (10# CASE)</t>
  </si>
  <si>
    <t>CARROT, STICKS SNAKPAK (50X2oz)</t>
  </si>
  <si>
    <t>CARROT STICKS (10# CASE)</t>
  </si>
  <si>
    <t>CARROT, STICKS (BWW)(4 X 5# CASE)</t>
  </si>
  <si>
    <t>BABY CARROTS (50/2oz) W/ LIGHT RANCH</t>
  </si>
  <si>
    <t>CABBAGE, CHOPPED (20# CASE)</t>
  </si>
  <si>
    <t>CORN, SHUCKED (4 X 12)</t>
  </si>
  <si>
    <t>CORN SHUCKED &amp; CUT (1 BUSH)</t>
  </si>
  <si>
    <t>CHERRY TOMATOES SNAKPAK (50 X 2oz)</t>
  </si>
  <si>
    <t>CHERRY TOMATOES SNAKPAK (50 X 2oz) W/ LIGHT RANCH</t>
  </si>
  <si>
    <t>CUCUMBER, DICED (2 X 5# CASE)</t>
  </si>
  <si>
    <t>CUCUMBER, SLICED (2 X 5# CASE)</t>
  </si>
  <si>
    <t>PEPPER, GREEN, DICED, (10# CASE)</t>
  </si>
  <si>
    <t>PEPPERS, DICED, TRI COLOR, (10# CASE)</t>
  </si>
  <si>
    <t>PEPPER, GREEN DICED (5# TRAY)</t>
  </si>
  <si>
    <t>PEPPER, YELLOW DICED (10# TRAY)</t>
  </si>
  <si>
    <t>PEPPER, RED, DICED (10# TRAY)</t>
  </si>
  <si>
    <t>TOMATOES, DICED (10# CASE)</t>
  </si>
  <si>
    <t>TOMATOES, DICED (5# CASE)</t>
  </si>
  <si>
    <t>PEPPER, DICED YELLOW(5# CASE)</t>
  </si>
  <si>
    <t>FRUIT MIXED (5# CASE)</t>
  </si>
  <si>
    <t>FAJITA MIX, PEPPER &amp; ONION, JULIENNE (2 X 5) (10# CASE)</t>
  </si>
  <si>
    <t>FRUIT TRAY (5# CASE)</t>
  </si>
  <si>
    <t>HONEYDEW, HALVED (5# CASE)</t>
  </si>
  <si>
    <t>HONEYDEW, CUBED, (50 X 2.7oz)</t>
  </si>
  <si>
    <t>PEPPER, GREEN JULIENNE, (10# TRAY)</t>
  </si>
  <si>
    <t>PEPPER, GREEN, JULIENNE (20# CASE)</t>
  </si>
  <si>
    <t>PEPPER, JUL GREEN (5# CASE)</t>
  </si>
  <si>
    <t>PEPPERS, JULIENNE, TRI COLOR, (10# CASE)</t>
  </si>
  <si>
    <t>PEPPER, RED JULIENNE (10# TRAY)</t>
  </si>
  <si>
    <t>PEPPER, YELLOW JULIENNE (10# TRAY)</t>
  </si>
  <si>
    <t>KIWI, PEELED &amp; SLICED (5# CASE)</t>
  </si>
  <si>
    <t>KIWI, WEDGED SNAKPAK (50 X 2oz)</t>
  </si>
  <si>
    <t>LEMON WEDGES, (2 X 5# CASE)</t>
  </si>
  <si>
    <t>POTATOES, QUARTERED (20# CASE)</t>
  </si>
  <si>
    <t>POTATO, QUARTERED RED (20# CASE)</t>
  </si>
  <si>
    <t>RAW FRIES (20# CASE)</t>
  </si>
  <si>
    <t>ONIONS, RED JULIENNE (20# CASE)</t>
  </si>
  <si>
    <t>ONIONS, RED SLICED (10# CASE)</t>
  </si>
  <si>
    <t>CABBAGE, SHRED RED (20# CASE)</t>
  </si>
  <si>
    <t>TOMATOES, SLICED (10# CASE)</t>
  </si>
  <si>
    <t>ONIONS, YELLOW DICED (20# CASE)</t>
  </si>
  <si>
    <t>ONIONS, YELLOW JULIENNE (20# CASE)</t>
  </si>
  <si>
    <t>ONIONS, YELLOW PEELED (20# CASE)</t>
  </si>
  <si>
    <t>ONIONS, YELLOW SLICED (10# CASE)</t>
  </si>
  <si>
    <t>ZUCCHINI SLICED (20# CASE)</t>
  </si>
  <si>
    <t>POTATOES, WHOLE PEELED (20# CASE)</t>
  </si>
  <si>
    <t>NAPA CABBAGE, SHREDDED (4 X 5)</t>
  </si>
  <si>
    <t>ORANGE SLICES, (2 X 5# TRAY)</t>
  </si>
  <si>
    <t>ORANGE WEDGE SNAKPAK (50 X 4.7oz.)</t>
  </si>
  <si>
    <t>PAPAYA, CHUNKS SNAKPAK (50/2oz)</t>
  </si>
  <si>
    <t>PARSNIP, PEEL &amp; DICED (10# CASE)</t>
  </si>
  <si>
    <t>PICO DE GALLO (2 x 1 GAL/CASE)</t>
  </si>
  <si>
    <t>PEARS, WEDGED (100 X 2oz)</t>
  </si>
  <si>
    <t>PEARS, WEDGED (50 X 2oz)</t>
  </si>
  <si>
    <t>PINEAPPLE, HALVED (5# CASE)</t>
  </si>
  <si>
    <t>PINEAPPLE CUT (5# CASE)</t>
  </si>
  <si>
    <t>PINEAPPLE, SLICED (10# CASE)</t>
  </si>
  <si>
    <t>POTATOES, DICED (20# CASE)</t>
  </si>
  <si>
    <t>POTATOES, DICED (10# BAG)</t>
  </si>
  <si>
    <t>POTATO, DICED, SKIN ON (20# CASE)</t>
  </si>
  <si>
    <t>POTATOES, HASH BROWN (20# CASE)</t>
  </si>
  <si>
    <t>POTATOES, RED QUARTERED (10# BAG)</t>
  </si>
  <si>
    <t>POTATOES, SLICED (20# CASE)</t>
  </si>
  <si>
    <t>POTATOES, SLICED (10# BAG)</t>
  </si>
  <si>
    <t>POTATO, WEDGES (20# CASE)</t>
  </si>
  <si>
    <t>POTATOES, WHOLE PEELED (10# BAG)</t>
  </si>
  <si>
    <t>PEPPER STICKS, SNAKPAK (50 X 2oz)</t>
  </si>
  <si>
    <t>PEPPER STICK, RED, YELLOW, (50 X 2oz)</t>
  </si>
  <si>
    <t>RADISH, MATCHSTICKS, SNAKPAK (50 X 2oz)</t>
  </si>
  <si>
    <t>RADISH, MATCHSTICKS, SNAKPAK (50 X 2oz) W/ LIGHT RANCH</t>
  </si>
  <si>
    <t>ONIONS, RED SLICED (20# CASE)</t>
  </si>
  <si>
    <t>RAW FRIES (10# BAG)</t>
  </si>
  <si>
    <t>ONIONS, RED DICED (20# CASE)</t>
  </si>
  <si>
    <t>ONIONS, RED DICED (5# BAG)</t>
  </si>
  <si>
    <t>ONIONS, RED JULIENNE (10# CASE)</t>
  </si>
  <si>
    <t>ONIONS, RED JULIENNE (5# BAG)</t>
  </si>
  <si>
    <t>ONIONS, RED PEELED (20# CASE)</t>
  </si>
  <si>
    <t>RUTABAGAS, DICED (20# CASE)</t>
  </si>
  <si>
    <t>ROOT VEGETABLES, MIXED (4 X 3# CS)</t>
  </si>
  <si>
    <t>SUGAR SNAPS, SNAKPAK  (50 X 2oz)</t>
  </si>
  <si>
    <t>SUGAR SNAPS, SNAKPAK (50 X 2oz) W/ LIGHT RANCH</t>
  </si>
  <si>
    <t>CRIMINI, SLICED (5# CASE)</t>
  </si>
  <si>
    <t>SWEET POTATOES, DICED (20# CASE)</t>
  </si>
  <si>
    <t>SWEET POTATOES, PEELED (20# CASE)</t>
  </si>
  <si>
    <t>SWEET POTATO, PEELED, DICED (20# CASE)</t>
  </si>
  <si>
    <t>SWEET POTATOES, PEELED, QUARTERED (20# CASE)</t>
  </si>
  <si>
    <t>SWEET POTATO, PEELED &amp; SHRED (20# CASE)</t>
  </si>
  <si>
    <t>SWEET POTATO, PEELED STICKS (20# CASE)</t>
  </si>
  <si>
    <t>SWEET POTATO, WEDGES (20# CASE)</t>
  </si>
  <si>
    <t>SQUASH, HALF-MOON (50 X 2oz)</t>
  </si>
  <si>
    <t>SQUASH, HALFMOON (50 X 2 oz) W/ LIGHT RANCH</t>
  </si>
  <si>
    <t>SQUASH, JULIENNE, (2 X 5# BAG)</t>
  </si>
  <si>
    <t>SQUASH, SLICED (5# BAG)</t>
  </si>
  <si>
    <t>STRAWBERRIES, TRIMMED, WASHED (5# TRAY)</t>
  </si>
  <si>
    <t>STRAWBERRIES, SLICED (5# CASE)</t>
  </si>
  <si>
    <t>SWEET POTATO STICKS, SNAKPAK (100 X 2oz)</t>
  </si>
  <si>
    <t>SWEET POTATO STICKS, SNAKPAK (50 X 2oz)</t>
  </si>
  <si>
    <t>SWEET POTATO STICKS, SNAKPAK (50 X 2oz) W/ LIGHT RANCH</t>
  </si>
  <si>
    <t>TANGERINE WEDGE SNAKPAK (50 X 3.5oz)</t>
  </si>
  <si>
    <t>TURNIP GREENS, CHOPPED (6 X 2#)</t>
  </si>
  <si>
    <t>TURNIP STICKS SNAKPAK (50 X 2oz) W/ LIGHT RANCH</t>
  </si>
  <si>
    <t>TURNIP, DICED, (20# CASE)</t>
  </si>
  <si>
    <t>WATERMELON, SNAKPAK, (50 X 2oz)</t>
  </si>
  <si>
    <t>WATERMELON, CUT (5# CASE)</t>
  </si>
  <si>
    <t>ONIONS, YELLOW DICED (10# CASE)</t>
  </si>
  <si>
    <t>ONIONS, YELLOW JULIENNE (10# CASE)</t>
  </si>
  <si>
    <t>ONIONS, YELLOW SLICED (20# CASE)</t>
  </si>
  <si>
    <t>ONIONS, SLICED, (5# TUB)</t>
  </si>
  <si>
    <t>ZUCHHINI, SLICED (50 X 2oz)</t>
  </si>
  <si>
    <t>ZUCHHINI, SLICED W/ RANCH (50 X 2oz)</t>
  </si>
  <si>
    <t>CABBAGE, DICED ZESTO (20# CASE)</t>
  </si>
  <si>
    <t>ZUCCHINI, DICED (2 X 5# TRAYS)</t>
  </si>
  <si>
    <t>ZUCCHINI, JULIENNE, (2 X 5# BAG)</t>
  </si>
  <si>
    <t>AC</t>
  </si>
  <si>
    <t>APD</t>
  </si>
  <si>
    <t>APP100</t>
  </si>
  <si>
    <t>APP50</t>
  </si>
  <si>
    <t>APPG100</t>
  </si>
  <si>
    <t>APPGR</t>
  </si>
  <si>
    <t>BB</t>
  </si>
  <si>
    <t>BD</t>
  </si>
  <si>
    <t>BET</t>
  </si>
  <si>
    <t>BF</t>
  </si>
  <si>
    <t>BFW</t>
  </si>
  <si>
    <t>BROF</t>
  </si>
  <si>
    <t>BROF63</t>
  </si>
  <si>
    <t>BRS</t>
  </si>
  <si>
    <t>BRU</t>
  </si>
  <si>
    <t>BRUH</t>
  </si>
  <si>
    <t>C</t>
  </si>
  <si>
    <t>CAN50</t>
  </si>
  <si>
    <t>CANC</t>
  </si>
  <si>
    <t>CANH</t>
  </si>
  <si>
    <t>CANSL</t>
  </si>
  <si>
    <t>CAR50</t>
  </si>
  <si>
    <t>CARD</t>
  </si>
  <si>
    <t>CARST</t>
  </si>
  <si>
    <t>CARST10</t>
  </si>
  <si>
    <t>CARSTBW</t>
  </si>
  <si>
    <t>CB100</t>
  </si>
  <si>
    <t>CB50</t>
  </si>
  <si>
    <t>CB50W</t>
  </si>
  <si>
    <t>CCAR50</t>
  </si>
  <si>
    <t>CCAR50W</t>
  </si>
  <si>
    <t>CCARR</t>
  </si>
  <si>
    <t>CCARR50</t>
  </si>
  <si>
    <t>CCARR50W</t>
  </si>
  <si>
    <t>CCCAR</t>
  </si>
  <si>
    <t>CCCAR10</t>
  </si>
  <si>
    <t>CE5</t>
  </si>
  <si>
    <t>CE5W</t>
  </si>
  <si>
    <t>CELD</t>
  </si>
  <si>
    <t>CELD10</t>
  </si>
  <si>
    <t>CELST</t>
  </si>
  <si>
    <t>CF50W</t>
  </si>
  <si>
    <t>CFL</t>
  </si>
  <si>
    <t>CHCAB</t>
  </si>
  <si>
    <t>COL</t>
  </si>
  <si>
    <t>CORN</t>
  </si>
  <si>
    <t>CORNHALF</t>
  </si>
  <si>
    <t>CT</t>
  </si>
  <si>
    <t>CTW</t>
  </si>
  <si>
    <t>CU5</t>
  </si>
  <si>
    <t>CU5W</t>
  </si>
  <si>
    <t>CUKD10</t>
  </si>
  <si>
    <t>CUKS10</t>
  </si>
  <si>
    <t>DCAR10</t>
  </si>
  <si>
    <t>DP10</t>
  </si>
  <si>
    <t>DP10M</t>
  </si>
  <si>
    <t>DP5</t>
  </si>
  <si>
    <t>DPY</t>
  </si>
  <si>
    <t>DRA</t>
  </si>
  <si>
    <t>DRP</t>
  </si>
  <si>
    <t>DT</t>
  </si>
  <si>
    <t>DT5</t>
  </si>
  <si>
    <t>DYP</t>
  </si>
  <si>
    <t>FF</t>
  </si>
  <si>
    <t>FM</t>
  </si>
  <si>
    <t>FM10</t>
  </si>
  <si>
    <t>FMJ</t>
  </si>
  <si>
    <t>FTRAY</t>
  </si>
  <si>
    <t>GP</t>
  </si>
  <si>
    <t>GP50</t>
  </si>
  <si>
    <t>GPL</t>
  </si>
  <si>
    <t>GRW</t>
  </si>
  <si>
    <t>GT</t>
  </si>
  <si>
    <t>GTW</t>
  </si>
  <si>
    <t>GW</t>
  </si>
  <si>
    <t>HH</t>
  </si>
  <si>
    <t>HO50</t>
  </si>
  <si>
    <t>HON</t>
  </si>
  <si>
    <t>HONS</t>
  </si>
  <si>
    <t>JP10</t>
  </si>
  <si>
    <t>JP20</t>
  </si>
  <si>
    <t>JP5</t>
  </si>
  <si>
    <t>JPM</t>
  </si>
  <si>
    <t>JPR</t>
  </si>
  <si>
    <t>JPY</t>
  </si>
  <si>
    <t>JSH2/5</t>
  </si>
  <si>
    <t>JSP</t>
  </si>
  <si>
    <t>JSPW</t>
  </si>
  <si>
    <t>KI5</t>
  </si>
  <si>
    <t>KI50</t>
  </si>
  <si>
    <t>LEM2/5</t>
  </si>
  <si>
    <t>MANG</t>
  </si>
  <si>
    <t>NAPA, SHRED</t>
  </si>
  <si>
    <t>OSL</t>
  </si>
  <si>
    <t>OW</t>
  </si>
  <si>
    <t>PAPSP</t>
  </si>
  <si>
    <t>PARD</t>
  </si>
  <si>
    <t>PARS</t>
  </si>
  <si>
    <t>PCAR</t>
  </si>
  <si>
    <t>PDG2/1</t>
  </si>
  <si>
    <t>PE100</t>
  </si>
  <si>
    <t>PE50</t>
  </si>
  <si>
    <t>PH</t>
  </si>
  <si>
    <t>PINC</t>
  </si>
  <si>
    <t>PINSL</t>
  </si>
  <si>
    <t>POTD</t>
  </si>
  <si>
    <t>POTDB</t>
  </si>
  <si>
    <t>POTDSO</t>
  </si>
  <si>
    <t>POTHB</t>
  </si>
  <si>
    <t>POTQ</t>
  </si>
  <si>
    <t>POTQR</t>
  </si>
  <si>
    <t>POTQRB</t>
  </si>
  <si>
    <t>POTSL</t>
  </si>
  <si>
    <t>POTSLB</t>
  </si>
  <si>
    <t>POTWED</t>
  </si>
  <si>
    <t>POTWP</t>
  </si>
  <si>
    <t>POTWPB</t>
  </si>
  <si>
    <t>PS</t>
  </si>
  <si>
    <t>PSTK</t>
  </si>
  <si>
    <t>PSTK100</t>
  </si>
  <si>
    <t>R</t>
  </si>
  <si>
    <t>RAD5</t>
  </si>
  <si>
    <t>RADS</t>
  </si>
  <si>
    <t>RADSH</t>
  </si>
  <si>
    <t>RF</t>
  </si>
  <si>
    <t>RFB</t>
  </si>
  <si>
    <t>ROND</t>
  </si>
  <si>
    <t>RONDB</t>
  </si>
  <si>
    <t>RONJ</t>
  </si>
  <si>
    <t>RONJ10</t>
  </si>
  <si>
    <t>RONJB</t>
  </si>
  <si>
    <t>RONP</t>
  </si>
  <si>
    <t>RONR5</t>
  </si>
  <si>
    <t>RONSL</t>
  </si>
  <si>
    <t>RONSL10</t>
  </si>
  <si>
    <t>RUTD</t>
  </si>
  <si>
    <t>RV</t>
  </si>
  <si>
    <t>S5</t>
  </si>
  <si>
    <t>S5W</t>
  </si>
  <si>
    <t>SC5</t>
  </si>
  <si>
    <t>SHCAR</t>
  </si>
  <si>
    <t>SLAW</t>
  </si>
  <si>
    <t>SLAW50/50</t>
  </si>
  <si>
    <t>SLAWD</t>
  </si>
  <si>
    <t>SLAWF</t>
  </si>
  <si>
    <t>SPD</t>
  </si>
  <si>
    <t>SPP</t>
  </si>
  <si>
    <t>SPPD</t>
  </si>
  <si>
    <t>SPPQ</t>
  </si>
  <si>
    <t>SPSH</t>
  </si>
  <si>
    <t>SPST</t>
  </si>
  <si>
    <t>SPW</t>
  </si>
  <si>
    <t>SQ50</t>
  </si>
  <si>
    <t>SQ50W</t>
  </si>
  <si>
    <t>SQJ</t>
  </si>
  <si>
    <t>SQS</t>
  </si>
  <si>
    <t>SQSB</t>
  </si>
  <si>
    <t>SR</t>
  </si>
  <si>
    <t>ST</t>
  </si>
  <si>
    <t>STR</t>
  </si>
  <si>
    <t>STR50</t>
  </si>
  <si>
    <t>STRS</t>
  </si>
  <si>
    <t>SW100</t>
  </si>
  <si>
    <t>SW50</t>
  </si>
  <si>
    <t>SW5W</t>
  </si>
  <si>
    <t>TANG</t>
  </si>
  <si>
    <t>TC</t>
  </si>
  <si>
    <t>TS</t>
  </si>
  <si>
    <t>TSW</t>
  </si>
  <si>
    <t>TURND</t>
  </si>
  <si>
    <t>W50</t>
  </si>
  <si>
    <t>WAC</t>
  </si>
  <si>
    <t>WR</t>
  </si>
  <si>
    <t>YOND</t>
  </si>
  <si>
    <t>YOND10</t>
  </si>
  <si>
    <t>YONJ</t>
  </si>
  <si>
    <t>YONJ10</t>
  </si>
  <si>
    <t>YONP</t>
  </si>
  <si>
    <t>YONSL</t>
  </si>
  <si>
    <t>YONSL10</t>
  </si>
  <si>
    <t>YONT</t>
  </si>
  <si>
    <t>Z50</t>
  </si>
  <si>
    <t>Z50W</t>
  </si>
  <si>
    <t>ZES</t>
  </si>
  <si>
    <t>ZUD10</t>
  </si>
  <si>
    <t>ZUJ</t>
  </si>
  <si>
    <t>ZUS</t>
  </si>
  <si>
    <t>ZUS5</t>
  </si>
  <si>
    <t>ZUCCHINI, SLICED (5# CASE)</t>
  </si>
  <si>
    <t>DESCRIPTION</t>
  </si>
  <si>
    <t>ITEM CODE</t>
  </si>
  <si>
    <t>CASE WT</t>
  </si>
  <si>
    <t>LABOR</t>
  </si>
  <si>
    <t>PACKAGING</t>
  </si>
  <si>
    <t>UNIT COST</t>
  </si>
  <si>
    <t>LABOR HOUR</t>
  </si>
  <si>
    <t>PACKAGING TYPE</t>
  </si>
  <si>
    <t>4/5 NEW KRAFT</t>
  </si>
  <si>
    <t>BOX COST</t>
  </si>
  <si>
    <t>BAG COST</t>
  </si>
  <si>
    <t>LABELS / TAPE</t>
  </si>
  <si>
    <t>TOTAL COST</t>
  </si>
  <si>
    <t>2/5 TUB</t>
  </si>
  <si>
    <t>1/5 TUB</t>
  </si>
  <si>
    <t>2/10 NEW KRAFT</t>
  </si>
  <si>
    <t>Product</t>
  </si>
  <si>
    <t>Price</t>
  </si>
  <si>
    <t>Packaging Type</t>
  </si>
  <si>
    <t>Base Product</t>
  </si>
  <si>
    <t>Yield (LB/Prod)</t>
  </si>
  <si>
    <t>Cost/LB (Price/Yield)</t>
  </si>
  <si>
    <t>Ranch?</t>
  </si>
  <si>
    <t>No</t>
  </si>
  <si>
    <t>Yes</t>
  </si>
  <si>
    <t>Snakpak</t>
  </si>
  <si>
    <t>Snakpak or Foodservice?</t>
  </si>
  <si>
    <t>Foodservice</t>
  </si>
  <si>
    <t>25% Rounded</t>
  </si>
  <si>
    <t>30% Rounded</t>
  </si>
  <si>
    <t>35% Rounded</t>
  </si>
  <si>
    <t>40% Rounded</t>
  </si>
  <si>
    <t>4/3 TUB</t>
  </si>
  <si>
    <t>BUTTERNUT SQUASH DICED (20# CASE)</t>
  </si>
  <si>
    <t>BRUSSEL SPROUTS, SHREDDED</t>
  </si>
  <si>
    <t>Blueberries 1/2 Pint</t>
  </si>
  <si>
    <t>Blueberries 1 Pint</t>
  </si>
  <si>
    <t>2/5 FRUIT TRAY</t>
  </si>
  <si>
    <t>2/5 ONION TRAY</t>
  </si>
  <si>
    <t>1/5 FRUIT TRAY</t>
  </si>
  <si>
    <t>1/5 ONION TRAY</t>
  </si>
  <si>
    <t>SNAKPAK 50CT</t>
  </si>
  <si>
    <t>SNAKPAK 100CT</t>
  </si>
  <si>
    <t>4/3 NEW KRAFT</t>
  </si>
  <si>
    <t>Papaya, 9ct</t>
  </si>
  <si>
    <t>Tangerine, 140ct</t>
  </si>
  <si>
    <t>KALE, SHREDDED (4 X 1# CASE)</t>
  </si>
  <si>
    <t>KAL</t>
  </si>
  <si>
    <t>CARROT STICKS (20# CASE)</t>
  </si>
  <si>
    <t>CUW5</t>
  </si>
  <si>
    <t>5# WHOLE PRODUCE</t>
  </si>
  <si>
    <t>ONIONS, YELLOW WHOLE (5# CASE)</t>
  </si>
  <si>
    <t>YOW5</t>
  </si>
  <si>
    <t>ONIONS, RED WHOLE (5# CASE)</t>
  </si>
  <si>
    <t>ROW5</t>
  </si>
  <si>
    <t>PEPPER, GREEN WHOLE (5# CASE)</t>
  </si>
  <si>
    <t>GPW5</t>
  </si>
  <si>
    <t>RPW5</t>
  </si>
  <si>
    <t>PEPPER, RED WHOLE (5# CASE)</t>
  </si>
  <si>
    <t>8ct FRUIT CUPS</t>
  </si>
  <si>
    <t>SNAKPAK 50CT 10# TRAY</t>
  </si>
  <si>
    <t>GAV</t>
  </si>
  <si>
    <t>Guava</t>
  </si>
  <si>
    <t>KUM</t>
  </si>
  <si>
    <t>BO</t>
  </si>
  <si>
    <t>KUMQUAT WHOLE, (50 X 2oz)</t>
  </si>
  <si>
    <t>Ugly Fruit 30#</t>
  </si>
  <si>
    <t>UGLY FRUIT  WEDGE SNAKPAK (50 X 3.5oz)</t>
  </si>
  <si>
    <t>UF</t>
  </si>
  <si>
    <t>ONIONS, YELLOW THIN SLICED (5# CASE)</t>
  </si>
  <si>
    <t>LYONT</t>
  </si>
  <si>
    <t>Dragon Fruit 10#</t>
  </si>
  <si>
    <t>DF50</t>
  </si>
  <si>
    <t xml:space="preserve"> </t>
  </si>
  <si>
    <t>CIL</t>
  </si>
  <si>
    <t>Cilantro 60ct</t>
  </si>
  <si>
    <t>Beets, Candystripe 25#</t>
  </si>
  <si>
    <t>BE50</t>
  </si>
  <si>
    <t>Kumquat, Bulk 10#</t>
  </si>
  <si>
    <t>GB50</t>
  </si>
  <si>
    <t>Pico De Gallo</t>
  </si>
  <si>
    <t>Carrots, Baby Slims 4/5#</t>
  </si>
  <si>
    <t>Green Beans 10#</t>
  </si>
  <si>
    <t>Oranges, Blood 88ct 40#</t>
  </si>
  <si>
    <t>Cucumber, Select</t>
  </si>
  <si>
    <t>Bok Choy</t>
  </si>
  <si>
    <t>BOK CHOY, CHOPPED (4 X 5# CASE)</t>
  </si>
  <si>
    <t>BC</t>
  </si>
  <si>
    <t>Jalapenos</t>
  </si>
  <si>
    <t>JALAPENO, SLICED (2X5#CASE)</t>
  </si>
  <si>
    <t>JS</t>
  </si>
  <si>
    <t>GREEN ONION, SLICED, (2X5#CASE)</t>
  </si>
  <si>
    <t>GRO10</t>
  </si>
  <si>
    <t>Onions, Green 4x2#</t>
  </si>
  <si>
    <t>MIKE</t>
  </si>
  <si>
    <t>CARROTS, BABY, (50 X 2oz)</t>
  </si>
  <si>
    <t>ONIONS, RED RINGS (2# BAG)</t>
  </si>
  <si>
    <t>AS50</t>
  </si>
  <si>
    <t>Asparagus, 11# standard</t>
  </si>
  <si>
    <t>Beans, Various, #10 can</t>
  </si>
  <si>
    <t>BEANS, VARIOUS (50 x 2oz)</t>
  </si>
  <si>
    <t>BEAN50</t>
  </si>
  <si>
    <t>Cost/Oz</t>
  </si>
  <si>
    <t>Item 1</t>
  </si>
  <si>
    <t>Item 2</t>
  </si>
  <si>
    <t>Combined Unit Cost</t>
  </si>
  <si>
    <t>25% Markup</t>
  </si>
  <si>
    <t>30% Markup</t>
  </si>
  <si>
    <t>35% Markup</t>
  </si>
  <si>
    <t>40% Markup</t>
  </si>
  <si>
    <t>Item Name</t>
  </si>
  <si>
    <t>$15.00 for Ranch</t>
  </si>
  <si>
    <t>$18.40/ 100 cups cost</t>
  </si>
  <si>
    <t>JALAPENO, WHOLE, (5# CASE)</t>
  </si>
  <si>
    <t>CELERY  / GRAPE TOMATOES (50 X 2oz)</t>
  </si>
  <si>
    <t>CELERY / PEARS (50 X 2oz)</t>
  </si>
  <si>
    <t>CELERY /  RED GRAPES (50 X 2.5oz)</t>
  </si>
  <si>
    <t>GRAPE TOMATO / RED GRAPE (50 X 2.5oz)</t>
  </si>
  <si>
    <t>BROCCOLI / GRAPE TOMATO (50 X 2oz)</t>
  </si>
  <si>
    <t>CARROT /  BROCCOLI (50 X 2oz)</t>
  </si>
  <si>
    <t>GRAPE TOMATO / MANGO (50 X 2oz)</t>
  </si>
  <si>
    <t>MANGO, CHUNKS (50x2oz)</t>
  </si>
  <si>
    <t>APPLE / CARROT (50 X 2oz)</t>
  </si>
  <si>
    <t>APPLE / CELERY (50/2oz)</t>
  </si>
  <si>
    <t>BROCCOLI / CAULIFLOWER (50 X 2oz)</t>
  </si>
  <si>
    <t>APPLE / RED GRAPE (50 X 2.3oz)</t>
  </si>
  <si>
    <t>APPLE / PEAR (50/2oz)</t>
  </si>
  <si>
    <t>CANTALOUPE / HONEYDEW (50 X 2.7oz)</t>
  </si>
  <si>
    <t>JICAMA / MANGO (50 X 2oz)</t>
  </si>
  <si>
    <t>JICAMA / PINEAPPLE (50 X 2.3oz)</t>
  </si>
  <si>
    <t>PINEAPPLE  (50 X 2.3oz)</t>
  </si>
  <si>
    <t>APPLE / TURNIP (50/2oz)</t>
  </si>
  <si>
    <t>TURNIP STICKS (50 X 2oz)</t>
  </si>
  <si>
    <t>CUCUMBER /  PINEAPPLE (50 X 2.3oz)</t>
  </si>
  <si>
    <t>JW5</t>
  </si>
  <si>
    <t>APPLE, GREEN WEDGES (4 X 3)</t>
  </si>
  <si>
    <t>APPLE, RED WEDGES (50 X 2oz)</t>
  </si>
  <si>
    <t>APPLE, RED WEDGES (100 X 2oz)</t>
  </si>
  <si>
    <t>APPLE, GREEN WEDGES (50 X 2oz)</t>
  </si>
  <si>
    <t>APPLE, GREEN WEDGES (100 X 2oz)</t>
  </si>
  <si>
    <t>ASPARAGUS STICKS (50 X 2oz)</t>
  </si>
  <si>
    <t>BABY CARROTS  (100 X 2oz)</t>
  </si>
  <si>
    <t>BABY CARROTS  (50 X 2oz)</t>
  </si>
  <si>
    <t>BEETS, DICED (2X5#CASE)</t>
  </si>
  <si>
    <t>APPLE, GREEN DICED (4X5# CASE)</t>
  </si>
  <si>
    <t>APPLE, RED DICED (4X5# CASE)</t>
  </si>
  <si>
    <t>APPLE, RED WEDGES (4X3#CASE)</t>
  </si>
  <si>
    <t>ACORN SQUASH, DICED  (4X5#CASE)</t>
  </si>
  <si>
    <t>BEETS, CANDYSTRIPE (50 X 2oz)</t>
  </si>
  <si>
    <t>BLOOD ORANGE WEDGES (50 X 3.5oz)</t>
  </si>
  <si>
    <t>BLUEBERRIES  (50 X 2oz)</t>
  </si>
  <si>
    <t xml:space="preserve">BROCCOLI FLORET  (50 X 2oz) </t>
  </si>
  <si>
    <t>BROCCOLI FLORET  (50 X 2oz) W/  LIGHT RANCH</t>
  </si>
  <si>
    <t>BROCCOLI FLORETS (4X3# CASE)</t>
  </si>
  <si>
    <t>BROCCOLI SLAW (4X3#CASE)</t>
  </si>
  <si>
    <t>GRAPES, RED  (50 X 3oz)</t>
  </si>
  <si>
    <t>GRAPES, RED  (100 X 3oz)</t>
  </si>
  <si>
    <t>GRAPES, RED  (5# CASE)</t>
  </si>
  <si>
    <t>CARROTS, RAINBOW COINS  (50 X 2oz)</t>
  </si>
  <si>
    <t>CARROTS, RAINBOW COINS  (100 X 2oz)</t>
  </si>
  <si>
    <t>CARROTS, RAINBOW COINS (50 X 2oz) W/ LIGHT RANCH</t>
  </si>
  <si>
    <t>CARROTS, COINS  (50 X 2oz)</t>
  </si>
  <si>
    <t>CARROTS, COINS  (50 X 2oz) W/ LIGHT RANCH</t>
  </si>
  <si>
    <t>CAULIFLOWER FLORET  (50 X 2oz)</t>
  </si>
  <si>
    <t>CAULIFLOWER FLORET  (50 X 2oz) W/ LIGHT RANCH</t>
  </si>
  <si>
    <t>CELERY STICKS  (50 X 2oz)</t>
  </si>
  <si>
    <t>CELERY STICKS  (50 X 2oz) W/ LIGHT RANCH</t>
  </si>
  <si>
    <t>CARROTS, MATCHSTICK (4X5# CASE)</t>
  </si>
  <si>
    <t>CARROTS, COINS  (2X5# CASE)</t>
  </si>
  <si>
    <t>CARROTS, COINS (4X5# CASE)</t>
  </si>
  <si>
    <t>CARROTS, DICED (2X5# CASE)</t>
  </si>
  <si>
    <t>CARROTS, DICED (4X5#  CASE)</t>
  </si>
  <si>
    <t>CARROTS, PEELED (4X5# CASE)</t>
  </si>
  <si>
    <t>CAULIFLOWER FLORETS (4X3# CASE)</t>
  </si>
  <si>
    <t>CELERY STICKS (4X5# CASE)</t>
  </si>
  <si>
    <t>CELERY, DICED (2X5# CASE)</t>
  </si>
  <si>
    <t>CELERY, DICED (4X5# CASE)</t>
  </si>
  <si>
    <t>CILANTRO, CLEAN &amp; TRIM (4X1# CASE)</t>
  </si>
  <si>
    <t>COLESLAW, DICED (4X5# CASE)</t>
  </si>
  <si>
    <t>COLESLAW, FINE SHREDDED, (4X5# CASE)</t>
  </si>
  <si>
    <t>COLESLAW, SAVOY BLEND (2X5# CASE)</t>
  </si>
  <si>
    <t>COLESLAW, SHREDDED MIX (4X5# CASE)</t>
  </si>
  <si>
    <t>COLLARDS, CLEANED/CUT (6X2# CASE)</t>
  </si>
  <si>
    <t>CUCUMBER, COINS (50 X 2oz) W/ LIGHT RANCH</t>
  </si>
  <si>
    <t>CUCUMBER, COINS (50 X 2oz)</t>
  </si>
  <si>
    <t>CUCUMBER, WHOLE (5# CASE)</t>
  </si>
  <si>
    <t>DRAGON FRUIT, WEDGES (50 X 2oz)</t>
  </si>
  <si>
    <t>FRENCH FRIES (4X5# CASE)</t>
  </si>
  <si>
    <t>GRAPE TOMATO  (50 X 2oz) W/ LIGHT RANCH</t>
  </si>
  <si>
    <t>GRAPE TOMATO  (50 X 2oz)</t>
  </si>
  <si>
    <t>FRUIT, MIXED (2X5# CASE)</t>
  </si>
  <si>
    <t>GREEN BEANS  (50 X 2oz)</t>
  </si>
  <si>
    <t>GUAVA, WEDGES  (50 X 2oz)</t>
  </si>
  <si>
    <t>HONEYDEW, SLICED (2X5# CASE)</t>
  </si>
  <si>
    <t>HONEYDEW, CUBED (5# CASE)</t>
  </si>
  <si>
    <t>JICAMA, STICKS (50 X 2oz)</t>
  </si>
  <si>
    <t>JICAMA, STICKS (50 X 2oz) W/ LIGHT RANCH</t>
  </si>
  <si>
    <t>JICAMA, SHRED 1/8' (2X5# CASE)</t>
  </si>
  <si>
    <t>CONCHA</t>
  </si>
  <si>
    <t>33 MIKE</t>
  </si>
  <si>
    <t>SNACK PACKS</t>
  </si>
  <si>
    <t>CARROT /  PEARS (50 X 2oz)</t>
  </si>
  <si>
    <t>CARROT /  CELERY (50 X 2oz)</t>
  </si>
  <si>
    <t>BAD FORMULA - not 50/50, should be 85/15</t>
  </si>
  <si>
    <t>Potatoes, Sweet WHITE</t>
  </si>
  <si>
    <t>SWEET WHITE POTATO STICKS, SNAKPAK (50 X 2oz)</t>
  </si>
  <si>
    <t>SWEET WHITE POTATO STICKS, SNAKPAK (50 X 2oz) W/ LIGHT RANCH</t>
  </si>
  <si>
    <t>SWW50</t>
  </si>
  <si>
    <t>SWW5W</t>
  </si>
  <si>
    <t>STRAWBERRIES, WHITE, TRIMMED (50 X 2oz)</t>
  </si>
  <si>
    <t>STRW50</t>
  </si>
  <si>
    <t>Strawberries, White</t>
  </si>
  <si>
    <t>GRAPES, COTTON CANDY  (50 X 3oz)</t>
  </si>
  <si>
    <t>Grapes, Cotton Candy</t>
  </si>
  <si>
    <t xml:space="preserve"> average (18.26 x 1.20 matching) = $21.91</t>
  </si>
  <si>
    <t xml:space="preserve">Pepper Mix </t>
  </si>
  <si>
    <t xml:space="preserve">Pico de Gallo </t>
  </si>
  <si>
    <t>PEAR / GRAPE (50 X 2.3oz)</t>
  </si>
  <si>
    <t>Beets, Gold 25#</t>
  </si>
  <si>
    <t>BEETS, CANDY STRIPE DICED (2X5#CASE)</t>
  </si>
  <si>
    <t>BEETS, GOLD DICED (2X5#CASE)</t>
  </si>
  <si>
    <t>PEPPER RED / YELLOW MATCHSTICK</t>
  </si>
  <si>
    <t>CHAYOTE, SQUASH 2" MATCHSTICK (2X5# CASE)</t>
  </si>
  <si>
    <t>CSM</t>
  </si>
  <si>
    <t xml:space="preserve">Squash, Chayote </t>
  </si>
  <si>
    <t xml:space="preserve">Fruit Mix </t>
  </si>
  <si>
    <t>PRICE</t>
  </si>
  <si>
    <t>PICO DE GALLO</t>
  </si>
  <si>
    <t xml:space="preserve">BROCCOLI FLORET  (50 X 4oz) </t>
  </si>
  <si>
    <t>SUGAR SNAPS, SNAKPAK  (50 X 4oz)</t>
  </si>
  <si>
    <t>NAPA CABBAGE, SHREDDED (2 X 5)</t>
  </si>
  <si>
    <t xml:space="preserve">30% MARK UP </t>
  </si>
  <si>
    <t xml:space="preserve">APPLE / RED GRAPES </t>
  </si>
  <si>
    <t>Broccoli Slaw</t>
  </si>
  <si>
    <t xml:space="preserve">Pepper Red &amp; Yellow </t>
  </si>
  <si>
    <t>Item 3</t>
  </si>
  <si>
    <t>TROPICAL BLEND (50/2.7oz)</t>
  </si>
  <si>
    <t>BROCCOLI SLAW (4X3#CS)</t>
  </si>
  <si>
    <t xml:space="preserve">PRODUCT </t>
  </si>
  <si>
    <t>JICAMA, SHRED 1/8' (5# CASE)</t>
  </si>
  <si>
    <t xml:space="preserve">TRICOLOR CAULIFLOWER </t>
  </si>
  <si>
    <t>CAULIFLOWER FLORETS MULTICOLOR (4X3# CASE)</t>
  </si>
  <si>
    <t xml:space="preserve">Potato, Yukon </t>
  </si>
  <si>
    <t>MANGO, CUBED (5# CASE)</t>
  </si>
  <si>
    <t>CELERY STICKS MCENTIRE (4# CASE)</t>
  </si>
  <si>
    <t>BROCCOLI FLORETS MCENTIRE (4# CASE)</t>
  </si>
  <si>
    <t>CARROT STICKS MCENTIRE (4# CASE)</t>
  </si>
  <si>
    <t>CAULIFLOWER FLORETS MCENTIRE (4# CASE)</t>
  </si>
  <si>
    <t xml:space="preserve">UNIT COST </t>
  </si>
  <si>
    <t>MARK UP $</t>
  </si>
  <si>
    <t>PERCENTAGE</t>
  </si>
  <si>
    <t>GRAPES, RED  (1# CASE)</t>
  </si>
  <si>
    <t>BROCCOLI / SUGAR SNAPS (50 X 2oz)</t>
  </si>
  <si>
    <t>CANTALOUPE / GRAPES (50 X 2.7oz)</t>
  </si>
  <si>
    <t>CANTALOUPE / PINEAPPLES (50 X 2.3oz)</t>
  </si>
  <si>
    <t>CARROT / SUGAR SNAPS (50 X 2oz)</t>
  </si>
  <si>
    <t>CAULIFLOWER / GRAPE TOMATO (50 X 2oz)</t>
  </si>
  <si>
    <t>GRAPES / PINEAPPLES (50 X 2.3oz)</t>
  </si>
  <si>
    <t>HONEYDEW / GRAPES (50 X 2.7oz)</t>
  </si>
  <si>
    <t>HONEDEW / PINEAPPLES (50 X 2.3oz)</t>
  </si>
  <si>
    <t>JICAMA / GRAPES (50 X 2.3oz)</t>
  </si>
  <si>
    <t>SUGARSNAPS / PEPPER STICKS (50 X 2oz)</t>
  </si>
  <si>
    <t>STRAWBERRIES / BLUEBERRIES (50 X 2oz)</t>
  </si>
  <si>
    <t>1LBS BAG</t>
  </si>
  <si>
    <t>CARROT /  GRAPE TOMATO  (50 X 2oz)</t>
  </si>
  <si>
    <t xml:space="preserve">FRUIT MIX </t>
  </si>
  <si>
    <t>APPLE SNACK PACK 50CT</t>
  </si>
  <si>
    <t>APPLE SNACK PACK 100CT</t>
  </si>
  <si>
    <t>APPLE BULK 4/3</t>
  </si>
  <si>
    <t>APPLE BULK 4/5</t>
  </si>
  <si>
    <t>POTATOES 2/5</t>
  </si>
  <si>
    <t>POTATOES 4/5</t>
  </si>
  <si>
    <t>POTATOES 2/10</t>
  </si>
  <si>
    <t>TRAY / CHEMICAL</t>
  </si>
  <si>
    <t>MCENTIRE</t>
  </si>
  <si>
    <t>STRAWBERRIES / GRAPES</t>
  </si>
  <si>
    <t>TOMATO BAG 4/5</t>
  </si>
  <si>
    <t xml:space="preserve">APPLE RED WEDGES </t>
  </si>
  <si>
    <t>APPLE GREEN WEDGES</t>
  </si>
  <si>
    <t>BLUEBERRIES</t>
  </si>
  <si>
    <t>HONEYDEW CHUNKS</t>
  </si>
  <si>
    <t>WHITE GRAPES LOOSE</t>
  </si>
  <si>
    <t>RED GRAPES LOOSE</t>
  </si>
  <si>
    <t xml:space="preserve">CANTALOUPE CHUNKS </t>
  </si>
  <si>
    <t xml:space="preserve">KIWI WEDGES </t>
  </si>
  <si>
    <t>MANGO CHUNKS</t>
  </si>
  <si>
    <t xml:space="preserve">ORANGES WEDGES </t>
  </si>
  <si>
    <t>PEAR WEDGES</t>
  </si>
  <si>
    <t xml:space="preserve">PINEAPPLE CHUNKS </t>
  </si>
  <si>
    <t>STRAWBERRIES TRIMMED</t>
  </si>
  <si>
    <t>WATERMELON CUPS</t>
  </si>
  <si>
    <t>PRICE PER CASE</t>
  </si>
  <si>
    <t>PER CUP</t>
  </si>
  <si>
    <t>WITH TAJIN</t>
  </si>
  <si>
    <t>WITH RANCH</t>
  </si>
  <si>
    <t>ADD $2.00</t>
  </si>
  <si>
    <t xml:space="preserve">ADD $2.50 </t>
  </si>
  <si>
    <t>A-Apples CHL 100/2oz</t>
  </si>
  <si>
    <t>A-Apples, Green Diced 1" 4/5#</t>
  </si>
  <si>
    <t>A-Apples, Green Sliced 10/1#</t>
  </si>
  <si>
    <t>A-Apples, Green/Pear 100/2oz</t>
  </si>
  <si>
    <t>A-Apples, Red Diced 1" 4/5#</t>
  </si>
  <si>
    <t>A-Apples, Red Sliced 10/1#</t>
  </si>
  <si>
    <t>A-Apples, Red Sliced 4/3#</t>
  </si>
  <si>
    <t>A-Apples, Red Wedged 5#</t>
  </si>
  <si>
    <t>A-Apples, Sliced Gala 100/2oz.</t>
  </si>
  <si>
    <t>A-Apples/Carrot 50/2oz</t>
  </si>
  <si>
    <t>A-Apples/Carrot w/Ranch 50/2oz</t>
  </si>
  <si>
    <t>A-Apples/Carrot w/Tajin 50/2oz</t>
  </si>
  <si>
    <t>A-Apples/Celery 50/2oz</t>
  </si>
  <si>
    <t>A-Apples/Celery w/Ranch 50/2oz</t>
  </si>
  <si>
    <t>A-Apples/Celery w/Tajin 50/2oz</t>
  </si>
  <si>
    <t>A-Apples/Grapes 50/2.3oz</t>
  </si>
  <si>
    <t>A-Apples/Grapes w/Tajin 50/2.3oz</t>
  </si>
  <si>
    <t>A-Apples/Pears 50/2oz</t>
  </si>
  <si>
    <t>A-Apples/Pears w/Tajin 50/2oz</t>
  </si>
  <si>
    <t>A-Apples/Turnips 50/2oz</t>
  </si>
  <si>
    <t>A-Apples/Turnips w/Tajin 50/2oz</t>
  </si>
  <si>
    <t>A-Asparagus 50/2oz</t>
  </si>
  <si>
    <t>A-Asparagus w/Ranch 50/2oz</t>
  </si>
  <si>
    <t>A-Asparagus w/Tajin 50/2oz</t>
  </si>
  <si>
    <t>B-Beet, Gold Coin Cut 50/2oz</t>
  </si>
  <si>
    <t>B-Beets, Diced CANDY STRIPE 1' 2/5#</t>
  </si>
  <si>
    <t>B-Beets, Diced GOLD 1" 2/5#</t>
  </si>
  <si>
    <t>B-Beets, Diced RED 1" 2/5#</t>
  </si>
  <si>
    <t>B-Beets, Gold Coins w/Ranch 50/2oz</t>
  </si>
  <si>
    <t>B-Beets, Gold Coins w/Tajin 50/2oz</t>
  </si>
  <si>
    <t>B-Beets, Peeled 2/5#</t>
  </si>
  <si>
    <t>B-Beets, Sliced 2/5#</t>
  </si>
  <si>
    <t>B-Black Beans 50/4oz</t>
  </si>
  <si>
    <t>B-Blueberries 50/2oz</t>
  </si>
  <si>
    <t>B-Blueberries w/Tajin 50/2oz</t>
  </si>
  <si>
    <t>B-Bok Choy, Chopped 4/5#</t>
  </si>
  <si>
    <t>B-Broc/Cauliflower w/Ranch 50/2oz</t>
  </si>
  <si>
    <t>B-Broc/Cauliflower w/Tajin 50/2oz</t>
  </si>
  <si>
    <t>B-Broccoli 50/2oz</t>
  </si>
  <si>
    <t>B-Broccoli 50/4oz</t>
  </si>
  <si>
    <t>B-Broccoli Slaw 4/3#</t>
  </si>
  <si>
    <t>B-Broccoli w/Ranch 50/2oz</t>
  </si>
  <si>
    <t>B-Broccoli w/Tajin 50/2oz</t>
  </si>
  <si>
    <t>B-Broccoli/Cauilflower 50/2oz</t>
  </si>
  <si>
    <t>B-Broccoli/Grape Tom w/Ranch 50/2oz</t>
  </si>
  <si>
    <t>B-Broccoli/Grape Tom w/Tajin 50/2oz</t>
  </si>
  <si>
    <t>B-Broccoli/Grape Tomato 50/2oz</t>
  </si>
  <si>
    <t>B-Broccoli/Sugar Snap 50/2oz</t>
  </si>
  <si>
    <t>B-Broccoli/SugarSnap w/Ranch 50/2oz</t>
  </si>
  <si>
    <t>B-Broccoli/SugarSnap w/Tajin 50/2oz</t>
  </si>
  <si>
    <t>B-Brussel Sprout, Halved 4/5#</t>
  </si>
  <si>
    <t>B-Brussel Sprouts, Shaved 4/5#</t>
  </si>
  <si>
    <t>B-Brussel Sprouts, Shredded 4/5#</t>
  </si>
  <si>
    <t>C-Cabbage, Chopped 4/5#</t>
  </si>
  <si>
    <t>C-Cabbage, Green 1/4" Diced 4/5#</t>
  </si>
  <si>
    <t>C-Cabbage, Red 1/8" Julienne 4/5#</t>
  </si>
  <si>
    <t>C-Cabbage, Red Shred 4/5#</t>
  </si>
  <si>
    <t>C-Cantalope/Grape 50/2.7oz</t>
  </si>
  <si>
    <t>C-Cantalope/Grape w/Tajin 50/2.7oz</t>
  </si>
  <si>
    <t>C-Cantalope/Honeyd w/Tajin 50/2.7oz</t>
  </si>
  <si>
    <t>C-Cantalope/Pineap w/Tajin 50/2.7oz</t>
  </si>
  <si>
    <t>C-Cantaloupe 50/2.7oz</t>
  </si>
  <si>
    <t>C-Cantaloupe w/Tajin 50/2.7oz</t>
  </si>
  <si>
    <t>C-Cantaloupe, Chunk 5#</t>
  </si>
  <si>
    <t>C-Cantaloupe, Peeled and Halved 5#</t>
  </si>
  <si>
    <t>C-Cantaloupe/Honeydew 50/2.7oz</t>
  </si>
  <si>
    <t>C-Cantaloupe/Pineapple 50/2.7oz</t>
  </si>
  <si>
    <t>C-Carrot/Grape Tomato w/Ranch50/2oz</t>
  </si>
  <si>
    <t>C-Carrot/GrapeTomato w/Tajin 50/2oz</t>
  </si>
  <si>
    <t>C-Carrot/Sugar Snap 50/2oz</t>
  </si>
  <si>
    <t>C-Carrot/Sugar Snap w/Ranch 50/2oz</t>
  </si>
  <si>
    <t>C-Carrot/Sugar Snap w/Tajin 50/2oz</t>
  </si>
  <si>
    <t>C-Carrots 50/4oz</t>
  </si>
  <si>
    <t>C-Carrots Coin Cut 50/2oz</t>
  </si>
  <si>
    <t>C-Carrots Coin Cut w/Ranch 50/2oz</t>
  </si>
  <si>
    <t>C-Carrots Coin Cut w/Tajin 50/2oz</t>
  </si>
  <si>
    <t>C-Carrots w/Ranch 50/2oz</t>
  </si>
  <si>
    <t>C-Carrots w/Tajin 50/2oz</t>
  </si>
  <si>
    <t>C-Carrots, Baby 100/2oz</t>
  </si>
  <si>
    <t>C-Carrots, Baby 50/2oz</t>
  </si>
  <si>
    <t>C-Carrots, Coin Cut 4/5#</t>
  </si>
  <si>
    <t>C-Carrots, Diced 2/5#</t>
  </si>
  <si>
    <t>C-Carrots, Match Stick 4/5#</t>
  </si>
  <si>
    <t>C-Carrots, Rainbow 50/2oz</t>
  </si>
  <si>
    <t>C-Carrots, Rainbow 50/2oz w/Tajin</t>
  </si>
  <si>
    <t>C-Carrots, Rainbow w/Ranch 50/2oz</t>
  </si>
  <si>
    <t>C-Carrots, Sticks 4/5#</t>
  </si>
  <si>
    <t>C-Carrots, Whole Peeled 4/5#</t>
  </si>
  <si>
    <t>C-Carrots/Broccoli 50/2oz</t>
  </si>
  <si>
    <t>C-Carrots/Broccoli w/Ranch 50/2oz</t>
  </si>
  <si>
    <t>C-Carrots/Broccoli w/Tajin 50/2oz</t>
  </si>
  <si>
    <t>C-Carrots/Celery 50/2oz</t>
  </si>
  <si>
    <t>C-Carrots/Celery w/Ranch 50/2oz</t>
  </si>
  <si>
    <t>C-Carrots/Celery w/Tajin 50/2oz</t>
  </si>
  <si>
    <t>C-Carrots/Grape Tomato 50/2oz</t>
  </si>
  <si>
    <t>C-Cauliflow/GrapeTom w/Tajin 50/2oz</t>
  </si>
  <si>
    <t>C-Cauliflower 50/2oz</t>
  </si>
  <si>
    <t>C-Cauliflower Florets 4/3#</t>
  </si>
  <si>
    <t>C-Cauliflower w/Ranch 50/2oz</t>
  </si>
  <si>
    <t>C-Cauliflower w/Tajin 50/2oz</t>
  </si>
  <si>
    <t>C-Cauliflower, Color 50/2oz w/Ranch</t>
  </si>
  <si>
    <t>C-Cauliflower, Tri-Color 50/2oz</t>
  </si>
  <si>
    <t>C-Cauliflower/Grape Tomato 50/2oz</t>
  </si>
  <si>
    <t>C-Cauliflower/GrapeTom w/Ranch 50/2</t>
  </si>
  <si>
    <t>C-CauliflowerTri-Color w/Tajin 50/2</t>
  </si>
  <si>
    <t>C-Celery 50/2oz</t>
  </si>
  <si>
    <t>C-Celery Root, Diced 2/5#</t>
  </si>
  <si>
    <t>C-Celery w/Ranch 50/2oz</t>
  </si>
  <si>
    <t>C-Celery w/Tajin 50/2oz</t>
  </si>
  <si>
    <t>C-Celery, Sliced 2/5#</t>
  </si>
  <si>
    <t>C-Celery, Sticks 4/5#</t>
  </si>
  <si>
    <t>C-Celery/Grape Tom w/Ranch 50/2oz</t>
  </si>
  <si>
    <t>C-Celery/Grape Tom w/Tajin 50/2oz</t>
  </si>
  <si>
    <t>C-Celery/Grape Tomato 50/2oz</t>
  </si>
  <si>
    <t>C-Cilantro, W&amp;t 4/1#</t>
  </si>
  <si>
    <t>C-Coleslaw Savoy 2/5#</t>
  </si>
  <si>
    <t>C-Coleslaw, Diced 4/5#</t>
  </si>
  <si>
    <t>C-Coleslaw, Diced 4/5# MAURICES</t>
  </si>
  <si>
    <t>C-Coleslaw, Diced 4/5# ZESTO'S</t>
  </si>
  <si>
    <t>C-Coleslaw, Diced Fine 4/5#</t>
  </si>
  <si>
    <t>C-Coleslaw, Mix 4/5#</t>
  </si>
  <si>
    <t>C-Coleslaw, No Color CFA</t>
  </si>
  <si>
    <t>C-Collards, Chopped 6/2#</t>
  </si>
  <si>
    <t>C-Collards, Shredded 6/2#</t>
  </si>
  <si>
    <t>C-Corn, White Shucked Halved</t>
  </si>
  <si>
    <t>C-Corn, White Shucked Whole</t>
  </si>
  <si>
    <t>C-Corn, Yellow Shucked Halved</t>
  </si>
  <si>
    <t>C-Corn, Yellow Shucked Whole</t>
  </si>
  <si>
    <t>C-Cucumbers 50/2oz</t>
  </si>
  <si>
    <t>C-Cucumbers 50/4oz</t>
  </si>
  <si>
    <t>C-Cucumbers w/Ranch 50/2oz</t>
  </si>
  <si>
    <t>C-Cucumbers w/Tajin 50/2oz</t>
  </si>
  <si>
    <t>C-Cucumbers, Diced 2/5#</t>
  </si>
  <si>
    <t>C-Cucumbers, Half Moon (Thin) 2/5#</t>
  </si>
  <si>
    <t>C-Cucumbers, Sliced 2/5#</t>
  </si>
  <si>
    <t>D-Daikon Coin w/Tajin 50/2oz</t>
  </si>
  <si>
    <t>D-Daikon, Coin Cut 50/2oz</t>
  </si>
  <si>
    <t>D-Daikon, Coin w/Ranch 50/2oz</t>
  </si>
  <si>
    <t>D-Dragon Fruit 50/2oz</t>
  </si>
  <si>
    <t>D-Dragon Fruit w/Tajin 50/2oz</t>
  </si>
  <si>
    <t>F-Fruit Mix, Chopped 5#</t>
  </si>
  <si>
    <t>G-Grape 50/3oz</t>
  </si>
  <si>
    <t>G-Grape sdls 100/3oz</t>
  </si>
  <si>
    <t>G-Grape w/Tajin 50/3oz</t>
  </si>
  <si>
    <t>G-Grape, Cotton Candy 50/3oz</t>
  </si>
  <si>
    <t>G-Grape/Celery 50/2.3oz</t>
  </si>
  <si>
    <t>G-Grape/Celery w/Tajin 50/2.3oz</t>
  </si>
  <si>
    <t>G-Grape/Jicama 50/2.3oz</t>
  </si>
  <si>
    <t>G-Grape/Jicama w/Tajin 50/2.3oz</t>
  </si>
  <si>
    <t>G-Grapefruit, Wedged #5</t>
  </si>
  <si>
    <t>G-Grapes, Loose Red 5#</t>
  </si>
  <si>
    <t>G-Grapes, Loose White 5#</t>
  </si>
  <si>
    <t>G-Grapes/Grape Tomato 50/2.3oz</t>
  </si>
  <si>
    <t>G-Grapes/GrapeTom w/Tajin 50/2.3oz</t>
  </si>
  <si>
    <t>G-Guava 50/2oz</t>
  </si>
  <si>
    <t>G-Guava w/Tajin 50/2oz</t>
  </si>
  <si>
    <t>H-Honeydew 50/2.7oz</t>
  </si>
  <si>
    <t>H-Honeydew w/Tajin 50/2.7oz</t>
  </si>
  <si>
    <t>H-Honeydew/Grape 50/2.7oz</t>
  </si>
  <si>
    <t>H-Honeydew/Grape w/Tajin 50/2.7oz</t>
  </si>
  <si>
    <t>H-Honeydew/Pineapp w/Tajin 50/2.7oz</t>
  </si>
  <si>
    <t>H-Honeydew/Pineapple 50/2oz</t>
  </si>
  <si>
    <t>H-Honeydews, Chunk 5#</t>
  </si>
  <si>
    <t>H-Honeydews, Peeled and Halved 5#</t>
  </si>
  <si>
    <t>J-Jicama 2" Matchstick 5# TRAY</t>
  </si>
  <si>
    <t>J-Jicama 50/2oz</t>
  </si>
  <si>
    <t>J-Jicama 50/2oz w/Tajin</t>
  </si>
  <si>
    <t>J-Jicama w/Ranch 50/2oz</t>
  </si>
  <si>
    <t>J-Jicama, Shredded 2/5#</t>
  </si>
  <si>
    <t>K-Kiwi 50/2oz</t>
  </si>
  <si>
    <t>K-Kiwi, Golden 50/2oz</t>
  </si>
  <si>
    <t>K-Kiwi, Peeled &amp; Sliced 5#</t>
  </si>
  <si>
    <t>K-Kumquats 50/2oz</t>
  </si>
  <si>
    <t>L-Lemons Wedges 2/5#</t>
  </si>
  <si>
    <t>L-Lime Wedge 2/5#</t>
  </si>
  <si>
    <t>M-Mango 50/2oz</t>
  </si>
  <si>
    <t>M-Mango Diced 5#</t>
  </si>
  <si>
    <t>M-Mango w/Tajin 50/2oz</t>
  </si>
  <si>
    <t>M-Mango/Grape Tomato 50/2oz</t>
  </si>
  <si>
    <t>M-Mango/Grape Tomato w/Tajin 50/2oz</t>
  </si>
  <si>
    <t>M-Mango/Jicama 50/2oz</t>
  </si>
  <si>
    <t>M-Mango/Jicama w/Tajin 50/2oz</t>
  </si>
  <si>
    <t>M-Mushrooms, 5# Sliced 1/8" BLAZE</t>
  </si>
  <si>
    <t>M-Mushrooms, Sliced 10#</t>
  </si>
  <si>
    <t>M-Mushrooms, Sliced 5#</t>
  </si>
  <si>
    <t>M-Mushrooms, Sliced Cremini 5#</t>
  </si>
  <si>
    <t>M-Mustard Greens, Chopped 8/1#</t>
  </si>
  <si>
    <t>N-Napa, Cabbage 1/2" Diced 4/5#</t>
  </si>
  <si>
    <t>N-Napa, Cabbage Shredded 4/5#</t>
  </si>
  <si>
    <t>O-Okra, Cut 3/8" 2/5#</t>
  </si>
  <si>
    <t>O-Onions, Red 1/8" Juliene 2/5#</t>
  </si>
  <si>
    <t>O-Onions, Red Diced 4/5#</t>
  </si>
  <si>
    <t>O-Onions, Red Julienne 1/8"2/5 BLAZ</t>
  </si>
  <si>
    <t>O-Onions, Red Sliced 2/5#</t>
  </si>
  <si>
    <t>O-Onions, Sweet Diced 3/8" 4/5#</t>
  </si>
  <si>
    <t>0148B</t>
  </si>
  <si>
    <t>O-Onions, Yellow 1/5# Sliced</t>
  </si>
  <si>
    <t>O-Onions, Yellow Diced 1/4" 4/5#</t>
  </si>
  <si>
    <t>O-Onions, Yellow Diced 2/5#</t>
  </si>
  <si>
    <t>O-Onions, Yellow Diced 4/5#</t>
  </si>
  <si>
    <t>O-Onions, Yellow Juliene 1/8" 2/5#</t>
  </si>
  <si>
    <t>O-Onions, Yellow Ring Cut 1/8" 2/5#</t>
  </si>
  <si>
    <t>O-Onions, Yellow Sliced 2/5#</t>
  </si>
  <si>
    <t>O-Onions, Yellow Whole Peeled 2/10#</t>
  </si>
  <si>
    <t>O-Orange, Blood 50/3.5 oz</t>
  </si>
  <si>
    <t>O-Oranges 50/4.7oz</t>
  </si>
  <si>
    <t>O-Oranges Peeled and Sectioned 5#</t>
  </si>
  <si>
    <t>O-Oranges w/Tajin 50/4.7oz</t>
  </si>
  <si>
    <t>P-Pad Thai Mix 4X3#</t>
  </si>
  <si>
    <t>P-Papaya 50/2oz</t>
  </si>
  <si>
    <t>P-Papaya w/Tajin 50/2oz</t>
  </si>
  <si>
    <t>P-Parsnip Coin Cut 1/2" 2/5#</t>
  </si>
  <si>
    <t>P-Parsnip Coin Cut 50/2oz</t>
  </si>
  <si>
    <t>P-Parsnip Coins w/Ranch 50/2oz</t>
  </si>
  <si>
    <t>P-Parsnip Coins w/Tajin 50/2oz</t>
  </si>
  <si>
    <t>P-Parsnip Diced 2/5#</t>
  </si>
  <si>
    <t>P-Pears 50/2oz</t>
  </si>
  <si>
    <t>P-Pears w/Tajin 50/2oz</t>
  </si>
  <si>
    <t>P-Pears/Carrots 50/2oz</t>
  </si>
  <si>
    <t>P-Pears/Carrots w/Ranch 50/2oz</t>
  </si>
  <si>
    <t>P-Pears/Carrots w/Tajin 50/2oz</t>
  </si>
  <si>
    <t>P-Pears/Celery 50/2oz</t>
  </si>
  <si>
    <t>P-Pears/Celery w/Ranch 50/2oz</t>
  </si>
  <si>
    <t>P-Pears/Celery w/Tajin 50/2oz</t>
  </si>
  <si>
    <t>P-Pears/Grape w/Tajin 50/2.3oz</t>
  </si>
  <si>
    <t>P-Pears/Grapes 50/2.3oz</t>
  </si>
  <si>
    <t>P-Pepper Sticks w/Ranch 50/2oz</t>
  </si>
  <si>
    <t>P-Pepper Sticks w/Tajin 50/2oz</t>
  </si>
  <si>
    <t>P-Pepper, Green Diced 2/5#</t>
  </si>
  <si>
    <t>P-Pepper, Green Julienne 2/5# BLAZE</t>
  </si>
  <si>
    <t>P-Pepper, Green Sliced 1/8" 2/5#</t>
  </si>
  <si>
    <t>P-Pepper, Jalapeno Diced 2/5#</t>
  </si>
  <si>
    <t>P-Pepper, Mini Sweet 50/2oz</t>
  </si>
  <si>
    <t>P-Pepper, Red Diced 2/5#</t>
  </si>
  <si>
    <t>P-Pepper, Red Julienne 2/5#</t>
  </si>
  <si>
    <t>P-Pepper, Red Sliced 2/5#</t>
  </si>
  <si>
    <t>P-Pepper, Red&amp;Yellow 2"L 1/8"W 2/5#</t>
  </si>
  <si>
    <t>P-Pepper, Sticks 50/2 oz</t>
  </si>
  <si>
    <t>P-Pepper, Suntan 3/8" 2/5#</t>
  </si>
  <si>
    <t>P-Pepper, Tri-color Kabob 2/5#</t>
  </si>
  <si>
    <t>P-Pepper, Tri-colored Diced 2/5#</t>
  </si>
  <si>
    <t>P-Pepper, Tri-colored Julienne 2/5#</t>
  </si>
  <si>
    <t>P-Pepper, Tri-colored Sliced 2/5#</t>
  </si>
  <si>
    <t>P-Pepper, Yellow Diced 2/5#</t>
  </si>
  <si>
    <t>P-Pepper, Yellow Julienne 2/5#</t>
  </si>
  <si>
    <t>P-Pico de Gallo 2/1gal</t>
  </si>
  <si>
    <t>P-Pineapple 50/2.3oz</t>
  </si>
  <si>
    <t>P-Pineapple w/Tajin 50/2.3oz</t>
  </si>
  <si>
    <t>P-Pineapple, Chunk 5#</t>
  </si>
  <si>
    <t>P-Pineapple, Peeled and Halved 5#</t>
  </si>
  <si>
    <t>P-Pineapple, Pink 50/2oz</t>
  </si>
  <si>
    <t>P-Pineapple, Rough Cut 5#</t>
  </si>
  <si>
    <t>P-Pineapple, Spears 5#</t>
  </si>
  <si>
    <t>P-Pineapple/Cuc. w/Tajin 50/2.3oz</t>
  </si>
  <si>
    <t>P-Pineapple/Cucumber 50/2.3oz</t>
  </si>
  <si>
    <t>P-Pineapple/Grape 50/2.3oz</t>
  </si>
  <si>
    <t>P-Pineapple/Grape w/Tajin 50/2.3oz</t>
  </si>
  <si>
    <t>P-Pineapple/Jicama 50/2.3oz</t>
  </si>
  <si>
    <t>P-Pineapple/Jicama w/Tajin 50/2.3oz</t>
  </si>
  <si>
    <t>P-Potato, Sweet w/Tajin 50/2oz</t>
  </si>
  <si>
    <t>P-Potatoes, 1" Peel/Chunk 4/5#</t>
  </si>
  <si>
    <t>P-Potatoes, Hash Browns 2/10#</t>
  </si>
  <si>
    <t>P-Potatoes, Raw Fries 4/5#</t>
  </si>
  <si>
    <t>P-Potatoes, Red Diced 4/5#</t>
  </si>
  <si>
    <t>P-Potatoes, Red Quartered 4/5#</t>
  </si>
  <si>
    <t>P-Potatoes, Russet Diced 4/5#</t>
  </si>
  <si>
    <t>P-Potatoes, Russet French Fries 4/5</t>
  </si>
  <si>
    <t>P-Potatoes, Russet Quartered 2/10#</t>
  </si>
  <si>
    <t>P-Potatoes, Russet Sliced 4/5#</t>
  </si>
  <si>
    <t>P-Potatoes, Russet W.peeled 2/10#</t>
  </si>
  <si>
    <t>P-Potatoes, Russet Wedge 2/10#</t>
  </si>
  <si>
    <t>P-Potatoes, Sweet 1" Chunked 4/5#</t>
  </si>
  <si>
    <t>P-Potatoes, Sweet Diced 4/5#</t>
  </si>
  <si>
    <t>P-Potatoes, Sweet Diced Skin-on 3/4</t>
  </si>
  <si>
    <t>P-Potatoes, Sweet French Fries 4/5#</t>
  </si>
  <si>
    <t>P-Potatoes, Sweet Peeled 4/5#</t>
  </si>
  <si>
    <t>P-Potatoes, Sweet Quartered 2/10#</t>
  </si>
  <si>
    <t>P-Potatoes, Sweet Shredded 4/5#</t>
  </si>
  <si>
    <t>P-Potatoes, Sweet Sliced 4/5#</t>
  </si>
  <si>
    <t>P-Potatoes, Sweet Stick 50/2oz</t>
  </si>
  <si>
    <t>P-Potatoes, Sweet Sticks 100/2oz</t>
  </si>
  <si>
    <t>P-Potatoes, Sweet Wedges 2/10#</t>
  </si>
  <si>
    <t>P-Potatoes, Sweet w/Ranch 50/2oz</t>
  </si>
  <si>
    <t>P-Potatoes, White Sweet 50/2oz</t>
  </si>
  <si>
    <t>P-Potatoes, White Swtw/Ranch 50/2oz</t>
  </si>
  <si>
    <t>P-Potatoes, Yukon W. Peeled 2/10#</t>
  </si>
  <si>
    <t>P-Pumpkin, Diced 2/5#</t>
  </si>
  <si>
    <t>0202B</t>
  </si>
  <si>
    <t>Pepper, Jalapeno - RPK 5#</t>
  </si>
  <si>
    <t>R-Radish Sticks w/Ranch 50/2oz</t>
  </si>
  <si>
    <t>R-Radish, Fine Diced 2/5#</t>
  </si>
  <si>
    <t>R-Radish, Sticks 50/2oz</t>
  </si>
  <si>
    <t>R-Root Veggie Mix 4/3#</t>
  </si>
  <si>
    <t>R-Rutabaga, Diced 4/5#</t>
  </si>
  <si>
    <t>R-Rutabagas, Diced 2/5#</t>
  </si>
  <si>
    <t>S-Shallots, Sliced 2/5#</t>
  </si>
  <si>
    <t>S-Squash Halfmoon 50/2oz</t>
  </si>
  <si>
    <t>S-Squash Halfmoon w/Ranch 50/2oz</t>
  </si>
  <si>
    <t>S-Squash Halfmoon w/Tajin 50/2oz</t>
  </si>
  <si>
    <t>S-Squash, Acorn Diced 4/5#</t>
  </si>
  <si>
    <t>S-Squash, Butternut 1" Chunked</t>
  </si>
  <si>
    <t>S-Squash, Butternut 3/4" Cut 6/20oz</t>
  </si>
  <si>
    <t>S-Squash, Butternut Diced 4/5#</t>
  </si>
  <si>
    <t>S-Squash, Butternut Stick 50/2oz</t>
  </si>
  <si>
    <t>S-Squash, Butternut w/ Ranch 50/2oz</t>
  </si>
  <si>
    <t>S-Squash, Chayote 2" Matchstick 2/5</t>
  </si>
  <si>
    <t>S-Squash, Yellow 1/2" Half Moon 2/5</t>
  </si>
  <si>
    <t>S-Squash, Yellow Coin Cut 5#</t>
  </si>
  <si>
    <t>S-Squash, Yellow Diced 2/5#</t>
  </si>
  <si>
    <t>S-Squash, Yellow Sliced 4/5#</t>
  </si>
  <si>
    <t>S-Squash, Zuc Halfmoonw/Ranch50/2oz</t>
  </si>
  <si>
    <t>S-Squash, Zuc Halfmoonw/Tajin50/2oz</t>
  </si>
  <si>
    <t>S-Squash, Zucc. 1/2" Half Moon 2/5</t>
  </si>
  <si>
    <t>S-Squash, Zucchini Coin Cut 5#</t>
  </si>
  <si>
    <t>S-Squash, Zucchini Diced 2/5#</t>
  </si>
  <si>
    <t>S-Squash, Zucchini Halfmoon 50/2oz</t>
  </si>
  <si>
    <t>S-Squash, Zucchini Noodles 2/5#</t>
  </si>
  <si>
    <t>S-Squash, Zucchini Sliced 4/5#</t>
  </si>
  <si>
    <t>S-Starfruit, Sliced #5</t>
  </si>
  <si>
    <t>S-Stir Fry 4/2#</t>
  </si>
  <si>
    <t>S-Strawberries, 50/2oz</t>
  </si>
  <si>
    <t>S-Strawberries, Quartered 5#</t>
  </si>
  <si>
    <t>S-Strawberries, Sliced 5#</t>
  </si>
  <si>
    <t>S-Strawberries, Trimmed 5#</t>
  </si>
  <si>
    <t>S-Strawberries, White 50/2oz</t>
  </si>
  <si>
    <t>S-Strawberry w/Tajin 50/2oz</t>
  </si>
  <si>
    <t>S-Strawberry/Blueber w/Tajin 50/2oz</t>
  </si>
  <si>
    <t>S-Strawberry/Blueberry 50/2oz</t>
  </si>
  <si>
    <t>S-Strawberry/Grapes 50/2.3oz</t>
  </si>
  <si>
    <t>S-Strawberry/Grapes w/Tajin 50/2oz</t>
  </si>
  <si>
    <t>S-Sugar Snap 50/2oz</t>
  </si>
  <si>
    <t>S-Sugar Snap w/Ranch 50/2oz</t>
  </si>
  <si>
    <t>S-Sugar Snap w/Tajin 50/2oz</t>
  </si>
  <si>
    <t>S-SugarSnap/Pepper Stick 50/2oz</t>
  </si>
  <si>
    <t>S-SugarSnap/Pepper w/Ranch 50/2oz</t>
  </si>
  <si>
    <t>S-SugarSnap/Pepper w/Tajin 50/2oz</t>
  </si>
  <si>
    <t>T-Tangerine 50/3.5oz</t>
  </si>
  <si>
    <t>T-Tangerine w/Tajin 50/3.5oz</t>
  </si>
  <si>
    <t>T-Tangerine, Peeled &amp; Sectioned 5#</t>
  </si>
  <si>
    <t>T-Tomato, Grape Tricolor 50/2oz</t>
  </si>
  <si>
    <t>T-Tomato,GrapeTricolor w/Ranch 50/2</t>
  </si>
  <si>
    <t>T-Tomato,GrapeTricolor w/Tajin 50/2</t>
  </si>
  <si>
    <t>T-Tomatoes, Diced  2/5#</t>
  </si>
  <si>
    <t>T-Tomatoes, Diced Green 2/5#</t>
  </si>
  <si>
    <t>0481LG</t>
  </si>
  <si>
    <t>T-Tomatoes, Diced, 4/5#</t>
  </si>
  <si>
    <t>T-Tomatoes, Grape 50/2oz</t>
  </si>
  <si>
    <t>T-Tomatoes, Grape 50/4oz</t>
  </si>
  <si>
    <t>T-Tomatoes, Grape w/Ranch 50/2oz</t>
  </si>
  <si>
    <t>T-Tomatoes, Grape w/Tajin 50/2oz</t>
  </si>
  <si>
    <t>T-Tomatoes, Sliced 2/5#</t>
  </si>
  <si>
    <t>T-Tropical Blend 50/2.7oz</t>
  </si>
  <si>
    <t>T-Tropical Mango Salsa 2/1gal</t>
  </si>
  <si>
    <t>T-Turnip Greens, Chopped 8/1#</t>
  </si>
  <si>
    <t>T-Turnip Sticks 50/2oz</t>
  </si>
  <si>
    <t>T-Turnip Sticks w/Ranch 50/2oz</t>
  </si>
  <si>
    <t>T-Turnip, Diced 2/5#</t>
  </si>
  <si>
    <t>T-Turnip, Sliced 2/5#</t>
  </si>
  <si>
    <t>T-Turnips, Diced 4/5#</t>
  </si>
  <si>
    <t>U-Ugly Fruit 50/3.5oz</t>
  </si>
  <si>
    <t>V-Vegetable Fajita Mix 2/5#</t>
  </si>
  <si>
    <t>V-Vegetable Roasted Medley 8#</t>
  </si>
  <si>
    <t>W-Watermelon 50/2oz</t>
  </si>
  <si>
    <t>W-Watermelon Chunks 5#</t>
  </si>
  <si>
    <t>W-Watermelon w/Tajin 50/2oz</t>
  </si>
  <si>
    <t xml:space="preserve">CODE </t>
  </si>
  <si>
    <t xml:space="preserve">ITEM </t>
  </si>
  <si>
    <t xml:space="preserve">35% MARK UP </t>
  </si>
  <si>
    <t xml:space="preserve">40% MARK UP </t>
  </si>
  <si>
    <t>BUTTERNUT STICKS 50/2OZ</t>
  </si>
  <si>
    <t>DAIKON COIIN CUT 50/2OZ</t>
  </si>
  <si>
    <t>MINI SWEET PEPPER</t>
  </si>
  <si>
    <t xml:space="preserve">HEIRLOOM GRAPE TOMATO </t>
  </si>
  <si>
    <t>GRAPES, WHITE  (5# CASE)</t>
  </si>
  <si>
    <t>GRAPE FRUIT 5#</t>
  </si>
  <si>
    <t>RADISH SLICED (10# CASE)</t>
  </si>
  <si>
    <t>RADISH, SHREDDED (10# CASE)</t>
  </si>
  <si>
    <t>Okra</t>
  </si>
  <si>
    <t xml:space="preserve">Peppers, Sun Tan </t>
  </si>
  <si>
    <t xml:space="preserve">Golden Kiwi </t>
  </si>
  <si>
    <t xml:space="preserve">Tomatoes, Green </t>
  </si>
  <si>
    <t>Mini Pumpkins</t>
  </si>
  <si>
    <t xml:space="preserve">Mustard Green </t>
  </si>
  <si>
    <t>Apples Red Mike's</t>
  </si>
  <si>
    <t>Apples Green Randy's</t>
  </si>
  <si>
    <t>Cauliflower Tri Color</t>
  </si>
  <si>
    <t>Mini Sweet Pepper</t>
  </si>
  <si>
    <t>Grape Tomato Multicolor</t>
  </si>
  <si>
    <t xml:space="preserve">Daikon Root </t>
  </si>
  <si>
    <t xml:space="preserve">Grape Fruit </t>
  </si>
  <si>
    <t>Celery Root</t>
  </si>
  <si>
    <t xml:space="preserve">Turnip Green </t>
  </si>
  <si>
    <t>Radish, 14/1</t>
  </si>
  <si>
    <t xml:space="preserve">Potatoes, Idaho </t>
  </si>
  <si>
    <t>Pink Pineapples</t>
  </si>
  <si>
    <t>Onions, Sweet</t>
  </si>
  <si>
    <t>CELERY, SLICED  (2X5# CASE)</t>
  </si>
  <si>
    <t>CELERY, ROOT DICED  (2X5# CASE)</t>
  </si>
  <si>
    <t>CAULIFLOWER FLORET  (50 X 4oz)</t>
  </si>
  <si>
    <t>CELERY STICKS  (50 X 4oz)</t>
  </si>
  <si>
    <t>C-Cauliflower 50/4oz</t>
  </si>
  <si>
    <t>CUCUMBER, COINS (50 X 4oz)</t>
  </si>
  <si>
    <t>KIWI, GOLDEN WEDGED SNAKPAK (50 X 2oz)</t>
  </si>
  <si>
    <t>ONIONS, SWEET DICED (20# CASE)</t>
  </si>
  <si>
    <t>PEPPER, SUNTAN, DICED, (10# CASE)</t>
  </si>
  <si>
    <t>PINEAPPLE PINK (50 X 2.3oz)</t>
  </si>
  <si>
    <t>ONIONS, RED SHALLOTS (10# CASE)</t>
  </si>
  <si>
    <t>SHALLOTS</t>
  </si>
  <si>
    <t>ORANGE PEELED &amp; SECTIONED , (5# TRAY)</t>
  </si>
  <si>
    <t>SQUASH, CHAYOTE, (2 X 5# CASE)</t>
  </si>
  <si>
    <t>TANGERINES PEELED &amp; SECTIONED , (5# TRAY)</t>
  </si>
  <si>
    <t>TOMATOES, GREEN DICED (10# CASE)</t>
  </si>
  <si>
    <t>TURNIP, DICED, (10# CASE)</t>
  </si>
  <si>
    <t>TOMATOES, DICED (20# CASE)</t>
  </si>
  <si>
    <t>PARSNIP, COIN CUT, (2 X 5# CASE)</t>
  </si>
  <si>
    <t>45% Rounded</t>
  </si>
  <si>
    <t>PARSNIP COIN CUT 50/2OZ</t>
  </si>
  <si>
    <t>PAS50</t>
  </si>
  <si>
    <t>WATERMELON RADISH STICKS (50 X 2oz)</t>
  </si>
  <si>
    <t>Watermelon Radish 20#</t>
  </si>
  <si>
    <t>$10.20 cost per 50ct case</t>
  </si>
  <si>
    <t>LEMONS WEDGES 50/2.3OZ</t>
  </si>
  <si>
    <t>LW50</t>
  </si>
  <si>
    <t>NO</t>
  </si>
  <si>
    <t>ASPARAGUS / LEMON WEDGES 50/2.3OZ</t>
  </si>
  <si>
    <t>APPLE / PEAR (100/2oz)</t>
  </si>
  <si>
    <t>4/2# MCENTIRE</t>
  </si>
  <si>
    <t>2/4 SMALL COLLARD</t>
  </si>
  <si>
    <t>8/8OZ CLAM</t>
  </si>
  <si>
    <t xml:space="preserve">FRUIT CUPS 8/8OZ </t>
  </si>
  <si>
    <t>APPLE RED CUP (4# CASE)</t>
  </si>
  <si>
    <t>APPLE GREEN CUPS (4#CS)</t>
  </si>
  <si>
    <t>BLUEBERRIES CUPS  (4# CASE)</t>
  </si>
  <si>
    <t>CANTALOUPE CUPS (4# CASE)</t>
  </si>
  <si>
    <t>RED GRAPES CUPS (4# CASE)</t>
  </si>
  <si>
    <t>WHITE GRAPES CUPS (4# CASE)</t>
  </si>
  <si>
    <t>HONEYDEW CUPS (4# CASE)</t>
  </si>
  <si>
    <t>KIWI CUPS (4# CASE)</t>
  </si>
  <si>
    <t>MANGO CUPS (4# CASE)</t>
  </si>
  <si>
    <t>ORANGES CUPS (4# CASE)</t>
  </si>
  <si>
    <t>PEARS CUPS (4# CASE)</t>
  </si>
  <si>
    <t>PINEAPPLES CUPS (4# CASE)</t>
  </si>
  <si>
    <t>STRAWBERIES CUPS (4# CASE)</t>
  </si>
  <si>
    <t>WATERMELON CUPS (4# CASE)</t>
  </si>
  <si>
    <t>FRUIT MIX (4# CASE)</t>
  </si>
  <si>
    <t>FRUIT CUPS 8/8OZ</t>
  </si>
  <si>
    <t>FRUIT CUPS 8/12OZ</t>
  </si>
  <si>
    <t>APPLE RED CUP (6# CASE)</t>
  </si>
  <si>
    <t>APPLE GREEN CUPS (6#CS)</t>
  </si>
  <si>
    <t>BLUEBERRIES CUPS  (6# CASE)</t>
  </si>
  <si>
    <t>CANTALOUPE CUPS (6# CASE)</t>
  </si>
  <si>
    <t>RED GRAPES CUPS (6# CASE)</t>
  </si>
  <si>
    <t>WHITE GRAPES CUPS (6# CASE)</t>
  </si>
  <si>
    <t>HONEYDEW CUPS (6# CASE)</t>
  </si>
  <si>
    <t>KIWI CUPS (6# CASE)</t>
  </si>
  <si>
    <t>MANGO CUPS (6# CASE)</t>
  </si>
  <si>
    <t>ORANGES CUPS (6# CASE)</t>
  </si>
  <si>
    <t>PEARS CUPS (6# CASE)</t>
  </si>
  <si>
    <t>PINEAPPLES CUPS (6# CASE)</t>
  </si>
  <si>
    <t>STRAWBERIES CUPS (6# CASE)</t>
  </si>
  <si>
    <t>WATERMELON CUPS (6# CASE)</t>
  </si>
  <si>
    <t>FRUIT MIX (6# CASE)</t>
  </si>
  <si>
    <t xml:space="preserve">FRUIT CUPS 8/12OZ </t>
  </si>
  <si>
    <t>TROPICAL MIX (4#CASE)</t>
  </si>
  <si>
    <t>TMS</t>
  </si>
  <si>
    <t>(PAPAYA, MANGO, PINEAPPLES)</t>
  </si>
  <si>
    <t>Tropical Mix</t>
  </si>
  <si>
    <t>GPLW</t>
  </si>
  <si>
    <t>KI</t>
  </si>
  <si>
    <t>TROPICAL MIX (6#CASE)</t>
  </si>
  <si>
    <t xml:space="preserve">TROPICAL MIX </t>
  </si>
  <si>
    <t>TROPICAL MIX</t>
  </si>
  <si>
    <t>FRUIT CUPS 8/6OZ</t>
  </si>
  <si>
    <t>APPLE RED CUP (3# CASE)</t>
  </si>
  <si>
    <t>APPLE GREEN CUPS (3#CS)</t>
  </si>
  <si>
    <t>BLUEBERRIES CUPS  (3# CASE)</t>
  </si>
  <si>
    <t>CANTALOUPE CUPS (3# CASE)</t>
  </si>
  <si>
    <t>RED GRAPES CUPS (3# CASE)</t>
  </si>
  <si>
    <t>WHITE GRAPES CUPS (3# CASE)</t>
  </si>
  <si>
    <t>HONEYDEW CUPS (3# CASE)</t>
  </si>
  <si>
    <t>KIWI CUPS (3# CASE)</t>
  </si>
  <si>
    <t>MANGO CUPS (3# CASE)</t>
  </si>
  <si>
    <t>ORANGES CUPS (3# CASE)</t>
  </si>
  <si>
    <t>PEARS CUPS (3# CASE)</t>
  </si>
  <si>
    <t>PINEAPPLES CUPS (3# CASE)</t>
  </si>
  <si>
    <t>STRAWBERIES CUPS (3# CASE)</t>
  </si>
  <si>
    <t>WATERMELON CUPS (3# CASE)</t>
  </si>
  <si>
    <t>FRUIT MIX (3# CASE)</t>
  </si>
  <si>
    <t>TROPICAL MIX (3#CASE)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</si>
</sst>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000"/>
    <numFmt numFmtId="166" formatCode="0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b/>
      <sz val="16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3" borderId="1" xfId="1" applyFont="1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4" fontId="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8" fontId="0" fillId="2" borderId="0" xfId="0" applyNumberForma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8" fontId="0" fillId="0" borderId="0" xfId="0" applyNumberFormat="1"/>
    <xf numFmtId="0" fontId="1" fillId="0" borderId="1" xfId="2" applyFont="1" applyBorder="1" applyAlignment="1">
      <alignment horizontal="left" vertical="center"/>
    </xf>
    <xf numFmtId="0" fontId="1" fillId="2" borderId="1" xfId="2" applyFont="1" applyFill="1" applyBorder="1" applyAlignment="1">
      <alignment horizontal="left" vertical="center"/>
    </xf>
    <xf numFmtId="0" fontId="1" fillId="0" borderId="1" xfId="2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4" fontId="0" fillId="0" borderId="1" xfId="0" applyNumberForma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2" fontId="6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44" fontId="1" fillId="3" borderId="1" xfId="1" applyFont="1" applyFill="1" applyBorder="1" applyAlignment="1">
      <alignment vertical="center"/>
    </xf>
    <xf numFmtId="44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1" xfId="2" applyFon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4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4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44" fontId="4" fillId="0" borderId="1" xfId="2" applyNumberFormat="1" applyFont="1" applyBorder="1" applyAlignment="1">
      <alignment horizontal="left" vertical="center"/>
    </xf>
    <xf numFmtId="44" fontId="1" fillId="0" borderId="1" xfId="2" applyNumberFormat="1" applyFon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4" fontId="1" fillId="3" borderId="0" xfId="0" applyNumberFormat="1" applyFont="1" applyFill="1" applyAlignment="1">
      <alignment horizontal="center" vertical="center"/>
    </xf>
    <xf numFmtId="44" fontId="0" fillId="0" borderId="1" xfId="0" applyNumberFormat="1" applyBorder="1"/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5" fontId="11" fillId="0" borderId="1" xfId="0" applyNumberFormat="1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left" vertical="center"/>
    </xf>
    <xf numFmtId="1" fontId="11" fillId="0" borderId="1" xfId="0" applyNumberFormat="1" applyFont="1" applyBorder="1" applyAlignment="1">
      <alignment horizontal="left" vertical="center" shrinkToFit="1"/>
    </xf>
    <xf numFmtId="166" fontId="11" fillId="0" borderId="1" xfId="0" applyNumberFormat="1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0" fillId="2" borderId="0" xfId="0" applyFill="1"/>
    <xf numFmtId="4" fontId="0" fillId="0" borderId="1" xfId="0" applyNumberFormat="1" applyBorder="1"/>
    <xf numFmtId="4" fontId="0" fillId="0" borderId="1" xfId="0" applyNumberFormat="1" applyBorder="1" applyAlignment="1">
      <alignment horizontal="center"/>
    </xf>
    <xf numFmtId="4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1" builtinId="4"/>
    <cellStyle name="Heading 4" xfId="2" builtinId="19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3200A"/>
      <color rgb="FFFFEE7D"/>
      <color rgb="FFFFE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9632-D9DB-9549-BEBC-6263667E8BE0}">
  <dimension ref="A1:N309"/>
  <sheetViews>
    <sheetView topLeftCell="A68" zoomScale="134" zoomScaleNormal="134" workbookViewId="0">
      <selection activeCell="B115" sqref="B115"/>
    </sheetView>
  </sheetViews>
  <sheetFormatPr baseColWidth="10" defaultColWidth="11.1640625" defaultRowHeight="16" x14ac:dyDescent="0.2"/>
  <cols>
    <col min="1" max="1" width="45.6640625" style="1" bestFit="1" customWidth="1"/>
    <col min="2" max="2" width="10.83203125" style="2"/>
  </cols>
  <sheetData>
    <row r="1" spans="1:14" x14ac:dyDescent="0.2">
      <c r="A1" s="10" t="s">
        <v>386</v>
      </c>
      <c r="B1" s="11" t="s">
        <v>387</v>
      </c>
      <c r="F1">
        <v>9.1999999999999993</v>
      </c>
    </row>
    <row r="2" spans="1:14" x14ac:dyDescent="0.2">
      <c r="A2" s="12" t="s">
        <v>0</v>
      </c>
      <c r="B2" s="13">
        <v>26</v>
      </c>
      <c r="C2" t="s">
        <v>568</v>
      </c>
      <c r="D2">
        <v>28</v>
      </c>
      <c r="H2" t="s">
        <v>481</v>
      </c>
    </row>
    <row r="3" spans="1:14" x14ac:dyDescent="0.2">
      <c r="A3" s="12" t="s">
        <v>1</v>
      </c>
      <c r="B3" s="13">
        <v>33</v>
      </c>
      <c r="C3" t="s">
        <v>464</v>
      </c>
      <c r="D3">
        <v>24</v>
      </c>
      <c r="F3">
        <v>3.5</v>
      </c>
      <c r="J3" s="17">
        <v>44287</v>
      </c>
      <c r="K3" s="17">
        <v>44910</v>
      </c>
      <c r="L3" s="17">
        <v>45092</v>
      </c>
      <c r="M3" s="17">
        <v>45200</v>
      </c>
      <c r="N3" s="17">
        <v>45762</v>
      </c>
    </row>
    <row r="4" spans="1:14" x14ac:dyDescent="0.2">
      <c r="A4" s="12" t="s">
        <v>468</v>
      </c>
      <c r="B4" s="13">
        <v>38</v>
      </c>
      <c r="K4" s="17"/>
    </row>
    <row r="5" spans="1:14" x14ac:dyDescent="0.2">
      <c r="A5" s="12" t="s">
        <v>469</v>
      </c>
      <c r="B5" s="13">
        <v>6.1</v>
      </c>
      <c r="K5" s="17"/>
    </row>
    <row r="6" spans="1:14" x14ac:dyDescent="0.2">
      <c r="A6" s="12" t="s">
        <v>2</v>
      </c>
      <c r="B6" s="13">
        <v>14</v>
      </c>
      <c r="H6" t="s">
        <v>482</v>
      </c>
      <c r="J6">
        <v>19.8</v>
      </c>
      <c r="K6" s="18">
        <v>20.67</v>
      </c>
      <c r="L6">
        <v>20.58</v>
      </c>
      <c r="M6" s="16">
        <v>18.399999999999999</v>
      </c>
      <c r="N6">
        <v>20.86</v>
      </c>
    </row>
    <row r="7" spans="1:14" x14ac:dyDescent="0.2">
      <c r="A7" s="12" t="s">
        <v>446</v>
      </c>
      <c r="B7" s="13">
        <v>38</v>
      </c>
    </row>
    <row r="8" spans="1:14" x14ac:dyDescent="0.2">
      <c r="A8" s="12" t="s">
        <v>588</v>
      </c>
      <c r="B8" s="13">
        <v>38</v>
      </c>
    </row>
    <row r="9" spans="1:14" x14ac:dyDescent="0.2">
      <c r="A9" s="12" t="s">
        <v>405</v>
      </c>
      <c r="B9" s="13">
        <v>48</v>
      </c>
      <c r="C9" t="s">
        <v>443</v>
      </c>
      <c r="H9" s="83" t="s">
        <v>1087</v>
      </c>
      <c r="I9" s="83"/>
    </row>
    <row r="10" spans="1:14" x14ac:dyDescent="0.2">
      <c r="A10" s="12" t="s">
        <v>406</v>
      </c>
      <c r="B10" s="13">
        <v>48</v>
      </c>
    </row>
    <row r="11" spans="1:14" x14ac:dyDescent="0.2">
      <c r="A11" s="12" t="s">
        <v>455</v>
      </c>
      <c r="B11" s="13">
        <v>35</v>
      </c>
    </row>
    <row r="12" spans="1:14" x14ac:dyDescent="0.2">
      <c r="A12" s="12" t="s">
        <v>3</v>
      </c>
      <c r="B12" s="13">
        <v>20</v>
      </c>
    </row>
    <row r="13" spans="1:14" x14ac:dyDescent="0.2">
      <c r="A13" s="12" t="s">
        <v>4</v>
      </c>
      <c r="B13" s="13">
        <v>20</v>
      </c>
    </row>
    <row r="14" spans="1:14" x14ac:dyDescent="0.2">
      <c r="A14" s="12" t="s">
        <v>5</v>
      </c>
      <c r="B14" s="13">
        <v>34</v>
      </c>
    </row>
    <row r="15" spans="1:14" x14ac:dyDescent="0.2">
      <c r="A15" s="12" t="s">
        <v>6</v>
      </c>
      <c r="B15" s="13">
        <v>35</v>
      </c>
    </row>
    <row r="16" spans="1:14" x14ac:dyDescent="0.2">
      <c r="A16" s="12" t="s">
        <v>7</v>
      </c>
      <c r="B16" s="13">
        <v>12</v>
      </c>
    </row>
    <row r="17" spans="1:2" x14ac:dyDescent="0.2">
      <c r="A17" s="12" t="s">
        <v>8</v>
      </c>
      <c r="B17" s="13">
        <v>24</v>
      </c>
    </row>
    <row r="18" spans="1:2" x14ac:dyDescent="0.2">
      <c r="A18" s="12" t="s">
        <v>9</v>
      </c>
      <c r="B18" s="13">
        <v>19</v>
      </c>
    </row>
    <row r="19" spans="1:2" x14ac:dyDescent="0.2">
      <c r="A19" s="12" t="s">
        <v>10</v>
      </c>
      <c r="B19" s="13">
        <v>22</v>
      </c>
    </row>
    <row r="20" spans="1:2" x14ac:dyDescent="0.2">
      <c r="A20" s="12" t="s">
        <v>11</v>
      </c>
      <c r="B20" s="13">
        <v>19</v>
      </c>
    </row>
    <row r="21" spans="1:2" x14ac:dyDescent="0.2">
      <c r="A21" s="12" t="s">
        <v>451</v>
      </c>
      <c r="B21" s="13">
        <v>25</v>
      </c>
    </row>
    <row r="22" spans="1:2" x14ac:dyDescent="0.2">
      <c r="A22" s="12" t="s">
        <v>12</v>
      </c>
      <c r="B22" s="13">
        <v>31</v>
      </c>
    </row>
    <row r="23" spans="1:2" x14ac:dyDescent="0.2">
      <c r="A23" s="12" t="s">
        <v>13</v>
      </c>
      <c r="B23" s="13">
        <v>28</v>
      </c>
    </row>
    <row r="24" spans="1:2" x14ac:dyDescent="0.2">
      <c r="A24" s="12" t="s">
        <v>14</v>
      </c>
      <c r="B24" s="13">
        <v>24</v>
      </c>
    </row>
    <row r="25" spans="1:2" x14ac:dyDescent="0.2">
      <c r="A25" s="12" t="s">
        <v>15</v>
      </c>
      <c r="B25" s="13">
        <v>24</v>
      </c>
    </row>
    <row r="26" spans="1:2" x14ac:dyDescent="0.2">
      <c r="A26" s="12" t="s">
        <v>445</v>
      </c>
      <c r="B26" s="13">
        <v>17</v>
      </c>
    </row>
    <row r="27" spans="1:2" x14ac:dyDescent="0.2">
      <c r="A27" s="12" t="s">
        <v>16</v>
      </c>
      <c r="B27" s="13">
        <v>15</v>
      </c>
    </row>
    <row r="28" spans="1:2" x14ac:dyDescent="0.2">
      <c r="A28" s="12" t="s">
        <v>17</v>
      </c>
      <c r="B28" s="13">
        <v>20</v>
      </c>
    </row>
    <row r="29" spans="1:2" x14ac:dyDescent="0.2">
      <c r="A29" s="12" t="s">
        <v>454</v>
      </c>
      <c r="B29" s="13">
        <v>20</v>
      </c>
    </row>
    <row r="30" spans="1:2" x14ac:dyDescent="0.2">
      <c r="A30" s="12" t="s">
        <v>441</v>
      </c>
      <c r="B30" s="13">
        <v>70</v>
      </c>
    </row>
    <row r="31" spans="1:2" x14ac:dyDescent="0.2">
      <c r="A31" s="12" t="s">
        <v>18</v>
      </c>
      <c r="B31" s="13">
        <v>34</v>
      </c>
    </row>
    <row r="32" spans="1:2" x14ac:dyDescent="0.2">
      <c r="A32" s="12" t="s">
        <v>19</v>
      </c>
      <c r="B32" s="13">
        <v>34</v>
      </c>
    </row>
    <row r="33" spans="1:2" x14ac:dyDescent="0.2">
      <c r="A33" s="12" t="s">
        <v>583</v>
      </c>
      <c r="B33" s="13">
        <v>40</v>
      </c>
    </row>
    <row r="34" spans="1:2" x14ac:dyDescent="0.2">
      <c r="A34" s="12" t="s">
        <v>452</v>
      </c>
      <c r="B34" s="13">
        <v>65</v>
      </c>
    </row>
    <row r="35" spans="1:2" x14ac:dyDescent="0.2">
      <c r="A35" s="12" t="s">
        <v>432</v>
      </c>
      <c r="B35" s="13">
        <v>50</v>
      </c>
    </row>
    <row r="36" spans="1:2" x14ac:dyDescent="0.2">
      <c r="A36" s="12" t="s">
        <v>20</v>
      </c>
      <c r="B36" s="13">
        <v>18</v>
      </c>
    </row>
    <row r="37" spans="1:2" x14ac:dyDescent="0.2">
      <c r="A37" s="12" t="s">
        <v>458</v>
      </c>
      <c r="B37" s="13">
        <v>18</v>
      </c>
    </row>
    <row r="38" spans="1:2" x14ac:dyDescent="0.2">
      <c r="A38" s="12" t="s">
        <v>21</v>
      </c>
      <c r="B38" s="13">
        <v>23</v>
      </c>
    </row>
    <row r="39" spans="1:2" x14ac:dyDescent="0.2">
      <c r="A39" s="12" t="s">
        <v>22</v>
      </c>
      <c r="B39" s="13">
        <v>15</v>
      </c>
    </row>
    <row r="40" spans="1:2" x14ac:dyDescent="0.2">
      <c r="A40" s="12" t="s">
        <v>23</v>
      </c>
      <c r="B40" s="13">
        <v>36</v>
      </c>
    </row>
    <row r="41" spans="1:2" x14ac:dyDescent="0.2">
      <c r="A41" s="12" t="s">
        <v>448</v>
      </c>
      <c r="B41" s="13">
        <v>85</v>
      </c>
    </row>
    <row r="42" spans="1:2" x14ac:dyDescent="0.2">
      <c r="A42" s="12" t="s">
        <v>24</v>
      </c>
      <c r="B42" s="13">
        <v>28</v>
      </c>
    </row>
    <row r="43" spans="1:2" x14ac:dyDescent="0.2">
      <c r="A43" s="12" t="s">
        <v>25</v>
      </c>
      <c r="B43" s="13">
        <v>15</v>
      </c>
    </row>
    <row r="44" spans="1:2" x14ac:dyDescent="0.2">
      <c r="A44" s="12" t="s">
        <v>26</v>
      </c>
      <c r="B44" s="13">
        <v>11</v>
      </c>
    </row>
    <row r="45" spans="1:2" x14ac:dyDescent="0.2">
      <c r="A45" s="12" t="s">
        <v>27</v>
      </c>
      <c r="B45" s="13">
        <v>15.5</v>
      </c>
    </row>
    <row r="46" spans="1:2" x14ac:dyDescent="0.2">
      <c r="A46" s="12" t="s">
        <v>28</v>
      </c>
      <c r="B46" s="13">
        <v>43</v>
      </c>
    </row>
    <row r="47" spans="1:2" x14ac:dyDescent="0.2">
      <c r="A47" s="12" t="s">
        <v>463</v>
      </c>
      <c r="B47" s="13">
        <v>26</v>
      </c>
    </row>
    <row r="48" spans="1:2" x14ac:dyDescent="0.2">
      <c r="A48" s="12" t="s">
        <v>29</v>
      </c>
      <c r="B48" s="13">
        <v>14</v>
      </c>
    </row>
    <row r="49" spans="1:3" x14ac:dyDescent="0.2">
      <c r="A49" s="12" t="s">
        <v>30</v>
      </c>
      <c r="B49" s="13">
        <v>14</v>
      </c>
    </row>
    <row r="50" spans="1:3" x14ac:dyDescent="0.2">
      <c r="A50" s="12" t="s">
        <v>31</v>
      </c>
      <c r="B50" s="13">
        <v>27</v>
      </c>
      <c r="C50" t="s">
        <v>569</v>
      </c>
    </row>
    <row r="51" spans="1:3" x14ac:dyDescent="0.2">
      <c r="A51" s="12" t="s">
        <v>32</v>
      </c>
      <c r="B51" s="13">
        <v>30</v>
      </c>
    </row>
    <row r="52" spans="1:3" x14ac:dyDescent="0.2">
      <c r="A52" s="12" t="s">
        <v>453</v>
      </c>
      <c r="B52" s="13">
        <v>65</v>
      </c>
    </row>
    <row r="53" spans="1:3" x14ac:dyDescent="0.2">
      <c r="A53" s="12" t="s">
        <v>414</v>
      </c>
      <c r="B53" s="13">
        <v>30.25</v>
      </c>
    </row>
    <row r="54" spans="1:3" x14ac:dyDescent="0.2">
      <c r="A54" s="12" t="s">
        <v>33</v>
      </c>
      <c r="B54" s="13">
        <v>38</v>
      </c>
    </row>
    <row r="55" spans="1:3" x14ac:dyDescent="0.2">
      <c r="A55" s="12" t="s">
        <v>34</v>
      </c>
      <c r="B55" s="13">
        <v>53</v>
      </c>
    </row>
    <row r="56" spans="1:3" x14ac:dyDescent="0.2">
      <c r="A56" s="12" t="s">
        <v>35</v>
      </c>
      <c r="B56" s="13">
        <v>53</v>
      </c>
    </row>
    <row r="57" spans="1:3" x14ac:dyDescent="0.2">
      <c r="A57" s="12" t="s">
        <v>36</v>
      </c>
      <c r="B57" s="13">
        <v>20</v>
      </c>
    </row>
    <row r="58" spans="1:3" x14ac:dyDescent="0.2">
      <c r="A58" s="12" t="s">
        <v>37</v>
      </c>
      <c r="B58" s="13">
        <v>36</v>
      </c>
    </row>
    <row r="59" spans="1:3" x14ac:dyDescent="0.2">
      <c r="A59" s="12" t="s">
        <v>38</v>
      </c>
      <c r="B59" s="13">
        <v>36</v>
      </c>
    </row>
    <row r="60" spans="1:3" x14ac:dyDescent="0.2">
      <c r="A60" s="12" t="s">
        <v>39</v>
      </c>
      <c r="B60" s="13">
        <v>18</v>
      </c>
    </row>
    <row r="61" spans="1:3" x14ac:dyDescent="0.2">
      <c r="A61" s="12" t="s">
        <v>40</v>
      </c>
      <c r="B61" s="13">
        <v>20</v>
      </c>
    </row>
    <row r="62" spans="1:3" x14ac:dyDescent="0.2">
      <c r="A62" s="12" t="s">
        <v>41</v>
      </c>
      <c r="B62" s="13">
        <v>20</v>
      </c>
    </row>
    <row r="63" spans="1:3" x14ac:dyDescent="0.2">
      <c r="A63" s="12" t="s">
        <v>42</v>
      </c>
      <c r="B63" s="13">
        <v>18</v>
      </c>
    </row>
    <row r="64" spans="1:3" x14ac:dyDescent="0.2">
      <c r="A64" s="12" t="s">
        <v>574</v>
      </c>
      <c r="B64" s="13">
        <v>29</v>
      </c>
    </row>
    <row r="65" spans="1:2" x14ac:dyDescent="0.2">
      <c r="A65" s="12" t="s">
        <v>48</v>
      </c>
      <c r="B65" s="13">
        <v>22</v>
      </c>
    </row>
    <row r="66" spans="1:2" x14ac:dyDescent="0.2">
      <c r="A66" s="12" t="s">
        <v>49</v>
      </c>
      <c r="B66" s="13">
        <v>28</v>
      </c>
    </row>
    <row r="67" spans="1:2" x14ac:dyDescent="0.2">
      <c r="A67" s="12" t="s">
        <v>50</v>
      </c>
      <c r="B67" s="13">
        <v>30</v>
      </c>
    </row>
    <row r="68" spans="1:2" x14ac:dyDescent="0.2">
      <c r="A68" s="12" t="s">
        <v>51</v>
      </c>
      <c r="B68" s="13">
        <v>28</v>
      </c>
    </row>
    <row r="69" spans="1:2" x14ac:dyDescent="0.2">
      <c r="A69" s="12" t="s">
        <v>52</v>
      </c>
      <c r="B69" s="13">
        <v>32</v>
      </c>
    </row>
    <row r="70" spans="1:2" x14ac:dyDescent="0.2">
      <c r="A70" s="12" t="s">
        <v>594</v>
      </c>
      <c r="B70" s="13">
        <v>32</v>
      </c>
    </row>
    <row r="71" spans="1:2" x14ac:dyDescent="0.2">
      <c r="A71" s="12" t="s">
        <v>53</v>
      </c>
      <c r="B71" s="13">
        <v>20</v>
      </c>
    </row>
    <row r="72" spans="1:2" x14ac:dyDescent="0.2">
      <c r="A72" s="12" t="s">
        <v>54</v>
      </c>
      <c r="B72" s="13">
        <v>16</v>
      </c>
    </row>
    <row r="73" spans="1:2" x14ac:dyDescent="0.2">
      <c r="A73" s="12" t="s">
        <v>55</v>
      </c>
      <c r="B73" s="13">
        <v>14</v>
      </c>
    </row>
    <row r="74" spans="1:2" x14ac:dyDescent="0.2">
      <c r="A74" s="12" t="s">
        <v>56</v>
      </c>
      <c r="B74" s="13">
        <v>16</v>
      </c>
    </row>
    <row r="75" spans="1:2" x14ac:dyDescent="0.2">
      <c r="A75" s="12" t="s">
        <v>58</v>
      </c>
      <c r="B75" s="13">
        <v>22</v>
      </c>
    </row>
    <row r="76" spans="1:2" x14ac:dyDescent="0.2">
      <c r="A76" s="12" t="s">
        <v>581</v>
      </c>
      <c r="B76" s="13">
        <v>24</v>
      </c>
    </row>
    <row r="77" spans="1:2" x14ac:dyDescent="0.2">
      <c r="A77" s="12" t="s">
        <v>57</v>
      </c>
      <c r="B77" s="13">
        <v>25</v>
      </c>
    </row>
    <row r="78" spans="1:2" x14ac:dyDescent="0.2">
      <c r="A78" s="12" t="s">
        <v>46</v>
      </c>
      <c r="B78" s="13">
        <v>18</v>
      </c>
    </row>
    <row r="79" spans="1:2" x14ac:dyDescent="0.2">
      <c r="A79" s="12" t="s">
        <v>45</v>
      </c>
      <c r="B79" s="13">
        <v>18</v>
      </c>
    </row>
    <row r="80" spans="1:2" x14ac:dyDescent="0.2">
      <c r="A80" s="12" t="s">
        <v>44</v>
      </c>
      <c r="B80" s="13">
        <v>16</v>
      </c>
    </row>
    <row r="81" spans="1:2" x14ac:dyDescent="0.2">
      <c r="A81" s="12" t="s">
        <v>43</v>
      </c>
      <c r="B81" s="13">
        <v>16</v>
      </c>
    </row>
    <row r="82" spans="1:2" x14ac:dyDescent="0.2">
      <c r="A82" s="12" t="s">
        <v>415</v>
      </c>
      <c r="B82" s="13">
        <v>28</v>
      </c>
    </row>
    <row r="83" spans="1:2" x14ac:dyDescent="0.2">
      <c r="A83" s="12" t="s">
        <v>47</v>
      </c>
      <c r="B83" s="13">
        <v>18</v>
      </c>
    </row>
    <row r="84" spans="1:2" x14ac:dyDescent="0.2">
      <c r="A84" s="12" t="s">
        <v>436</v>
      </c>
      <c r="B84" s="13">
        <v>0</v>
      </c>
    </row>
    <row r="85" spans="1:2" x14ac:dyDescent="0.2">
      <c r="A85" s="12" t="s">
        <v>59</v>
      </c>
      <c r="B85" s="13">
        <v>10</v>
      </c>
    </row>
    <row r="86" spans="1:2" x14ac:dyDescent="0.2">
      <c r="A86" s="14" t="s">
        <v>1086</v>
      </c>
      <c r="B86" s="7">
        <v>45</v>
      </c>
    </row>
    <row r="87" spans="1:2" x14ac:dyDescent="0.2">
      <c r="A87" s="14" t="s">
        <v>585</v>
      </c>
      <c r="B87" s="7">
        <f>SUM((B57/17)*6)+((B58/15)*2)+((B59/15)*2)</f>
        <v>16.658823529411766</v>
      </c>
    </row>
    <row r="88" spans="1:2" x14ac:dyDescent="0.2">
      <c r="A88" s="14" t="s">
        <v>586</v>
      </c>
      <c r="B88" s="7">
        <f>SUM((B81/20)*5)+((B49/35)*5)+((B37/10)*1)+((B26/12)*1)</f>
        <v>9.2166666666666668</v>
      </c>
    </row>
    <row r="89" spans="1:2" x14ac:dyDescent="0.2">
      <c r="A89" s="14" t="s">
        <v>595</v>
      </c>
      <c r="B89" s="7">
        <f>(SUM(B19/16,B31/18,B36/15,B60/8.5))</f>
        <v>6.5815359477124176</v>
      </c>
    </row>
    <row r="90" spans="1:2" x14ac:dyDescent="0.2">
      <c r="A90" s="14" t="s">
        <v>603</v>
      </c>
      <c r="B90" s="7">
        <f>SUM(((B12/15)*8)+((B17/35)*1)+((B20/35))*2)</f>
        <v>12.438095238095237</v>
      </c>
    </row>
    <row r="91" spans="1:2" x14ac:dyDescent="0.2">
      <c r="A91" s="14" t="s">
        <v>604</v>
      </c>
      <c r="B91" s="7">
        <f>SUM((B58/17)*5)+((B59/17)*5)</f>
        <v>21.176470588235293</v>
      </c>
    </row>
    <row r="92" spans="1:2" x14ac:dyDescent="0.2">
      <c r="A92" s="14"/>
      <c r="B92" s="7"/>
    </row>
    <row r="93" spans="1:2" x14ac:dyDescent="0.2">
      <c r="A93" s="14" t="s">
        <v>1050</v>
      </c>
      <c r="B93" s="7">
        <v>24</v>
      </c>
    </row>
    <row r="94" spans="1:2" x14ac:dyDescent="0.2">
      <c r="A94" s="14" t="s">
        <v>1051</v>
      </c>
      <c r="B94" s="7">
        <v>24</v>
      </c>
    </row>
    <row r="95" spans="1:2" x14ac:dyDescent="0.2">
      <c r="A95" s="14" t="s">
        <v>1052</v>
      </c>
      <c r="B95" s="7">
        <v>42</v>
      </c>
    </row>
    <row r="96" spans="1:2" x14ac:dyDescent="0.2">
      <c r="A96" s="14" t="s">
        <v>612</v>
      </c>
      <c r="B96" s="7">
        <v>20</v>
      </c>
    </row>
    <row r="97" spans="1:2" x14ac:dyDescent="0.2">
      <c r="A97" s="14" t="s">
        <v>1053</v>
      </c>
      <c r="B97" s="7">
        <v>50</v>
      </c>
    </row>
    <row r="98" spans="1:2" x14ac:dyDescent="0.2">
      <c r="A98" s="14" t="s">
        <v>1054</v>
      </c>
      <c r="B98" s="7">
        <v>25</v>
      </c>
    </row>
    <row r="99" spans="1:2" x14ac:dyDescent="0.2">
      <c r="A99" s="14" t="s">
        <v>1055</v>
      </c>
      <c r="B99" s="7">
        <v>24</v>
      </c>
    </row>
    <row r="100" spans="1:2" x14ac:dyDescent="0.2">
      <c r="A100" s="14" t="s">
        <v>1046</v>
      </c>
      <c r="B100" s="7">
        <v>0</v>
      </c>
    </row>
    <row r="101" spans="1:2" x14ac:dyDescent="0.2">
      <c r="A101" s="14" t="s">
        <v>1056</v>
      </c>
      <c r="B101" s="7">
        <v>32</v>
      </c>
    </row>
    <row r="102" spans="1:2" x14ac:dyDescent="0.2">
      <c r="A102" s="14" t="s">
        <v>1057</v>
      </c>
      <c r="B102" s="7">
        <v>31</v>
      </c>
    </row>
    <row r="103" spans="1:2" x14ac:dyDescent="0.2">
      <c r="A103" s="14" t="s">
        <v>1048</v>
      </c>
      <c r="B103" s="7">
        <v>0</v>
      </c>
    </row>
    <row r="104" spans="1:2" x14ac:dyDescent="0.2">
      <c r="A104" s="14" t="s">
        <v>1049</v>
      </c>
      <c r="B104" s="7">
        <v>15</v>
      </c>
    </row>
    <row r="105" spans="1:2" x14ac:dyDescent="0.2">
      <c r="A105" s="14" t="s">
        <v>1058</v>
      </c>
      <c r="B105" s="7">
        <v>30</v>
      </c>
    </row>
    <row r="106" spans="1:2" x14ac:dyDescent="0.2">
      <c r="A106" s="14" t="s">
        <v>1047</v>
      </c>
      <c r="B106" s="7">
        <v>25</v>
      </c>
    </row>
    <row r="107" spans="1:2" x14ac:dyDescent="0.2">
      <c r="A107" s="14" t="s">
        <v>1059</v>
      </c>
      <c r="B107" s="7">
        <v>15</v>
      </c>
    </row>
    <row r="108" spans="1:2" x14ac:dyDescent="0.2">
      <c r="A108" s="14" t="s">
        <v>1060</v>
      </c>
      <c r="B108" s="7">
        <v>24</v>
      </c>
    </row>
    <row r="109" spans="1:2" x14ac:dyDescent="0.2">
      <c r="A109" s="14" t="s">
        <v>1061</v>
      </c>
      <c r="B109" s="7">
        <v>0</v>
      </c>
    </row>
    <row r="110" spans="1:2" x14ac:dyDescent="0.2">
      <c r="A110" s="14" t="s">
        <v>1045</v>
      </c>
      <c r="B110" s="7">
        <v>16</v>
      </c>
    </row>
    <row r="111" spans="1:2" x14ac:dyDescent="0.2">
      <c r="A111" s="14" t="s">
        <v>1062</v>
      </c>
      <c r="B111" s="7">
        <v>32</v>
      </c>
    </row>
    <row r="112" spans="1:2" x14ac:dyDescent="0.2">
      <c r="A112" s="14" t="s">
        <v>1044</v>
      </c>
      <c r="B112" s="7">
        <v>40</v>
      </c>
    </row>
    <row r="113" spans="1:3" x14ac:dyDescent="0.2">
      <c r="A113" s="14" t="s">
        <v>1074</v>
      </c>
      <c r="B113" s="7">
        <v>17</v>
      </c>
    </row>
    <row r="114" spans="1:3" x14ac:dyDescent="0.2">
      <c r="A114" s="14" t="s">
        <v>1133</v>
      </c>
      <c r="B114" s="7">
        <f>SUM(B53/20)+(B60/8.5)+(B43/5.5)</f>
        <v>6.3574197860962567</v>
      </c>
      <c r="C114" t="s">
        <v>1132</v>
      </c>
    </row>
    <row r="115" spans="1:3" x14ac:dyDescent="0.2">
      <c r="A115" s="14"/>
      <c r="B115" s="7"/>
    </row>
    <row r="116" spans="1:3" x14ac:dyDescent="0.2">
      <c r="A116" s="14"/>
      <c r="B116" s="7"/>
    </row>
    <row r="117" spans="1:3" x14ac:dyDescent="0.2">
      <c r="A117" s="14"/>
      <c r="B117" s="7"/>
    </row>
    <row r="118" spans="1:3" x14ac:dyDescent="0.2">
      <c r="A118" s="14"/>
      <c r="B118" s="7"/>
    </row>
    <row r="119" spans="1:3" x14ac:dyDescent="0.2">
      <c r="A119" s="14"/>
      <c r="B119" s="7"/>
    </row>
    <row r="120" spans="1:3" x14ac:dyDescent="0.2">
      <c r="A120" s="14"/>
      <c r="B120" s="7"/>
    </row>
    <row r="121" spans="1:3" x14ac:dyDescent="0.2">
      <c r="A121" s="14"/>
      <c r="B121" s="7"/>
    </row>
    <row r="122" spans="1:3" x14ac:dyDescent="0.2">
      <c r="A122" s="14"/>
      <c r="B122" s="7"/>
    </row>
    <row r="123" spans="1:3" x14ac:dyDescent="0.2">
      <c r="A123" s="14"/>
      <c r="B123" s="7"/>
    </row>
    <row r="124" spans="1:3" x14ac:dyDescent="0.2">
      <c r="A124" s="14"/>
      <c r="B124" s="7"/>
    </row>
    <row r="125" spans="1:3" x14ac:dyDescent="0.2">
      <c r="A125" s="14"/>
      <c r="B125" s="7"/>
    </row>
    <row r="126" spans="1:3" x14ac:dyDescent="0.2">
      <c r="A126" s="14"/>
      <c r="B126" s="7"/>
    </row>
    <row r="127" spans="1:3" x14ac:dyDescent="0.2">
      <c r="A127" s="14"/>
      <c r="B127" s="7"/>
    </row>
    <row r="128" spans="1:3" x14ac:dyDescent="0.2">
      <c r="A128" s="14"/>
      <c r="B128" s="7"/>
    </row>
    <row r="129" spans="1:2" x14ac:dyDescent="0.2">
      <c r="A129" s="14"/>
      <c r="B129" s="7"/>
    </row>
    <row r="130" spans="1:2" x14ac:dyDescent="0.2">
      <c r="A130" s="14"/>
      <c r="B130" s="7"/>
    </row>
    <row r="131" spans="1:2" x14ac:dyDescent="0.2">
      <c r="A131" s="14"/>
      <c r="B131" s="7"/>
    </row>
    <row r="132" spans="1:2" x14ac:dyDescent="0.2">
      <c r="A132" s="14"/>
      <c r="B132" s="7"/>
    </row>
    <row r="133" spans="1:2" x14ac:dyDescent="0.2">
      <c r="A133" s="14"/>
      <c r="B133" s="7"/>
    </row>
    <row r="134" spans="1:2" x14ac:dyDescent="0.2">
      <c r="A134" s="14"/>
      <c r="B134" s="7"/>
    </row>
    <row r="135" spans="1:2" x14ac:dyDescent="0.2">
      <c r="A135" s="14"/>
      <c r="B135" s="7"/>
    </row>
    <row r="136" spans="1:2" x14ac:dyDescent="0.2">
      <c r="A136" s="14"/>
      <c r="B136" s="7"/>
    </row>
    <row r="137" spans="1:2" x14ac:dyDescent="0.2">
      <c r="A137" s="14"/>
      <c r="B137" s="7"/>
    </row>
    <row r="138" spans="1:2" x14ac:dyDescent="0.2">
      <c r="A138" s="14"/>
      <c r="B138" s="7"/>
    </row>
    <row r="139" spans="1:2" x14ac:dyDescent="0.2">
      <c r="A139" s="14"/>
      <c r="B139" s="7"/>
    </row>
    <row r="140" spans="1:2" x14ac:dyDescent="0.2">
      <c r="A140" s="14"/>
      <c r="B140" s="7"/>
    </row>
    <row r="141" spans="1:2" x14ac:dyDescent="0.2">
      <c r="A141" s="14"/>
      <c r="B141" s="7"/>
    </row>
    <row r="142" spans="1:2" x14ac:dyDescent="0.2">
      <c r="A142" s="14"/>
      <c r="B142" s="7"/>
    </row>
    <row r="143" spans="1:2" x14ac:dyDescent="0.2">
      <c r="A143" s="14"/>
      <c r="B143" s="7"/>
    </row>
    <row r="144" spans="1:2" x14ac:dyDescent="0.2">
      <c r="A144" s="14"/>
      <c r="B144" s="7"/>
    </row>
    <row r="145" spans="1:2" x14ac:dyDescent="0.2">
      <c r="A145" s="14"/>
      <c r="B145" s="7"/>
    </row>
    <row r="146" spans="1:2" x14ac:dyDescent="0.2">
      <c r="A146" s="14"/>
      <c r="B146" s="7"/>
    </row>
    <row r="147" spans="1:2" x14ac:dyDescent="0.2">
      <c r="A147" s="14"/>
      <c r="B147" s="7"/>
    </row>
    <row r="148" spans="1:2" x14ac:dyDescent="0.2">
      <c r="A148" s="14"/>
      <c r="B148" s="7"/>
    </row>
    <row r="149" spans="1:2" x14ac:dyDescent="0.2">
      <c r="A149" s="14"/>
      <c r="B149" s="7"/>
    </row>
    <row r="150" spans="1:2" x14ac:dyDescent="0.2">
      <c r="A150" s="14"/>
      <c r="B150" s="7"/>
    </row>
    <row r="151" spans="1:2" x14ac:dyDescent="0.2">
      <c r="A151" s="14"/>
      <c r="B151" s="7"/>
    </row>
    <row r="152" spans="1:2" x14ac:dyDescent="0.2">
      <c r="A152" s="14"/>
      <c r="B152" s="7"/>
    </row>
    <row r="153" spans="1:2" x14ac:dyDescent="0.2">
      <c r="A153" s="14"/>
      <c r="B153" s="7"/>
    </row>
    <row r="154" spans="1:2" x14ac:dyDescent="0.2">
      <c r="A154" s="14"/>
      <c r="B154" s="7"/>
    </row>
    <row r="155" spans="1:2" x14ac:dyDescent="0.2">
      <c r="A155" s="14"/>
      <c r="B155" s="7"/>
    </row>
    <row r="156" spans="1:2" x14ac:dyDescent="0.2">
      <c r="A156" s="14"/>
      <c r="B156" s="7"/>
    </row>
    <row r="157" spans="1:2" x14ac:dyDescent="0.2">
      <c r="A157" s="14"/>
      <c r="B157" s="7"/>
    </row>
    <row r="158" spans="1:2" x14ac:dyDescent="0.2">
      <c r="A158" s="14"/>
      <c r="B158" s="7"/>
    </row>
    <row r="159" spans="1:2" x14ac:dyDescent="0.2">
      <c r="A159" s="14"/>
      <c r="B159" s="7"/>
    </row>
    <row r="160" spans="1:2" x14ac:dyDescent="0.2">
      <c r="A160" s="14"/>
      <c r="B160" s="7"/>
    </row>
    <row r="161" spans="1:2" x14ac:dyDescent="0.2">
      <c r="A161" s="14"/>
      <c r="B161" s="7"/>
    </row>
    <row r="162" spans="1:2" x14ac:dyDescent="0.2">
      <c r="A162" s="14"/>
      <c r="B162" s="7"/>
    </row>
    <row r="163" spans="1:2" x14ac:dyDescent="0.2">
      <c r="A163" s="14"/>
      <c r="B163" s="7"/>
    </row>
    <row r="164" spans="1:2" x14ac:dyDescent="0.2">
      <c r="A164" s="14"/>
      <c r="B164" s="7"/>
    </row>
    <row r="165" spans="1:2" x14ac:dyDescent="0.2">
      <c r="A165" s="14"/>
      <c r="B165" s="7"/>
    </row>
    <row r="166" spans="1:2" x14ac:dyDescent="0.2">
      <c r="A166" s="14"/>
      <c r="B166" s="7"/>
    </row>
    <row r="167" spans="1:2" x14ac:dyDescent="0.2">
      <c r="A167" s="14"/>
      <c r="B167" s="7"/>
    </row>
    <row r="168" spans="1:2" x14ac:dyDescent="0.2">
      <c r="A168" s="14"/>
      <c r="B168" s="7"/>
    </row>
    <row r="169" spans="1:2" x14ac:dyDescent="0.2">
      <c r="A169" s="14"/>
      <c r="B169" s="7"/>
    </row>
    <row r="170" spans="1:2" x14ac:dyDescent="0.2">
      <c r="A170" s="14"/>
      <c r="B170" s="7"/>
    </row>
    <row r="171" spans="1:2" x14ac:dyDescent="0.2">
      <c r="A171" s="14"/>
      <c r="B171" s="7"/>
    </row>
    <row r="172" spans="1:2" x14ac:dyDescent="0.2">
      <c r="A172" s="14"/>
      <c r="B172" s="7"/>
    </row>
    <row r="173" spans="1:2" x14ac:dyDescent="0.2">
      <c r="A173" s="14"/>
      <c r="B173" s="7"/>
    </row>
    <row r="174" spans="1:2" x14ac:dyDescent="0.2">
      <c r="A174" s="14"/>
      <c r="B174" s="7"/>
    </row>
    <row r="175" spans="1:2" x14ac:dyDescent="0.2">
      <c r="A175" s="14"/>
      <c r="B175" s="7"/>
    </row>
    <row r="176" spans="1:2" x14ac:dyDescent="0.2">
      <c r="A176" s="14"/>
      <c r="B176" s="7"/>
    </row>
    <row r="177" spans="1:2" x14ac:dyDescent="0.2">
      <c r="A177" s="14"/>
      <c r="B177" s="7"/>
    </row>
    <row r="178" spans="1:2" x14ac:dyDescent="0.2">
      <c r="A178" s="14"/>
      <c r="B178" s="7"/>
    </row>
    <row r="179" spans="1:2" x14ac:dyDescent="0.2">
      <c r="A179" s="14"/>
      <c r="B179" s="7"/>
    </row>
    <row r="180" spans="1:2" x14ac:dyDescent="0.2">
      <c r="A180" s="14"/>
      <c r="B180" s="7"/>
    </row>
    <row r="181" spans="1:2" x14ac:dyDescent="0.2">
      <c r="A181" s="14"/>
      <c r="B181" s="7"/>
    </row>
    <row r="182" spans="1:2" x14ac:dyDescent="0.2">
      <c r="A182" s="14"/>
      <c r="B182" s="7"/>
    </row>
    <row r="183" spans="1:2" x14ac:dyDescent="0.2">
      <c r="A183" s="14"/>
      <c r="B183" s="7"/>
    </row>
    <row r="184" spans="1:2" x14ac:dyDescent="0.2">
      <c r="A184" s="14"/>
      <c r="B184" s="7"/>
    </row>
    <row r="185" spans="1:2" x14ac:dyDescent="0.2">
      <c r="A185" s="14"/>
      <c r="B185" s="7"/>
    </row>
    <row r="186" spans="1:2" x14ac:dyDescent="0.2">
      <c r="A186" s="14"/>
      <c r="B186" s="7"/>
    </row>
    <row r="187" spans="1:2" x14ac:dyDescent="0.2">
      <c r="A187" s="14"/>
      <c r="B187" s="7"/>
    </row>
    <row r="188" spans="1:2" x14ac:dyDescent="0.2">
      <c r="A188" s="14"/>
      <c r="B188" s="7"/>
    </row>
    <row r="189" spans="1:2" x14ac:dyDescent="0.2">
      <c r="A189" s="14"/>
      <c r="B189" s="7"/>
    </row>
    <row r="190" spans="1:2" x14ac:dyDescent="0.2">
      <c r="A190" s="14"/>
      <c r="B190" s="7"/>
    </row>
    <row r="191" spans="1:2" x14ac:dyDescent="0.2">
      <c r="A191" s="14"/>
      <c r="B191" s="7"/>
    </row>
    <row r="192" spans="1:2" x14ac:dyDescent="0.2">
      <c r="A192" s="14"/>
      <c r="B192" s="7"/>
    </row>
    <row r="193" spans="1:2" x14ac:dyDescent="0.2">
      <c r="A193" s="14"/>
      <c r="B193" s="7"/>
    </row>
    <row r="194" spans="1:2" x14ac:dyDescent="0.2">
      <c r="A194" s="14"/>
      <c r="B194" s="7"/>
    </row>
    <row r="195" spans="1:2" x14ac:dyDescent="0.2">
      <c r="A195" s="14"/>
      <c r="B195" s="7"/>
    </row>
    <row r="196" spans="1:2" x14ac:dyDescent="0.2">
      <c r="A196" s="14"/>
      <c r="B196" s="7"/>
    </row>
    <row r="197" spans="1:2" x14ac:dyDescent="0.2">
      <c r="A197" s="14"/>
      <c r="B197" s="7"/>
    </row>
    <row r="198" spans="1:2" x14ac:dyDescent="0.2">
      <c r="A198" s="14"/>
      <c r="B198" s="7"/>
    </row>
    <row r="199" spans="1:2" x14ac:dyDescent="0.2">
      <c r="A199" s="14"/>
      <c r="B199" s="7"/>
    </row>
    <row r="200" spans="1:2" x14ac:dyDescent="0.2">
      <c r="A200" s="14"/>
      <c r="B200" s="7"/>
    </row>
    <row r="201" spans="1:2" x14ac:dyDescent="0.2">
      <c r="A201" s="14"/>
      <c r="B201" s="7"/>
    </row>
    <row r="202" spans="1:2" x14ac:dyDescent="0.2">
      <c r="A202" s="14"/>
      <c r="B202" s="7"/>
    </row>
    <row r="203" spans="1:2" x14ac:dyDescent="0.2">
      <c r="A203" s="14"/>
      <c r="B203" s="7"/>
    </row>
    <row r="204" spans="1:2" x14ac:dyDescent="0.2">
      <c r="A204" s="14"/>
      <c r="B204" s="7"/>
    </row>
    <row r="205" spans="1:2" x14ac:dyDescent="0.2">
      <c r="A205" s="14"/>
      <c r="B205" s="7"/>
    </row>
    <row r="206" spans="1:2" x14ac:dyDescent="0.2">
      <c r="A206" s="14"/>
      <c r="B206" s="7"/>
    </row>
    <row r="207" spans="1:2" x14ac:dyDescent="0.2">
      <c r="A207" s="14"/>
      <c r="B207" s="7"/>
    </row>
    <row r="208" spans="1:2" x14ac:dyDescent="0.2">
      <c r="A208" s="14"/>
      <c r="B208" s="7"/>
    </row>
    <row r="209" spans="1:2" x14ac:dyDescent="0.2">
      <c r="A209" s="14"/>
      <c r="B209" s="7"/>
    </row>
    <row r="210" spans="1:2" x14ac:dyDescent="0.2">
      <c r="A210" s="14"/>
      <c r="B210" s="7"/>
    </row>
    <row r="211" spans="1:2" x14ac:dyDescent="0.2">
      <c r="A211" s="14"/>
      <c r="B211" s="7"/>
    </row>
    <row r="212" spans="1:2" x14ac:dyDescent="0.2">
      <c r="A212" s="14"/>
      <c r="B212" s="7"/>
    </row>
    <row r="213" spans="1:2" x14ac:dyDescent="0.2">
      <c r="A213" s="14"/>
      <c r="B213" s="7"/>
    </row>
    <row r="214" spans="1:2" x14ac:dyDescent="0.2">
      <c r="A214" s="14"/>
      <c r="B214" s="7"/>
    </row>
    <row r="215" spans="1:2" x14ac:dyDescent="0.2">
      <c r="A215" s="14"/>
      <c r="B215" s="7"/>
    </row>
    <row r="216" spans="1:2" x14ac:dyDescent="0.2">
      <c r="A216" s="14"/>
      <c r="B216" s="7"/>
    </row>
    <row r="217" spans="1:2" x14ac:dyDescent="0.2">
      <c r="A217" s="14"/>
      <c r="B217" s="7"/>
    </row>
    <row r="218" spans="1:2" x14ac:dyDescent="0.2">
      <c r="A218" s="14"/>
      <c r="B218" s="7"/>
    </row>
    <row r="219" spans="1:2" x14ac:dyDescent="0.2">
      <c r="A219" s="14"/>
      <c r="B219" s="7"/>
    </row>
    <row r="220" spans="1:2" x14ac:dyDescent="0.2">
      <c r="A220" s="14"/>
      <c r="B220" s="7"/>
    </row>
    <row r="221" spans="1:2" x14ac:dyDescent="0.2">
      <c r="A221" s="14"/>
      <c r="B221" s="7"/>
    </row>
    <row r="222" spans="1:2" x14ac:dyDescent="0.2">
      <c r="A222" s="14"/>
      <c r="B222" s="7"/>
    </row>
    <row r="223" spans="1:2" x14ac:dyDescent="0.2">
      <c r="A223" s="14"/>
      <c r="B223" s="7"/>
    </row>
    <row r="224" spans="1:2" x14ac:dyDescent="0.2">
      <c r="A224" s="14"/>
      <c r="B224" s="7"/>
    </row>
    <row r="225" spans="1:2" x14ac:dyDescent="0.2">
      <c r="A225" s="14"/>
      <c r="B225" s="7"/>
    </row>
    <row r="226" spans="1:2" x14ac:dyDescent="0.2">
      <c r="A226" s="14"/>
      <c r="B226" s="7"/>
    </row>
    <row r="227" spans="1:2" x14ac:dyDescent="0.2">
      <c r="A227" s="14"/>
      <c r="B227" s="7"/>
    </row>
    <row r="228" spans="1:2" x14ac:dyDescent="0.2">
      <c r="A228" s="14"/>
      <c r="B228" s="7"/>
    </row>
    <row r="229" spans="1:2" x14ac:dyDescent="0.2">
      <c r="A229" s="14"/>
      <c r="B229" s="7"/>
    </row>
    <row r="230" spans="1:2" x14ac:dyDescent="0.2">
      <c r="A230" s="14"/>
      <c r="B230" s="7"/>
    </row>
    <row r="231" spans="1:2" x14ac:dyDescent="0.2">
      <c r="A231" s="14"/>
      <c r="B231" s="7"/>
    </row>
    <row r="232" spans="1:2" x14ac:dyDescent="0.2">
      <c r="A232" s="14"/>
      <c r="B232" s="7"/>
    </row>
    <row r="233" spans="1:2" x14ac:dyDescent="0.2">
      <c r="A233" s="14"/>
      <c r="B233" s="7"/>
    </row>
    <row r="234" spans="1:2" x14ac:dyDescent="0.2">
      <c r="A234" s="14"/>
      <c r="B234" s="7"/>
    </row>
    <row r="235" spans="1:2" x14ac:dyDescent="0.2">
      <c r="A235" s="14"/>
      <c r="B235" s="7"/>
    </row>
    <row r="236" spans="1:2" x14ac:dyDescent="0.2">
      <c r="A236" s="14"/>
      <c r="B236" s="7"/>
    </row>
    <row r="237" spans="1:2" x14ac:dyDescent="0.2">
      <c r="A237" s="14"/>
      <c r="B237" s="7"/>
    </row>
    <row r="238" spans="1:2" x14ac:dyDescent="0.2">
      <c r="A238" s="14"/>
      <c r="B238" s="7"/>
    </row>
    <row r="239" spans="1:2" x14ac:dyDescent="0.2">
      <c r="A239" s="14"/>
      <c r="B239" s="7"/>
    </row>
    <row r="240" spans="1:2" x14ac:dyDescent="0.2">
      <c r="A240" s="14"/>
      <c r="B240" s="7"/>
    </row>
    <row r="241" spans="1:2" x14ac:dyDescent="0.2">
      <c r="A241" s="14"/>
      <c r="B241" s="7"/>
    </row>
    <row r="242" spans="1:2" x14ac:dyDescent="0.2">
      <c r="A242" s="14"/>
      <c r="B242" s="7"/>
    </row>
    <row r="243" spans="1:2" x14ac:dyDescent="0.2">
      <c r="A243" s="14"/>
      <c r="B243" s="7"/>
    </row>
    <row r="244" spans="1:2" x14ac:dyDescent="0.2">
      <c r="A244" s="14"/>
      <c r="B244" s="7"/>
    </row>
    <row r="245" spans="1:2" x14ac:dyDescent="0.2">
      <c r="A245" s="14"/>
      <c r="B245" s="7"/>
    </row>
    <row r="246" spans="1:2" x14ac:dyDescent="0.2">
      <c r="A246" s="14"/>
      <c r="B246" s="7"/>
    </row>
    <row r="247" spans="1:2" x14ac:dyDescent="0.2">
      <c r="A247" s="14"/>
      <c r="B247" s="7"/>
    </row>
    <row r="248" spans="1:2" x14ac:dyDescent="0.2">
      <c r="A248" s="14"/>
      <c r="B248" s="7"/>
    </row>
    <row r="249" spans="1:2" x14ac:dyDescent="0.2">
      <c r="A249" s="14"/>
      <c r="B249" s="7"/>
    </row>
    <row r="250" spans="1:2" x14ac:dyDescent="0.2">
      <c r="A250" s="14"/>
      <c r="B250" s="7"/>
    </row>
    <row r="251" spans="1:2" x14ac:dyDescent="0.2">
      <c r="A251" s="14"/>
      <c r="B251" s="7"/>
    </row>
    <row r="252" spans="1:2" x14ac:dyDescent="0.2">
      <c r="A252" s="14"/>
      <c r="B252" s="7"/>
    </row>
    <row r="253" spans="1:2" x14ac:dyDescent="0.2">
      <c r="A253" s="14"/>
      <c r="B253" s="7"/>
    </row>
    <row r="254" spans="1:2" x14ac:dyDescent="0.2">
      <c r="A254" s="14"/>
      <c r="B254" s="7"/>
    </row>
    <row r="255" spans="1:2" x14ac:dyDescent="0.2">
      <c r="A255" s="14"/>
      <c r="B255" s="7"/>
    </row>
    <row r="256" spans="1:2" x14ac:dyDescent="0.2">
      <c r="A256" s="14"/>
      <c r="B256" s="7"/>
    </row>
    <row r="257" spans="1:2" x14ac:dyDescent="0.2">
      <c r="A257" s="14"/>
      <c r="B257" s="7"/>
    </row>
    <row r="258" spans="1:2" x14ac:dyDescent="0.2">
      <c r="A258" s="14"/>
      <c r="B258" s="7"/>
    </row>
    <row r="259" spans="1:2" x14ac:dyDescent="0.2">
      <c r="A259" s="14"/>
      <c r="B259" s="7"/>
    </row>
    <row r="260" spans="1:2" x14ac:dyDescent="0.2">
      <c r="A260" s="14"/>
      <c r="B260" s="7"/>
    </row>
    <row r="261" spans="1:2" x14ac:dyDescent="0.2">
      <c r="A261" s="14"/>
      <c r="B261" s="7"/>
    </row>
    <row r="262" spans="1:2" x14ac:dyDescent="0.2">
      <c r="A262" s="14"/>
      <c r="B262" s="7"/>
    </row>
    <row r="263" spans="1:2" x14ac:dyDescent="0.2">
      <c r="A263" s="14"/>
      <c r="B263" s="7"/>
    </row>
    <row r="264" spans="1:2" x14ac:dyDescent="0.2">
      <c r="A264" s="14"/>
      <c r="B264" s="7"/>
    </row>
    <row r="265" spans="1:2" x14ac:dyDescent="0.2">
      <c r="A265" s="14"/>
      <c r="B265" s="7"/>
    </row>
    <row r="266" spans="1:2" x14ac:dyDescent="0.2">
      <c r="A266" s="14"/>
      <c r="B266" s="7"/>
    </row>
    <row r="267" spans="1:2" x14ac:dyDescent="0.2">
      <c r="A267" s="14"/>
      <c r="B267" s="7"/>
    </row>
    <row r="268" spans="1:2" x14ac:dyDescent="0.2">
      <c r="A268" s="14"/>
      <c r="B268" s="7"/>
    </row>
    <row r="269" spans="1:2" x14ac:dyDescent="0.2">
      <c r="A269" s="14"/>
      <c r="B269" s="7"/>
    </row>
    <row r="270" spans="1:2" x14ac:dyDescent="0.2">
      <c r="A270" s="14"/>
      <c r="B270" s="7"/>
    </row>
    <row r="271" spans="1:2" x14ac:dyDescent="0.2">
      <c r="A271" s="14"/>
      <c r="B271" s="7"/>
    </row>
    <row r="272" spans="1:2" x14ac:dyDescent="0.2">
      <c r="A272" s="14"/>
      <c r="B272" s="7"/>
    </row>
    <row r="273" spans="1:2" x14ac:dyDescent="0.2">
      <c r="A273" s="14"/>
      <c r="B273" s="7"/>
    </row>
    <row r="274" spans="1:2" x14ac:dyDescent="0.2">
      <c r="A274" s="14"/>
      <c r="B274" s="7"/>
    </row>
    <row r="275" spans="1:2" x14ac:dyDescent="0.2">
      <c r="A275" s="14"/>
      <c r="B275" s="7"/>
    </row>
    <row r="276" spans="1:2" x14ac:dyDescent="0.2">
      <c r="A276" s="14"/>
      <c r="B276" s="7"/>
    </row>
    <row r="277" spans="1:2" x14ac:dyDescent="0.2">
      <c r="A277" s="14"/>
      <c r="B277" s="7"/>
    </row>
    <row r="278" spans="1:2" x14ac:dyDescent="0.2">
      <c r="A278" s="14"/>
      <c r="B278" s="7"/>
    </row>
    <row r="279" spans="1:2" x14ac:dyDescent="0.2">
      <c r="A279" s="14"/>
      <c r="B279" s="7"/>
    </row>
    <row r="280" spans="1:2" x14ac:dyDescent="0.2">
      <c r="A280" s="14"/>
      <c r="B280" s="7"/>
    </row>
    <row r="281" spans="1:2" x14ac:dyDescent="0.2">
      <c r="A281" s="14"/>
      <c r="B281" s="7"/>
    </row>
    <row r="282" spans="1:2" x14ac:dyDescent="0.2">
      <c r="A282" s="14"/>
      <c r="B282" s="7"/>
    </row>
    <row r="283" spans="1:2" x14ac:dyDescent="0.2">
      <c r="A283" s="14"/>
      <c r="B283" s="7"/>
    </row>
    <row r="284" spans="1:2" x14ac:dyDescent="0.2">
      <c r="A284" s="14"/>
      <c r="B284" s="7"/>
    </row>
    <row r="285" spans="1:2" x14ac:dyDescent="0.2">
      <c r="A285" s="14"/>
      <c r="B285" s="7"/>
    </row>
    <row r="286" spans="1:2" x14ac:dyDescent="0.2">
      <c r="A286" s="14"/>
      <c r="B286" s="7"/>
    </row>
    <row r="287" spans="1:2" x14ac:dyDescent="0.2">
      <c r="A287" s="14"/>
      <c r="B287" s="7"/>
    </row>
    <row r="288" spans="1:2" x14ac:dyDescent="0.2">
      <c r="A288" s="14"/>
      <c r="B288" s="7"/>
    </row>
    <row r="289" spans="1:2" x14ac:dyDescent="0.2">
      <c r="A289" s="14"/>
      <c r="B289" s="7"/>
    </row>
    <row r="290" spans="1:2" x14ac:dyDescent="0.2">
      <c r="A290" s="14"/>
      <c r="B290" s="7"/>
    </row>
    <row r="291" spans="1:2" x14ac:dyDescent="0.2">
      <c r="A291" s="14"/>
      <c r="B291" s="7"/>
    </row>
    <row r="292" spans="1:2" x14ac:dyDescent="0.2">
      <c r="A292" s="14"/>
      <c r="B292" s="7"/>
    </row>
    <row r="293" spans="1:2" x14ac:dyDescent="0.2">
      <c r="A293" s="14"/>
      <c r="B293" s="7"/>
    </row>
    <row r="294" spans="1:2" x14ac:dyDescent="0.2">
      <c r="A294" s="14"/>
      <c r="B294" s="7"/>
    </row>
    <row r="295" spans="1:2" x14ac:dyDescent="0.2">
      <c r="A295" s="14"/>
      <c r="B295" s="7"/>
    </row>
    <row r="296" spans="1:2" x14ac:dyDescent="0.2">
      <c r="A296" s="14"/>
      <c r="B296" s="7"/>
    </row>
    <row r="297" spans="1:2" x14ac:dyDescent="0.2">
      <c r="A297" s="14"/>
      <c r="B297" s="7"/>
    </row>
    <row r="298" spans="1:2" x14ac:dyDescent="0.2">
      <c r="A298" s="14"/>
      <c r="B298" s="7"/>
    </row>
    <row r="299" spans="1:2" x14ac:dyDescent="0.2">
      <c r="A299" s="14"/>
      <c r="B299" s="7"/>
    </row>
    <row r="300" spans="1:2" x14ac:dyDescent="0.2">
      <c r="A300" s="14"/>
      <c r="B300" s="7"/>
    </row>
    <row r="301" spans="1:2" x14ac:dyDescent="0.2">
      <c r="A301" s="14"/>
      <c r="B301" s="7"/>
    </row>
    <row r="302" spans="1:2" x14ac:dyDescent="0.2">
      <c r="A302" s="14"/>
      <c r="B302" s="7"/>
    </row>
    <row r="303" spans="1:2" x14ac:dyDescent="0.2">
      <c r="A303" s="14"/>
      <c r="B303" s="7"/>
    </row>
    <row r="304" spans="1:2" x14ac:dyDescent="0.2">
      <c r="A304" s="14"/>
      <c r="B304" s="7"/>
    </row>
    <row r="305" spans="1:2" x14ac:dyDescent="0.2">
      <c r="A305" s="14"/>
      <c r="B305" s="7"/>
    </row>
    <row r="306" spans="1:2" x14ac:dyDescent="0.2">
      <c r="A306" s="14"/>
      <c r="B306" s="7"/>
    </row>
    <row r="307" spans="1:2" x14ac:dyDescent="0.2">
      <c r="A307" s="14"/>
      <c r="B307" s="7"/>
    </row>
    <row r="308" spans="1:2" x14ac:dyDescent="0.2">
      <c r="A308" s="14"/>
      <c r="B308" s="7"/>
    </row>
    <row r="309" spans="1:2" x14ac:dyDescent="0.2">
      <c r="A309" s="14"/>
      <c r="B30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327-E76A-1642-9540-F9C247D4A196}">
  <sheetPr>
    <pageSetUpPr fitToPage="1"/>
  </sheetPr>
  <dimension ref="A1:F35"/>
  <sheetViews>
    <sheetView workbookViewId="0"/>
  </sheetViews>
  <sheetFormatPr baseColWidth="10" defaultColWidth="11.1640625" defaultRowHeight="25" customHeight="1" x14ac:dyDescent="0.2"/>
  <cols>
    <col min="1" max="1" width="28.6640625" style="3" customWidth="1"/>
    <col min="2" max="3" width="17.33203125" style="3" customWidth="1"/>
    <col min="4" max="4" width="18.5" style="3" customWidth="1"/>
    <col min="5" max="5" width="13.6640625" customWidth="1"/>
    <col min="6" max="6" width="15.6640625" customWidth="1"/>
  </cols>
  <sheetData>
    <row r="1" spans="1:6" ht="25" customHeight="1" x14ac:dyDescent="0.2">
      <c r="A1" s="9" t="s">
        <v>377</v>
      </c>
      <c r="B1" s="9" t="s">
        <v>379</v>
      </c>
      <c r="C1" s="9" t="s">
        <v>380</v>
      </c>
      <c r="D1" s="9" t="s">
        <v>643</v>
      </c>
      <c r="E1" s="9" t="s">
        <v>381</v>
      </c>
      <c r="F1" s="9" t="s">
        <v>382</v>
      </c>
    </row>
    <row r="2" spans="1:6" ht="25" customHeight="1" x14ac:dyDescent="0.2">
      <c r="A2" s="4" t="s">
        <v>378</v>
      </c>
      <c r="B2" s="5">
        <v>0.75</v>
      </c>
      <c r="C2" s="5">
        <v>0.25</v>
      </c>
      <c r="D2" s="5">
        <v>0</v>
      </c>
      <c r="E2" s="5">
        <v>0.1</v>
      </c>
      <c r="F2" s="6">
        <f>SUM(B2:E2)</f>
        <v>1.1000000000000001</v>
      </c>
    </row>
    <row r="3" spans="1:6" ht="25" customHeight="1" x14ac:dyDescent="0.2">
      <c r="A3" s="4" t="s">
        <v>385</v>
      </c>
      <c r="B3" s="5">
        <v>0.75</v>
      </c>
      <c r="C3" s="5">
        <v>0.75</v>
      </c>
      <c r="D3" s="5">
        <v>0</v>
      </c>
      <c r="E3" s="5">
        <v>0.1</v>
      </c>
      <c r="F3" s="6">
        <f t="shared" ref="F3:F35" si="0">SUM(B3:E3)</f>
        <v>1.6</v>
      </c>
    </row>
    <row r="4" spans="1:6" ht="25" customHeight="1" x14ac:dyDescent="0.2">
      <c r="A4" s="4" t="s">
        <v>383</v>
      </c>
      <c r="B4" s="5">
        <v>0.67</v>
      </c>
      <c r="C4" s="5">
        <v>0.13</v>
      </c>
      <c r="D4" s="5">
        <v>0</v>
      </c>
      <c r="E4" s="5">
        <v>0.1</v>
      </c>
      <c r="F4" s="6">
        <f t="shared" si="0"/>
        <v>0.9</v>
      </c>
    </row>
    <row r="5" spans="1:6" ht="25" customHeight="1" x14ac:dyDescent="0.2">
      <c r="A5" s="4" t="s">
        <v>384</v>
      </c>
      <c r="B5" s="5">
        <v>0.42</v>
      </c>
      <c r="C5" s="5">
        <v>7.0000000000000007E-2</v>
      </c>
      <c r="D5" s="5">
        <v>0</v>
      </c>
      <c r="E5" s="5">
        <v>0.1</v>
      </c>
      <c r="F5" s="6">
        <f t="shared" si="0"/>
        <v>0.59</v>
      </c>
    </row>
    <row r="6" spans="1:6" ht="25" customHeight="1" x14ac:dyDescent="0.2">
      <c r="A6" s="4" t="s">
        <v>407</v>
      </c>
      <c r="B6" s="5">
        <v>1.04</v>
      </c>
      <c r="C6" s="5">
        <v>0</v>
      </c>
      <c r="D6" s="5">
        <v>2.02</v>
      </c>
      <c r="E6" s="5">
        <v>0.1</v>
      </c>
      <c r="F6" s="6">
        <f t="shared" si="0"/>
        <v>3.16</v>
      </c>
    </row>
    <row r="7" spans="1:6" ht="25" customHeight="1" x14ac:dyDescent="0.2">
      <c r="A7" s="4" t="s">
        <v>408</v>
      </c>
      <c r="B7" s="5">
        <v>1.04</v>
      </c>
      <c r="C7" s="5">
        <v>0</v>
      </c>
      <c r="D7" s="5">
        <v>1.32</v>
      </c>
      <c r="E7" s="5">
        <v>0.1</v>
      </c>
      <c r="F7" s="6">
        <f t="shared" si="0"/>
        <v>2.4600000000000004</v>
      </c>
    </row>
    <row r="8" spans="1:6" ht="25" customHeight="1" x14ac:dyDescent="0.2">
      <c r="A8" s="4" t="s">
        <v>409</v>
      </c>
      <c r="B8" s="5">
        <v>0.65</v>
      </c>
      <c r="C8" s="5">
        <v>0</v>
      </c>
      <c r="D8" s="5">
        <v>1.01</v>
      </c>
      <c r="E8" s="5">
        <v>0.1</v>
      </c>
      <c r="F8" s="6">
        <f t="shared" si="0"/>
        <v>1.7600000000000002</v>
      </c>
    </row>
    <row r="9" spans="1:6" ht="25" customHeight="1" x14ac:dyDescent="0.2">
      <c r="A9" s="4" t="s">
        <v>410</v>
      </c>
      <c r="B9" s="5">
        <v>0.65</v>
      </c>
      <c r="C9" s="5">
        <v>0</v>
      </c>
      <c r="D9" s="5">
        <v>0.66</v>
      </c>
      <c r="E9" s="5">
        <v>0.1</v>
      </c>
      <c r="F9" s="6">
        <f t="shared" si="0"/>
        <v>1.4100000000000001</v>
      </c>
    </row>
    <row r="10" spans="1:6" ht="25" customHeight="1" x14ac:dyDescent="0.2">
      <c r="A10" s="4" t="s">
        <v>402</v>
      </c>
      <c r="B10" s="5">
        <v>0.67</v>
      </c>
      <c r="C10" s="5">
        <v>0.38</v>
      </c>
      <c r="D10" s="5">
        <v>0</v>
      </c>
      <c r="E10" s="5">
        <v>0.1</v>
      </c>
      <c r="F10" s="6">
        <f t="shared" si="0"/>
        <v>1.1500000000000001</v>
      </c>
    </row>
    <row r="11" spans="1:6" ht="25" customHeight="1" x14ac:dyDescent="0.2">
      <c r="A11" s="4" t="s">
        <v>411</v>
      </c>
      <c r="B11" s="5">
        <v>0.75</v>
      </c>
      <c r="C11" s="5">
        <v>1.75</v>
      </c>
      <c r="D11" s="5">
        <v>0</v>
      </c>
      <c r="E11" s="5">
        <v>0.1</v>
      </c>
      <c r="F11" s="6">
        <f t="shared" si="0"/>
        <v>2.6</v>
      </c>
    </row>
    <row r="12" spans="1:6" ht="25" customHeight="1" x14ac:dyDescent="0.2">
      <c r="A12" s="4" t="s">
        <v>412</v>
      </c>
      <c r="B12" s="5">
        <v>0.75</v>
      </c>
      <c r="C12" s="5">
        <v>3.5</v>
      </c>
      <c r="D12" s="5">
        <v>0</v>
      </c>
      <c r="E12" s="5">
        <v>0.1</v>
      </c>
      <c r="F12" s="6">
        <f t="shared" si="0"/>
        <v>4.3499999999999996</v>
      </c>
    </row>
    <row r="13" spans="1:6" ht="25" customHeight="1" x14ac:dyDescent="0.2">
      <c r="A13" s="4" t="s">
        <v>413</v>
      </c>
      <c r="B13" s="5">
        <v>0.75</v>
      </c>
      <c r="C13" s="5">
        <v>0.38</v>
      </c>
      <c r="D13" s="5">
        <v>0</v>
      </c>
      <c r="E13" s="5">
        <v>0.1</v>
      </c>
      <c r="F13" s="6">
        <f t="shared" si="0"/>
        <v>1.23</v>
      </c>
    </row>
    <row r="14" spans="1:6" ht="25" customHeight="1" x14ac:dyDescent="0.2">
      <c r="A14" s="4" t="s">
        <v>420</v>
      </c>
      <c r="B14" s="5">
        <v>0.95</v>
      </c>
      <c r="C14" s="5">
        <v>0.1</v>
      </c>
      <c r="D14" s="5">
        <v>0</v>
      </c>
      <c r="E14" s="5">
        <v>0.1</v>
      </c>
      <c r="F14" s="6">
        <f t="shared" si="0"/>
        <v>1.1500000000000001</v>
      </c>
    </row>
    <row r="15" spans="1:6" ht="25" customHeight="1" x14ac:dyDescent="0.2">
      <c r="A15" s="4" t="s">
        <v>430</v>
      </c>
      <c r="B15" s="5">
        <v>1.01</v>
      </c>
      <c r="C15" s="5">
        <v>1.75</v>
      </c>
      <c r="D15" s="5">
        <v>0</v>
      </c>
      <c r="E15" s="5">
        <v>0.1</v>
      </c>
      <c r="F15" s="6">
        <f>SUM(B15:E15)</f>
        <v>2.86</v>
      </c>
    </row>
    <row r="16" spans="1:6" ht="25" customHeight="1" x14ac:dyDescent="0.2">
      <c r="A16" s="4" t="s">
        <v>429</v>
      </c>
      <c r="B16" s="5">
        <v>0.67</v>
      </c>
      <c r="C16" s="5">
        <v>2.2400000000000002</v>
      </c>
      <c r="D16" s="5">
        <v>0</v>
      </c>
      <c r="E16" s="5">
        <v>0.1</v>
      </c>
      <c r="F16" s="6">
        <f>SUM(B16:E16)</f>
        <v>3.0100000000000002</v>
      </c>
    </row>
    <row r="17" spans="1:6" ht="25" customHeight="1" x14ac:dyDescent="0.2">
      <c r="A17" s="4" t="s">
        <v>597</v>
      </c>
      <c r="B17" s="5">
        <v>1</v>
      </c>
      <c r="C17" s="5">
        <v>0</v>
      </c>
      <c r="D17" s="5">
        <v>4.3600000000000003</v>
      </c>
      <c r="E17" s="5">
        <v>0.1</v>
      </c>
      <c r="F17" s="6">
        <f>SUM(B17:E17)</f>
        <v>5.46</v>
      </c>
    </row>
    <row r="18" spans="1:6" ht="25" customHeight="1" x14ac:dyDescent="0.2">
      <c r="A18" s="4" t="s">
        <v>1094</v>
      </c>
      <c r="B18" s="5">
        <v>0.42</v>
      </c>
      <c r="C18" s="5">
        <v>0.16</v>
      </c>
      <c r="D18" s="5">
        <v>0</v>
      </c>
      <c r="E18" s="5">
        <v>0.1</v>
      </c>
      <c r="F18" s="6">
        <f>SUM(B18:E18)</f>
        <v>0.67999999999999994</v>
      </c>
    </row>
    <row r="19" spans="1:6" ht="25" customHeight="1" x14ac:dyDescent="0.2">
      <c r="A19" s="4" t="s">
        <v>633</v>
      </c>
      <c r="B19" s="5">
        <v>0</v>
      </c>
      <c r="C19" s="5">
        <v>7.0000000000000007E-2</v>
      </c>
      <c r="D19" s="5"/>
      <c r="E19" s="5"/>
      <c r="F19" s="6">
        <f t="shared" si="0"/>
        <v>7.0000000000000007E-2</v>
      </c>
    </row>
    <row r="20" spans="1:6" ht="25" customHeight="1" x14ac:dyDescent="0.2">
      <c r="A20" s="4" t="s">
        <v>636</v>
      </c>
      <c r="B20" s="5">
        <v>0.75</v>
      </c>
      <c r="C20" s="5">
        <v>1.75</v>
      </c>
      <c r="D20" s="5">
        <v>1.5</v>
      </c>
      <c r="E20" s="5">
        <v>0.1</v>
      </c>
      <c r="F20" s="6">
        <f t="shared" si="0"/>
        <v>4.0999999999999996</v>
      </c>
    </row>
    <row r="21" spans="1:6" ht="25" customHeight="1" x14ac:dyDescent="0.2">
      <c r="A21" s="4" t="s">
        <v>637</v>
      </c>
      <c r="B21" s="5">
        <v>0.75</v>
      </c>
      <c r="C21" s="5">
        <v>3.5</v>
      </c>
      <c r="D21" s="5">
        <v>3</v>
      </c>
      <c r="E21" s="5">
        <v>0.1</v>
      </c>
      <c r="F21" s="6">
        <f t="shared" si="0"/>
        <v>7.35</v>
      </c>
    </row>
    <row r="22" spans="1:6" ht="25" customHeight="1" x14ac:dyDescent="0.2">
      <c r="A22" s="4" t="s">
        <v>638</v>
      </c>
      <c r="B22" s="5">
        <v>0.75</v>
      </c>
      <c r="C22" s="5">
        <v>0.38</v>
      </c>
      <c r="D22" s="5">
        <v>1.5</v>
      </c>
      <c r="E22" s="5">
        <v>0.1</v>
      </c>
      <c r="F22" s="6">
        <f t="shared" si="0"/>
        <v>2.73</v>
      </c>
    </row>
    <row r="23" spans="1:6" ht="25" customHeight="1" x14ac:dyDescent="0.2">
      <c r="A23" s="4" t="s">
        <v>639</v>
      </c>
      <c r="B23" s="5">
        <v>0.75</v>
      </c>
      <c r="C23" s="5">
        <v>0.25</v>
      </c>
      <c r="D23" s="5">
        <v>1.5</v>
      </c>
      <c r="E23" s="5">
        <v>0.1</v>
      </c>
      <c r="F23" s="6">
        <f t="shared" si="0"/>
        <v>2.6</v>
      </c>
    </row>
    <row r="24" spans="1:6" ht="25" customHeight="1" x14ac:dyDescent="0.2">
      <c r="A24" s="4" t="s">
        <v>640</v>
      </c>
      <c r="B24" s="5">
        <v>0.75</v>
      </c>
      <c r="C24" s="5">
        <v>0.75</v>
      </c>
      <c r="D24" s="5">
        <v>1.5</v>
      </c>
      <c r="E24" s="5">
        <v>0.1</v>
      </c>
      <c r="F24" s="6">
        <f t="shared" si="0"/>
        <v>3.1</v>
      </c>
    </row>
    <row r="25" spans="1:6" ht="25" customHeight="1" x14ac:dyDescent="0.2">
      <c r="A25" s="4" t="s">
        <v>641</v>
      </c>
      <c r="B25" s="5">
        <v>0.75</v>
      </c>
      <c r="C25" s="5">
        <v>0.25</v>
      </c>
      <c r="D25" s="5">
        <v>1.5</v>
      </c>
      <c r="E25" s="5">
        <v>0.1</v>
      </c>
      <c r="F25" s="6">
        <f t="shared" si="0"/>
        <v>2.6</v>
      </c>
    </row>
    <row r="26" spans="1:6" ht="25" customHeight="1" x14ac:dyDescent="0.2">
      <c r="A26" s="4" t="s">
        <v>642</v>
      </c>
      <c r="B26" s="5">
        <v>0.75</v>
      </c>
      <c r="C26" s="5">
        <v>0.75</v>
      </c>
      <c r="D26" s="5">
        <v>1.5</v>
      </c>
      <c r="E26" s="5">
        <v>0.1</v>
      </c>
      <c r="F26" s="6">
        <f t="shared" si="0"/>
        <v>3.1</v>
      </c>
    </row>
    <row r="27" spans="1:6" ht="25" customHeight="1" x14ac:dyDescent="0.2">
      <c r="A27" s="4" t="s">
        <v>646</v>
      </c>
      <c r="B27" s="85">
        <v>0.75</v>
      </c>
      <c r="C27" s="85">
        <v>1.75</v>
      </c>
      <c r="D27" s="85"/>
      <c r="E27" s="84">
        <v>0.1</v>
      </c>
      <c r="F27" s="6">
        <f t="shared" si="0"/>
        <v>2.6</v>
      </c>
    </row>
    <row r="28" spans="1:6" ht="25" customHeight="1" x14ac:dyDescent="0.2">
      <c r="A28" s="4" t="s">
        <v>1095</v>
      </c>
      <c r="B28" s="85">
        <v>0.67</v>
      </c>
      <c r="C28" s="85">
        <v>2.2400000000000002</v>
      </c>
      <c r="D28" s="85"/>
      <c r="E28" s="84">
        <v>0.1</v>
      </c>
      <c r="F28" s="6">
        <f t="shared" si="0"/>
        <v>3.0100000000000002</v>
      </c>
    </row>
    <row r="29" spans="1:6" ht="25" customHeight="1" x14ac:dyDescent="0.2">
      <c r="A29" s="4" t="s">
        <v>1093</v>
      </c>
      <c r="B29" s="85">
        <v>0.42</v>
      </c>
      <c r="C29" s="85">
        <v>0.2</v>
      </c>
      <c r="D29" s="85"/>
      <c r="E29" s="84">
        <v>0.1</v>
      </c>
      <c r="F29" s="6">
        <f t="shared" si="0"/>
        <v>0.72</v>
      </c>
    </row>
    <row r="30" spans="1:6" ht="25" customHeight="1" x14ac:dyDescent="0.2">
      <c r="A30" s="4"/>
      <c r="B30" s="85"/>
      <c r="C30" s="85"/>
      <c r="D30" s="85"/>
      <c r="E30" s="84"/>
      <c r="F30" s="6">
        <f t="shared" si="0"/>
        <v>0</v>
      </c>
    </row>
    <row r="31" spans="1:6" ht="25" customHeight="1" x14ac:dyDescent="0.2">
      <c r="A31" s="4"/>
      <c r="B31" s="85"/>
      <c r="C31" s="85"/>
      <c r="D31" s="85"/>
      <c r="E31" s="84"/>
      <c r="F31" s="6">
        <f t="shared" si="0"/>
        <v>0</v>
      </c>
    </row>
    <row r="32" spans="1:6" ht="25" customHeight="1" x14ac:dyDescent="0.2">
      <c r="A32" s="4"/>
      <c r="B32" s="85"/>
      <c r="C32" s="85"/>
      <c r="D32" s="85"/>
      <c r="E32" s="84"/>
      <c r="F32" s="6">
        <f t="shared" si="0"/>
        <v>0</v>
      </c>
    </row>
    <row r="33" spans="1:6" ht="25" customHeight="1" x14ac:dyDescent="0.2">
      <c r="A33" s="4"/>
      <c r="B33" s="85"/>
      <c r="C33" s="85"/>
      <c r="D33" s="85"/>
      <c r="E33" s="84"/>
      <c r="F33" s="6">
        <f t="shared" si="0"/>
        <v>0</v>
      </c>
    </row>
    <row r="34" spans="1:6" ht="25" customHeight="1" x14ac:dyDescent="0.2">
      <c r="A34" s="4"/>
      <c r="B34" s="85"/>
      <c r="C34" s="85"/>
      <c r="D34" s="85"/>
      <c r="E34" s="84"/>
      <c r="F34" s="6">
        <f t="shared" si="0"/>
        <v>0</v>
      </c>
    </row>
    <row r="35" spans="1:6" ht="25" customHeight="1" x14ac:dyDescent="0.2">
      <c r="A35" s="4"/>
      <c r="B35" s="85"/>
      <c r="C35" s="85"/>
      <c r="D35" s="85"/>
      <c r="E35" s="84"/>
      <c r="F35" s="6">
        <f t="shared" si="0"/>
        <v>0</v>
      </c>
    </row>
  </sheetData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D7E-299A-7341-9971-79CE8B716470}">
  <dimension ref="A1:W459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baseColWidth="10" defaultColWidth="11.1640625" defaultRowHeight="21" customHeight="1" x14ac:dyDescent="0.2"/>
  <cols>
    <col min="1" max="1" width="44.83203125" style="46" customWidth="1"/>
    <col min="2" max="2" width="9.33203125" style="46" customWidth="1"/>
    <col min="3" max="3" width="14" style="46" customWidth="1"/>
    <col min="4" max="4" width="6.5" style="46" customWidth="1"/>
    <col min="5" max="5" width="16.33203125" style="46" customWidth="1"/>
    <col min="6" max="6" width="13.5" style="46" customWidth="1"/>
    <col min="7" max="7" width="9.5" style="39" customWidth="1"/>
    <col min="8" max="8" width="12" style="47" customWidth="1"/>
    <col min="9" max="9" width="8" style="47" customWidth="1"/>
    <col min="10" max="10" width="10.1640625" style="48" customWidth="1"/>
    <col min="11" max="11" width="7.33203125" style="48" customWidth="1"/>
    <col min="12" max="12" width="10.83203125" style="49" customWidth="1"/>
    <col min="13" max="13" width="8.1640625" style="39" customWidth="1"/>
    <col min="14" max="14" width="7.83203125" style="48" hidden="1" customWidth="1"/>
    <col min="15" max="15" width="8.6640625" style="48" hidden="1" customWidth="1"/>
    <col min="16" max="16" width="8.5" style="48" hidden="1" customWidth="1"/>
    <col min="17" max="17" width="8" style="48" hidden="1" customWidth="1"/>
    <col min="18" max="18" width="9" style="48" hidden="1" customWidth="1"/>
    <col min="19" max="19" width="11.1640625" style="48" customWidth="1"/>
    <col min="20" max="20" width="12.33203125" style="48" customWidth="1"/>
    <col min="21" max="21" width="11.1640625" style="48" customWidth="1"/>
    <col min="22" max="22" width="13" style="39" customWidth="1"/>
    <col min="23" max="16384" width="11.1640625" style="39"/>
  </cols>
  <sheetData>
    <row r="1" spans="1:23" s="31" customFormat="1" ht="32" customHeight="1" x14ac:dyDescent="0.2">
      <c r="A1" s="26" t="s">
        <v>370</v>
      </c>
      <c r="B1" s="26" t="s">
        <v>371</v>
      </c>
      <c r="C1" s="26" t="s">
        <v>389</v>
      </c>
      <c r="D1" s="26" t="s">
        <v>392</v>
      </c>
      <c r="E1" s="26" t="s">
        <v>396</v>
      </c>
      <c r="F1" s="26" t="s">
        <v>388</v>
      </c>
      <c r="G1" s="27" t="s">
        <v>390</v>
      </c>
      <c r="H1" s="28" t="s">
        <v>391</v>
      </c>
      <c r="I1" s="28" t="s">
        <v>472</v>
      </c>
      <c r="J1" s="27" t="s">
        <v>372</v>
      </c>
      <c r="K1" s="27" t="s">
        <v>373</v>
      </c>
      <c r="L1" s="29" t="s">
        <v>374</v>
      </c>
      <c r="M1" s="27" t="s">
        <v>375</v>
      </c>
      <c r="N1" s="30">
        <v>0.25</v>
      </c>
      <c r="O1" s="30">
        <v>0.3</v>
      </c>
      <c r="P1" s="30">
        <v>0.35</v>
      </c>
      <c r="Q1" s="30">
        <v>0.4</v>
      </c>
      <c r="R1" s="30">
        <v>0.45</v>
      </c>
      <c r="S1" s="30" t="s">
        <v>398</v>
      </c>
      <c r="T1" s="30" t="s">
        <v>399</v>
      </c>
      <c r="U1" s="30" t="s">
        <v>400</v>
      </c>
      <c r="V1" s="31" t="s">
        <v>401</v>
      </c>
      <c r="W1" s="31" t="s">
        <v>1082</v>
      </c>
    </row>
    <row r="2" spans="1:23" ht="21" customHeight="1" x14ac:dyDescent="0.2">
      <c r="A2" s="19" t="s">
        <v>517</v>
      </c>
      <c r="B2" s="19" t="s">
        <v>181</v>
      </c>
      <c r="C2" s="20" t="s">
        <v>51</v>
      </c>
      <c r="D2" s="32" t="s">
        <v>393</v>
      </c>
      <c r="E2" s="20" t="s">
        <v>397</v>
      </c>
      <c r="F2" s="20" t="s">
        <v>378</v>
      </c>
      <c r="G2" s="33">
        <v>18</v>
      </c>
      <c r="H2" s="34">
        <f>VLOOKUP($C2,'Raw Cost'!$A$1:$B$483,2,FALSE)/G2</f>
        <v>1.5555555555555556</v>
      </c>
      <c r="I2" s="34">
        <f>H2/16</f>
        <v>9.7222222222222224E-2</v>
      </c>
      <c r="J2" s="35">
        <v>20</v>
      </c>
      <c r="K2" s="35">
        <v>0.25</v>
      </c>
      <c r="L2" s="36">
        <f>VLOOKUP($F2,'Packaging Cost'!$A$1:$F$43,6,FALSE)</f>
        <v>1.1000000000000001</v>
      </c>
      <c r="M2" s="37">
        <f>IF($E2="Snakpak",(($J2*H2)+($K2*'Labor Cost'!$A$2)+L2)+2.25,($J2*H2)+($K2*'Labor Cost'!$A$2)+L2+1)</f>
        <v>39.086111111111116</v>
      </c>
      <c r="N2" s="38">
        <f>IF($D2="No",$M2*1.25,($M2*1.25)+15)</f>
        <v>48.857638888888893</v>
      </c>
      <c r="O2" s="38">
        <f>IF($D2="No",$M2*1.3,($M2*1.3)+15)</f>
        <v>50.81194444444445</v>
      </c>
      <c r="P2" s="38">
        <f>IF($D2="No",$M2*1.35,($M2*1.35)+15)</f>
        <v>52.766250000000007</v>
      </c>
      <c r="Q2" s="38">
        <f>IF($D2="No",$M2*1.4,($M2*1.4)+15)</f>
        <v>54.720555555555556</v>
      </c>
      <c r="R2" s="38">
        <f>IF($D2="No",$M2*1.45,($M2*1.45)+15)</f>
        <v>56.674861111111113</v>
      </c>
      <c r="S2" s="38">
        <f t="shared" ref="S2:S33" si="0">MROUND(N2,0.25)</f>
        <v>48.75</v>
      </c>
      <c r="T2" s="38">
        <f t="shared" ref="T2:T33" si="1">MROUND(O2,0.25)</f>
        <v>50.75</v>
      </c>
      <c r="U2" s="38">
        <f t="shared" ref="U2:U33" si="2">MROUND(P2,0.25)</f>
        <v>52.75</v>
      </c>
      <c r="V2" s="38">
        <f t="shared" ref="V2:W29" si="3">MROUND(Q2,0.25)</f>
        <v>54.75</v>
      </c>
      <c r="W2" s="38">
        <f t="shared" si="3"/>
        <v>56.75</v>
      </c>
    </row>
    <row r="3" spans="1:23" ht="21" customHeight="1" x14ac:dyDescent="0.2">
      <c r="A3" s="19" t="s">
        <v>516</v>
      </c>
      <c r="B3" s="19" t="s">
        <v>255</v>
      </c>
      <c r="C3" s="32" t="s">
        <v>1</v>
      </c>
      <c r="D3" s="20" t="s">
        <v>393</v>
      </c>
      <c r="E3" s="20" t="s">
        <v>397</v>
      </c>
      <c r="F3" s="20" t="s">
        <v>638</v>
      </c>
      <c r="G3" s="33">
        <v>28</v>
      </c>
      <c r="H3" s="34">
        <f>VLOOKUP($C3,'Raw Cost'!$A$1:$B$483,2,FALSE)/G3</f>
        <v>1.1785714285714286</v>
      </c>
      <c r="I3" s="34">
        <f t="shared" ref="I3:I35" si="4">H3/16</f>
        <v>7.3660714285714288E-2</v>
      </c>
      <c r="J3" s="35">
        <v>12</v>
      </c>
      <c r="K3" s="35">
        <v>0.25</v>
      </c>
      <c r="L3" s="36">
        <f>VLOOKUP($F3,'Packaging Cost'!$A$1:$F$43,6,FALSE)</f>
        <v>2.73</v>
      </c>
      <c r="M3" s="37">
        <f>IF($E3="Snakpak",(($J3*H3)+($K3*'Labor Cost'!$A$2)+L3)+2.25,($J3*H3)+($K3*'Labor Cost'!$A$2)+L3+1)</f>
        <v>23.747857142857143</v>
      </c>
      <c r="N3" s="38">
        <f t="shared" ref="N3:N66" si="5">IF($D3="No",$M3*1.25,($M3*1.25)+15)</f>
        <v>29.684821428571428</v>
      </c>
      <c r="O3" s="38">
        <f t="shared" ref="O3:O66" si="6">IF($D3="No",$M3*1.3,($M3*1.3)+15)</f>
        <v>30.872214285714286</v>
      </c>
      <c r="P3" s="38">
        <f t="shared" ref="P3:P66" si="7">IF($D3="No",$M3*1.35,($M3*1.35)+15)</f>
        <v>32.059607142857146</v>
      </c>
      <c r="Q3" s="38">
        <f t="shared" ref="Q3:Q66" si="8">IF($D3="No",$M3*1.4,($M3*1.4)+15)</f>
        <v>33.247</v>
      </c>
      <c r="R3" s="38">
        <f t="shared" ref="R3:R66" si="9">IF($D3="No",$M3*1.45,($M3*1.45)+15)</f>
        <v>34.434392857142853</v>
      </c>
      <c r="S3" s="38">
        <f t="shared" si="0"/>
        <v>29.75</v>
      </c>
      <c r="T3" s="38">
        <f t="shared" si="1"/>
        <v>30.75</v>
      </c>
      <c r="U3" s="38">
        <f t="shared" si="2"/>
        <v>32</v>
      </c>
      <c r="V3" s="38">
        <f t="shared" si="3"/>
        <v>33.25</v>
      </c>
      <c r="W3" s="38">
        <f t="shared" si="3"/>
        <v>34.5</v>
      </c>
    </row>
    <row r="4" spans="1:23" ht="21" customHeight="1" x14ac:dyDescent="0.2">
      <c r="A4" s="19" t="s">
        <v>515</v>
      </c>
      <c r="B4" s="19" t="s">
        <v>239</v>
      </c>
      <c r="C4" s="20" t="s">
        <v>1</v>
      </c>
      <c r="D4" s="32" t="s">
        <v>393</v>
      </c>
      <c r="E4" s="20" t="s">
        <v>397</v>
      </c>
      <c r="F4" s="20" t="s">
        <v>639</v>
      </c>
      <c r="G4" s="33">
        <v>28</v>
      </c>
      <c r="H4" s="34">
        <f>VLOOKUP($C4,'Raw Cost'!$A$1:$B$483,2,FALSE)/G4</f>
        <v>1.1785714285714286</v>
      </c>
      <c r="I4" s="34">
        <f t="shared" si="4"/>
        <v>7.3660714285714288E-2</v>
      </c>
      <c r="J4" s="35">
        <v>20</v>
      </c>
      <c r="K4" s="35">
        <v>0.25</v>
      </c>
      <c r="L4" s="36">
        <f>VLOOKUP($F4,'Packaging Cost'!$A$1:$F$43,6,FALSE)</f>
        <v>2.6</v>
      </c>
      <c r="M4" s="37">
        <f>IF($E4="Snakpak",(($J4*H4)+($K4*'Labor Cost'!$A$2)+L4)+2.25,($J4*H4)+($K4*'Labor Cost'!$A$2)+L4+1)</f>
        <v>33.046428571428571</v>
      </c>
      <c r="N4" s="38">
        <f t="shared" si="5"/>
        <v>41.308035714285715</v>
      </c>
      <c r="O4" s="38">
        <f t="shared" si="6"/>
        <v>42.960357142857141</v>
      </c>
      <c r="P4" s="38">
        <f t="shared" si="7"/>
        <v>44.612678571428575</v>
      </c>
      <c r="Q4" s="38">
        <f t="shared" si="8"/>
        <v>46.264999999999993</v>
      </c>
      <c r="R4" s="38">
        <f t="shared" si="9"/>
        <v>47.917321428571427</v>
      </c>
      <c r="S4" s="38">
        <f t="shared" si="0"/>
        <v>41.25</v>
      </c>
      <c r="T4" s="38">
        <f t="shared" si="1"/>
        <v>43</v>
      </c>
      <c r="U4" s="38">
        <f t="shared" si="2"/>
        <v>44.5</v>
      </c>
      <c r="V4" s="38">
        <f t="shared" si="3"/>
        <v>46.25</v>
      </c>
      <c r="W4" s="38">
        <f t="shared" si="3"/>
        <v>48</v>
      </c>
    </row>
    <row r="5" spans="1:23" ht="21" customHeight="1" x14ac:dyDescent="0.2">
      <c r="A5" s="19" t="s">
        <v>514</v>
      </c>
      <c r="B5" s="19" t="s">
        <v>182</v>
      </c>
      <c r="C5" s="20" t="s">
        <v>0</v>
      </c>
      <c r="D5" s="32" t="s">
        <v>393</v>
      </c>
      <c r="E5" s="20" t="s">
        <v>397</v>
      </c>
      <c r="F5" s="20" t="s">
        <v>639</v>
      </c>
      <c r="G5" s="33">
        <v>28</v>
      </c>
      <c r="H5" s="34">
        <f>VLOOKUP($C5,'Raw Cost'!$A$1:$B$483,2,FALSE)/G5</f>
        <v>0.9285714285714286</v>
      </c>
      <c r="I5" s="34">
        <f t="shared" si="4"/>
        <v>5.8035714285714288E-2</v>
      </c>
      <c r="J5" s="35">
        <v>20</v>
      </c>
      <c r="K5" s="35">
        <v>0.25</v>
      </c>
      <c r="L5" s="36">
        <f>VLOOKUP($F5,'Packaging Cost'!$A$1:$F$43,6,FALSE)</f>
        <v>2.6</v>
      </c>
      <c r="M5" s="37">
        <f>IF($E5="Snakpak",(($J5*H5)+($K5*'Labor Cost'!$A$2)+L5)+2.25,($J5*H5)+($K5*'Labor Cost'!$A$2)+L5+1)</f>
        <v>28.046428571428574</v>
      </c>
      <c r="N5" s="38">
        <f t="shared" si="5"/>
        <v>35.058035714285715</v>
      </c>
      <c r="O5" s="38">
        <f t="shared" si="6"/>
        <v>36.460357142857148</v>
      </c>
      <c r="P5" s="38">
        <f t="shared" si="7"/>
        <v>37.862678571428575</v>
      </c>
      <c r="Q5" s="38">
        <f t="shared" si="8"/>
        <v>39.265000000000001</v>
      </c>
      <c r="R5" s="38">
        <f t="shared" si="9"/>
        <v>40.667321428571434</v>
      </c>
      <c r="S5" s="38">
        <f t="shared" si="0"/>
        <v>35</v>
      </c>
      <c r="T5" s="38">
        <f t="shared" si="1"/>
        <v>36.5</v>
      </c>
      <c r="U5" s="38">
        <f t="shared" si="2"/>
        <v>37.75</v>
      </c>
      <c r="V5" s="38">
        <f t="shared" si="3"/>
        <v>39.25</v>
      </c>
      <c r="W5" s="38">
        <f t="shared" si="3"/>
        <v>40.75</v>
      </c>
    </row>
    <row r="6" spans="1:23" ht="21" customHeight="1" x14ac:dyDescent="0.2">
      <c r="A6" s="19" t="s">
        <v>505</v>
      </c>
      <c r="B6" s="19" t="s">
        <v>252</v>
      </c>
      <c r="C6" s="32" t="s">
        <v>0</v>
      </c>
      <c r="D6" s="20" t="s">
        <v>393</v>
      </c>
      <c r="E6" s="20" t="s">
        <v>397</v>
      </c>
      <c r="F6" s="20" t="s">
        <v>402</v>
      </c>
      <c r="G6" s="33">
        <v>30</v>
      </c>
      <c r="H6" s="34">
        <f>VLOOKUP($C6,'Raw Cost'!$A$1:$B$483,2,FALSE)/G6</f>
        <v>0.8666666666666667</v>
      </c>
      <c r="I6" s="34">
        <f t="shared" si="4"/>
        <v>5.4166666666666669E-2</v>
      </c>
      <c r="J6" s="35">
        <v>12</v>
      </c>
      <c r="K6" s="35">
        <v>0.25</v>
      </c>
      <c r="L6" s="36">
        <f>VLOOKUP($F6,'Packaging Cost'!$A$1:$F$43,6,FALSE)</f>
        <v>1.1500000000000001</v>
      </c>
      <c r="M6" s="37">
        <f>IF($E6="Snakpak",(($J6*H6)+($K6*'Labor Cost'!$A$2)+L6)+2.25,($J6*H6)+($K6*'Labor Cost'!$A$2)+L6+1)</f>
        <v>18.424999999999997</v>
      </c>
      <c r="N6" s="38">
        <f t="shared" si="5"/>
        <v>23.031249999999996</v>
      </c>
      <c r="O6" s="38">
        <f t="shared" si="6"/>
        <v>23.952499999999997</v>
      </c>
      <c r="P6" s="38">
        <f t="shared" si="7"/>
        <v>24.873749999999998</v>
      </c>
      <c r="Q6" s="38">
        <f t="shared" si="8"/>
        <v>25.794999999999995</v>
      </c>
      <c r="R6" s="38">
        <f t="shared" si="9"/>
        <v>26.716249999999995</v>
      </c>
      <c r="S6" s="38">
        <f t="shared" si="0"/>
        <v>23</v>
      </c>
      <c r="T6" s="38">
        <f t="shared" si="1"/>
        <v>24</v>
      </c>
      <c r="U6" s="38">
        <f t="shared" si="2"/>
        <v>24.75</v>
      </c>
      <c r="V6" s="38">
        <f t="shared" si="3"/>
        <v>25.75</v>
      </c>
      <c r="W6" s="38">
        <f t="shared" si="3"/>
        <v>26.75</v>
      </c>
    </row>
    <row r="7" spans="1:23" ht="21" customHeight="1" x14ac:dyDescent="0.2">
      <c r="A7" s="19" t="s">
        <v>513</v>
      </c>
      <c r="B7" s="19" t="s">
        <v>189</v>
      </c>
      <c r="C7" s="20" t="s">
        <v>2</v>
      </c>
      <c r="D7" s="32" t="s">
        <v>393</v>
      </c>
      <c r="E7" s="20" t="s">
        <v>397</v>
      </c>
      <c r="F7" s="20" t="s">
        <v>383</v>
      </c>
      <c r="G7" s="33">
        <v>18</v>
      </c>
      <c r="H7" s="34">
        <f>VLOOKUP($C7,'Raw Cost'!$A$1:$B$483,2,FALSE)/G7</f>
        <v>0.77777777777777779</v>
      </c>
      <c r="I7" s="34">
        <f t="shared" si="4"/>
        <v>4.8611111111111112E-2</v>
      </c>
      <c r="J7" s="35">
        <v>10</v>
      </c>
      <c r="K7" s="35">
        <v>0.25</v>
      </c>
      <c r="L7" s="36">
        <f>VLOOKUP($F7,'Packaging Cost'!$A$1:$F$43,6,FALSE)</f>
        <v>0.9</v>
      </c>
      <c r="M7" s="37">
        <f>IF($E7="Snakpak",(($J7*H7)+($K7*'Labor Cost'!$A$2)+L7)+2.25,($J7*H7)+($K7*'Labor Cost'!$A$2)+L7+1)</f>
        <v>15.552777777777779</v>
      </c>
      <c r="N7" s="38">
        <f t="shared" si="5"/>
        <v>19.440972222222225</v>
      </c>
      <c r="O7" s="38">
        <f t="shared" si="6"/>
        <v>20.218611111111112</v>
      </c>
      <c r="P7" s="38">
        <f t="shared" si="7"/>
        <v>20.996250000000003</v>
      </c>
      <c r="Q7" s="38">
        <f t="shared" si="8"/>
        <v>21.773888888888891</v>
      </c>
      <c r="R7" s="38">
        <f t="shared" si="9"/>
        <v>22.551527777777778</v>
      </c>
      <c r="S7" s="38">
        <f t="shared" si="0"/>
        <v>19.5</v>
      </c>
      <c r="T7" s="38">
        <f t="shared" si="1"/>
        <v>20.25</v>
      </c>
      <c r="U7" s="38">
        <f t="shared" si="2"/>
        <v>21</v>
      </c>
      <c r="V7" s="38">
        <f t="shared" si="3"/>
        <v>21.75</v>
      </c>
      <c r="W7" s="38">
        <f t="shared" si="3"/>
        <v>22.5</v>
      </c>
    </row>
    <row r="8" spans="1:23" ht="21" customHeight="1" x14ac:dyDescent="0.2">
      <c r="A8" s="19" t="s">
        <v>589</v>
      </c>
      <c r="B8" s="19" t="s">
        <v>189</v>
      </c>
      <c r="C8" s="20" t="s">
        <v>446</v>
      </c>
      <c r="D8" s="32" t="s">
        <v>393</v>
      </c>
      <c r="E8" s="20" t="s">
        <v>397</v>
      </c>
      <c r="F8" s="20" t="s">
        <v>383</v>
      </c>
      <c r="G8" s="33">
        <v>18</v>
      </c>
      <c r="H8" s="34">
        <f>VLOOKUP($C8,'Raw Cost'!$A$1:$B$483,2,FALSE)/G8</f>
        <v>2.1111111111111112</v>
      </c>
      <c r="I8" s="34">
        <f t="shared" ref="I8:I9" si="10">H8/16</f>
        <v>0.13194444444444445</v>
      </c>
      <c r="J8" s="35">
        <v>10</v>
      </c>
      <c r="K8" s="35">
        <v>0.25</v>
      </c>
      <c r="L8" s="36">
        <f>VLOOKUP($F8,'Packaging Cost'!$A$1:$F$43,6,FALSE)</f>
        <v>0.9</v>
      </c>
      <c r="M8" s="37">
        <f>IF($E8="Snakpak",(($J8*H8)+($K8*'Labor Cost'!$A$2)+L8)+2.25,($J8*H8)+($K8*'Labor Cost'!$A$2)+L8+1)</f>
        <v>28.886111111111109</v>
      </c>
      <c r="N8" s="38">
        <f t="shared" si="5"/>
        <v>36.107638888888886</v>
      </c>
      <c r="O8" s="38">
        <f t="shared" si="6"/>
        <v>37.551944444444445</v>
      </c>
      <c r="P8" s="38">
        <f t="shared" si="7"/>
        <v>38.996250000000003</v>
      </c>
      <c r="Q8" s="38">
        <f t="shared" si="8"/>
        <v>40.440555555555548</v>
      </c>
      <c r="R8" s="38">
        <f t="shared" si="9"/>
        <v>41.884861111111107</v>
      </c>
      <c r="S8" s="38">
        <f t="shared" si="0"/>
        <v>36</v>
      </c>
      <c r="T8" s="38">
        <f t="shared" si="1"/>
        <v>37.5</v>
      </c>
      <c r="U8" s="38">
        <f t="shared" si="2"/>
        <v>39</v>
      </c>
      <c r="V8" s="38">
        <f t="shared" ref="V8:V9" si="11">MROUND(Q8,0.25)</f>
        <v>40.5</v>
      </c>
      <c r="W8" s="38">
        <f t="shared" si="3"/>
        <v>42</v>
      </c>
    </row>
    <row r="9" spans="1:23" ht="21" customHeight="1" x14ac:dyDescent="0.2">
      <c r="A9" s="19" t="s">
        <v>590</v>
      </c>
      <c r="B9" s="19" t="s">
        <v>189</v>
      </c>
      <c r="C9" s="20" t="s">
        <v>588</v>
      </c>
      <c r="D9" s="32" t="s">
        <v>393</v>
      </c>
      <c r="E9" s="20" t="s">
        <v>397</v>
      </c>
      <c r="F9" s="20" t="s">
        <v>383</v>
      </c>
      <c r="G9" s="33">
        <v>18</v>
      </c>
      <c r="H9" s="34">
        <f>VLOOKUP($C9,'Raw Cost'!$A$1:$B$483,2,FALSE)/G9</f>
        <v>2.1111111111111112</v>
      </c>
      <c r="I9" s="34">
        <f t="shared" si="10"/>
        <v>0.13194444444444445</v>
      </c>
      <c r="J9" s="35">
        <v>10</v>
      </c>
      <c r="K9" s="35">
        <v>0.25</v>
      </c>
      <c r="L9" s="36">
        <f>VLOOKUP($F9,'Packaging Cost'!$A$1:$F$43,6,FALSE)</f>
        <v>0.9</v>
      </c>
      <c r="M9" s="37">
        <f>IF($E9="Snakpak",(($J9*H9)+($K9*'Labor Cost'!$A$2)+L9)+2.25,($J9*H9)+($K9*'Labor Cost'!$A$2)+L9+1)</f>
        <v>28.886111111111109</v>
      </c>
      <c r="N9" s="38">
        <f t="shared" si="5"/>
        <v>36.107638888888886</v>
      </c>
      <c r="O9" s="38">
        <f t="shared" si="6"/>
        <v>37.551944444444445</v>
      </c>
      <c r="P9" s="38">
        <f t="shared" si="7"/>
        <v>38.996250000000003</v>
      </c>
      <c r="Q9" s="38">
        <f t="shared" si="8"/>
        <v>40.440555555555548</v>
      </c>
      <c r="R9" s="38">
        <f t="shared" si="9"/>
        <v>41.884861111111107</v>
      </c>
      <c r="S9" s="38">
        <f t="shared" si="0"/>
        <v>36</v>
      </c>
      <c r="T9" s="38">
        <f t="shared" si="1"/>
        <v>37.5</v>
      </c>
      <c r="U9" s="38">
        <f t="shared" si="2"/>
        <v>39</v>
      </c>
      <c r="V9" s="38">
        <f t="shared" si="11"/>
        <v>40.5</v>
      </c>
      <c r="W9" s="38">
        <f t="shared" si="3"/>
        <v>42</v>
      </c>
    </row>
    <row r="10" spans="1:23" ht="21" customHeight="1" x14ac:dyDescent="0.2">
      <c r="A10" s="19" t="s">
        <v>456</v>
      </c>
      <c r="B10" s="19" t="s">
        <v>457</v>
      </c>
      <c r="C10" s="32" t="s">
        <v>455</v>
      </c>
      <c r="D10" s="20" t="s">
        <v>393</v>
      </c>
      <c r="E10" s="20" t="s">
        <v>397</v>
      </c>
      <c r="F10" s="20" t="s">
        <v>378</v>
      </c>
      <c r="G10" s="33">
        <v>30</v>
      </c>
      <c r="H10" s="34">
        <f>VLOOKUP($C10,'Raw Cost'!$A$1:$B$483,2,FALSE)/G10</f>
        <v>1.1666666666666667</v>
      </c>
      <c r="I10" s="34">
        <f>H10/16</f>
        <v>7.2916666666666671E-2</v>
      </c>
      <c r="J10" s="35">
        <v>20</v>
      </c>
      <c r="K10" s="35">
        <v>0.25</v>
      </c>
      <c r="L10" s="36">
        <f>VLOOKUP($F10,'Packaging Cost'!$A$1:$F$43,6,FALSE)</f>
        <v>1.1000000000000001</v>
      </c>
      <c r="M10" s="37">
        <f>IF($E10="Snakpak",(($J10*H10)+($K10*'Labor Cost'!$A$2)+L10)+2.25,($J10*H10)+($K10*'Labor Cost'!$A$2)+L10+1)</f>
        <v>31.308333333333337</v>
      </c>
      <c r="N10" s="38">
        <f t="shared" si="5"/>
        <v>39.135416666666671</v>
      </c>
      <c r="O10" s="38">
        <f t="shared" si="6"/>
        <v>40.700833333333343</v>
      </c>
      <c r="P10" s="38">
        <f t="shared" si="7"/>
        <v>42.266250000000007</v>
      </c>
      <c r="Q10" s="38">
        <f t="shared" si="8"/>
        <v>43.831666666666671</v>
      </c>
      <c r="R10" s="38">
        <f t="shared" si="9"/>
        <v>45.397083333333335</v>
      </c>
      <c r="S10" s="38">
        <f t="shared" si="0"/>
        <v>39.25</v>
      </c>
      <c r="T10" s="38">
        <f t="shared" si="1"/>
        <v>40.75</v>
      </c>
      <c r="U10" s="38">
        <f t="shared" si="2"/>
        <v>42.25</v>
      </c>
      <c r="V10" s="38">
        <f>MROUND(Q10,0.25)</f>
        <v>43.75</v>
      </c>
      <c r="W10" s="38">
        <f t="shared" si="3"/>
        <v>45.5</v>
      </c>
    </row>
    <row r="11" spans="1:23" ht="21" customHeight="1" x14ac:dyDescent="0.2">
      <c r="A11" s="19" t="s">
        <v>615</v>
      </c>
      <c r="B11" s="19" t="s">
        <v>192</v>
      </c>
      <c r="C11" s="32" t="s">
        <v>3</v>
      </c>
      <c r="D11" s="20" t="s">
        <v>393</v>
      </c>
      <c r="E11" s="20" t="s">
        <v>397</v>
      </c>
      <c r="F11" s="20" t="s">
        <v>384</v>
      </c>
      <c r="G11" s="33">
        <v>15</v>
      </c>
      <c r="H11" s="34">
        <f>VLOOKUP($C11,'Raw Cost'!$A$1:$B$483,2,FALSE)/G11</f>
        <v>1.3333333333333333</v>
      </c>
      <c r="I11" s="34">
        <f t="shared" ref="I11" si="12">H11/16</f>
        <v>8.3333333333333329E-2</v>
      </c>
      <c r="J11" s="35">
        <v>4</v>
      </c>
      <c r="K11" s="35">
        <v>0.25</v>
      </c>
      <c r="L11" s="36">
        <f>VLOOKUP($F11,'Packaging Cost'!$A$1:$F$43,6,FALSE)</f>
        <v>0.59</v>
      </c>
      <c r="M11" s="37">
        <f>IF($E11="Snakpak",(($J11*H11)+($K11*'Labor Cost'!$A$2)+L11)+2.25,($J11*H11)+($K11*'Labor Cost'!$A$2)+L11+1)</f>
        <v>12.798333333333332</v>
      </c>
      <c r="N11" s="38">
        <f t="shared" si="5"/>
        <v>15.997916666666665</v>
      </c>
      <c r="O11" s="38">
        <f t="shared" si="6"/>
        <v>16.637833333333333</v>
      </c>
      <c r="P11" s="38">
        <f t="shared" si="7"/>
        <v>17.277750000000001</v>
      </c>
      <c r="Q11" s="38">
        <f t="shared" si="8"/>
        <v>17.917666666666662</v>
      </c>
      <c r="R11" s="38">
        <f t="shared" si="9"/>
        <v>18.55758333333333</v>
      </c>
      <c r="S11" s="38">
        <f t="shared" si="0"/>
        <v>16</v>
      </c>
      <c r="T11" s="38">
        <f t="shared" si="1"/>
        <v>16.75</v>
      </c>
      <c r="U11" s="38">
        <f t="shared" si="2"/>
        <v>17.25</v>
      </c>
      <c r="V11" s="38">
        <f t="shared" ref="V11" si="13">MROUND(Q11,0.25)</f>
        <v>18</v>
      </c>
      <c r="W11" s="38">
        <f t="shared" si="3"/>
        <v>18.5</v>
      </c>
    </row>
    <row r="12" spans="1:23" ht="21" customHeight="1" x14ac:dyDescent="0.2">
      <c r="A12" s="19" t="s">
        <v>523</v>
      </c>
      <c r="B12" s="19" t="s">
        <v>192</v>
      </c>
      <c r="C12" s="32" t="s">
        <v>3</v>
      </c>
      <c r="D12" s="20" t="s">
        <v>393</v>
      </c>
      <c r="E12" s="20" t="s">
        <v>397</v>
      </c>
      <c r="F12" s="20" t="s">
        <v>413</v>
      </c>
      <c r="G12" s="33">
        <v>14</v>
      </c>
      <c r="H12" s="34">
        <f>VLOOKUP($C12,'Raw Cost'!$A$1:$B$483,2,FALSE)/G12</f>
        <v>1.4285714285714286</v>
      </c>
      <c r="I12" s="34">
        <f t="shared" si="4"/>
        <v>8.9285714285714288E-2</v>
      </c>
      <c r="J12" s="35">
        <v>12</v>
      </c>
      <c r="K12" s="35">
        <v>0.25</v>
      </c>
      <c r="L12" s="36">
        <f>VLOOKUP($F12,'Packaging Cost'!$A$1:$F$43,6,FALSE)</f>
        <v>1.23</v>
      </c>
      <c r="M12" s="37">
        <f>IF($E12="Snakpak",(($J12*H12)+($K12*'Labor Cost'!$A$2)+L12)+2.25,($J12*H12)+($K12*'Labor Cost'!$A$2)+L12+1)</f>
        <v>25.247857142857143</v>
      </c>
      <c r="N12" s="38">
        <f t="shared" si="5"/>
        <v>31.559821428571428</v>
      </c>
      <c r="O12" s="38">
        <f t="shared" si="6"/>
        <v>32.822214285714288</v>
      </c>
      <c r="P12" s="38">
        <f t="shared" si="7"/>
        <v>34.084607142857145</v>
      </c>
      <c r="Q12" s="38">
        <f t="shared" si="8"/>
        <v>35.346999999999994</v>
      </c>
      <c r="R12" s="38">
        <f t="shared" si="9"/>
        <v>36.609392857142858</v>
      </c>
      <c r="S12" s="38">
        <f t="shared" si="0"/>
        <v>31.5</v>
      </c>
      <c r="T12" s="38">
        <f t="shared" si="1"/>
        <v>32.75</v>
      </c>
      <c r="U12" s="38">
        <f t="shared" si="2"/>
        <v>34</v>
      </c>
      <c r="V12" s="38">
        <f t="shared" si="3"/>
        <v>35.25</v>
      </c>
      <c r="W12" s="38">
        <f t="shared" si="3"/>
        <v>36.5</v>
      </c>
    </row>
    <row r="13" spans="1:23" ht="21" customHeight="1" x14ac:dyDescent="0.2">
      <c r="A13" s="19" t="s">
        <v>62</v>
      </c>
      <c r="B13" s="19" t="s">
        <v>193</v>
      </c>
      <c r="C13" s="32" t="s">
        <v>3</v>
      </c>
      <c r="D13" s="20" t="s">
        <v>393</v>
      </c>
      <c r="E13" s="20" t="s">
        <v>397</v>
      </c>
      <c r="F13" s="20" t="s">
        <v>378</v>
      </c>
      <c r="G13" s="33">
        <v>14</v>
      </c>
      <c r="H13" s="34">
        <f>VLOOKUP($C13,'Raw Cost'!$A$1:$B$483,2,FALSE)/G13</f>
        <v>1.4285714285714286</v>
      </c>
      <c r="I13" s="34">
        <f t="shared" si="4"/>
        <v>8.9285714285714288E-2</v>
      </c>
      <c r="J13" s="35">
        <v>18</v>
      </c>
      <c r="K13" s="35">
        <v>0.25</v>
      </c>
      <c r="L13" s="36">
        <f>VLOOKUP($F13,'Packaging Cost'!$A$1:$F$43,6,FALSE)</f>
        <v>1.1000000000000001</v>
      </c>
      <c r="M13" s="37">
        <f>IF($E13="Snakpak",(($J13*H13)+($K13*'Labor Cost'!$A$2)+L13)+2.25,($J13*H13)+($K13*'Labor Cost'!$A$2)+L13+1)</f>
        <v>33.689285714285717</v>
      </c>
      <c r="N13" s="38">
        <f t="shared" si="5"/>
        <v>42.111607142857146</v>
      </c>
      <c r="O13" s="38">
        <f t="shared" si="6"/>
        <v>43.79607142857143</v>
      </c>
      <c r="P13" s="38">
        <f t="shared" si="7"/>
        <v>45.480535714285722</v>
      </c>
      <c r="Q13" s="38">
        <f t="shared" si="8"/>
        <v>47.164999999999999</v>
      </c>
      <c r="R13" s="38">
        <f t="shared" si="9"/>
        <v>48.849464285714291</v>
      </c>
      <c r="S13" s="38">
        <f t="shared" si="0"/>
        <v>42</v>
      </c>
      <c r="T13" s="38">
        <f t="shared" si="1"/>
        <v>43.75</v>
      </c>
      <c r="U13" s="38">
        <f t="shared" si="2"/>
        <v>45.5</v>
      </c>
      <c r="V13" s="38">
        <f t="shared" si="3"/>
        <v>47.25</v>
      </c>
      <c r="W13" s="38">
        <f t="shared" si="3"/>
        <v>48.75</v>
      </c>
    </row>
    <row r="14" spans="1:23" ht="21" customHeight="1" x14ac:dyDescent="0.2">
      <c r="A14" s="19" t="s">
        <v>524</v>
      </c>
      <c r="B14" s="19" t="s">
        <v>194</v>
      </c>
      <c r="C14" s="20" t="s">
        <v>603</v>
      </c>
      <c r="D14" s="32" t="s">
        <v>393</v>
      </c>
      <c r="E14" s="20" t="s">
        <v>397</v>
      </c>
      <c r="F14" s="20" t="s">
        <v>402</v>
      </c>
      <c r="G14" s="33">
        <v>12</v>
      </c>
      <c r="H14" s="34">
        <f>VLOOKUP($C14,'Raw Cost'!$A$1:$B$483,2,FALSE)/G14</f>
        <v>1.0365079365079364</v>
      </c>
      <c r="I14" s="34">
        <f t="shared" si="4"/>
        <v>6.4781746031746024E-2</v>
      </c>
      <c r="J14" s="35">
        <v>12</v>
      </c>
      <c r="K14" s="35">
        <v>0.25</v>
      </c>
      <c r="L14" s="36">
        <f>VLOOKUP($F14,'Packaging Cost'!$A$1:$F$43,6,FALSE)</f>
        <v>1.1500000000000001</v>
      </c>
      <c r="M14" s="37">
        <f>IF($E14="Snakpak",(($J14*H14)+($K14*'Labor Cost'!$A$2)+L14)+2.25,($J14*H14)+($K14*'Labor Cost'!$A$2)+L14+1)</f>
        <v>20.463095238095235</v>
      </c>
      <c r="N14" s="38">
        <f t="shared" si="5"/>
        <v>25.578869047619044</v>
      </c>
      <c r="O14" s="38">
        <f t="shared" si="6"/>
        <v>26.602023809523807</v>
      </c>
      <c r="P14" s="38">
        <f t="shared" si="7"/>
        <v>27.62517857142857</v>
      </c>
      <c r="Q14" s="38">
        <f t="shared" si="8"/>
        <v>28.648333333333326</v>
      </c>
      <c r="R14" s="38">
        <f t="shared" si="9"/>
        <v>29.671488095238089</v>
      </c>
      <c r="S14" s="38">
        <f t="shared" si="0"/>
        <v>25.5</v>
      </c>
      <c r="T14" s="38">
        <f t="shared" si="1"/>
        <v>26.5</v>
      </c>
      <c r="U14" s="38">
        <f t="shared" si="2"/>
        <v>27.75</v>
      </c>
      <c r="V14" s="38">
        <f t="shared" si="3"/>
        <v>28.75</v>
      </c>
      <c r="W14" s="38">
        <f t="shared" si="3"/>
        <v>29.75</v>
      </c>
    </row>
    <row r="15" spans="1:23" ht="21" customHeight="1" x14ac:dyDescent="0.2">
      <c r="A15" s="19" t="s">
        <v>404</v>
      </c>
      <c r="B15" s="19" t="s">
        <v>195</v>
      </c>
      <c r="C15" s="32" t="s">
        <v>6</v>
      </c>
      <c r="D15" s="20" t="s">
        <v>393</v>
      </c>
      <c r="E15" s="20" t="s">
        <v>397</v>
      </c>
      <c r="F15" s="20" t="s">
        <v>378</v>
      </c>
      <c r="G15" s="33">
        <v>20</v>
      </c>
      <c r="H15" s="34">
        <f>VLOOKUP($C15,'Raw Cost'!$A$1:$B$483,2,FALSE)/G15</f>
        <v>1.75</v>
      </c>
      <c r="I15" s="34">
        <f t="shared" si="4"/>
        <v>0.109375</v>
      </c>
      <c r="J15" s="35">
        <v>20</v>
      </c>
      <c r="K15" s="35">
        <v>0.35</v>
      </c>
      <c r="L15" s="36">
        <f>VLOOKUP($F15,'Packaging Cost'!$A$1:$F$43,6,FALSE)</f>
        <v>1.1000000000000001</v>
      </c>
      <c r="M15" s="37">
        <f>IF($E15="Snakpak",(($J15*H15)+($K15*'Labor Cost'!$A$2)+L15)+2.25,($J15*H15)+($K15*'Labor Cost'!$A$2)+L15+1)</f>
        <v>45.325000000000003</v>
      </c>
      <c r="N15" s="38">
        <f t="shared" si="5"/>
        <v>56.65625</v>
      </c>
      <c r="O15" s="38">
        <f t="shared" si="6"/>
        <v>58.922500000000007</v>
      </c>
      <c r="P15" s="38">
        <f t="shared" si="7"/>
        <v>61.188750000000006</v>
      </c>
      <c r="Q15" s="38">
        <f t="shared" si="8"/>
        <v>63.454999999999998</v>
      </c>
      <c r="R15" s="38">
        <f t="shared" si="9"/>
        <v>65.721249999999998</v>
      </c>
      <c r="S15" s="38">
        <f t="shared" si="0"/>
        <v>56.75</v>
      </c>
      <c r="T15" s="38">
        <f t="shared" si="1"/>
        <v>59</v>
      </c>
      <c r="U15" s="38">
        <f t="shared" si="2"/>
        <v>61.25</v>
      </c>
      <c r="V15" s="38">
        <f t="shared" si="3"/>
        <v>63.5</v>
      </c>
      <c r="W15" s="38">
        <f t="shared" si="3"/>
        <v>65.75</v>
      </c>
    </row>
    <row r="16" spans="1:23" ht="21" customHeight="1" x14ac:dyDescent="0.2">
      <c r="A16" s="19" t="s">
        <v>63</v>
      </c>
      <c r="B16" s="19" t="s">
        <v>196</v>
      </c>
      <c r="C16" s="32" t="s">
        <v>6</v>
      </c>
      <c r="D16" s="20" t="s">
        <v>393</v>
      </c>
      <c r="E16" s="20" t="s">
        <v>397</v>
      </c>
      <c r="F16" s="20" t="s">
        <v>378</v>
      </c>
      <c r="G16" s="33">
        <v>20</v>
      </c>
      <c r="H16" s="34">
        <f>VLOOKUP($C16,'Raw Cost'!$A$1:$B$483,2,FALSE)/G16</f>
        <v>1.75</v>
      </c>
      <c r="I16" s="34">
        <f t="shared" si="4"/>
        <v>0.109375</v>
      </c>
      <c r="J16" s="35">
        <v>20</v>
      </c>
      <c r="K16" s="35">
        <v>0.75</v>
      </c>
      <c r="L16" s="36">
        <f>VLOOKUP($F16,'Packaging Cost'!$A$1:$F$43,6,FALSE)</f>
        <v>1.1000000000000001</v>
      </c>
      <c r="M16" s="37">
        <f>IF($E16="Snakpak",(($J16*H16)+($K16*'Labor Cost'!$A$2)+L16)+2.25,($J16*H16)+($K16*'Labor Cost'!$A$2)+L16+1)</f>
        <v>54.725000000000001</v>
      </c>
      <c r="N16" s="38">
        <f t="shared" si="5"/>
        <v>68.40625</v>
      </c>
      <c r="O16" s="38">
        <f t="shared" si="6"/>
        <v>71.142499999999998</v>
      </c>
      <c r="P16" s="38">
        <f t="shared" si="7"/>
        <v>73.878750000000011</v>
      </c>
      <c r="Q16" s="38">
        <f t="shared" si="8"/>
        <v>76.614999999999995</v>
      </c>
      <c r="R16" s="38">
        <f t="shared" si="9"/>
        <v>79.351249999999993</v>
      </c>
      <c r="S16" s="38">
        <f t="shared" si="0"/>
        <v>68.5</v>
      </c>
      <c r="T16" s="38">
        <f t="shared" si="1"/>
        <v>71.25</v>
      </c>
      <c r="U16" s="38">
        <f t="shared" si="2"/>
        <v>74</v>
      </c>
      <c r="V16" s="38">
        <f t="shared" si="3"/>
        <v>76.5</v>
      </c>
      <c r="W16" s="38">
        <f t="shared" si="3"/>
        <v>79.25</v>
      </c>
    </row>
    <row r="17" spans="1:23" ht="21" customHeight="1" x14ac:dyDescent="0.2">
      <c r="A17" s="19" t="s">
        <v>403</v>
      </c>
      <c r="B17" s="19" t="s">
        <v>188</v>
      </c>
      <c r="C17" s="20" t="s">
        <v>52</v>
      </c>
      <c r="D17" s="20" t="s">
        <v>393</v>
      </c>
      <c r="E17" s="20" t="s">
        <v>397</v>
      </c>
      <c r="F17" s="20" t="s">
        <v>378</v>
      </c>
      <c r="G17" s="33">
        <v>26</v>
      </c>
      <c r="H17" s="34">
        <f>VLOOKUP($C17,'Raw Cost'!$A$1:$B$483,2,FALSE)/G17</f>
        <v>1.2307692307692308</v>
      </c>
      <c r="I17" s="34">
        <f t="shared" si="4"/>
        <v>7.6923076923076927E-2</v>
      </c>
      <c r="J17" s="35">
        <v>20</v>
      </c>
      <c r="K17" s="35">
        <v>0.27</v>
      </c>
      <c r="L17" s="36">
        <f>VLOOKUP($F17,'Packaging Cost'!$A$1:$F$43,6,FALSE)</f>
        <v>1.1000000000000001</v>
      </c>
      <c r="M17" s="37">
        <f>IF($E17="Snakpak",(($J17*H17)+($K17*'Labor Cost'!$A$2)+L17)+2.25,($J17*H17)+($K17*'Labor Cost'!$A$2)+L17+1)</f>
        <v>33.060384615384621</v>
      </c>
      <c r="N17" s="38">
        <f t="shared" si="5"/>
        <v>41.325480769230779</v>
      </c>
      <c r="O17" s="38">
        <f t="shared" si="6"/>
        <v>42.978500000000011</v>
      </c>
      <c r="P17" s="38">
        <f t="shared" si="7"/>
        <v>44.631519230769243</v>
      </c>
      <c r="Q17" s="38">
        <f t="shared" si="8"/>
        <v>46.284538461538467</v>
      </c>
      <c r="R17" s="38">
        <f t="shared" si="9"/>
        <v>47.937557692307699</v>
      </c>
      <c r="S17" s="38">
        <f t="shared" si="0"/>
        <v>41.25</v>
      </c>
      <c r="T17" s="38">
        <f t="shared" si="1"/>
        <v>43</v>
      </c>
      <c r="U17" s="38">
        <f t="shared" si="2"/>
        <v>44.75</v>
      </c>
      <c r="V17" s="38">
        <f t="shared" si="3"/>
        <v>46.25</v>
      </c>
      <c r="W17" s="38">
        <f t="shared" si="3"/>
        <v>48</v>
      </c>
    </row>
    <row r="18" spans="1:23" ht="21" customHeight="1" x14ac:dyDescent="0.2">
      <c r="A18" s="19" t="s">
        <v>72</v>
      </c>
      <c r="B18" s="19" t="s">
        <v>224</v>
      </c>
      <c r="C18" s="20" t="s">
        <v>7</v>
      </c>
      <c r="D18" s="20" t="s">
        <v>393</v>
      </c>
      <c r="E18" s="20" t="s">
        <v>397</v>
      </c>
      <c r="F18" s="20" t="s">
        <v>378</v>
      </c>
      <c r="G18" s="33">
        <v>35</v>
      </c>
      <c r="H18" s="34">
        <f>VLOOKUP($C18,'Raw Cost'!$A$1:$B$483,2,FALSE)/G18</f>
        <v>0.34285714285714286</v>
      </c>
      <c r="I18" s="34">
        <f t="shared" si="4"/>
        <v>2.1428571428571429E-2</v>
      </c>
      <c r="J18" s="35">
        <v>20</v>
      </c>
      <c r="K18" s="35">
        <v>0.25</v>
      </c>
      <c r="L18" s="36">
        <f>VLOOKUP($F18,'Packaging Cost'!$A$1:$F$43,6,FALSE)</f>
        <v>1.1000000000000001</v>
      </c>
      <c r="M18" s="37">
        <f>IF($E18="Snakpak",(($J18*H18)+($K18*'Labor Cost'!$A$2)+L18)+2.25,($J18*H18)+($K18*'Labor Cost'!$A$2)+L18+1)</f>
        <v>14.832142857142857</v>
      </c>
      <c r="N18" s="38">
        <f t="shared" si="5"/>
        <v>18.540178571428573</v>
      </c>
      <c r="O18" s="38">
        <f t="shared" si="6"/>
        <v>19.281785714285714</v>
      </c>
      <c r="P18" s="38">
        <f t="shared" si="7"/>
        <v>20.023392857142859</v>
      </c>
      <c r="Q18" s="38">
        <f t="shared" si="8"/>
        <v>20.765000000000001</v>
      </c>
      <c r="R18" s="38">
        <f t="shared" si="9"/>
        <v>21.506607142857142</v>
      </c>
      <c r="S18" s="38">
        <f t="shared" si="0"/>
        <v>18.5</v>
      </c>
      <c r="T18" s="38">
        <f t="shared" si="1"/>
        <v>19.25</v>
      </c>
      <c r="U18" s="38">
        <f t="shared" si="2"/>
        <v>20</v>
      </c>
      <c r="V18" s="38">
        <f t="shared" si="3"/>
        <v>20.75</v>
      </c>
      <c r="W18" s="38">
        <f t="shared" si="3"/>
        <v>21.5</v>
      </c>
    </row>
    <row r="19" spans="1:23" ht="21" customHeight="1" x14ac:dyDescent="0.2">
      <c r="A19" s="19" t="s">
        <v>178</v>
      </c>
      <c r="B19" s="19" t="s">
        <v>364</v>
      </c>
      <c r="C19" s="20" t="s">
        <v>7</v>
      </c>
      <c r="D19" s="20" t="s">
        <v>393</v>
      </c>
      <c r="E19" s="20" t="s">
        <v>397</v>
      </c>
      <c r="F19" s="20" t="s">
        <v>378</v>
      </c>
      <c r="G19" s="33">
        <v>35</v>
      </c>
      <c r="H19" s="34">
        <f>VLOOKUP($C19,'Raw Cost'!$A$1:$B$483,2,FALSE)/G19</f>
        <v>0.34285714285714286</v>
      </c>
      <c r="I19" s="34">
        <f>H19/16</f>
        <v>2.1428571428571429E-2</v>
      </c>
      <c r="J19" s="35">
        <v>20</v>
      </c>
      <c r="K19" s="35">
        <v>0.25</v>
      </c>
      <c r="L19" s="36">
        <f>VLOOKUP($F19,'Packaging Cost'!$A$1:$F$43,6,FALSE)</f>
        <v>1.1000000000000001</v>
      </c>
      <c r="M19" s="37">
        <f>IF($E19="Snakpak",(($J19*H19)+($K19*'Labor Cost'!$A$2)+L19)+2.25,($J19*H19)+($K19*'Labor Cost'!$A$2)+L19+1)</f>
        <v>14.832142857142857</v>
      </c>
      <c r="N19" s="38">
        <f t="shared" si="5"/>
        <v>18.540178571428573</v>
      </c>
      <c r="O19" s="38">
        <f t="shared" si="6"/>
        <v>19.281785714285714</v>
      </c>
      <c r="P19" s="38">
        <f t="shared" si="7"/>
        <v>20.023392857142859</v>
      </c>
      <c r="Q19" s="38">
        <f t="shared" si="8"/>
        <v>20.765000000000001</v>
      </c>
      <c r="R19" s="38">
        <f t="shared" si="9"/>
        <v>21.506607142857142</v>
      </c>
      <c r="S19" s="38">
        <f t="shared" si="0"/>
        <v>18.5</v>
      </c>
      <c r="T19" s="38">
        <f t="shared" si="1"/>
        <v>19.25</v>
      </c>
      <c r="U19" s="38">
        <f t="shared" si="2"/>
        <v>20</v>
      </c>
      <c r="V19" s="38">
        <f t="shared" si="3"/>
        <v>20.75</v>
      </c>
      <c r="W19" s="38">
        <f t="shared" si="3"/>
        <v>21.5</v>
      </c>
    </row>
    <row r="20" spans="1:23" ht="21" customHeight="1" x14ac:dyDescent="0.2">
      <c r="A20" s="19" t="s">
        <v>106</v>
      </c>
      <c r="B20" s="19" t="s">
        <v>338</v>
      </c>
      <c r="C20" s="32" t="s">
        <v>8</v>
      </c>
      <c r="D20" s="20" t="s">
        <v>393</v>
      </c>
      <c r="E20" s="20" t="s">
        <v>397</v>
      </c>
      <c r="F20" s="20" t="s">
        <v>378</v>
      </c>
      <c r="G20" s="33">
        <v>35</v>
      </c>
      <c r="H20" s="34">
        <f>VLOOKUP($C20,'Raw Cost'!$A$1:$B$483,2,FALSE)/G20</f>
        <v>0.68571428571428572</v>
      </c>
      <c r="I20" s="34">
        <f t="shared" si="4"/>
        <v>4.2857142857142858E-2</v>
      </c>
      <c r="J20" s="35">
        <v>20</v>
      </c>
      <c r="K20" s="35">
        <v>0.25</v>
      </c>
      <c r="L20" s="36">
        <f>VLOOKUP($F20,'Packaging Cost'!$A$1:$F$43,6,FALSE)</f>
        <v>1.1000000000000001</v>
      </c>
      <c r="M20" s="37">
        <f>IF($E20="Snakpak",(($J20*H20)+($K20*'Labor Cost'!$A$2)+L20)+2.25,($J20*H20)+($K20*'Labor Cost'!$A$2)+L20+1)</f>
        <v>21.689285714285717</v>
      </c>
      <c r="N20" s="38">
        <f t="shared" si="5"/>
        <v>27.111607142857146</v>
      </c>
      <c r="O20" s="38">
        <f t="shared" si="6"/>
        <v>28.196071428571432</v>
      </c>
      <c r="P20" s="38">
        <f t="shared" si="7"/>
        <v>29.280535714285719</v>
      </c>
      <c r="Q20" s="38">
        <f t="shared" si="8"/>
        <v>30.365000000000002</v>
      </c>
      <c r="R20" s="38">
        <f t="shared" si="9"/>
        <v>31.449464285714289</v>
      </c>
      <c r="S20" s="38">
        <f t="shared" si="0"/>
        <v>27</v>
      </c>
      <c r="T20" s="38">
        <f t="shared" si="1"/>
        <v>28.25</v>
      </c>
      <c r="U20" s="38">
        <f t="shared" si="2"/>
        <v>29.25</v>
      </c>
      <c r="V20" s="38">
        <f t="shared" si="3"/>
        <v>30.25</v>
      </c>
      <c r="W20" s="38">
        <f t="shared" si="3"/>
        <v>31.5</v>
      </c>
    </row>
    <row r="21" spans="1:23" ht="21" customHeight="1" x14ac:dyDescent="0.2">
      <c r="A21" s="19" t="s">
        <v>592</v>
      </c>
      <c r="B21" s="19" t="s">
        <v>593</v>
      </c>
      <c r="C21" s="20" t="s">
        <v>594</v>
      </c>
      <c r="D21" s="20" t="s">
        <v>393</v>
      </c>
      <c r="E21" s="20" t="s">
        <v>397</v>
      </c>
      <c r="F21" s="20" t="s">
        <v>408</v>
      </c>
      <c r="G21" s="33">
        <v>10</v>
      </c>
      <c r="H21" s="34">
        <f>VLOOKUP($C21,'Raw Cost'!$A$1:$B$483,2,FALSE)/G21</f>
        <v>3.2</v>
      </c>
      <c r="I21" s="34">
        <f t="shared" si="4"/>
        <v>0.2</v>
      </c>
      <c r="J21" s="35">
        <v>10</v>
      </c>
      <c r="K21" s="35">
        <v>0.27</v>
      </c>
      <c r="L21" s="36">
        <f>VLOOKUP($F21,'Packaging Cost'!$A$1:$F$43,6,FALSE)</f>
        <v>2.4600000000000004</v>
      </c>
      <c r="M21" s="37">
        <f>IF($E21="Snakpak",(($J21*H21)+($K21*'Labor Cost'!$A$2)+L21)+2.25,($J21*H21)+($K21*'Labor Cost'!$A$2)+L21+1)</f>
        <v>41.805</v>
      </c>
      <c r="N21" s="38">
        <f t="shared" si="5"/>
        <v>52.256250000000001</v>
      </c>
      <c r="O21" s="38">
        <f t="shared" si="6"/>
        <v>54.346499999999999</v>
      </c>
      <c r="P21" s="38">
        <f t="shared" si="7"/>
        <v>56.436750000000004</v>
      </c>
      <c r="Q21" s="38">
        <f t="shared" si="8"/>
        <v>58.526999999999994</v>
      </c>
      <c r="R21" s="38">
        <f t="shared" si="9"/>
        <v>60.617249999999999</v>
      </c>
      <c r="S21" s="38">
        <f t="shared" si="0"/>
        <v>52.25</v>
      </c>
      <c r="T21" s="38">
        <f t="shared" si="1"/>
        <v>54.25</v>
      </c>
      <c r="U21" s="38">
        <f t="shared" si="2"/>
        <v>56.5</v>
      </c>
      <c r="V21" s="38">
        <f t="shared" si="3"/>
        <v>58.5</v>
      </c>
      <c r="W21" s="38">
        <f t="shared" si="3"/>
        <v>60.5</v>
      </c>
    </row>
    <row r="22" spans="1:23" ht="21" customHeight="1" x14ac:dyDescent="0.2">
      <c r="A22" s="19" t="s">
        <v>65</v>
      </c>
      <c r="B22" s="19" t="s">
        <v>199</v>
      </c>
      <c r="C22" s="32" t="s">
        <v>10</v>
      </c>
      <c r="D22" s="20" t="s">
        <v>393</v>
      </c>
      <c r="E22" s="20" t="s">
        <v>397</v>
      </c>
      <c r="F22" s="20" t="s">
        <v>409</v>
      </c>
      <c r="G22" s="33">
        <v>18</v>
      </c>
      <c r="H22" s="34">
        <f>VLOOKUP($C22,'Raw Cost'!$A$1:$B$483,2,FALSE)/G22</f>
        <v>1.2222222222222223</v>
      </c>
      <c r="I22" s="34">
        <f t="shared" si="4"/>
        <v>7.6388888888888895E-2</v>
      </c>
      <c r="J22" s="35">
        <v>5</v>
      </c>
      <c r="K22" s="35">
        <v>0.25</v>
      </c>
      <c r="L22" s="36">
        <f>VLOOKUP($F22,'Packaging Cost'!$A$1:$F$43,6,FALSE)</f>
        <v>1.7600000000000002</v>
      </c>
      <c r="M22" s="37">
        <f>IF($E22="Snakpak",(($J22*H22)+($K22*'Labor Cost'!$A$2)+L22)+2.25,($J22*H22)+($K22*'Labor Cost'!$A$2)+L22+1)</f>
        <v>14.746111111111111</v>
      </c>
      <c r="N22" s="38">
        <f t="shared" si="5"/>
        <v>18.432638888888889</v>
      </c>
      <c r="O22" s="38">
        <f t="shared" si="6"/>
        <v>19.169944444444443</v>
      </c>
      <c r="P22" s="38">
        <f t="shared" si="7"/>
        <v>19.907250000000001</v>
      </c>
      <c r="Q22" s="38">
        <f t="shared" si="8"/>
        <v>20.644555555555552</v>
      </c>
      <c r="R22" s="38">
        <f t="shared" si="9"/>
        <v>21.38186111111111</v>
      </c>
      <c r="S22" s="38">
        <f t="shared" si="0"/>
        <v>18.5</v>
      </c>
      <c r="T22" s="38">
        <f t="shared" si="1"/>
        <v>19.25</v>
      </c>
      <c r="U22" s="38">
        <f t="shared" si="2"/>
        <v>20</v>
      </c>
      <c r="V22" s="38">
        <f t="shared" si="3"/>
        <v>20.75</v>
      </c>
      <c r="W22" s="38">
        <f t="shared" si="3"/>
        <v>21.5</v>
      </c>
    </row>
    <row r="23" spans="1:23" ht="21" customHeight="1" x14ac:dyDescent="0.2">
      <c r="A23" s="19" t="s">
        <v>66</v>
      </c>
      <c r="B23" s="19" t="s">
        <v>200</v>
      </c>
      <c r="C23" s="32" t="s">
        <v>10</v>
      </c>
      <c r="D23" s="20" t="s">
        <v>393</v>
      </c>
      <c r="E23" s="20" t="s">
        <v>397</v>
      </c>
      <c r="F23" s="20" t="s">
        <v>409</v>
      </c>
      <c r="G23" s="33">
        <v>18</v>
      </c>
      <c r="H23" s="34">
        <f>VLOOKUP($C23,'Raw Cost'!$A$1:$B$483,2,FALSE)/G23</f>
        <v>1.2222222222222223</v>
      </c>
      <c r="I23" s="34">
        <f t="shared" si="4"/>
        <v>7.6388888888888895E-2</v>
      </c>
      <c r="J23" s="35">
        <v>5</v>
      </c>
      <c r="K23" s="35">
        <v>0.25</v>
      </c>
      <c r="L23" s="36">
        <f>VLOOKUP($F23,'Packaging Cost'!$A$1:$F$43,6,FALSE)</f>
        <v>1.7600000000000002</v>
      </c>
      <c r="M23" s="37">
        <f>IF($E23="Snakpak",(($J23*H23)+($K23*'Labor Cost'!$A$2)+L23)+2.25,($J23*H23)+($K23*'Labor Cost'!$A$2)+L23+1)</f>
        <v>14.746111111111111</v>
      </c>
      <c r="N23" s="38">
        <f t="shared" si="5"/>
        <v>18.432638888888889</v>
      </c>
      <c r="O23" s="38">
        <f t="shared" si="6"/>
        <v>19.169944444444443</v>
      </c>
      <c r="P23" s="38">
        <f t="shared" si="7"/>
        <v>19.907250000000001</v>
      </c>
      <c r="Q23" s="38">
        <f t="shared" si="8"/>
        <v>20.644555555555552</v>
      </c>
      <c r="R23" s="38">
        <f t="shared" si="9"/>
        <v>21.38186111111111</v>
      </c>
      <c r="S23" s="38">
        <f t="shared" si="0"/>
        <v>18.5</v>
      </c>
      <c r="T23" s="38">
        <f t="shared" si="1"/>
        <v>19.25</v>
      </c>
      <c r="U23" s="38">
        <f t="shared" si="2"/>
        <v>20</v>
      </c>
      <c r="V23" s="38">
        <f t="shared" si="3"/>
        <v>20.75</v>
      </c>
      <c r="W23" s="38">
        <f t="shared" si="3"/>
        <v>21.5</v>
      </c>
    </row>
    <row r="24" spans="1:23" ht="21" customHeight="1" x14ac:dyDescent="0.2">
      <c r="A24" s="19" t="s">
        <v>67</v>
      </c>
      <c r="B24" s="19" t="s">
        <v>201</v>
      </c>
      <c r="C24" s="32" t="s">
        <v>10</v>
      </c>
      <c r="D24" s="20" t="s">
        <v>393</v>
      </c>
      <c r="E24" s="20" t="s">
        <v>397</v>
      </c>
      <c r="F24" s="20" t="s">
        <v>407</v>
      </c>
      <c r="G24" s="33">
        <v>18</v>
      </c>
      <c r="H24" s="34">
        <f>VLOOKUP($C24,'Raw Cost'!$A$1:$B$483,2,FALSE)/G24</f>
        <v>1.2222222222222223</v>
      </c>
      <c r="I24" s="34">
        <f t="shared" si="4"/>
        <v>7.6388888888888895E-2</v>
      </c>
      <c r="J24" s="35">
        <v>10</v>
      </c>
      <c r="K24" s="35">
        <v>0.25</v>
      </c>
      <c r="L24" s="36">
        <f>VLOOKUP($F24,'Packaging Cost'!$A$1:$F$43,6,FALSE)</f>
        <v>3.16</v>
      </c>
      <c r="M24" s="37">
        <f>IF($E24="Snakpak",(($J24*H24)+($K24*'Labor Cost'!$A$2)+L24)+2.25,($J24*H24)+($K24*'Labor Cost'!$A$2)+L24+1)</f>
        <v>22.257222222222222</v>
      </c>
      <c r="N24" s="38">
        <f t="shared" si="5"/>
        <v>27.821527777777778</v>
      </c>
      <c r="O24" s="38">
        <f t="shared" si="6"/>
        <v>28.93438888888889</v>
      </c>
      <c r="P24" s="38">
        <f t="shared" si="7"/>
        <v>30.047250000000002</v>
      </c>
      <c r="Q24" s="38">
        <f t="shared" si="8"/>
        <v>31.160111111111107</v>
      </c>
      <c r="R24" s="38">
        <f t="shared" si="9"/>
        <v>32.272972222222222</v>
      </c>
      <c r="S24" s="38">
        <f t="shared" si="0"/>
        <v>27.75</v>
      </c>
      <c r="T24" s="38">
        <f t="shared" si="1"/>
        <v>29</v>
      </c>
      <c r="U24" s="38">
        <f t="shared" si="2"/>
        <v>30</v>
      </c>
      <c r="V24" s="38">
        <f t="shared" si="3"/>
        <v>31.25</v>
      </c>
      <c r="W24" s="38">
        <f t="shared" si="3"/>
        <v>32.25</v>
      </c>
    </row>
    <row r="25" spans="1:23" ht="21" customHeight="1" x14ac:dyDescent="0.2">
      <c r="A25" s="19" t="s">
        <v>616</v>
      </c>
      <c r="B25" s="19" t="s">
        <v>205</v>
      </c>
      <c r="C25" s="32" t="s">
        <v>11</v>
      </c>
      <c r="D25" s="32" t="s">
        <v>393</v>
      </c>
      <c r="E25" s="20" t="s">
        <v>397</v>
      </c>
      <c r="F25" s="20" t="s">
        <v>384</v>
      </c>
      <c r="G25" s="33">
        <v>31</v>
      </c>
      <c r="H25" s="34">
        <f>VLOOKUP($C25,'Raw Cost'!$A$1:$B$483,2,FALSE)/G25</f>
        <v>0.61290322580645162</v>
      </c>
      <c r="I25" s="34">
        <f t="shared" ref="I25" si="14">H25/16</f>
        <v>3.8306451612903226E-2</v>
      </c>
      <c r="J25" s="35">
        <v>4</v>
      </c>
      <c r="K25" s="35">
        <v>0.25</v>
      </c>
      <c r="L25" s="36">
        <f>VLOOKUP($F25,'Packaging Cost'!$A$1:$F$43,6,FALSE)</f>
        <v>0.59</v>
      </c>
      <c r="M25" s="37">
        <f>IF($E25="Snakpak",(($J25*H25)+($K25*'Labor Cost'!$A$2)+L25)+2.25,($J25*H25)+($K25*'Labor Cost'!$A$2)+L25+1)</f>
        <v>9.9166129032258059</v>
      </c>
      <c r="N25" s="38">
        <f t="shared" si="5"/>
        <v>12.395766129032257</v>
      </c>
      <c r="O25" s="38">
        <f t="shared" si="6"/>
        <v>12.891596774193548</v>
      </c>
      <c r="P25" s="38">
        <f t="shared" si="7"/>
        <v>13.387427419354839</v>
      </c>
      <c r="Q25" s="38">
        <f t="shared" si="8"/>
        <v>13.883258064516127</v>
      </c>
      <c r="R25" s="38">
        <f t="shared" si="9"/>
        <v>14.379088709677418</v>
      </c>
      <c r="S25" s="38">
        <f t="shared" si="0"/>
        <v>12.5</v>
      </c>
      <c r="T25" s="38">
        <f t="shared" si="1"/>
        <v>13</v>
      </c>
      <c r="U25" s="38">
        <f t="shared" si="2"/>
        <v>13.5</v>
      </c>
      <c r="V25" s="38">
        <f t="shared" ref="V25" si="15">MROUND(Q25,0.25)</f>
        <v>14</v>
      </c>
      <c r="W25" s="38">
        <f t="shared" si="3"/>
        <v>14.5</v>
      </c>
    </row>
    <row r="26" spans="1:23" ht="21" customHeight="1" x14ac:dyDescent="0.2">
      <c r="A26" s="19" t="s">
        <v>69</v>
      </c>
      <c r="B26" s="19" t="s">
        <v>205</v>
      </c>
      <c r="C26" s="32" t="s">
        <v>11</v>
      </c>
      <c r="D26" s="32" t="s">
        <v>393</v>
      </c>
      <c r="E26" s="20" t="s">
        <v>397</v>
      </c>
      <c r="F26" s="20" t="s">
        <v>383</v>
      </c>
      <c r="G26" s="33">
        <v>33</v>
      </c>
      <c r="H26" s="34">
        <f>VLOOKUP($C26,'Raw Cost'!$A$1:$B$483,2,FALSE)/G26</f>
        <v>0.5757575757575758</v>
      </c>
      <c r="I26" s="34">
        <f t="shared" si="4"/>
        <v>3.5984848484848488E-2</v>
      </c>
      <c r="J26" s="35">
        <v>10</v>
      </c>
      <c r="K26" s="35">
        <v>0.25</v>
      </c>
      <c r="L26" s="36">
        <f>VLOOKUP($F26,'Packaging Cost'!$A$1:$F$43,6,FALSE)</f>
        <v>0.9</v>
      </c>
      <c r="M26" s="37">
        <f>IF($E26="Snakpak",(($J26*H26)+($K26*'Labor Cost'!$A$2)+L26)+2.25,($J26*H26)+($K26*'Labor Cost'!$A$2)+L26+1)</f>
        <v>13.532575757575758</v>
      </c>
      <c r="N26" s="38">
        <f t="shared" si="5"/>
        <v>16.915719696969699</v>
      </c>
      <c r="O26" s="38">
        <f t="shared" si="6"/>
        <v>17.592348484848486</v>
      </c>
      <c r="P26" s="38">
        <f t="shared" si="7"/>
        <v>18.268977272727273</v>
      </c>
      <c r="Q26" s="38">
        <f t="shared" si="8"/>
        <v>18.94560606060606</v>
      </c>
      <c r="R26" s="38">
        <f t="shared" si="9"/>
        <v>19.622234848484847</v>
      </c>
      <c r="S26" s="38">
        <f t="shared" si="0"/>
        <v>17</v>
      </c>
      <c r="T26" s="38">
        <f t="shared" si="1"/>
        <v>17.5</v>
      </c>
      <c r="U26" s="38">
        <f t="shared" si="2"/>
        <v>18.25</v>
      </c>
      <c r="V26" s="38">
        <f t="shared" si="3"/>
        <v>19</v>
      </c>
      <c r="W26" s="38">
        <f t="shared" si="3"/>
        <v>19.5</v>
      </c>
    </row>
    <row r="27" spans="1:23" ht="21" customHeight="1" x14ac:dyDescent="0.2">
      <c r="A27" s="19" t="s">
        <v>418</v>
      </c>
      <c r="B27" s="19" t="s">
        <v>204</v>
      </c>
      <c r="C27" s="32" t="s">
        <v>11</v>
      </c>
      <c r="D27" s="32" t="s">
        <v>393</v>
      </c>
      <c r="E27" s="20" t="s">
        <v>397</v>
      </c>
      <c r="F27" s="20" t="s">
        <v>378</v>
      </c>
      <c r="G27" s="33">
        <v>33</v>
      </c>
      <c r="H27" s="34">
        <f>VLOOKUP($C27,'Raw Cost'!$A$1:$B$483,2,FALSE)/G27</f>
        <v>0.5757575757575758</v>
      </c>
      <c r="I27" s="34">
        <f t="shared" si="4"/>
        <v>3.5984848484848488E-2</v>
      </c>
      <c r="J27" s="35">
        <v>20</v>
      </c>
      <c r="K27" s="35">
        <v>0.25</v>
      </c>
      <c r="L27" s="36">
        <f>VLOOKUP($F27,'Packaging Cost'!$A$1:$F$43,6,FALSE)</f>
        <v>1.1000000000000001</v>
      </c>
      <c r="M27" s="37">
        <f>IF($E27="Snakpak",(($J27*H27)+($K27*'Labor Cost'!$A$2)+L27)+2.25,($J27*H27)+($K27*'Labor Cost'!$A$2)+L27+2)</f>
        <v>20.490151515151517</v>
      </c>
      <c r="N27" s="38">
        <f t="shared" si="5"/>
        <v>25.612689393939398</v>
      </c>
      <c r="O27" s="38">
        <f t="shared" si="6"/>
        <v>26.637196969696973</v>
      </c>
      <c r="P27" s="38">
        <f t="shared" si="7"/>
        <v>27.661704545454551</v>
      </c>
      <c r="Q27" s="38">
        <f t="shared" si="8"/>
        <v>28.686212121212122</v>
      </c>
      <c r="R27" s="38">
        <f t="shared" si="9"/>
        <v>29.710719696969697</v>
      </c>
      <c r="S27" s="38">
        <f t="shared" si="0"/>
        <v>25.5</v>
      </c>
      <c r="T27" s="38">
        <f t="shared" si="1"/>
        <v>26.75</v>
      </c>
      <c r="U27" s="38">
        <f t="shared" si="2"/>
        <v>27.75</v>
      </c>
      <c r="V27" s="38">
        <f t="shared" si="3"/>
        <v>28.75</v>
      </c>
      <c r="W27" s="38">
        <f t="shared" si="3"/>
        <v>29.75</v>
      </c>
    </row>
    <row r="28" spans="1:23" ht="21" customHeight="1" x14ac:dyDescent="0.2">
      <c r="A28" s="19" t="s">
        <v>70</v>
      </c>
      <c r="B28" s="19" t="s">
        <v>206</v>
      </c>
      <c r="C28" s="32" t="s">
        <v>11</v>
      </c>
      <c r="D28" s="32" t="s">
        <v>393</v>
      </c>
      <c r="E28" s="20" t="s">
        <v>397</v>
      </c>
      <c r="F28" s="20" t="s">
        <v>378</v>
      </c>
      <c r="G28" s="33">
        <v>33</v>
      </c>
      <c r="H28" s="34">
        <f>VLOOKUP($C28,'Raw Cost'!$A$1:$B$483,2,FALSE)/G28</f>
        <v>0.5757575757575758</v>
      </c>
      <c r="I28" s="34">
        <f t="shared" si="4"/>
        <v>3.5984848484848488E-2</v>
      </c>
      <c r="J28" s="35">
        <v>20</v>
      </c>
      <c r="K28" s="35">
        <v>0.25</v>
      </c>
      <c r="L28" s="36">
        <f>VLOOKUP($F28,'Packaging Cost'!$A$1:$F$43,6,FALSE)</f>
        <v>1.1000000000000001</v>
      </c>
      <c r="M28" s="37">
        <f>IF($E28="Snakpak",(($J28*H28)+($K28*'Labor Cost'!$A$2)+L28)+2.25,($J28*H28)+($K28*'Labor Cost'!$A$2)+L28+1)</f>
        <v>19.490151515151517</v>
      </c>
      <c r="N28" s="38">
        <f t="shared" si="5"/>
        <v>24.362689393939398</v>
      </c>
      <c r="O28" s="38">
        <f t="shared" si="6"/>
        <v>25.337196969696972</v>
      </c>
      <c r="P28" s="38">
        <f t="shared" si="7"/>
        <v>26.31170454545455</v>
      </c>
      <c r="Q28" s="38">
        <f t="shared" si="8"/>
        <v>27.286212121212124</v>
      </c>
      <c r="R28" s="38">
        <f t="shared" si="9"/>
        <v>28.260719696969698</v>
      </c>
      <c r="S28" s="38">
        <f t="shared" si="0"/>
        <v>24.25</v>
      </c>
      <c r="T28" s="38">
        <f t="shared" si="1"/>
        <v>25.25</v>
      </c>
      <c r="U28" s="38">
        <f t="shared" si="2"/>
        <v>26.25</v>
      </c>
      <c r="V28" s="38">
        <f t="shared" si="3"/>
        <v>27.25</v>
      </c>
      <c r="W28" s="38">
        <f t="shared" si="3"/>
        <v>28.25</v>
      </c>
    </row>
    <row r="29" spans="1:23" ht="21" customHeight="1" x14ac:dyDescent="0.2">
      <c r="A29" s="19" t="s">
        <v>538</v>
      </c>
      <c r="B29" s="19" t="s">
        <v>216</v>
      </c>
      <c r="C29" s="32" t="s">
        <v>11</v>
      </c>
      <c r="D29" s="32" t="s">
        <v>393</v>
      </c>
      <c r="E29" s="20" t="s">
        <v>397</v>
      </c>
      <c r="F29" s="20" t="s">
        <v>383</v>
      </c>
      <c r="G29" s="33">
        <v>33</v>
      </c>
      <c r="H29" s="34">
        <f>VLOOKUP($C29,'Raw Cost'!$A$1:$B$483,2,FALSE)/G29</f>
        <v>0.5757575757575758</v>
      </c>
      <c r="I29" s="34">
        <f t="shared" si="4"/>
        <v>3.5984848484848488E-2</v>
      </c>
      <c r="J29" s="35">
        <v>10</v>
      </c>
      <c r="K29" s="35">
        <v>0.25</v>
      </c>
      <c r="L29" s="36">
        <f>VLOOKUP($F29,'Packaging Cost'!$A$1:$F$43,6,FALSE)</f>
        <v>0.9</v>
      </c>
      <c r="M29" s="37">
        <f>IF($E29="Snakpak",(($J29*H29)+($K29*'Labor Cost'!$A$2)+L29)+2.25,($J29*H29)+($K29*'Labor Cost'!$A$2)+L29+1)</f>
        <v>13.532575757575758</v>
      </c>
      <c r="N29" s="38">
        <f t="shared" si="5"/>
        <v>16.915719696969699</v>
      </c>
      <c r="O29" s="38">
        <f t="shared" si="6"/>
        <v>17.592348484848486</v>
      </c>
      <c r="P29" s="38">
        <f t="shared" si="7"/>
        <v>18.268977272727273</v>
      </c>
      <c r="Q29" s="38">
        <f t="shared" si="8"/>
        <v>18.94560606060606</v>
      </c>
      <c r="R29" s="38">
        <f t="shared" si="9"/>
        <v>19.622234848484847</v>
      </c>
      <c r="S29" s="38">
        <f t="shared" si="0"/>
        <v>17</v>
      </c>
      <c r="T29" s="38">
        <f t="shared" si="1"/>
        <v>17.5</v>
      </c>
      <c r="U29" s="38">
        <f t="shared" si="2"/>
        <v>18.25</v>
      </c>
      <c r="V29" s="38">
        <f t="shared" si="3"/>
        <v>19</v>
      </c>
      <c r="W29" s="38">
        <f t="shared" si="3"/>
        <v>19.5</v>
      </c>
    </row>
    <row r="30" spans="1:23" ht="21" customHeight="1" x14ac:dyDescent="0.2">
      <c r="A30" s="19" t="s">
        <v>539</v>
      </c>
      <c r="B30" s="19" t="s">
        <v>215</v>
      </c>
      <c r="C30" s="32" t="s">
        <v>11</v>
      </c>
      <c r="D30" s="32" t="s">
        <v>393</v>
      </c>
      <c r="E30" s="20" t="s">
        <v>397</v>
      </c>
      <c r="F30" s="20" t="s">
        <v>378</v>
      </c>
      <c r="G30" s="33">
        <v>33</v>
      </c>
      <c r="H30" s="34">
        <f>VLOOKUP($C30,'Raw Cost'!$A$1:$B$483,2,FALSE)/G30</f>
        <v>0.5757575757575758</v>
      </c>
      <c r="I30" s="34">
        <f t="shared" si="4"/>
        <v>3.5984848484848488E-2</v>
      </c>
      <c r="J30" s="35">
        <v>20</v>
      </c>
      <c r="K30" s="35">
        <v>0.25</v>
      </c>
      <c r="L30" s="36">
        <f>VLOOKUP($F30,'Packaging Cost'!$A$1:$F$43,6,FALSE)</f>
        <v>1.1000000000000001</v>
      </c>
      <c r="M30" s="37">
        <f>IF($E30="Snakpak",(($J30*H30)+($K30*'Labor Cost'!$A$2)+L30)+2.25,($J30*H30)+($K30*'Labor Cost'!$A$2)+L30+1)</f>
        <v>19.490151515151517</v>
      </c>
      <c r="N30" s="38">
        <f t="shared" si="5"/>
        <v>24.362689393939398</v>
      </c>
      <c r="O30" s="38">
        <f t="shared" si="6"/>
        <v>25.337196969696972</v>
      </c>
      <c r="P30" s="38">
        <f t="shared" si="7"/>
        <v>26.31170454545455</v>
      </c>
      <c r="Q30" s="38">
        <f t="shared" si="8"/>
        <v>27.286212121212124</v>
      </c>
      <c r="R30" s="38">
        <f t="shared" si="9"/>
        <v>28.260719696969698</v>
      </c>
      <c r="S30" s="38">
        <f t="shared" si="0"/>
        <v>24.25</v>
      </c>
      <c r="T30" s="38">
        <f t="shared" si="1"/>
        <v>25.25</v>
      </c>
      <c r="U30" s="38">
        <f t="shared" si="2"/>
        <v>26.25</v>
      </c>
      <c r="V30" s="38">
        <f t="shared" ref="V30:W67" si="16">MROUND(Q30,0.25)</f>
        <v>27.25</v>
      </c>
      <c r="W30" s="38">
        <f t="shared" si="16"/>
        <v>28.25</v>
      </c>
    </row>
    <row r="31" spans="1:23" ht="21" customHeight="1" x14ac:dyDescent="0.2">
      <c r="A31" s="19" t="s">
        <v>540</v>
      </c>
      <c r="B31" s="19" t="s">
        <v>234</v>
      </c>
      <c r="C31" s="32" t="s">
        <v>11</v>
      </c>
      <c r="D31" s="32" t="s">
        <v>393</v>
      </c>
      <c r="E31" s="20" t="s">
        <v>397</v>
      </c>
      <c r="F31" s="20" t="s">
        <v>383</v>
      </c>
      <c r="G31" s="33">
        <v>33</v>
      </c>
      <c r="H31" s="34">
        <f>VLOOKUP($C31,'Raw Cost'!$A$1:$B$483,2,FALSE)/G31</f>
        <v>0.5757575757575758</v>
      </c>
      <c r="I31" s="34">
        <f t="shared" si="4"/>
        <v>3.5984848484848488E-2</v>
      </c>
      <c r="J31" s="35">
        <v>10</v>
      </c>
      <c r="K31" s="35">
        <v>0.25</v>
      </c>
      <c r="L31" s="36">
        <f>VLOOKUP($F31,'Packaging Cost'!$A$1:$F$43,6,FALSE)</f>
        <v>0.9</v>
      </c>
      <c r="M31" s="37">
        <f>IF($E31="Snakpak",(($J31*H31)+($K31*'Labor Cost'!$A$2)+L31)+2.25,($J31*H31)+($K31*'Labor Cost'!$A$2)+L31+1)</f>
        <v>13.532575757575758</v>
      </c>
      <c r="N31" s="38">
        <f t="shared" si="5"/>
        <v>16.915719696969699</v>
      </c>
      <c r="O31" s="38">
        <f t="shared" si="6"/>
        <v>17.592348484848486</v>
      </c>
      <c r="P31" s="38">
        <f t="shared" si="7"/>
        <v>18.268977272727273</v>
      </c>
      <c r="Q31" s="38">
        <f t="shared" si="8"/>
        <v>18.94560606060606</v>
      </c>
      <c r="R31" s="38">
        <f t="shared" si="9"/>
        <v>19.622234848484847</v>
      </c>
      <c r="S31" s="38">
        <f t="shared" si="0"/>
        <v>17</v>
      </c>
      <c r="T31" s="38">
        <f t="shared" si="1"/>
        <v>17.5</v>
      </c>
      <c r="U31" s="38">
        <f t="shared" si="2"/>
        <v>18.25</v>
      </c>
      <c r="V31" s="38">
        <f t="shared" si="16"/>
        <v>19</v>
      </c>
      <c r="W31" s="38">
        <f t="shared" si="16"/>
        <v>19.5</v>
      </c>
    </row>
    <row r="32" spans="1:23" ht="21" customHeight="1" x14ac:dyDescent="0.2">
      <c r="A32" s="19" t="s">
        <v>541</v>
      </c>
      <c r="B32" s="19" t="s">
        <v>203</v>
      </c>
      <c r="C32" s="32" t="s">
        <v>11</v>
      </c>
      <c r="D32" s="32" t="s">
        <v>393</v>
      </c>
      <c r="E32" s="20" t="s">
        <v>397</v>
      </c>
      <c r="F32" s="20" t="s">
        <v>378</v>
      </c>
      <c r="G32" s="33">
        <v>33</v>
      </c>
      <c r="H32" s="34">
        <f>VLOOKUP($C32,'Raw Cost'!$A$1:$B$483,2,FALSE)/G32</f>
        <v>0.5757575757575758</v>
      </c>
      <c r="I32" s="34">
        <f t="shared" si="4"/>
        <v>3.5984848484848488E-2</v>
      </c>
      <c r="J32" s="35">
        <v>20</v>
      </c>
      <c r="K32" s="35">
        <v>0.25</v>
      </c>
      <c r="L32" s="36">
        <f>VLOOKUP($F32,'Packaging Cost'!$A$1:$F$43,6,FALSE)</f>
        <v>1.1000000000000001</v>
      </c>
      <c r="M32" s="37">
        <f>IF($E32="Snakpak",(($J32*H32)+($K32*'Labor Cost'!$A$2)+L32)+2.25,($J32*H32)+($K32*'Labor Cost'!$A$2)+L32+1)</f>
        <v>19.490151515151517</v>
      </c>
      <c r="N32" s="38">
        <f t="shared" si="5"/>
        <v>24.362689393939398</v>
      </c>
      <c r="O32" s="38">
        <f t="shared" si="6"/>
        <v>25.337196969696972</v>
      </c>
      <c r="P32" s="38">
        <f t="shared" si="7"/>
        <v>26.31170454545455</v>
      </c>
      <c r="Q32" s="38">
        <f t="shared" si="8"/>
        <v>27.286212121212124</v>
      </c>
      <c r="R32" s="38">
        <f t="shared" si="9"/>
        <v>28.260719696969698</v>
      </c>
      <c r="S32" s="38">
        <f t="shared" si="0"/>
        <v>24.25</v>
      </c>
      <c r="T32" s="38">
        <f t="shared" si="1"/>
        <v>25.25</v>
      </c>
      <c r="U32" s="38">
        <f t="shared" si="2"/>
        <v>26.25</v>
      </c>
      <c r="V32" s="38">
        <f t="shared" si="16"/>
        <v>27.25</v>
      </c>
      <c r="W32" s="38">
        <f t="shared" si="16"/>
        <v>28.25</v>
      </c>
    </row>
    <row r="33" spans="1:23" ht="21" customHeight="1" x14ac:dyDescent="0.2">
      <c r="A33" s="19" t="s">
        <v>537</v>
      </c>
      <c r="B33" s="19" t="s">
        <v>321</v>
      </c>
      <c r="C33" s="32" t="s">
        <v>11</v>
      </c>
      <c r="D33" s="32" t="s">
        <v>393</v>
      </c>
      <c r="E33" s="20" t="s">
        <v>397</v>
      </c>
      <c r="F33" s="20" t="s">
        <v>378</v>
      </c>
      <c r="G33" s="33">
        <v>35</v>
      </c>
      <c r="H33" s="34">
        <f>VLOOKUP($C33,'Raw Cost'!$A$1:$B$483,2,FALSE)/G33</f>
        <v>0.54285714285714282</v>
      </c>
      <c r="I33" s="34">
        <f t="shared" si="4"/>
        <v>3.3928571428571426E-2</v>
      </c>
      <c r="J33" s="35">
        <v>20</v>
      </c>
      <c r="K33" s="35">
        <v>0.25</v>
      </c>
      <c r="L33" s="36">
        <f>VLOOKUP($F33,'Packaging Cost'!$A$1:$F$43,6,FALSE)</f>
        <v>1.1000000000000001</v>
      </c>
      <c r="M33" s="37">
        <f>IF($E33="Snakpak",(($J33*H33)+($K33*'Labor Cost'!$A$2)+L33)+2.25,($J33*H33)+($K33*'Labor Cost'!$A$2)+L33+1)</f>
        <v>18.832142857142856</v>
      </c>
      <c r="N33" s="38">
        <f t="shared" si="5"/>
        <v>23.540178571428569</v>
      </c>
      <c r="O33" s="38">
        <f t="shared" si="6"/>
        <v>24.481785714285714</v>
      </c>
      <c r="P33" s="38">
        <f t="shared" si="7"/>
        <v>25.423392857142858</v>
      </c>
      <c r="Q33" s="38">
        <f t="shared" si="8"/>
        <v>26.364999999999995</v>
      </c>
      <c r="R33" s="38">
        <f t="shared" si="9"/>
        <v>27.306607142857139</v>
      </c>
      <c r="S33" s="38">
        <f t="shared" si="0"/>
        <v>23.5</v>
      </c>
      <c r="T33" s="38">
        <f t="shared" si="1"/>
        <v>24.5</v>
      </c>
      <c r="U33" s="38">
        <f t="shared" si="2"/>
        <v>25.5</v>
      </c>
      <c r="V33" s="38">
        <f t="shared" si="16"/>
        <v>26.25</v>
      </c>
      <c r="W33" s="38">
        <f t="shared" si="16"/>
        <v>27.25</v>
      </c>
    </row>
    <row r="34" spans="1:23" ht="21" customHeight="1" x14ac:dyDescent="0.2">
      <c r="A34" s="19" t="s">
        <v>542</v>
      </c>
      <c r="B34" s="19" t="s">
        <v>279</v>
      </c>
      <c r="C34" s="32" t="s">
        <v>11</v>
      </c>
      <c r="D34" s="32" t="s">
        <v>393</v>
      </c>
      <c r="E34" s="20" t="s">
        <v>397</v>
      </c>
      <c r="F34" s="20" t="s">
        <v>378</v>
      </c>
      <c r="G34" s="33">
        <v>35</v>
      </c>
      <c r="H34" s="34">
        <f>VLOOKUP($C34,'Raw Cost'!$A$1:$B$483,2,FALSE)/G34</f>
        <v>0.54285714285714282</v>
      </c>
      <c r="I34" s="34">
        <f t="shared" si="4"/>
        <v>3.3928571428571426E-2</v>
      </c>
      <c r="J34" s="35">
        <v>20</v>
      </c>
      <c r="K34" s="35">
        <v>0.25</v>
      </c>
      <c r="L34" s="36">
        <f>VLOOKUP($F34,'Packaging Cost'!$A$1:$F$43,6,FALSE)</f>
        <v>1.1000000000000001</v>
      </c>
      <c r="M34" s="37">
        <f>IF($E34="Snakpak",(($J34*H34)+($K34*'Labor Cost'!$A$2)+L34)+2.25,($J34*H34)+($K34*'Labor Cost'!$A$2)+L34+1)</f>
        <v>18.832142857142856</v>
      </c>
      <c r="N34" s="38">
        <f t="shared" si="5"/>
        <v>23.540178571428569</v>
      </c>
      <c r="O34" s="38">
        <f t="shared" si="6"/>
        <v>24.481785714285714</v>
      </c>
      <c r="P34" s="38">
        <f t="shared" si="7"/>
        <v>25.423392857142858</v>
      </c>
      <c r="Q34" s="38">
        <f t="shared" si="8"/>
        <v>26.364999999999995</v>
      </c>
      <c r="R34" s="38">
        <f t="shared" si="9"/>
        <v>27.306607142857139</v>
      </c>
      <c r="S34" s="38">
        <f t="shared" ref="S34:S65" si="17">MROUND(N34,0.25)</f>
        <v>23.5</v>
      </c>
      <c r="T34" s="38">
        <f t="shared" ref="T34:T65" si="18">MROUND(O34,0.25)</f>
        <v>24.5</v>
      </c>
      <c r="U34" s="38">
        <f t="shared" ref="U34:U65" si="19">MROUND(P34,0.25)</f>
        <v>25.5</v>
      </c>
      <c r="V34" s="38">
        <f t="shared" si="16"/>
        <v>26.25</v>
      </c>
      <c r="W34" s="38">
        <f t="shared" si="16"/>
        <v>27.25</v>
      </c>
    </row>
    <row r="35" spans="1:23" ht="21" customHeight="1" x14ac:dyDescent="0.2">
      <c r="A35" s="19" t="s">
        <v>617</v>
      </c>
      <c r="B35" s="19" t="s">
        <v>223</v>
      </c>
      <c r="C35" s="32" t="s">
        <v>14</v>
      </c>
      <c r="D35" s="32" t="s">
        <v>393</v>
      </c>
      <c r="E35" s="20" t="s">
        <v>397</v>
      </c>
      <c r="F35" s="20" t="s">
        <v>384</v>
      </c>
      <c r="G35" s="33">
        <v>16</v>
      </c>
      <c r="H35" s="34">
        <f>VLOOKUP($C35,'Raw Cost'!$A$1:$B$483,2,FALSE)/G35</f>
        <v>1.5</v>
      </c>
      <c r="I35" s="34">
        <f t="shared" si="4"/>
        <v>9.375E-2</v>
      </c>
      <c r="J35" s="35">
        <v>4</v>
      </c>
      <c r="K35" s="35">
        <v>0.25</v>
      </c>
      <c r="L35" s="36">
        <f>VLOOKUP($F35,'Packaging Cost'!$A$1:$F$43,6,FALSE)</f>
        <v>0.59</v>
      </c>
      <c r="M35" s="37">
        <f>IF($E35="Snakpak",(($J35*H35)+($K35*'Labor Cost'!$A$2)+L35)+2.25,($J35*H35)+($K35*'Labor Cost'!$A$2)+L35+1)</f>
        <v>13.465</v>
      </c>
      <c r="N35" s="38">
        <f t="shared" si="5"/>
        <v>16.831250000000001</v>
      </c>
      <c r="O35" s="38">
        <f t="shared" si="6"/>
        <v>17.5045</v>
      </c>
      <c r="P35" s="38">
        <f t="shared" si="7"/>
        <v>18.17775</v>
      </c>
      <c r="Q35" s="38">
        <f t="shared" si="8"/>
        <v>18.850999999999999</v>
      </c>
      <c r="R35" s="38">
        <f t="shared" si="9"/>
        <v>19.524249999999999</v>
      </c>
      <c r="S35" s="38">
        <f t="shared" si="17"/>
        <v>16.75</v>
      </c>
      <c r="T35" s="38">
        <f t="shared" si="18"/>
        <v>17.5</v>
      </c>
      <c r="U35" s="38">
        <f t="shared" si="19"/>
        <v>18.25</v>
      </c>
      <c r="V35" s="38">
        <f t="shared" ref="V35" si="20">MROUND(Q35,0.25)</f>
        <v>18.75</v>
      </c>
      <c r="W35" s="38">
        <f t="shared" si="16"/>
        <v>19.5</v>
      </c>
    </row>
    <row r="36" spans="1:23" ht="21" customHeight="1" x14ac:dyDescent="0.2">
      <c r="A36" s="19" t="s">
        <v>543</v>
      </c>
      <c r="B36" s="19" t="s">
        <v>223</v>
      </c>
      <c r="C36" s="32" t="s">
        <v>14</v>
      </c>
      <c r="D36" s="32" t="s">
        <v>393</v>
      </c>
      <c r="E36" s="20" t="s">
        <v>397</v>
      </c>
      <c r="F36" s="20" t="s">
        <v>402</v>
      </c>
      <c r="G36" s="33">
        <v>16</v>
      </c>
      <c r="H36" s="34">
        <f>VLOOKUP($C36,'Raw Cost'!$A$1:$B$483,2,FALSE)/G36</f>
        <v>1.5</v>
      </c>
      <c r="I36" s="34">
        <f t="shared" ref="I36:I84" si="21">H36/16</f>
        <v>9.375E-2</v>
      </c>
      <c r="J36" s="35">
        <v>12</v>
      </c>
      <c r="K36" s="35">
        <v>0.25</v>
      </c>
      <c r="L36" s="36">
        <f>VLOOKUP($F36,'Packaging Cost'!$A$1:$F$43,6,FALSE)</f>
        <v>1.1500000000000001</v>
      </c>
      <c r="M36" s="37">
        <f>IF($E36="Snakpak",(($J36*H36)+($K36*'Labor Cost'!$A$2)+L36)+2.25,($J36*H36)+($K36*'Labor Cost'!$A$2)+L36+1)</f>
        <v>26.024999999999999</v>
      </c>
      <c r="N36" s="38">
        <f t="shared" si="5"/>
        <v>32.53125</v>
      </c>
      <c r="O36" s="38">
        <f t="shared" si="6"/>
        <v>33.832499999999996</v>
      </c>
      <c r="P36" s="38">
        <f t="shared" si="7"/>
        <v>35.133749999999999</v>
      </c>
      <c r="Q36" s="38">
        <f t="shared" si="8"/>
        <v>36.434999999999995</v>
      </c>
      <c r="R36" s="38">
        <f t="shared" si="9"/>
        <v>37.736249999999998</v>
      </c>
      <c r="S36" s="38">
        <f t="shared" si="17"/>
        <v>32.5</v>
      </c>
      <c r="T36" s="38">
        <f t="shared" si="18"/>
        <v>33.75</v>
      </c>
      <c r="U36" s="38">
        <f t="shared" si="19"/>
        <v>35.25</v>
      </c>
      <c r="V36" s="38">
        <f t="shared" si="16"/>
        <v>36.5</v>
      </c>
      <c r="W36" s="38">
        <f t="shared" si="16"/>
        <v>37.75</v>
      </c>
    </row>
    <row r="37" spans="1:23" ht="21" customHeight="1" x14ac:dyDescent="0.2">
      <c r="A37" s="19" t="s">
        <v>611</v>
      </c>
      <c r="B37" s="19" t="s">
        <v>223</v>
      </c>
      <c r="C37" s="32" t="s">
        <v>1052</v>
      </c>
      <c r="D37" s="32" t="s">
        <v>393</v>
      </c>
      <c r="E37" s="20" t="s">
        <v>397</v>
      </c>
      <c r="F37" s="20" t="s">
        <v>402</v>
      </c>
      <c r="G37" s="33">
        <v>4</v>
      </c>
      <c r="H37" s="34">
        <f>VLOOKUP($C37,'Raw Cost'!$A$1:$B$483,2,FALSE)/G37</f>
        <v>10.5</v>
      </c>
      <c r="I37" s="34">
        <f t="shared" ref="I37:I38" si="22">H37/16</f>
        <v>0.65625</v>
      </c>
      <c r="J37" s="35">
        <v>12</v>
      </c>
      <c r="K37" s="35">
        <v>0.25</v>
      </c>
      <c r="L37" s="36">
        <f>VLOOKUP($F37,'Packaging Cost'!$A$1:$F$43,6,FALSE)</f>
        <v>1.1500000000000001</v>
      </c>
      <c r="M37" s="37">
        <f>IF($E37="Snakpak",(($J37*H37)+($K37*'Labor Cost'!$A$2)+L37)+2.25,($J37*H37)+($K37*'Labor Cost'!$A$2)+L37+1)</f>
        <v>134.02500000000001</v>
      </c>
      <c r="N37" s="38">
        <f t="shared" si="5"/>
        <v>167.53125</v>
      </c>
      <c r="O37" s="38">
        <f t="shared" si="6"/>
        <v>174.23250000000002</v>
      </c>
      <c r="P37" s="38">
        <f t="shared" si="7"/>
        <v>180.93375000000003</v>
      </c>
      <c r="Q37" s="38">
        <f t="shared" si="8"/>
        <v>187.63499999999999</v>
      </c>
      <c r="R37" s="38">
        <f t="shared" si="9"/>
        <v>194.33625000000001</v>
      </c>
      <c r="S37" s="38">
        <f t="shared" si="17"/>
        <v>167.5</v>
      </c>
      <c r="T37" s="38">
        <f t="shared" si="18"/>
        <v>174.25</v>
      </c>
      <c r="U37" s="38">
        <f t="shared" si="19"/>
        <v>181</v>
      </c>
      <c r="V37" s="38">
        <f t="shared" ref="V37:V38" si="23">MROUND(Q37,0.25)</f>
        <v>187.75</v>
      </c>
      <c r="W37" s="38">
        <f t="shared" si="16"/>
        <v>194.25</v>
      </c>
    </row>
    <row r="38" spans="1:23" ht="21" customHeight="1" x14ac:dyDescent="0.2">
      <c r="A38" s="19" t="s">
        <v>614</v>
      </c>
      <c r="B38" s="19" t="s">
        <v>221</v>
      </c>
      <c r="C38" s="32" t="s">
        <v>15</v>
      </c>
      <c r="D38" s="32" t="s">
        <v>393</v>
      </c>
      <c r="E38" s="20" t="s">
        <v>397</v>
      </c>
      <c r="F38" s="20" t="s">
        <v>384</v>
      </c>
      <c r="G38" s="33">
        <v>32</v>
      </c>
      <c r="H38" s="34">
        <f>VLOOKUP($C38,'Raw Cost'!$A$1:$B$483,2,FALSE)/G38</f>
        <v>0.75</v>
      </c>
      <c r="I38" s="34">
        <f t="shared" si="22"/>
        <v>4.6875E-2</v>
      </c>
      <c r="J38" s="35">
        <v>4</v>
      </c>
      <c r="K38" s="35">
        <v>0.25</v>
      </c>
      <c r="L38" s="36">
        <f>VLOOKUP($F38,'Packaging Cost'!$A$1:$F$43,6,FALSE)</f>
        <v>0.59</v>
      </c>
      <c r="M38" s="37">
        <f>IF($E38="Snakpak",(($J38*H38)+($K38*'Labor Cost'!$A$2)+L38)+2.25,($J38*H38)+($K38*'Labor Cost'!$A$2)+L38+2)</f>
        <v>11.465</v>
      </c>
      <c r="N38" s="38">
        <f t="shared" si="5"/>
        <v>14.331250000000001</v>
      </c>
      <c r="O38" s="38">
        <f t="shared" si="6"/>
        <v>14.904500000000001</v>
      </c>
      <c r="P38" s="38">
        <f t="shared" si="7"/>
        <v>15.47775</v>
      </c>
      <c r="Q38" s="38">
        <f t="shared" si="8"/>
        <v>16.050999999999998</v>
      </c>
      <c r="R38" s="38">
        <f t="shared" si="9"/>
        <v>16.62425</v>
      </c>
      <c r="S38" s="38">
        <f t="shared" si="17"/>
        <v>14.25</v>
      </c>
      <c r="T38" s="38">
        <f t="shared" si="18"/>
        <v>15</v>
      </c>
      <c r="U38" s="38">
        <f t="shared" si="19"/>
        <v>15.5</v>
      </c>
      <c r="V38" s="38">
        <f t="shared" si="23"/>
        <v>16</v>
      </c>
      <c r="W38" s="38">
        <f t="shared" si="16"/>
        <v>16.5</v>
      </c>
    </row>
    <row r="39" spans="1:23" ht="21" customHeight="1" x14ac:dyDescent="0.2">
      <c r="A39" s="19" t="s">
        <v>544</v>
      </c>
      <c r="B39" s="19" t="s">
        <v>221</v>
      </c>
      <c r="C39" s="32" t="s">
        <v>15</v>
      </c>
      <c r="D39" s="32" t="s">
        <v>393</v>
      </c>
      <c r="E39" s="20" t="s">
        <v>397</v>
      </c>
      <c r="F39" s="20" t="s">
        <v>378</v>
      </c>
      <c r="G39" s="33">
        <v>32</v>
      </c>
      <c r="H39" s="34">
        <f>VLOOKUP($C39,'Raw Cost'!$A$1:$B$483,2,FALSE)/G39</f>
        <v>0.75</v>
      </c>
      <c r="I39" s="34">
        <f t="shared" si="21"/>
        <v>4.6875E-2</v>
      </c>
      <c r="J39" s="35">
        <v>20</v>
      </c>
      <c r="K39" s="35">
        <v>0.25</v>
      </c>
      <c r="L39" s="36">
        <f>VLOOKUP($F39,'Packaging Cost'!$A$1:$F$43,6,FALSE)</f>
        <v>1.1000000000000001</v>
      </c>
      <c r="M39" s="37">
        <f>IF($E39="Snakpak",(($J39*H39)+($K39*'Labor Cost'!$A$2)+L39)+2.25,($J39*H39)+($K39*'Labor Cost'!$A$2)+L39+2)</f>
        <v>23.975000000000001</v>
      </c>
      <c r="N39" s="38">
        <f t="shared" si="5"/>
        <v>29.96875</v>
      </c>
      <c r="O39" s="38">
        <f t="shared" si="6"/>
        <v>31.167500000000004</v>
      </c>
      <c r="P39" s="38">
        <f t="shared" si="7"/>
        <v>32.366250000000001</v>
      </c>
      <c r="Q39" s="38">
        <f t="shared" si="8"/>
        <v>33.564999999999998</v>
      </c>
      <c r="R39" s="38">
        <f t="shared" si="9"/>
        <v>34.763750000000002</v>
      </c>
      <c r="S39" s="38">
        <f t="shared" si="17"/>
        <v>30</v>
      </c>
      <c r="T39" s="38">
        <f t="shared" si="18"/>
        <v>31.25</v>
      </c>
      <c r="U39" s="38">
        <f t="shared" si="19"/>
        <v>32.25</v>
      </c>
      <c r="V39" s="38">
        <f t="shared" si="16"/>
        <v>33.5</v>
      </c>
      <c r="W39" s="38">
        <f t="shared" si="16"/>
        <v>34.75</v>
      </c>
    </row>
    <row r="40" spans="1:23" ht="21" customHeight="1" x14ac:dyDescent="0.2">
      <c r="A40" s="19" t="s">
        <v>545</v>
      </c>
      <c r="B40" s="19" t="s">
        <v>220</v>
      </c>
      <c r="C40" s="32" t="s">
        <v>15</v>
      </c>
      <c r="D40" s="32" t="s">
        <v>393</v>
      </c>
      <c r="E40" s="20" t="s">
        <v>397</v>
      </c>
      <c r="F40" s="20" t="s">
        <v>383</v>
      </c>
      <c r="G40" s="33">
        <v>32</v>
      </c>
      <c r="H40" s="34">
        <f>VLOOKUP($C40,'Raw Cost'!$A$1:$B$483,2,FALSE)/G40</f>
        <v>0.75</v>
      </c>
      <c r="I40" s="34">
        <f t="shared" si="21"/>
        <v>4.6875E-2</v>
      </c>
      <c r="J40" s="35">
        <v>10</v>
      </c>
      <c r="K40" s="35">
        <v>0.25</v>
      </c>
      <c r="L40" s="36">
        <f>VLOOKUP($F40,'Packaging Cost'!$A$1:$F$43,6,FALSE)</f>
        <v>0.9</v>
      </c>
      <c r="M40" s="37">
        <f>IF($E40="Snakpak",(($J40*H40)+($K40*'Labor Cost'!$A$2)+L40)+2.25,($J40*H40)+($K40*'Labor Cost'!$A$2)+L40+1)</f>
        <v>15.275</v>
      </c>
      <c r="N40" s="38">
        <f t="shared" si="5"/>
        <v>19.09375</v>
      </c>
      <c r="O40" s="38">
        <f t="shared" si="6"/>
        <v>19.857500000000002</v>
      </c>
      <c r="P40" s="38">
        <f t="shared" si="7"/>
        <v>20.621250000000003</v>
      </c>
      <c r="Q40" s="38">
        <f t="shared" si="8"/>
        <v>21.384999999999998</v>
      </c>
      <c r="R40" s="38">
        <f t="shared" si="9"/>
        <v>22.14875</v>
      </c>
      <c r="S40" s="38">
        <f t="shared" si="17"/>
        <v>19</v>
      </c>
      <c r="T40" s="38">
        <f t="shared" si="18"/>
        <v>19.75</v>
      </c>
      <c r="U40" s="38">
        <f t="shared" si="19"/>
        <v>20.5</v>
      </c>
      <c r="V40" s="38">
        <f t="shared" si="16"/>
        <v>21.5</v>
      </c>
      <c r="W40" s="38">
        <f t="shared" si="16"/>
        <v>22.25</v>
      </c>
    </row>
    <row r="41" spans="1:23" ht="21" customHeight="1" x14ac:dyDescent="0.2">
      <c r="A41" s="19" t="s">
        <v>546</v>
      </c>
      <c r="B41" s="19" t="s">
        <v>219</v>
      </c>
      <c r="C41" s="32" t="s">
        <v>15</v>
      </c>
      <c r="D41" s="32" t="s">
        <v>393</v>
      </c>
      <c r="E41" s="20" t="s">
        <v>397</v>
      </c>
      <c r="F41" s="20" t="s">
        <v>378</v>
      </c>
      <c r="G41" s="33">
        <v>32</v>
      </c>
      <c r="H41" s="34">
        <f>VLOOKUP($C41,'Raw Cost'!$A$1:$B$483,2,FALSE)/G41</f>
        <v>0.75</v>
      </c>
      <c r="I41" s="34">
        <f t="shared" si="21"/>
        <v>4.6875E-2</v>
      </c>
      <c r="J41" s="35">
        <v>20</v>
      </c>
      <c r="K41" s="35">
        <v>0.25</v>
      </c>
      <c r="L41" s="36">
        <f>VLOOKUP($F41,'Packaging Cost'!$A$1:$F$43,6,FALSE)</f>
        <v>1.1000000000000001</v>
      </c>
      <c r="M41" s="37">
        <f>IF($E41="Snakpak",(($J41*H41)+($K41*'Labor Cost'!$A$2)+L41)+2.25,($J41*H41)+($K41*'Labor Cost'!$A$2)+L41+1)</f>
        <v>22.975000000000001</v>
      </c>
      <c r="N41" s="38">
        <f t="shared" si="5"/>
        <v>28.71875</v>
      </c>
      <c r="O41" s="38">
        <f t="shared" si="6"/>
        <v>29.867500000000003</v>
      </c>
      <c r="P41" s="38">
        <f t="shared" si="7"/>
        <v>31.016250000000003</v>
      </c>
      <c r="Q41" s="38">
        <f t="shared" si="8"/>
        <v>32.164999999999999</v>
      </c>
      <c r="R41" s="38">
        <f t="shared" si="9"/>
        <v>33.313749999999999</v>
      </c>
      <c r="S41" s="38">
        <f t="shared" si="17"/>
        <v>28.75</v>
      </c>
      <c r="T41" s="38">
        <f t="shared" si="18"/>
        <v>29.75</v>
      </c>
      <c r="U41" s="38">
        <f t="shared" si="19"/>
        <v>31</v>
      </c>
      <c r="V41" s="38">
        <f t="shared" si="16"/>
        <v>32.25</v>
      </c>
      <c r="W41" s="38">
        <f t="shared" si="16"/>
        <v>33.25</v>
      </c>
    </row>
    <row r="42" spans="1:23" ht="21" customHeight="1" x14ac:dyDescent="0.2">
      <c r="A42" s="19" t="s">
        <v>1063</v>
      </c>
      <c r="B42" s="19" t="s">
        <v>219</v>
      </c>
      <c r="C42" s="32" t="s">
        <v>15</v>
      </c>
      <c r="D42" s="32" t="s">
        <v>393</v>
      </c>
      <c r="E42" s="20" t="s">
        <v>397</v>
      </c>
      <c r="F42" s="20" t="s">
        <v>383</v>
      </c>
      <c r="G42" s="33">
        <v>32</v>
      </c>
      <c r="H42" s="34">
        <f>VLOOKUP($C42,'Raw Cost'!$A$1:$B$483,2,FALSE)/G42</f>
        <v>0.75</v>
      </c>
      <c r="I42" s="34">
        <f t="shared" ref="I42" si="24">H42/16</f>
        <v>4.6875E-2</v>
      </c>
      <c r="J42" s="35">
        <v>10</v>
      </c>
      <c r="K42" s="35">
        <v>0.25</v>
      </c>
      <c r="L42" s="36">
        <f>VLOOKUP($F42,'Packaging Cost'!$A$1:$F$43,6,FALSE)</f>
        <v>0.9</v>
      </c>
      <c r="M42" s="37">
        <f>IF($E42="Snakpak",(($J42*H42)+($K42*'Labor Cost'!$A$2)+L42)+2.25,($J42*H42)+($K42*'Labor Cost'!$A$2)+L42+1)</f>
        <v>15.275</v>
      </c>
      <c r="N42" s="38">
        <f t="shared" si="5"/>
        <v>19.09375</v>
      </c>
      <c r="O42" s="38">
        <f t="shared" si="6"/>
        <v>19.857500000000002</v>
      </c>
      <c r="P42" s="38">
        <f t="shared" si="7"/>
        <v>20.621250000000003</v>
      </c>
      <c r="Q42" s="38">
        <f t="shared" si="8"/>
        <v>21.384999999999998</v>
      </c>
      <c r="R42" s="38">
        <f t="shared" si="9"/>
        <v>22.14875</v>
      </c>
      <c r="S42" s="38">
        <f t="shared" si="17"/>
        <v>19</v>
      </c>
      <c r="T42" s="38">
        <f t="shared" si="18"/>
        <v>19.75</v>
      </c>
      <c r="U42" s="38">
        <f t="shared" si="19"/>
        <v>20.5</v>
      </c>
      <c r="V42" s="38">
        <f t="shared" ref="V42" si="25">MROUND(Q42,0.25)</f>
        <v>21.5</v>
      </c>
      <c r="W42" s="38">
        <f t="shared" si="16"/>
        <v>22.25</v>
      </c>
    </row>
    <row r="43" spans="1:23" ht="21" customHeight="1" x14ac:dyDescent="0.2">
      <c r="A43" s="19" t="s">
        <v>1064</v>
      </c>
      <c r="B43" s="19" t="s">
        <v>219</v>
      </c>
      <c r="C43" s="32" t="s">
        <v>1057</v>
      </c>
      <c r="D43" s="32" t="s">
        <v>393</v>
      </c>
      <c r="E43" s="20" t="s">
        <v>397</v>
      </c>
      <c r="F43" s="20" t="s">
        <v>383</v>
      </c>
      <c r="G43" s="33">
        <v>20</v>
      </c>
      <c r="H43" s="34">
        <f>VLOOKUP($C43,'Raw Cost'!$A$1:$B$483,2,FALSE)/G43</f>
        <v>1.55</v>
      </c>
      <c r="I43" s="34">
        <f t="shared" ref="I43" si="26">H43/16</f>
        <v>9.6875000000000003E-2</v>
      </c>
      <c r="J43" s="35">
        <v>10</v>
      </c>
      <c r="K43" s="35">
        <v>0.25</v>
      </c>
      <c r="L43" s="36">
        <f>VLOOKUP($F43,'Packaging Cost'!$A$1:$F$43,6,FALSE)</f>
        <v>0.9</v>
      </c>
      <c r="M43" s="37">
        <f>IF($E43="Snakpak",(($J43*H43)+($K43*'Labor Cost'!$A$2)+L43)+2.25,($J43*H43)+($K43*'Labor Cost'!$A$2)+L43+1)</f>
        <v>23.274999999999999</v>
      </c>
      <c r="N43" s="38">
        <f t="shared" si="5"/>
        <v>29.09375</v>
      </c>
      <c r="O43" s="38">
        <f t="shared" si="6"/>
        <v>30.2575</v>
      </c>
      <c r="P43" s="38">
        <f t="shared" si="7"/>
        <v>31.421250000000001</v>
      </c>
      <c r="Q43" s="38">
        <f t="shared" si="8"/>
        <v>32.584999999999994</v>
      </c>
      <c r="R43" s="38">
        <f t="shared" si="9"/>
        <v>33.748749999999994</v>
      </c>
      <c r="S43" s="38">
        <f t="shared" si="17"/>
        <v>29</v>
      </c>
      <c r="T43" s="38">
        <f t="shared" si="18"/>
        <v>30.25</v>
      </c>
      <c r="U43" s="38">
        <f t="shared" si="19"/>
        <v>31.5</v>
      </c>
      <c r="V43" s="38">
        <f t="shared" ref="V43" si="27">MROUND(Q43,0.25)</f>
        <v>32.5</v>
      </c>
      <c r="W43" s="38">
        <f t="shared" si="16"/>
        <v>33.75</v>
      </c>
    </row>
    <row r="44" spans="1:23" ht="21" customHeight="1" x14ac:dyDescent="0.2">
      <c r="A44" s="21" t="s">
        <v>547</v>
      </c>
      <c r="B44" s="19" t="s">
        <v>444</v>
      </c>
      <c r="C44" s="20" t="s">
        <v>445</v>
      </c>
      <c r="D44" s="20" t="s">
        <v>393</v>
      </c>
      <c r="E44" s="20" t="s">
        <v>397</v>
      </c>
      <c r="F44" s="20" t="s">
        <v>402</v>
      </c>
      <c r="G44" s="33">
        <v>12</v>
      </c>
      <c r="H44" s="34">
        <f>VLOOKUP($C44,'Raw Cost'!$A$1:$B$483,2,FALSE)/G44</f>
        <v>1.4166666666666667</v>
      </c>
      <c r="I44" s="34">
        <f t="shared" si="21"/>
        <v>8.8541666666666671E-2</v>
      </c>
      <c r="J44" s="35">
        <v>4</v>
      </c>
      <c r="K44" s="35">
        <v>0.27</v>
      </c>
      <c r="L44" s="36">
        <f>VLOOKUP($F44,'Packaging Cost'!$A$1:$F$43,6,FALSE)</f>
        <v>1.1500000000000001</v>
      </c>
      <c r="M44" s="37">
        <f>IF($E44="Snakpak",(($J44*H44)+($K44*'Labor Cost'!$A$2)+L44)+2.25,($J44*H44)+($K44*'Labor Cost'!$A$2)+L44+1)</f>
        <v>14.161666666666667</v>
      </c>
      <c r="N44" s="38">
        <f t="shared" si="5"/>
        <v>17.702083333333334</v>
      </c>
      <c r="O44" s="38">
        <f t="shared" si="6"/>
        <v>18.410166666666669</v>
      </c>
      <c r="P44" s="38">
        <f t="shared" si="7"/>
        <v>19.118250000000003</v>
      </c>
      <c r="Q44" s="38">
        <f t="shared" si="8"/>
        <v>19.826333333333334</v>
      </c>
      <c r="R44" s="38">
        <f t="shared" si="9"/>
        <v>20.534416666666665</v>
      </c>
      <c r="S44" s="38">
        <f t="shared" si="17"/>
        <v>17.75</v>
      </c>
      <c r="T44" s="38">
        <f t="shared" si="18"/>
        <v>18.5</v>
      </c>
      <c r="U44" s="38">
        <f t="shared" si="19"/>
        <v>19</v>
      </c>
      <c r="V44" s="38">
        <f>MROUND(Q44,0.25)</f>
        <v>19.75</v>
      </c>
      <c r="W44" s="38">
        <f t="shared" si="16"/>
        <v>20.5</v>
      </c>
    </row>
    <row r="45" spans="1:23" ht="21" customHeight="1" x14ac:dyDescent="0.2">
      <c r="A45" s="19" t="s">
        <v>548</v>
      </c>
      <c r="B45" s="19" t="s">
        <v>324</v>
      </c>
      <c r="C45" s="20" t="s">
        <v>7</v>
      </c>
      <c r="D45" s="20" t="s">
        <v>393</v>
      </c>
      <c r="E45" s="20" t="s">
        <v>397</v>
      </c>
      <c r="F45" s="20" t="s">
        <v>378</v>
      </c>
      <c r="G45" s="33">
        <v>35</v>
      </c>
      <c r="H45" s="34">
        <f>VLOOKUP($C45,'Raw Cost'!$A$1:$B$483,2,FALSE)/G45</f>
        <v>0.34285714285714286</v>
      </c>
      <c r="I45" s="34">
        <f t="shared" si="21"/>
        <v>2.1428571428571429E-2</v>
      </c>
      <c r="J45" s="35">
        <v>20</v>
      </c>
      <c r="K45" s="35">
        <v>0.25</v>
      </c>
      <c r="L45" s="36">
        <f>VLOOKUP($F45,'Packaging Cost'!$A$1:$F$43,6,FALSE)</f>
        <v>1.1000000000000001</v>
      </c>
      <c r="M45" s="37">
        <f>IF($E45="Snakpak",(($J45*H45)+($K45*'Labor Cost'!$A$2)+L45)+2.25,($J45*H45)+($K45*'Labor Cost'!$A$2)+L45+1)</f>
        <v>14.832142857142857</v>
      </c>
      <c r="N45" s="38">
        <f t="shared" si="5"/>
        <v>18.540178571428573</v>
      </c>
      <c r="O45" s="38">
        <f t="shared" si="6"/>
        <v>19.281785714285714</v>
      </c>
      <c r="P45" s="38">
        <f t="shared" si="7"/>
        <v>20.023392857142859</v>
      </c>
      <c r="Q45" s="38">
        <f t="shared" si="8"/>
        <v>20.765000000000001</v>
      </c>
      <c r="R45" s="38">
        <f t="shared" si="9"/>
        <v>21.506607142857142</v>
      </c>
      <c r="S45" s="38">
        <f t="shared" si="17"/>
        <v>18.5</v>
      </c>
      <c r="T45" s="38">
        <f t="shared" si="18"/>
        <v>19.25</v>
      </c>
      <c r="U45" s="38">
        <f t="shared" si="19"/>
        <v>20</v>
      </c>
      <c r="V45" s="38">
        <f t="shared" si="16"/>
        <v>20.75</v>
      </c>
      <c r="W45" s="38">
        <f t="shared" si="16"/>
        <v>21.5</v>
      </c>
    </row>
    <row r="46" spans="1:23" ht="21" customHeight="1" x14ac:dyDescent="0.2">
      <c r="A46" s="19" t="s">
        <v>549</v>
      </c>
      <c r="B46" s="19" t="s">
        <v>325</v>
      </c>
      <c r="C46" s="20" t="s">
        <v>7</v>
      </c>
      <c r="D46" s="20" t="s">
        <v>393</v>
      </c>
      <c r="E46" s="20" t="s">
        <v>397</v>
      </c>
      <c r="F46" s="20" t="s">
        <v>378</v>
      </c>
      <c r="G46" s="33">
        <v>35</v>
      </c>
      <c r="H46" s="34">
        <f>VLOOKUP($C46,'Raw Cost'!$A$1:$B$483,2,FALSE)/G46</f>
        <v>0.34285714285714286</v>
      </c>
      <c r="I46" s="34">
        <f t="shared" si="21"/>
        <v>2.1428571428571429E-2</v>
      </c>
      <c r="J46" s="35">
        <v>20</v>
      </c>
      <c r="K46" s="35">
        <v>0.25</v>
      </c>
      <c r="L46" s="36">
        <f>VLOOKUP($F46,'Packaging Cost'!$A$1:$F$43,6,FALSE)</f>
        <v>1.1000000000000001</v>
      </c>
      <c r="M46" s="37">
        <f>IF($E46="Snakpak",(($J46*H46)+($K46*'Labor Cost'!$A$2)+L46)+2.25,($J46*H46)+($K46*'Labor Cost'!$A$2)+L46+1)</f>
        <v>14.832142857142857</v>
      </c>
      <c r="N46" s="38">
        <f t="shared" si="5"/>
        <v>18.540178571428573</v>
      </c>
      <c r="O46" s="38">
        <f t="shared" si="6"/>
        <v>19.281785714285714</v>
      </c>
      <c r="P46" s="38">
        <f t="shared" si="7"/>
        <v>20.023392857142859</v>
      </c>
      <c r="Q46" s="38">
        <f t="shared" si="8"/>
        <v>20.765000000000001</v>
      </c>
      <c r="R46" s="38">
        <f t="shared" si="9"/>
        <v>21.506607142857142</v>
      </c>
      <c r="S46" s="38">
        <f t="shared" si="17"/>
        <v>18.5</v>
      </c>
      <c r="T46" s="38">
        <f t="shared" si="18"/>
        <v>19.25</v>
      </c>
      <c r="U46" s="38">
        <f t="shared" si="19"/>
        <v>20</v>
      </c>
      <c r="V46" s="38">
        <f t="shared" si="16"/>
        <v>20.75</v>
      </c>
      <c r="W46" s="38">
        <f t="shared" si="16"/>
        <v>21.5</v>
      </c>
    </row>
    <row r="47" spans="1:23" ht="21" customHeight="1" x14ac:dyDescent="0.2">
      <c r="A47" s="21" t="s">
        <v>550</v>
      </c>
      <c r="B47" s="19" t="s">
        <v>323</v>
      </c>
      <c r="C47" s="20" t="s">
        <v>9</v>
      </c>
      <c r="D47" s="20" t="s">
        <v>393</v>
      </c>
      <c r="E47" s="20" t="s">
        <v>397</v>
      </c>
      <c r="F47" s="20" t="s">
        <v>383</v>
      </c>
      <c r="G47" s="33">
        <v>15</v>
      </c>
      <c r="H47" s="34">
        <f>VLOOKUP($C47,'Raw Cost'!$A$1:$B$483,2,FALSE)/G47</f>
        <v>1.2666666666666666</v>
      </c>
      <c r="I47" s="34">
        <f t="shared" si="21"/>
        <v>7.9166666666666663E-2</v>
      </c>
      <c r="J47" s="35">
        <v>10</v>
      </c>
      <c r="K47" s="35">
        <v>0.25</v>
      </c>
      <c r="L47" s="36">
        <f>VLOOKUP($F47,'Packaging Cost'!$A$1:$F$43,6,FALSE)</f>
        <v>0.9</v>
      </c>
      <c r="M47" s="37">
        <f>IF($E47="Snakpak",(($J47*H47)+($K47*'Labor Cost'!$A$2)+L47)+2.25,($J47*H47)+($K47*'Labor Cost'!$A$2)+L47+1)</f>
        <v>20.441666666666663</v>
      </c>
      <c r="N47" s="38">
        <f t="shared" si="5"/>
        <v>25.552083333333329</v>
      </c>
      <c r="O47" s="38">
        <f t="shared" si="6"/>
        <v>26.574166666666663</v>
      </c>
      <c r="P47" s="38">
        <f t="shared" si="7"/>
        <v>27.596249999999998</v>
      </c>
      <c r="Q47" s="38">
        <f t="shared" si="8"/>
        <v>28.618333333333325</v>
      </c>
      <c r="R47" s="38">
        <f t="shared" si="9"/>
        <v>29.64041666666666</v>
      </c>
      <c r="S47" s="38">
        <f t="shared" si="17"/>
        <v>25.5</v>
      </c>
      <c r="T47" s="38">
        <f t="shared" si="18"/>
        <v>26.5</v>
      </c>
      <c r="U47" s="38">
        <f t="shared" si="19"/>
        <v>27.5</v>
      </c>
      <c r="V47" s="38">
        <f t="shared" si="16"/>
        <v>28.5</v>
      </c>
      <c r="W47" s="38">
        <f t="shared" si="16"/>
        <v>29.75</v>
      </c>
    </row>
    <row r="48" spans="1:23" ht="21" customHeight="1" x14ac:dyDescent="0.2">
      <c r="A48" s="19" t="s">
        <v>551</v>
      </c>
      <c r="B48" s="19" t="s">
        <v>322</v>
      </c>
      <c r="C48" s="20" t="s">
        <v>7</v>
      </c>
      <c r="D48" s="20" t="s">
        <v>393</v>
      </c>
      <c r="E48" s="20" t="s">
        <v>397</v>
      </c>
      <c r="F48" s="20" t="s">
        <v>378</v>
      </c>
      <c r="G48" s="33">
        <v>35</v>
      </c>
      <c r="H48" s="34">
        <f>VLOOKUP($C48,'Raw Cost'!$A$1:$B$483,2,FALSE)/G48</f>
        <v>0.34285714285714286</v>
      </c>
      <c r="I48" s="34">
        <f t="shared" si="21"/>
        <v>2.1428571428571429E-2</v>
      </c>
      <c r="J48" s="35">
        <v>20</v>
      </c>
      <c r="K48" s="35">
        <v>0.25</v>
      </c>
      <c r="L48" s="36">
        <f>VLOOKUP($F48,'Packaging Cost'!$A$1:$F$43,6,FALSE)</f>
        <v>1.1000000000000001</v>
      </c>
      <c r="M48" s="37">
        <f>IF($E48="Snakpak",(($J48*H48)+($K48*'Labor Cost'!$A$2)+L48)+2.25,($J48*H48)+($K48*'Labor Cost'!$A$2)+L48+1)</f>
        <v>14.832142857142857</v>
      </c>
      <c r="N48" s="38">
        <f t="shared" si="5"/>
        <v>18.540178571428573</v>
      </c>
      <c r="O48" s="38">
        <f t="shared" si="6"/>
        <v>19.281785714285714</v>
      </c>
      <c r="P48" s="38">
        <f t="shared" si="7"/>
        <v>20.023392857142859</v>
      </c>
      <c r="Q48" s="38">
        <f t="shared" si="8"/>
        <v>20.765000000000001</v>
      </c>
      <c r="R48" s="38">
        <f t="shared" si="9"/>
        <v>21.506607142857142</v>
      </c>
      <c r="S48" s="38">
        <f t="shared" si="17"/>
        <v>18.5</v>
      </c>
      <c r="T48" s="38">
        <f t="shared" si="18"/>
        <v>19.25</v>
      </c>
      <c r="U48" s="38">
        <f t="shared" si="19"/>
        <v>20</v>
      </c>
      <c r="V48" s="38">
        <f t="shared" si="16"/>
        <v>20.75</v>
      </c>
      <c r="W48" s="38">
        <f t="shared" si="16"/>
        <v>21.5</v>
      </c>
    </row>
    <row r="49" spans="1:23" ht="21" customHeight="1" x14ac:dyDescent="0.2">
      <c r="A49" s="19" t="s">
        <v>552</v>
      </c>
      <c r="B49" s="19" t="s">
        <v>225</v>
      </c>
      <c r="C49" s="20" t="s">
        <v>16</v>
      </c>
      <c r="D49" s="20" t="s">
        <v>393</v>
      </c>
      <c r="E49" s="20" t="s">
        <v>397</v>
      </c>
      <c r="F49" s="20" t="s">
        <v>378</v>
      </c>
      <c r="G49" s="33">
        <v>16</v>
      </c>
      <c r="H49" s="34">
        <f>VLOOKUP($C49,'Raw Cost'!$A$1:$B$483,2,FALSE)/G49</f>
        <v>0.9375</v>
      </c>
      <c r="I49" s="34">
        <f t="shared" si="21"/>
        <v>5.859375E-2</v>
      </c>
      <c r="J49" s="35">
        <v>12</v>
      </c>
      <c r="K49" s="35">
        <v>0.27</v>
      </c>
      <c r="L49" s="36">
        <f>VLOOKUP($F49,'Packaging Cost'!$A$1:$F$43,6,FALSE)</f>
        <v>1.1000000000000001</v>
      </c>
      <c r="M49" s="37">
        <f>IF($E49="Snakpak",(($J49*H49)+($K49*'Labor Cost'!$A$2)+L49)+2.25,($J49*H49)+($K49*'Labor Cost'!$A$2)+L49+1)</f>
        <v>19.695</v>
      </c>
      <c r="N49" s="38">
        <f t="shared" si="5"/>
        <v>24.618749999999999</v>
      </c>
      <c r="O49" s="38">
        <f t="shared" si="6"/>
        <v>25.6035</v>
      </c>
      <c r="P49" s="38">
        <f t="shared" si="7"/>
        <v>26.588250000000002</v>
      </c>
      <c r="Q49" s="38">
        <f t="shared" si="8"/>
        <v>27.573</v>
      </c>
      <c r="R49" s="38">
        <f t="shared" si="9"/>
        <v>28.557749999999999</v>
      </c>
      <c r="S49" s="38">
        <f t="shared" si="17"/>
        <v>24.5</v>
      </c>
      <c r="T49" s="38">
        <f t="shared" si="18"/>
        <v>25.5</v>
      </c>
      <c r="U49" s="38">
        <f t="shared" si="19"/>
        <v>26.5</v>
      </c>
      <c r="V49" s="38">
        <f t="shared" si="16"/>
        <v>27.5</v>
      </c>
      <c r="W49" s="38">
        <f t="shared" si="16"/>
        <v>28.5</v>
      </c>
    </row>
    <row r="50" spans="1:23" ht="21" customHeight="1" x14ac:dyDescent="0.2">
      <c r="A50" s="19" t="s">
        <v>74</v>
      </c>
      <c r="B50" s="19" t="s">
        <v>227</v>
      </c>
      <c r="C50" s="20" t="s">
        <v>17</v>
      </c>
      <c r="D50" s="20" t="s">
        <v>393</v>
      </c>
      <c r="E50" s="20" t="s">
        <v>397</v>
      </c>
      <c r="F50" s="20" t="s">
        <v>378</v>
      </c>
      <c r="G50" s="33">
        <v>1</v>
      </c>
      <c r="H50" s="34">
        <f>VLOOKUP($C50,'Raw Cost'!$A$1:$B$483,2,FALSE)/G50</f>
        <v>20</v>
      </c>
      <c r="I50" s="34">
        <f t="shared" si="21"/>
        <v>1.25</v>
      </c>
      <c r="J50" s="35">
        <v>1</v>
      </c>
      <c r="K50" s="35">
        <v>0.3</v>
      </c>
      <c r="L50" s="36">
        <f>VLOOKUP($F50,'Packaging Cost'!$A$1:$F$43,6,FALSE)</f>
        <v>1.1000000000000001</v>
      </c>
      <c r="M50" s="37">
        <f>IF($E50="Snakpak",(($J50*H50)+($K50*'Labor Cost'!$A$2)+L50)+2.25,($J50*H50)+($K50*'Labor Cost'!$A$2)+L50+1)</f>
        <v>29.150000000000002</v>
      </c>
      <c r="N50" s="38">
        <f t="shared" si="5"/>
        <v>36.4375</v>
      </c>
      <c r="O50" s="38">
        <f t="shared" si="6"/>
        <v>37.895000000000003</v>
      </c>
      <c r="P50" s="38">
        <f t="shared" si="7"/>
        <v>39.352500000000006</v>
      </c>
      <c r="Q50" s="38">
        <f t="shared" si="8"/>
        <v>40.81</v>
      </c>
      <c r="R50" s="38">
        <f t="shared" si="9"/>
        <v>42.267499999999998</v>
      </c>
      <c r="S50" s="38">
        <f t="shared" si="17"/>
        <v>36.5</v>
      </c>
      <c r="T50" s="38">
        <f t="shared" si="18"/>
        <v>38</v>
      </c>
      <c r="U50" s="38">
        <f t="shared" si="19"/>
        <v>39.25</v>
      </c>
      <c r="V50" s="38">
        <f t="shared" si="16"/>
        <v>40.75</v>
      </c>
      <c r="W50" s="38">
        <f t="shared" si="16"/>
        <v>42.25</v>
      </c>
    </row>
    <row r="51" spans="1:23" ht="21" customHeight="1" x14ac:dyDescent="0.2">
      <c r="A51" s="19" t="s">
        <v>73</v>
      </c>
      <c r="B51" s="19" t="s">
        <v>226</v>
      </c>
      <c r="C51" s="20" t="s">
        <v>17</v>
      </c>
      <c r="D51" s="20" t="s">
        <v>393</v>
      </c>
      <c r="E51" s="20" t="s">
        <v>397</v>
      </c>
      <c r="F51" s="20" t="s">
        <v>378</v>
      </c>
      <c r="G51" s="33">
        <v>1</v>
      </c>
      <c r="H51" s="34">
        <f>VLOOKUP($C51,'Raw Cost'!$A$1:$B$483,2,FALSE)/G51</f>
        <v>20</v>
      </c>
      <c r="I51" s="34">
        <f t="shared" si="21"/>
        <v>1.25</v>
      </c>
      <c r="J51" s="35">
        <v>1</v>
      </c>
      <c r="K51" s="35">
        <v>0.35</v>
      </c>
      <c r="L51" s="36">
        <f>VLOOKUP($F51,'Packaging Cost'!$A$1:$F$43,6,FALSE)</f>
        <v>1.1000000000000001</v>
      </c>
      <c r="M51" s="37">
        <f>IF($E51="Snakpak",(($J51*H51)+($K51*'Labor Cost'!$A$2)+L51)+2.25,($J51*H51)+($K51*'Labor Cost'!$A$2)+L51+1)</f>
        <v>30.325000000000003</v>
      </c>
      <c r="N51" s="38">
        <f t="shared" si="5"/>
        <v>37.90625</v>
      </c>
      <c r="O51" s="38">
        <f t="shared" si="6"/>
        <v>39.422500000000007</v>
      </c>
      <c r="P51" s="38">
        <f t="shared" si="7"/>
        <v>40.938750000000006</v>
      </c>
      <c r="Q51" s="38">
        <f t="shared" si="8"/>
        <v>42.454999999999998</v>
      </c>
      <c r="R51" s="38">
        <f t="shared" si="9"/>
        <v>43.971250000000005</v>
      </c>
      <c r="S51" s="38">
        <f t="shared" si="17"/>
        <v>38</v>
      </c>
      <c r="T51" s="38">
        <f t="shared" si="18"/>
        <v>39.5</v>
      </c>
      <c r="U51" s="38">
        <f t="shared" si="19"/>
        <v>41</v>
      </c>
      <c r="V51" s="38">
        <f t="shared" si="16"/>
        <v>42.5</v>
      </c>
      <c r="W51" s="38">
        <f t="shared" si="16"/>
        <v>44</v>
      </c>
    </row>
    <row r="52" spans="1:23" ht="21" customHeight="1" x14ac:dyDescent="0.2">
      <c r="A52" s="19" t="s">
        <v>149</v>
      </c>
      <c r="B52" s="19" t="s">
        <v>320</v>
      </c>
      <c r="C52" s="20" t="s">
        <v>26</v>
      </c>
      <c r="D52" s="20" t="s">
        <v>393</v>
      </c>
      <c r="E52" s="20" t="s">
        <v>397</v>
      </c>
      <c r="F52" s="20" t="s">
        <v>384</v>
      </c>
      <c r="G52" s="33">
        <v>5</v>
      </c>
      <c r="H52" s="34">
        <f>VLOOKUP($C52,'Raw Cost'!$A$1:$B$483,2,FALSE)/G52</f>
        <v>2.2000000000000002</v>
      </c>
      <c r="I52" s="34">
        <f t="shared" si="21"/>
        <v>0.13750000000000001</v>
      </c>
      <c r="J52" s="35">
        <v>5</v>
      </c>
      <c r="K52" s="35">
        <v>0.25</v>
      </c>
      <c r="L52" s="36">
        <f>VLOOKUP($F52,'Packaging Cost'!$A$1:$F$43,6,FALSE)</f>
        <v>0.59</v>
      </c>
      <c r="M52" s="37">
        <f>IF($E52="Snakpak",(($J52*H52)+($K52*'Labor Cost'!$A$2)+L52)+2.25,($J52*H52)+($K52*'Labor Cost'!$A$2)+L52+1)</f>
        <v>18.465</v>
      </c>
      <c r="N52" s="38">
        <f t="shared" si="5"/>
        <v>23.081250000000001</v>
      </c>
      <c r="O52" s="38">
        <f t="shared" si="6"/>
        <v>24.0045</v>
      </c>
      <c r="P52" s="38">
        <f t="shared" si="7"/>
        <v>24.927750000000003</v>
      </c>
      <c r="Q52" s="38">
        <f t="shared" si="8"/>
        <v>25.850999999999999</v>
      </c>
      <c r="R52" s="38">
        <f t="shared" si="9"/>
        <v>26.774249999999999</v>
      </c>
      <c r="S52" s="38">
        <f t="shared" si="17"/>
        <v>23</v>
      </c>
      <c r="T52" s="38">
        <f t="shared" si="18"/>
        <v>24</v>
      </c>
      <c r="U52" s="38">
        <f t="shared" si="19"/>
        <v>25</v>
      </c>
      <c r="V52" s="38">
        <f t="shared" si="16"/>
        <v>25.75</v>
      </c>
      <c r="W52" s="38">
        <f t="shared" si="16"/>
        <v>26.75</v>
      </c>
    </row>
    <row r="53" spans="1:23" ht="21" customHeight="1" x14ac:dyDescent="0.2">
      <c r="A53" s="19" t="s">
        <v>77</v>
      </c>
      <c r="B53" s="19" t="s">
        <v>232</v>
      </c>
      <c r="C53" s="32" t="s">
        <v>454</v>
      </c>
      <c r="D53" s="32" t="s">
        <v>393</v>
      </c>
      <c r="E53" s="20" t="s">
        <v>397</v>
      </c>
      <c r="F53" s="20" t="s">
        <v>383</v>
      </c>
      <c r="G53" s="33">
        <v>40</v>
      </c>
      <c r="H53" s="34">
        <f>VLOOKUP($C53,'Raw Cost'!$A$1:$B$483,2,FALSE)/G53</f>
        <v>0.5</v>
      </c>
      <c r="I53" s="34">
        <f t="shared" si="21"/>
        <v>3.125E-2</v>
      </c>
      <c r="J53" s="35">
        <v>10</v>
      </c>
      <c r="K53" s="35">
        <v>0.25</v>
      </c>
      <c r="L53" s="36">
        <f>VLOOKUP($F53,'Packaging Cost'!$A$1:$F$43,6,FALSE)</f>
        <v>0.9</v>
      </c>
      <c r="M53" s="37">
        <f>IF($E53="Snakpak",(($J53*H53)+($K53*'Labor Cost'!$A$2)+L53)+2.25,($J53*H53)+($K53*'Labor Cost'!$A$2)+L53+1)</f>
        <v>12.775</v>
      </c>
      <c r="N53" s="38">
        <f t="shared" si="5"/>
        <v>15.96875</v>
      </c>
      <c r="O53" s="38">
        <f t="shared" si="6"/>
        <v>16.607500000000002</v>
      </c>
      <c r="P53" s="38">
        <f t="shared" si="7"/>
        <v>17.24625</v>
      </c>
      <c r="Q53" s="38">
        <f t="shared" si="8"/>
        <v>17.884999999999998</v>
      </c>
      <c r="R53" s="38">
        <f t="shared" si="9"/>
        <v>18.52375</v>
      </c>
      <c r="S53" s="38">
        <f t="shared" si="17"/>
        <v>16</v>
      </c>
      <c r="T53" s="38">
        <f t="shared" si="18"/>
        <v>16.5</v>
      </c>
      <c r="U53" s="38">
        <f t="shared" si="19"/>
        <v>17.25</v>
      </c>
      <c r="V53" s="38">
        <f t="shared" si="16"/>
        <v>18</v>
      </c>
      <c r="W53" s="38">
        <f t="shared" si="16"/>
        <v>18.5</v>
      </c>
    </row>
    <row r="54" spans="1:23" ht="21" customHeight="1" x14ac:dyDescent="0.2">
      <c r="A54" s="19" t="s">
        <v>78</v>
      </c>
      <c r="B54" s="19" t="s">
        <v>233</v>
      </c>
      <c r="C54" s="32" t="s">
        <v>454</v>
      </c>
      <c r="D54" s="32" t="s">
        <v>393</v>
      </c>
      <c r="E54" s="20" t="s">
        <v>397</v>
      </c>
      <c r="F54" s="20" t="s">
        <v>383</v>
      </c>
      <c r="G54" s="33">
        <v>40</v>
      </c>
      <c r="H54" s="34">
        <f>VLOOKUP($C54,'Raw Cost'!$A$1:$B$483,2,FALSE)/G54</f>
        <v>0.5</v>
      </c>
      <c r="I54" s="34">
        <f t="shared" si="21"/>
        <v>3.125E-2</v>
      </c>
      <c r="J54" s="35">
        <v>10</v>
      </c>
      <c r="K54" s="35">
        <v>0.25</v>
      </c>
      <c r="L54" s="36">
        <f>VLOOKUP($F54,'Packaging Cost'!$A$1:$F$43,6,FALSE)</f>
        <v>0.9</v>
      </c>
      <c r="M54" s="37">
        <f>IF($E54="Snakpak",(($J54*H54)+($K54*'Labor Cost'!$A$2)+L54)+2.25,($J54*H54)+($K54*'Labor Cost'!$A$2)+L54+1)</f>
        <v>12.775</v>
      </c>
      <c r="N54" s="38">
        <f t="shared" si="5"/>
        <v>15.96875</v>
      </c>
      <c r="O54" s="38">
        <f t="shared" si="6"/>
        <v>16.607500000000002</v>
      </c>
      <c r="P54" s="38">
        <f t="shared" si="7"/>
        <v>17.24625</v>
      </c>
      <c r="Q54" s="38">
        <f t="shared" si="8"/>
        <v>17.884999999999998</v>
      </c>
      <c r="R54" s="38">
        <f t="shared" si="9"/>
        <v>18.52375</v>
      </c>
      <c r="S54" s="38">
        <f t="shared" si="17"/>
        <v>16</v>
      </c>
      <c r="T54" s="38">
        <f t="shared" si="18"/>
        <v>16.5</v>
      </c>
      <c r="U54" s="38">
        <f t="shared" si="19"/>
        <v>17.25</v>
      </c>
      <c r="V54" s="38">
        <f t="shared" si="16"/>
        <v>18</v>
      </c>
      <c r="W54" s="38">
        <f t="shared" si="16"/>
        <v>18.5</v>
      </c>
    </row>
    <row r="55" spans="1:23" ht="21" customHeight="1" x14ac:dyDescent="0.2">
      <c r="A55" s="19" t="s">
        <v>555</v>
      </c>
      <c r="B55" s="19" t="s">
        <v>419</v>
      </c>
      <c r="C55" s="20" t="s">
        <v>454</v>
      </c>
      <c r="D55" s="20" t="s">
        <v>393</v>
      </c>
      <c r="E55" s="20" t="s">
        <v>397</v>
      </c>
      <c r="F55" s="20" t="s">
        <v>420</v>
      </c>
      <c r="G55" s="33">
        <v>40</v>
      </c>
      <c r="H55" s="34">
        <f>VLOOKUP($C55,'Raw Cost'!$A$1:$B$483,2,FALSE)/G55</f>
        <v>0.5</v>
      </c>
      <c r="I55" s="34">
        <f t="shared" si="21"/>
        <v>3.125E-2</v>
      </c>
      <c r="J55" s="35">
        <v>5</v>
      </c>
      <c r="K55" s="35">
        <v>0.1</v>
      </c>
      <c r="L55" s="36">
        <f>VLOOKUP($F55,'Packaging Cost'!$A$1:$F$43,6,FALSE)</f>
        <v>1.1500000000000001</v>
      </c>
      <c r="M55" s="37">
        <f>IF($E55="Snakpak",(($J55*H55)+($K55*'Labor Cost'!$A$2)+L55)+2.25,($J55*H55)+($K55*'Labor Cost'!$A$2)+L55)</f>
        <v>6</v>
      </c>
      <c r="N55" s="38">
        <f t="shared" si="5"/>
        <v>7.5</v>
      </c>
      <c r="O55" s="38">
        <f t="shared" si="6"/>
        <v>7.8000000000000007</v>
      </c>
      <c r="P55" s="38">
        <f t="shared" si="7"/>
        <v>8.1000000000000014</v>
      </c>
      <c r="Q55" s="38">
        <f t="shared" si="8"/>
        <v>8.3999999999999986</v>
      </c>
      <c r="R55" s="38">
        <f t="shared" si="9"/>
        <v>8.6999999999999993</v>
      </c>
      <c r="S55" s="38">
        <f t="shared" si="17"/>
        <v>7.5</v>
      </c>
      <c r="T55" s="38">
        <f t="shared" si="18"/>
        <v>7.75</v>
      </c>
      <c r="U55" s="38">
        <f t="shared" si="19"/>
        <v>8</v>
      </c>
      <c r="V55" s="38">
        <f t="shared" ref="V55" si="28">MROUND(Q55,0.25)</f>
        <v>8.5</v>
      </c>
      <c r="W55" s="38">
        <f t="shared" si="16"/>
        <v>8.75</v>
      </c>
    </row>
    <row r="56" spans="1:23" ht="21" customHeight="1" x14ac:dyDescent="0.2">
      <c r="A56" s="19" t="s">
        <v>88</v>
      </c>
      <c r="B56" s="19" t="s">
        <v>247</v>
      </c>
      <c r="C56" s="20" t="s">
        <v>585</v>
      </c>
      <c r="D56" s="20" t="s">
        <v>393</v>
      </c>
      <c r="E56" s="20" t="s">
        <v>397</v>
      </c>
      <c r="F56" s="20" t="s">
        <v>383</v>
      </c>
      <c r="G56" s="33">
        <v>10</v>
      </c>
      <c r="H56" s="34">
        <f>VLOOKUP($C56,'Raw Cost'!$A$1:$B$483,2,FALSE)/G56</f>
        <v>1.6658823529411766</v>
      </c>
      <c r="I56" s="34">
        <f t="shared" si="21"/>
        <v>0.10411764705882354</v>
      </c>
      <c r="J56" s="35">
        <v>10</v>
      </c>
      <c r="K56" s="35">
        <v>0.25</v>
      </c>
      <c r="L56" s="36">
        <f>VLOOKUP($F56,'Packaging Cost'!$A$1:$F$43,6,FALSE)</f>
        <v>0.9</v>
      </c>
      <c r="M56" s="37">
        <f>IF($E56="Snakpak",(($J56*H56)+($K56*'Labor Cost'!$A$2)+L56)+2.25,($J56*H56)+($K56*'Labor Cost'!$A$2)+L56+1)</f>
        <v>24.433823529411764</v>
      </c>
      <c r="N56" s="38">
        <f t="shared" si="5"/>
        <v>30.542279411764707</v>
      </c>
      <c r="O56" s="38">
        <f t="shared" si="6"/>
        <v>31.763970588235296</v>
      </c>
      <c r="P56" s="38">
        <f t="shared" si="7"/>
        <v>32.985661764705881</v>
      </c>
      <c r="Q56" s="38">
        <f t="shared" si="8"/>
        <v>34.207352941176467</v>
      </c>
      <c r="R56" s="38">
        <f t="shared" si="9"/>
        <v>35.429044117647059</v>
      </c>
      <c r="S56" s="38">
        <f t="shared" si="17"/>
        <v>30.5</v>
      </c>
      <c r="T56" s="38">
        <f t="shared" si="18"/>
        <v>31.75</v>
      </c>
      <c r="U56" s="38">
        <f t="shared" si="19"/>
        <v>33</v>
      </c>
      <c r="V56" s="38">
        <f t="shared" si="16"/>
        <v>34.25</v>
      </c>
      <c r="W56" s="38">
        <f t="shared" si="16"/>
        <v>35.5</v>
      </c>
    </row>
    <row r="57" spans="1:23" ht="21" customHeight="1" x14ac:dyDescent="0.2">
      <c r="A57" s="19" t="s">
        <v>557</v>
      </c>
      <c r="B57" s="19" t="s">
        <v>244</v>
      </c>
      <c r="C57" s="20" t="s">
        <v>40</v>
      </c>
      <c r="D57" s="20" t="s">
        <v>393</v>
      </c>
      <c r="E57" s="20" t="s">
        <v>397</v>
      </c>
      <c r="F57" s="20" t="s">
        <v>641</v>
      </c>
      <c r="G57" s="33">
        <v>40</v>
      </c>
      <c r="H57" s="34">
        <f>VLOOKUP($C57,'Raw Cost'!$A$1:$B$483,2,FALSE)/G57</f>
        <v>0.5</v>
      </c>
      <c r="I57" s="34">
        <f t="shared" si="21"/>
        <v>3.125E-2</v>
      </c>
      <c r="J57" s="35">
        <v>20</v>
      </c>
      <c r="K57" s="35">
        <v>0.25</v>
      </c>
      <c r="L57" s="36">
        <f>VLOOKUP($F57,'Packaging Cost'!$A$1:$F$43,6,FALSE)</f>
        <v>2.6</v>
      </c>
      <c r="M57" s="37">
        <f>IF($E57="Snakpak",(($J57*H57)+($K57*'Labor Cost'!$A$2)+L57)+2.25,($J57*H57)+($K57*'Labor Cost'!$A$2)+L57+1)</f>
        <v>19.475000000000001</v>
      </c>
      <c r="N57" s="38">
        <f t="shared" si="5"/>
        <v>24.34375</v>
      </c>
      <c r="O57" s="38">
        <f t="shared" si="6"/>
        <v>25.317500000000003</v>
      </c>
      <c r="P57" s="38">
        <f t="shared" si="7"/>
        <v>26.291250000000005</v>
      </c>
      <c r="Q57" s="38">
        <f t="shared" si="8"/>
        <v>27.265000000000001</v>
      </c>
      <c r="R57" s="38">
        <f t="shared" si="9"/>
        <v>28.23875</v>
      </c>
      <c r="S57" s="38">
        <f t="shared" si="17"/>
        <v>24.25</v>
      </c>
      <c r="T57" s="38">
        <f t="shared" si="18"/>
        <v>25.25</v>
      </c>
      <c r="U57" s="38">
        <f t="shared" si="19"/>
        <v>26.25</v>
      </c>
      <c r="V57" s="38">
        <f t="shared" si="16"/>
        <v>27.25</v>
      </c>
      <c r="W57" s="38">
        <f t="shared" si="16"/>
        <v>28.25</v>
      </c>
    </row>
    <row r="58" spans="1:23" ht="21" customHeight="1" x14ac:dyDescent="0.2">
      <c r="A58" s="19" t="s">
        <v>87</v>
      </c>
      <c r="B58" s="19" t="s">
        <v>245</v>
      </c>
      <c r="C58" s="20" t="s">
        <v>595</v>
      </c>
      <c r="D58" s="20" t="s">
        <v>393</v>
      </c>
      <c r="E58" s="20" t="s">
        <v>397</v>
      </c>
      <c r="F58" s="20" t="s">
        <v>409</v>
      </c>
      <c r="G58" s="33">
        <v>4</v>
      </c>
      <c r="H58" s="34">
        <f>VLOOKUP($C58,'Raw Cost'!$A$1:$B$483,2,FALSE)/G58</f>
        <v>1.6453839869281044</v>
      </c>
      <c r="I58" s="34">
        <f t="shared" si="21"/>
        <v>0.10283649918300652</v>
      </c>
      <c r="J58" s="35">
        <v>3</v>
      </c>
      <c r="K58" s="35">
        <v>0.25</v>
      </c>
      <c r="L58" s="36">
        <v>1.64</v>
      </c>
      <c r="M58" s="37">
        <f>IF($E58="Snakpak",(($J58*H58)+($K58*'Labor Cost'!$A$2)+L58)+2.25,($J58*H58)+($K58*'Labor Cost'!$A$2)+L58+1)</f>
        <v>13.451151960784314</v>
      </c>
      <c r="N58" s="38">
        <f t="shared" si="5"/>
        <v>16.813939950980391</v>
      </c>
      <c r="O58" s="38">
        <f t="shared" si="6"/>
        <v>17.48649754901961</v>
      </c>
      <c r="P58" s="38">
        <f t="shared" si="7"/>
        <v>18.159055147058826</v>
      </c>
      <c r="Q58" s="38">
        <f t="shared" si="8"/>
        <v>18.831612745098038</v>
      </c>
      <c r="R58" s="38">
        <f t="shared" si="9"/>
        <v>19.504170343137254</v>
      </c>
      <c r="S58" s="38">
        <f t="shared" si="17"/>
        <v>16.75</v>
      </c>
      <c r="T58" s="38">
        <f t="shared" si="18"/>
        <v>17.5</v>
      </c>
      <c r="U58" s="38">
        <f t="shared" si="19"/>
        <v>18.25</v>
      </c>
      <c r="V58" s="38">
        <f t="shared" si="16"/>
        <v>18.75</v>
      </c>
      <c r="W58" s="38">
        <f t="shared" si="16"/>
        <v>19.5</v>
      </c>
    </row>
    <row r="59" spans="1:23" ht="21" customHeight="1" x14ac:dyDescent="0.2">
      <c r="A59" s="19" t="s">
        <v>89</v>
      </c>
      <c r="B59" s="19" t="s">
        <v>248</v>
      </c>
      <c r="C59" s="20" t="s">
        <v>595</v>
      </c>
      <c r="D59" s="20" t="s">
        <v>393</v>
      </c>
      <c r="E59" s="20" t="s">
        <v>397</v>
      </c>
      <c r="F59" s="20" t="s">
        <v>407</v>
      </c>
      <c r="G59" s="33">
        <v>4</v>
      </c>
      <c r="H59" s="34">
        <f>VLOOKUP($C59,'Raw Cost'!$A$1:$B$483,2,FALSE)/G59</f>
        <v>1.6453839869281044</v>
      </c>
      <c r="I59" s="34">
        <f t="shared" si="21"/>
        <v>0.10283649918300652</v>
      </c>
      <c r="J59" s="35">
        <v>3</v>
      </c>
      <c r="K59" s="35">
        <v>0.25</v>
      </c>
      <c r="L59" s="36">
        <f>VLOOKUP($F59,'Packaging Cost'!$A$1:$F$43,6,FALSE)</f>
        <v>3.16</v>
      </c>
      <c r="M59" s="37">
        <f>IF($E59="Snakpak",(($J59*H59)+($K59*'Labor Cost'!$A$2)+L59)+2.25,($J59*H59)+($K59*'Labor Cost'!$A$2)+L59+1)</f>
        <v>14.971151960784313</v>
      </c>
      <c r="N59" s="38">
        <f t="shared" si="5"/>
        <v>18.713939950980393</v>
      </c>
      <c r="O59" s="38">
        <f t="shared" si="6"/>
        <v>19.462497549019609</v>
      </c>
      <c r="P59" s="38">
        <f t="shared" si="7"/>
        <v>20.211055147058826</v>
      </c>
      <c r="Q59" s="38">
        <f t="shared" si="8"/>
        <v>20.959612745098038</v>
      </c>
      <c r="R59" s="38">
        <f t="shared" si="9"/>
        <v>21.708170343137255</v>
      </c>
      <c r="S59" s="38">
        <f t="shared" si="17"/>
        <v>18.75</v>
      </c>
      <c r="T59" s="38">
        <f t="shared" si="18"/>
        <v>19.5</v>
      </c>
      <c r="U59" s="38">
        <f t="shared" si="19"/>
        <v>20.25</v>
      </c>
      <c r="V59" s="38">
        <f>MROUND(Q59,0.25)</f>
        <v>21</v>
      </c>
      <c r="W59" s="38">
        <f t="shared" si="16"/>
        <v>21.75</v>
      </c>
    </row>
    <row r="60" spans="1:23" ht="21" customHeight="1" x14ac:dyDescent="0.2">
      <c r="A60" s="19" t="s">
        <v>560</v>
      </c>
      <c r="B60" s="19" t="s">
        <v>246</v>
      </c>
      <c r="C60" s="20" t="s">
        <v>595</v>
      </c>
      <c r="D60" s="20" t="s">
        <v>393</v>
      </c>
      <c r="E60" s="20" t="s">
        <v>397</v>
      </c>
      <c r="F60" s="20" t="s">
        <v>407</v>
      </c>
      <c r="G60" s="33">
        <v>4</v>
      </c>
      <c r="H60" s="34">
        <f>VLOOKUP($C60,'Raw Cost'!$A$1:$B$483,2,FALSE)/G60</f>
        <v>1.6453839869281044</v>
      </c>
      <c r="I60" s="34">
        <f t="shared" si="21"/>
        <v>0.10283649918300652</v>
      </c>
      <c r="J60" s="35">
        <v>10</v>
      </c>
      <c r="K60" s="35">
        <v>0.25</v>
      </c>
      <c r="L60" s="36">
        <f>VLOOKUP($F60,'Packaging Cost'!$A$1:$F$43,6,FALSE)</f>
        <v>3.16</v>
      </c>
      <c r="M60" s="37">
        <f>IF($E60="Snakpak",(($J60*H60)+($K60*'Labor Cost'!$A$2)+L60)+2.25,($J60*H60)+($K60*'Labor Cost'!$A$2)+L60+1)</f>
        <v>26.488839869281044</v>
      </c>
      <c r="N60" s="38">
        <f t="shared" si="5"/>
        <v>33.111049836601303</v>
      </c>
      <c r="O60" s="38">
        <f t="shared" si="6"/>
        <v>34.435491830065359</v>
      </c>
      <c r="P60" s="38">
        <f t="shared" si="7"/>
        <v>35.759933823529408</v>
      </c>
      <c r="Q60" s="38">
        <f t="shared" si="8"/>
        <v>37.084375816993457</v>
      </c>
      <c r="R60" s="38">
        <f t="shared" si="9"/>
        <v>38.408817810457514</v>
      </c>
      <c r="S60" s="38">
        <f t="shared" si="17"/>
        <v>33</v>
      </c>
      <c r="T60" s="38">
        <f t="shared" si="18"/>
        <v>34.5</v>
      </c>
      <c r="U60" s="38">
        <f t="shared" si="19"/>
        <v>35.75</v>
      </c>
      <c r="V60" s="38">
        <f t="shared" si="16"/>
        <v>37</v>
      </c>
      <c r="W60" s="38">
        <f t="shared" si="16"/>
        <v>38.5</v>
      </c>
    </row>
    <row r="61" spans="1:23" ht="21" customHeight="1" x14ac:dyDescent="0.2">
      <c r="A61" s="19" t="s">
        <v>527</v>
      </c>
      <c r="B61" s="19" t="s">
        <v>251</v>
      </c>
      <c r="C61" s="32" t="s">
        <v>18</v>
      </c>
      <c r="D61" s="32" t="s">
        <v>393</v>
      </c>
      <c r="E61" s="20" t="s">
        <v>397</v>
      </c>
      <c r="F61" s="20" t="s">
        <v>409</v>
      </c>
      <c r="G61" s="33">
        <v>18</v>
      </c>
      <c r="H61" s="34">
        <f>VLOOKUP($C61,'Raw Cost'!$A$1:$B$483,2,FALSE)/G61</f>
        <v>1.8888888888888888</v>
      </c>
      <c r="I61" s="34">
        <f>H61/16</f>
        <v>0.11805555555555555</v>
      </c>
      <c r="J61" s="35">
        <v>5</v>
      </c>
      <c r="K61" s="35">
        <v>0.25</v>
      </c>
      <c r="L61" s="36">
        <f>VLOOKUP($F61,'Packaging Cost'!$A$1:$F$43,6,FALSE)</f>
        <v>1.7600000000000002</v>
      </c>
      <c r="M61" s="37">
        <f>IF($E61="Snakpak",(($J61*H61)+($K61*'Labor Cost'!$A$2)+L61)+2.25,($J61*H61)+($K61*'Labor Cost'!$A$2)+L61+1)</f>
        <v>18.079444444444444</v>
      </c>
      <c r="N61" s="38">
        <f t="shared" si="5"/>
        <v>22.599305555555556</v>
      </c>
      <c r="O61" s="38">
        <f t="shared" si="6"/>
        <v>23.503277777777779</v>
      </c>
      <c r="P61" s="38">
        <f t="shared" si="7"/>
        <v>24.407250000000001</v>
      </c>
      <c r="Q61" s="38">
        <f t="shared" si="8"/>
        <v>25.31122222222222</v>
      </c>
      <c r="R61" s="38">
        <f t="shared" si="9"/>
        <v>26.215194444444442</v>
      </c>
      <c r="S61" s="38">
        <f t="shared" si="17"/>
        <v>22.5</v>
      </c>
      <c r="T61" s="38">
        <f t="shared" si="18"/>
        <v>23.5</v>
      </c>
      <c r="U61" s="38">
        <f t="shared" si="19"/>
        <v>24.5</v>
      </c>
      <c r="V61" s="38">
        <f t="shared" ref="V61" si="29">MROUND(Q61,0.25)</f>
        <v>25.25</v>
      </c>
      <c r="W61" s="38">
        <f t="shared" si="16"/>
        <v>26.25</v>
      </c>
    </row>
    <row r="62" spans="1:23" ht="21" customHeight="1" x14ac:dyDescent="0.2">
      <c r="A62" s="19" t="s">
        <v>621</v>
      </c>
      <c r="B62" s="19" t="s">
        <v>251</v>
      </c>
      <c r="C62" s="32" t="s">
        <v>18</v>
      </c>
      <c r="D62" s="32" t="s">
        <v>393</v>
      </c>
      <c r="E62" s="20" t="s">
        <v>397</v>
      </c>
      <c r="F62" s="20" t="s">
        <v>633</v>
      </c>
      <c r="G62" s="33">
        <v>18</v>
      </c>
      <c r="H62" s="34">
        <f>VLOOKUP($C62,'Raw Cost'!$A$1:$B$483,2,FALSE)/G62</f>
        <v>1.8888888888888888</v>
      </c>
      <c r="I62" s="34">
        <f>H62/16</f>
        <v>0.11805555555555555</v>
      </c>
      <c r="J62" s="35">
        <v>1</v>
      </c>
      <c r="K62" s="35">
        <v>0.01</v>
      </c>
      <c r="L62" s="36">
        <f>VLOOKUP($F62,'Packaging Cost'!$A$1:$F$43,6,FALSE)</f>
        <v>7.0000000000000007E-2</v>
      </c>
      <c r="M62" s="37">
        <f>IF($E62="Snakpak",(($J62*H62)+($K62*'Labor Cost'!$A$2)+L62),($J62*H62)+($K62*'Labor Cost'!$A$2)+L62+1)</f>
        <v>3.1938888888888886</v>
      </c>
      <c r="N62" s="38">
        <f t="shared" si="5"/>
        <v>3.9923611111111108</v>
      </c>
      <c r="O62" s="38">
        <f t="shared" si="6"/>
        <v>4.1520555555555552</v>
      </c>
      <c r="P62" s="38">
        <f t="shared" si="7"/>
        <v>4.31175</v>
      </c>
      <c r="Q62" s="38">
        <f t="shared" si="8"/>
        <v>4.4714444444444439</v>
      </c>
      <c r="R62" s="38">
        <f t="shared" si="9"/>
        <v>4.6311388888888887</v>
      </c>
      <c r="S62" s="38">
        <f t="shared" si="17"/>
        <v>4</v>
      </c>
      <c r="T62" s="38">
        <f t="shared" si="18"/>
        <v>4.25</v>
      </c>
      <c r="U62" s="38">
        <f t="shared" si="19"/>
        <v>4.25</v>
      </c>
      <c r="V62" s="38">
        <f t="shared" ref="V62" si="30">MROUND(Q62,0.25)</f>
        <v>4.5</v>
      </c>
      <c r="W62" s="38">
        <f t="shared" si="16"/>
        <v>4.75</v>
      </c>
    </row>
    <row r="63" spans="1:23" ht="21" customHeight="1" x14ac:dyDescent="0.2">
      <c r="A63" s="19" t="s">
        <v>461</v>
      </c>
      <c r="B63" s="19" t="s">
        <v>462</v>
      </c>
      <c r="C63" s="32" t="s">
        <v>463</v>
      </c>
      <c r="D63" s="32" t="s">
        <v>393</v>
      </c>
      <c r="E63" s="20" t="s">
        <v>397</v>
      </c>
      <c r="F63" s="20" t="s">
        <v>410</v>
      </c>
      <c r="G63" s="33">
        <v>10</v>
      </c>
      <c r="H63" s="34">
        <f>VLOOKUP($C63,'Raw Cost'!$A$1:$B$483,2,FALSE)/G63</f>
        <v>2.6</v>
      </c>
      <c r="I63" s="34">
        <f t="shared" si="21"/>
        <v>0.16250000000000001</v>
      </c>
      <c r="J63" s="35">
        <v>2</v>
      </c>
      <c r="K63" s="35">
        <v>0.27</v>
      </c>
      <c r="L63" s="36">
        <f>VLOOKUP($F63,'Packaging Cost'!$A$1:$F$43,6,FALSE)</f>
        <v>1.4100000000000001</v>
      </c>
      <c r="M63" s="37">
        <f>IF($E63="Snakpak",(($J63*H63)+($K63*'Labor Cost'!$A$2)+L63)+2.25,($J63*H63)+($K63*'Labor Cost'!$A$2)+L63+1)</f>
        <v>13.955000000000002</v>
      </c>
      <c r="N63" s="38">
        <f t="shared" si="5"/>
        <v>17.443750000000001</v>
      </c>
      <c r="O63" s="38">
        <f t="shared" si="6"/>
        <v>18.141500000000004</v>
      </c>
      <c r="P63" s="38">
        <f t="shared" si="7"/>
        <v>18.839250000000003</v>
      </c>
      <c r="Q63" s="38">
        <f t="shared" si="8"/>
        <v>19.537000000000003</v>
      </c>
      <c r="R63" s="38">
        <f t="shared" si="9"/>
        <v>20.234750000000002</v>
      </c>
      <c r="S63" s="38">
        <f t="shared" si="17"/>
        <v>17.5</v>
      </c>
      <c r="T63" s="38">
        <f t="shared" si="18"/>
        <v>18.25</v>
      </c>
      <c r="U63" s="38">
        <f t="shared" si="19"/>
        <v>18.75</v>
      </c>
      <c r="V63" s="38">
        <f t="shared" ref="V63" si="31">MROUND(Q63,0.25)</f>
        <v>19.5</v>
      </c>
      <c r="W63" s="38">
        <f t="shared" si="16"/>
        <v>20.25</v>
      </c>
    </row>
    <row r="64" spans="1:23" ht="21" customHeight="1" x14ac:dyDescent="0.2">
      <c r="A64" s="19" t="s">
        <v>563</v>
      </c>
      <c r="B64" s="19" t="s">
        <v>259</v>
      </c>
      <c r="C64" s="32" t="s">
        <v>20</v>
      </c>
      <c r="D64" s="32" t="s">
        <v>393</v>
      </c>
      <c r="E64" s="20" t="s">
        <v>397</v>
      </c>
      <c r="F64" s="20" t="s">
        <v>407</v>
      </c>
      <c r="G64" s="33">
        <v>16</v>
      </c>
      <c r="H64" s="34">
        <f>VLOOKUP($C64,'Raw Cost'!$A$1:$B$483,2,FALSE)/G64</f>
        <v>1.125</v>
      </c>
      <c r="I64" s="34">
        <f t="shared" si="21"/>
        <v>7.03125E-2</v>
      </c>
      <c r="J64" s="35">
        <v>10</v>
      </c>
      <c r="K64" s="35">
        <v>0.3</v>
      </c>
      <c r="L64" s="36">
        <f>VLOOKUP($F64,'Packaging Cost'!$A$1:$F$43,6,FALSE)</f>
        <v>3.16</v>
      </c>
      <c r="M64" s="37">
        <f>IF($E64="Snakpak",(($J64*H64)+($K64*'Labor Cost'!$A$2)+L64)+2.25,($J64*H64)+($K64*'Labor Cost'!$A$2)+L64+1)</f>
        <v>22.46</v>
      </c>
      <c r="N64" s="38">
        <f t="shared" si="5"/>
        <v>28.075000000000003</v>
      </c>
      <c r="O64" s="38">
        <f t="shared" si="6"/>
        <v>29.198</v>
      </c>
      <c r="P64" s="38">
        <f t="shared" si="7"/>
        <v>30.321000000000002</v>
      </c>
      <c r="Q64" s="38">
        <f t="shared" si="8"/>
        <v>31.443999999999999</v>
      </c>
      <c r="R64" s="38">
        <f t="shared" si="9"/>
        <v>32.567</v>
      </c>
      <c r="S64" s="38">
        <f t="shared" si="17"/>
        <v>28</v>
      </c>
      <c r="T64" s="38">
        <f t="shared" si="18"/>
        <v>29.25</v>
      </c>
      <c r="U64" s="38">
        <f t="shared" si="19"/>
        <v>30.25</v>
      </c>
      <c r="V64" s="38">
        <f t="shared" si="16"/>
        <v>31.5</v>
      </c>
      <c r="W64" s="38">
        <f t="shared" si="16"/>
        <v>32.5</v>
      </c>
    </row>
    <row r="65" spans="1:23" ht="21" customHeight="1" x14ac:dyDescent="0.2">
      <c r="A65" s="19" t="s">
        <v>564</v>
      </c>
      <c r="B65" s="19" t="s">
        <v>258</v>
      </c>
      <c r="C65" s="32" t="s">
        <v>20</v>
      </c>
      <c r="D65" s="32" t="s">
        <v>393</v>
      </c>
      <c r="E65" s="20" t="s">
        <v>397</v>
      </c>
      <c r="F65" s="20" t="s">
        <v>409</v>
      </c>
      <c r="G65" s="33">
        <v>16</v>
      </c>
      <c r="H65" s="34">
        <f>VLOOKUP($C65,'Raw Cost'!$A$1:$B$483,2,FALSE)/G65</f>
        <v>1.125</v>
      </c>
      <c r="I65" s="34">
        <f t="shared" si="21"/>
        <v>7.03125E-2</v>
      </c>
      <c r="J65" s="35">
        <v>5</v>
      </c>
      <c r="K65" s="35">
        <v>0.25</v>
      </c>
      <c r="L65" s="36">
        <f>VLOOKUP($F65,'Packaging Cost'!$A$1:$F$43,6,FALSE)</f>
        <v>1.7600000000000002</v>
      </c>
      <c r="M65" s="37">
        <f>IF($E65="Snakpak",(($J65*H65)+($K65*'Labor Cost'!$A$2)+L65)+2.25,($J65*H65)+($K65*'Labor Cost'!$A$2)+L65+1)</f>
        <v>14.26</v>
      </c>
      <c r="N65" s="38">
        <f t="shared" si="5"/>
        <v>17.824999999999999</v>
      </c>
      <c r="O65" s="38">
        <f t="shared" si="6"/>
        <v>18.538</v>
      </c>
      <c r="P65" s="38">
        <f t="shared" si="7"/>
        <v>19.251000000000001</v>
      </c>
      <c r="Q65" s="38">
        <f t="shared" si="8"/>
        <v>19.963999999999999</v>
      </c>
      <c r="R65" s="38">
        <f t="shared" si="9"/>
        <v>20.677</v>
      </c>
      <c r="S65" s="38">
        <f t="shared" si="17"/>
        <v>17.75</v>
      </c>
      <c r="T65" s="38">
        <f t="shared" si="18"/>
        <v>18.5</v>
      </c>
      <c r="U65" s="38">
        <f t="shared" si="19"/>
        <v>19.25</v>
      </c>
      <c r="V65" s="38">
        <f t="shared" si="16"/>
        <v>20</v>
      </c>
      <c r="W65" s="38">
        <f t="shared" si="16"/>
        <v>20.75</v>
      </c>
    </row>
    <row r="66" spans="1:23" ht="21" customHeight="1" x14ac:dyDescent="0.2">
      <c r="A66" s="19" t="s">
        <v>90</v>
      </c>
      <c r="B66" s="19" t="s">
        <v>256</v>
      </c>
      <c r="C66" s="32" t="s">
        <v>20</v>
      </c>
      <c r="D66" s="32" t="s">
        <v>393</v>
      </c>
      <c r="E66" s="20" t="s">
        <v>397</v>
      </c>
      <c r="F66" s="20" t="s">
        <v>409</v>
      </c>
      <c r="G66" s="33">
        <v>16</v>
      </c>
      <c r="H66" s="34">
        <f>VLOOKUP($C66,'Raw Cost'!$A$1:$B$483,2,FALSE)/G66</f>
        <v>1.125</v>
      </c>
      <c r="I66" s="34">
        <f t="shared" si="21"/>
        <v>7.03125E-2</v>
      </c>
      <c r="J66" s="35">
        <v>5</v>
      </c>
      <c r="K66" s="35">
        <v>0.25</v>
      </c>
      <c r="L66" s="36">
        <f>VLOOKUP($F66,'Packaging Cost'!$A$1:$F$43,6,FALSE)</f>
        <v>1.7600000000000002</v>
      </c>
      <c r="M66" s="37">
        <f>IF($E66="Snakpak",(($J66*H66)+($K66*'Labor Cost'!$A$2)+L66)+2.25,($J66*H66)+($K66*'Labor Cost'!$A$2)+L66+1)</f>
        <v>14.26</v>
      </c>
      <c r="N66" s="38">
        <f t="shared" si="5"/>
        <v>17.824999999999999</v>
      </c>
      <c r="O66" s="38">
        <f t="shared" si="6"/>
        <v>18.538</v>
      </c>
      <c r="P66" s="38">
        <f t="shared" si="7"/>
        <v>19.251000000000001</v>
      </c>
      <c r="Q66" s="38">
        <f t="shared" si="8"/>
        <v>19.963999999999999</v>
      </c>
      <c r="R66" s="38">
        <f t="shared" si="9"/>
        <v>20.677</v>
      </c>
      <c r="S66" s="38">
        <f t="shared" ref="S66:S97" si="32">MROUND(N66,0.25)</f>
        <v>17.75</v>
      </c>
      <c r="T66" s="38">
        <f t="shared" ref="T66:T97" si="33">MROUND(O66,0.25)</f>
        <v>18.5</v>
      </c>
      <c r="U66" s="38">
        <f t="shared" ref="U66:U97" si="34">MROUND(P66,0.25)</f>
        <v>19.25</v>
      </c>
      <c r="V66" s="38">
        <f t="shared" si="16"/>
        <v>20</v>
      </c>
      <c r="W66" s="38">
        <f t="shared" si="16"/>
        <v>20.75</v>
      </c>
    </row>
    <row r="67" spans="1:23" ht="21" customHeight="1" x14ac:dyDescent="0.2">
      <c r="A67" s="19" t="s">
        <v>459</v>
      </c>
      <c r="B67" s="19" t="s">
        <v>460</v>
      </c>
      <c r="C67" s="32" t="s">
        <v>458</v>
      </c>
      <c r="D67" s="32" t="s">
        <v>393</v>
      </c>
      <c r="E67" s="20" t="s">
        <v>397</v>
      </c>
      <c r="F67" s="20" t="s">
        <v>407</v>
      </c>
      <c r="G67" s="33">
        <v>18</v>
      </c>
      <c r="H67" s="34">
        <f>VLOOKUP($C67,'Raw Cost'!$A$1:$B$483,2,FALSE)/G67</f>
        <v>1</v>
      </c>
      <c r="I67" s="34">
        <f t="shared" si="21"/>
        <v>6.25E-2</v>
      </c>
      <c r="J67" s="35">
        <v>10</v>
      </c>
      <c r="K67" s="35">
        <v>0.3</v>
      </c>
      <c r="L67" s="36">
        <f>VLOOKUP($F67,'Packaging Cost'!$A$1:$F$43,6,FALSE)</f>
        <v>3.16</v>
      </c>
      <c r="M67" s="37">
        <f>IF($E67="Snakpak",(($J67*H67)+($K67*'Labor Cost'!$A$2)+L67)+2.25,($J67*H67)+($K67*'Labor Cost'!$A$2)+L67+1)</f>
        <v>21.21</v>
      </c>
      <c r="N67" s="38">
        <f t="shared" ref="N67:N130" si="35">IF($D67="No",$M67*1.25,($M67*1.25)+15)</f>
        <v>26.512500000000003</v>
      </c>
      <c r="O67" s="38">
        <f t="shared" ref="O67:O130" si="36">IF($D67="No",$M67*1.3,($M67*1.3)+15)</f>
        <v>27.573</v>
      </c>
      <c r="P67" s="38">
        <f t="shared" ref="P67:P130" si="37">IF($D67="No",$M67*1.35,($M67*1.35)+15)</f>
        <v>28.633500000000002</v>
      </c>
      <c r="Q67" s="38">
        <f t="shared" ref="Q67:Q130" si="38">IF($D67="No",$M67*1.4,($M67*1.4)+15)</f>
        <v>29.693999999999999</v>
      </c>
      <c r="R67" s="38">
        <f t="shared" ref="R67:R130" si="39">IF($D67="No",$M67*1.45,($M67*1.45)+15)</f>
        <v>30.7545</v>
      </c>
      <c r="S67" s="38">
        <f t="shared" si="32"/>
        <v>26.5</v>
      </c>
      <c r="T67" s="38">
        <f t="shared" si="33"/>
        <v>27.5</v>
      </c>
      <c r="U67" s="38">
        <f t="shared" si="34"/>
        <v>28.75</v>
      </c>
      <c r="V67" s="38">
        <f t="shared" si="16"/>
        <v>29.75</v>
      </c>
      <c r="W67" s="38">
        <f t="shared" si="16"/>
        <v>30.75</v>
      </c>
    </row>
    <row r="68" spans="1:23" ht="21" customHeight="1" x14ac:dyDescent="0.2">
      <c r="A68" s="19" t="s">
        <v>483</v>
      </c>
      <c r="B68" s="19" t="s">
        <v>504</v>
      </c>
      <c r="C68" s="32" t="s">
        <v>458</v>
      </c>
      <c r="D68" s="32" t="s">
        <v>393</v>
      </c>
      <c r="E68" s="20" t="s">
        <v>397</v>
      </c>
      <c r="F68" s="20" t="s">
        <v>384</v>
      </c>
      <c r="G68" s="33">
        <v>25</v>
      </c>
      <c r="H68" s="34">
        <f>VLOOKUP($C68,'Raw Cost'!$A$1:$B$483,2,FALSE)/G68</f>
        <v>0.72</v>
      </c>
      <c r="I68" s="34">
        <f t="shared" ref="I68:I69" si="40">H68/16</f>
        <v>4.4999999999999998E-2</v>
      </c>
      <c r="J68" s="35">
        <v>5</v>
      </c>
      <c r="K68" s="35">
        <v>0.15</v>
      </c>
      <c r="L68" s="36">
        <f>VLOOKUP($F68,'Packaging Cost'!$A$1:$F$43,6,FALSE)</f>
        <v>0.59</v>
      </c>
      <c r="M68" s="37">
        <f>IF($E68="Snakpak",(($J68*H68)+($K68*'Labor Cost'!$A$2)+L68)+2.25,($J68*H68)+($K68*'Labor Cost'!$A$2)+L68+1)</f>
        <v>8.7149999999999999</v>
      </c>
      <c r="N68" s="38">
        <f t="shared" si="35"/>
        <v>10.893750000000001</v>
      </c>
      <c r="O68" s="38">
        <f t="shared" si="36"/>
        <v>11.329499999999999</v>
      </c>
      <c r="P68" s="38">
        <f t="shared" si="37"/>
        <v>11.76525</v>
      </c>
      <c r="Q68" s="38">
        <f t="shared" si="38"/>
        <v>12.200999999999999</v>
      </c>
      <c r="R68" s="38">
        <f t="shared" si="39"/>
        <v>12.636749999999999</v>
      </c>
      <c r="S68" s="38">
        <f t="shared" si="32"/>
        <v>11</v>
      </c>
      <c r="T68" s="38">
        <f t="shared" si="33"/>
        <v>11.25</v>
      </c>
      <c r="U68" s="38">
        <f t="shared" si="34"/>
        <v>11.75</v>
      </c>
      <c r="V68" s="38">
        <f t="shared" ref="V68:W83" si="41">MROUND(Q68,0.25)</f>
        <v>12.25</v>
      </c>
      <c r="W68" s="38">
        <f t="shared" si="41"/>
        <v>12.75</v>
      </c>
    </row>
    <row r="69" spans="1:23" ht="21" customHeight="1" x14ac:dyDescent="0.2">
      <c r="A69" s="19" t="s">
        <v>609</v>
      </c>
      <c r="B69" s="19" t="s">
        <v>266</v>
      </c>
      <c r="C69" s="20" t="s">
        <v>21</v>
      </c>
      <c r="D69" s="20" t="s">
        <v>393</v>
      </c>
      <c r="E69" s="20" t="s">
        <v>397</v>
      </c>
      <c r="F69" s="20" t="s">
        <v>410</v>
      </c>
      <c r="G69" s="33">
        <v>22</v>
      </c>
      <c r="H69" s="34">
        <f>VLOOKUP($C69,'Raw Cost'!$A$1:$B$483,2,FALSE)/G69</f>
        <v>1.0454545454545454</v>
      </c>
      <c r="I69" s="34">
        <f t="shared" si="40"/>
        <v>6.5340909090909088E-2</v>
      </c>
      <c r="J69" s="35">
        <v>5</v>
      </c>
      <c r="K69" s="35">
        <v>0.27</v>
      </c>
      <c r="L69" s="36">
        <f>VLOOKUP($F69,'Packaging Cost'!$A$1:$F$43,6,FALSE)</f>
        <v>1.4100000000000001</v>
      </c>
      <c r="M69" s="37">
        <f>IF($E69="Snakpak",(($J69*H69)+($K69*'Labor Cost'!$A$2)+L69)+2.25,($J69*H69)+($K69*'Labor Cost'!$A$2)+L69+1)</f>
        <v>13.982272727272727</v>
      </c>
      <c r="N69" s="38">
        <f t="shared" si="35"/>
        <v>17.477840909090908</v>
      </c>
      <c r="O69" s="38">
        <f t="shared" si="36"/>
        <v>18.176954545454546</v>
      </c>
      <c r="P69" s="38">
        <f t="shared" si="37"/>
        <v>18.876068181818184</v>
      </c>
      <c r="Q69" s="38">
        <f t="shared" si="38"/>
        <v>19.575181818181818</v>
      </c>
      <c r="R69" s="38">
        <f t="shared" si="39"/>
        <v>20.274295454545456</v>
      </c>
      <c r="S69" s="38">
        <f t="shared" si="32"/>
        <v>17.5</v>
      </c>
      <c r="T69" s="38">
        <f t="shared" si="33"/>
        <v>18.25</v>
      </c>
      <c r="U69" s="38">
        <f t="shared" si="34"/>
        <v>19</v>
      </c>
      <c r="V69" s="38">
        <f t="shared" si="41"/>
        <v>19.5</v>
      </c>
      <c r="W69" s="38">
        <f t="shared" si="41"/>
        <v>20.25</v>
      </c>
    </row>
    <row r="70" spans="1:23" ht="21" customHeight="1" x14ac:dyDescent="0.2">
      <c r="A70" s="19" t="s">
        <v>567</v>
      </c>
      <c r="B70" s="19" t="s">
        <v>266</v>
      </c>
      <c r="C70" s="20" t="s">
        <v>21</v>
      </c>
      <c r="D70" s="20" t="s">
        <v>393</v>
      </c>
      <c r="E70" s="20" t="s">
        <v>397</v>
      </c>
      <c r="F70" s="20" t="s">
        <v>408</v>
      </c>
      <c r="G70" s="33">
        <v>22</v>
      </c>
      <c r="H70" s="34">
        <f>VLOOKUP($C70,'Raw Cost'!$A$1:$B$483,2,FALSE)/G70</f>
        <v>1.0454545454545454</v>
      </c>
      <c r="I70" s="34">
        <f t="shared" si="21"/>
        <v>6.5340909090909088E-2</v>
      </c>
      <c r="J70" s="35">
        <v>10</v>
      </c>
      <c r="K70" s="35">
        <v>0.27</v>
      </c>
      <c r="L70" s="36">
        <f>VLOOKUP($F70,'Packaging Cost'!$A$1:$F$43,6,FALSE)</f>
        <v>2.4600000000000004</v>
      </c>
      <c r="M70" s="37">
        <f>IF($E70="Snakpak",(($J70*H70)+($K70*'Labor Cost'!$A$2)+L70)+2.25,($J70*H70)+($K70*'Labor Cost'!$A$2)+L70+1)</f>
        <v>20.259545454545453</v>
      </c>
      <c r="N70" s="38">
        <f t="shared" si="35"/>
        <v>25.324431818181814</v>
      </c>
      <c r="O70" s="38">
        <f t="shared" si="36"/>
        <v>26.337409090909091</v>
      </c>
      <c r="P70" s="38">
        <f t="shared" si="37"/>
        <v>27.350386363636364</v>
      </c>
      <c r="Q70" s="38">
        <f t="shared" si="38"/>
        <v>28.363363636363633</v>
      </c>
      <c r="R70" s="38">
        <f t="shared" si="39"/>
        <v>29.376340909090906</v>
      </c>
      <c r="S70" s="38">
        <f t="shared" si="32"/>
        <v>25.25</v>
      </c>
      <c r="T70" s="38">
        <f t="shared" si="33"/>
        <v>26.25</v>
      </c>
      <c r="U70" s="38">
        <f t="shared" si="34"/>
        <v>27.25</v>
      </c>
      <c r="V70" s="38">
        <f t="shared" ref="V70:W109" si="42">MROUND(Q70,0.25)</f>
        <v>28.25</v>
      </c>
      <c r="W70" s="38">
        <f t="shared" si="41"/>
        <v>29.5</v>
      </c>
    </row>
    <row r="71" spans="1:23" ht="21" customHeight="1" x14ac:dyDescent="0.2">
      <c r="A71" s="19" t="s">
        <v>416</v>
      </c>
      <c r="B71" s="19" t="s">
        <v>417</v>
      </c>
      <c r="C71" s="20" t="s">
        <v>22</v>
      </c>
      <c r="D71" s="20" t="s">
        <v>393</v>
      </c>
      <c r="E71" s="20" t="s">
        <v>397</v>
      </c>
      <c r="F71" s="20" t="s">
        <v>378</v>
      </c>
      <c r="G71" s="33">
        <v>16</v>
      </c>
      <c r="H71" s="34">
        <f>VLOOKUP($C71,'Raw Cost'!$A$1:$B$483,2,FALSE)/G71</f>
        <v>0.9375</v>
      </c>
      <c r="I71" s="34">
        <f t="shared" si="21"/>
        <v>5.859375E-2</v>
      </c>
      <c r="J71" s="35">
        <v>4</v>
      </c>
      <c r="K71" s="35">
        <v>0.3</v>
      </c>
      <c r="L71" s="36">
        <f>VLOOKUP($F71,'Packaging Cost'!$A$1:$F$43,6,FALSE)</f>
        <v>1.1000000000000001</v>
      </c>
      <c r="M71" s="37">
        <f>IF($E71="Snakpak",(($J71*H71)+($K71*'Labor Cost'!$A$2)+L71)+2.25,($J71*H71)+($K71*'Labor Cost'!$A$2)+L71+1)</f>
        <v>12.9</v>
      </c>
      <c r="N71" s="38">
        <f t="shared" si="35"/>
        <v>16.125</v>
      </c>
      <c r="O71" s="38">
        <f t="shared" si="36"/>
        <v>16.77</v>
      </c>
      <c r="P71" s="38">
        <f t="shared" si="37"/>
        <v>17.415000000000003</v>
      </c>
      <c r="Q71" s="38">
        <f t="shared" si="38"/>
        <v>18.059999999999999</v>
      </c>
      <c r="R71" s="38">
        <f t="shared" si="39"/>
        <v>18.704999999999998</v>
      </c>
      <c r="S71" s="38">
        <f t="shared" si="32"/>
        <v>16.25</v>
      </c>
      <c r="T71" s="38">
        <f t="shared" si="33"/>
        <v>16.75</v>
      </c>
      <c r="U71" s="38">
        <f t="shared" si="34"/>
        <v>17.5</v>
      </c>
      <c r="V71" s="38">
        <f>MROUND(Q71,0.25)</f>
        <v>18</v>
      </c>
      <c r="W71" s="38">
        <f t="shared" si="41"/>
        <v>18.75</v>
      </c>
    </row>
    <row r="72" spans="1:23" ht="21" customHeight="1" x14ac:dyDescent="0.2">
      <c r="A72" s="19" t="s">
        <v>98</v>
      </c>
      <c r="B72" s="19" t="s">
        <v>269</v>
      </c>
      <c r="C72" s="20" t="s">
        <v>23</v>
      </c>
      <c r="D72" s="20" t="s">
        <v>393</v>
      </c>
      <c r="E72" s="20" t="s">
        <v>397</v>
      </c>
      <c r="F72" s="20" t="s">
        <v>409</v>
      </c>
      <c r="G72" s="33">
        <v>15</v>
      </c>
      <c r="H72" s="34">
        <f>VLOOKUP($C72,'Raw Cost'!$A$1:$B$483,2,FALSE)/G72</f>
        <v>2.4</v>
      </c>
      <c r="I72" s="34">
        <f t="shared" si="21"/>
        <v>0.15</v>
      </c>
      <c r="J72" s="35">
        <v>5</v>
      </c>
      <c r="K72" s="35">
        <v>0.3</v>
      </c>
      <c r="L72" s="36">
        <f>VLOOKUP($F72,'Packaging Cost'!$A$1:$F$43,6,FALSE)</f>
        <v>1.7600000000000002</v>
      </c>
      <c r="M72" s="37">
        <f>IF($E72="Snakpak",(($J72*H72)+($K72*'Labor Cost'!$A$2)+L72)+2.25,($J72*H72)+($K72*'Labor Cost'!$A$2)+L72+1)</f>
        <v>21.810000000000002</v>
      </c>
      <c r="N72" s="38">
        <f t="shared" si="35"/>
        <v>27.262500000000003</v>
      </c>
      <c r="O72" s="38">
        <f t="shared" si="36"/>
        <v>28.353000000000005</v>
      </c>
      <c r="P72" s="38">
        <f t="shared" si="37"/>
        <v>29.443500000000004</v>
      </c>
      <c r="Q72" s="38">
        <f t="shared" si="38"/>
        <v>30.534000000000002</v>
      </c>
      <c r="R72" s="38">
        <f t="shared" si="39"/>
        <v>31.624500000000001</v>
      </c>
      <c r="S72" s="38">
        <f t="shared" si="32"/>
        <v>27.25</v>
      </c>
      <c r="T72" s="38">
        <f t="shared" si="33"/>
        <v>28.25</v>
      </c>
      <c r="U72" s="38">
        <f t="shared" si="34"/>
        <v>29.5</v>
      </c>
      <c r="V72" s="38">
        <f t="shared" si="42"/>
        <v>30.5</v>
      </c>
      <c r="W72" s="38">
        <f t="shared" si="41"/>
        <v>31.5</v>
      </c>
    </row>
    <row r="73" spans="1:23" ht="21" customHeight="1" x14ac:dyDescent="0.2">
      <c r="A73" s="19" t="s">
        <v>100</v>
      </c>
      <c r="B73" s="19" t="s">
        <v>271</v>
      </c>
      <c r="C73" s="20" t="s">
        <v>24</v>
      </c>
      <c r="D73" s="20" t="s">
        <v>393</v>
      </c>
      <c r="E73" s="20" t="s">
        <v>397</v>
      </c>
      <c r="F73" s="20" t="s">
        <v>407</v>
      </c>
      <c r="G73" s="33">
        <v>10</v>
      </c>
      <c r="H73" s="34">
        <f>VLOOKUP($C73,'Raw Cost'!$A$1:$B$483,2,FALSE)/G73</f>
        <v>2.8</v>
      </c>
      <c r="I73" s="34">
        <f t="shared" si="21"/>
        <v>0.17499999999999999</v>
      </c>
      <c r="J73" s="35">
        <v>10</v>
      </c>
      <c r="K73" s="35">
        <v>0.25</v>
      </c>
      <c r="L73" s="36">
        <f>VLOOKUP($F73,'Packaging Cost'!$A$1:$F$43,6,FALSE)</f>
        <v>3.16</v>
      </c>
      <c r="M73" s="37">
        <f>IF($E73="Snakpak",(($J73*H73)+($K73*'Labor Cost'!$A$2)+L73)+2.25,($J73*H73)+($K73*'Labor Cost'!$A$2)+L73+1)</f>
        <v>38.034999999999997</v>
      </c>
      <c r="N73" s="38">
        <f t="shared" si="35"/>
        <v>47.543749999999996</v>
      </c>
      <c r="O73" s="38">
        <f t="shared" si="36"/>
        <v>49.445499999999996</v>
      </c>
      <c r="P73" s="38">
        <f t="shared" si="37"/>
        <v>51.347249999999995</v>
      </c>
      <c r="Q73" s="38">
        <f t="shared" si="38"/>
        <v>53.248999999999995</v>
      </c>
      <c r="R73" s="38">
        <f t="shared" si="39"/>
        <v>55.150749999999995</v>
      </c>
      <c r="S73" s="38">
        <f t="shared" si="32"/>
        <v>47.5</v>
      </c>
      <c r="T73" s="38">
        <f t="shared" si="33"/>
        <v>49.5</v>
      </c>
      <c r="U73" s="38">
        <f t="shared" si="34"/>
        <v>51.25</v>
      </c>
      <c r="V73" s="38">
        <f t="shared" si="42"/>
        <v>53.25</v>
      </c>
      <c r="W73" s="38">
        <f t="shared" si="41"/>
        <v>55.25</v>
      </c>
    </row>
    <row r="74" spans="1:23" ht="21" customHeight="1" x14ac:dyDescent="0.2">
      <c r="A74" s="19" t="s">
        <v>613</v>
      </c>
      <c r="B74" s="19" t="s">
        <v>272</v>
      </c>
      <c r="C74" s="32" t="s">
        <v>25</v>
      </c>
      <c r="D74" s="32" t="s">
        <v>393</v>
      </c>
      <c r="E74" s="20" t="s">
        <v>397</v>
      </c>
      <c r="F74" s="20" t="s">
        <v>409</v>
      </c>
      <c r="G74" s="33">
        <v>4</v>
      </c>
      <c r="H74" s="34">
        <f>VLOOKUP($C74,'Raw Cost'!$A$1:$B$483,2,FALSE)/G74</f>
        <v>3.75</v>
      </c>
      <c r="I74" s="34">
        <f>H74/16</f>
        <v>0.234375</v>
      </c>
      <c r="J74" s="35">
        <v>5</v>
      </c>
      <c r="K74" s="35">
        <v>0.25</v>
      </c>
      <c r="L74" s="36">
        <f>VLOOKUP($F74,'Packaging Cost'!$A$1:$F$43,6,FALSE)</f>
        <v>1.7600000000000002</v>
      </c>
      <c r="M74" s="37">
        <f>IF($E74="Snakpak",(($J74*H74)+($K74*'Labor Cost'!$A$2)+L74)+2.25,($J74*H74)+($K74*'Labor Cost'!$A$2)+L74+1)</f>
        <v>27.385000000000002</v>
      </c>
      <c r="N74" s="38">
        <f t="shared" si="35"/>
        <v>34.231250000000003</v>
      </c>
      <c r="O74" s="38">
        <f t="shared" si="36"/>
        <v>35.600500000000004</v>
      </c>
      <c r="P74" s="38">
        <f t="shared" si="37"/>
        <v>36.969750000000005</v>
      </c>
      <c r="Q74" s="38">
        <f t="shared" si="38"/>
        <v>38.338999999999999</v>
      </c>
      <c r="R74" s="38">
        <f t="shared" si="39"/>
        <v>39.70825</v>
      </c>
      <c r="S74" s="38">
        <f t="shared" si="32"/>
        <v>34.25</v>
      </c>
      <c r="T74" s="38">
        <f t="shared" si="33"/>
        <v>35.5</v>
      </c>
      <c r="U74" s="38">
        <f t="shared" si="34"/>
        <v>37</v>
      </c>
      <c r="V74" s="38">
        <f t="shared" si="42"/>
        <v>38.25</v>
      </c>
      <c r="W74" s="38">
        <f t="shared" si="41"/>
        <v>39.75</v>
      </c>
    </row>
    <row r="75" spans="1:23" ht="21" customHeight="1" x14ac:dyDescent="0.2">
      <c r="A75" s="19" t="s">
        <v>600</v>
      </c>
      <c r="B75" s="19" t="s">
        <v>273</v>
      </c>
      <c r="C75" s="20" t="s">
        <v>28</v>
      </c>
      <c r="D75" s="20" t="s">
        <v>393</v>
      </c>
      <c r="E75" s="20" t="s">
        <v>397</v>
      </c>
      <c r="F75" s="20" t="s">
        <v>383</v>
      </c>
      <c r="G75" s="33">
        <v>35</v>
      </c>
      <c r="H75" s="34">
        <f>VLOOKUP($C75,'Raw Cost'!$A$1:$B$483,2,FALSE)/G75</f>
        <v>1.2285714285714286</v>
      </c>
      <c r="I75" s="34">
        <f t="shared" ref="I75" si="43">H75/16</f>
        <v>7.678571428571429E-2</v>
      </c>
      <c r="J75" s="35">
        <v>10</v>
      </c>
      <c r="K75" s="35">
        <v>0.25</v>
      </c>
      <c r="L75" s="36">
        <f>VLOOKUP($F75,'Packaging Cost'!$A$1:$F$43,6,FALSE)</f>
        <v>0.9</v>
      </c>
      <c r="M75" s="37">
        <f>IF($E75="Snakpak",(($J75*H75)+($K75*'Labor Cost'!$A$2)+L75)+2.25,($J75*H75)+($K75*'Labor Cost'!$A$2)+L75+1)</f>
        <v>20.060714285714283</v>
      </c>
      <c r="N75" s="38">
        <f t="shared" si="35"/>
        <v>25.075892857142854</v>
      </c>
      <c r="O75" s="38">
        <f t="shared" si="36"/>
        <v>26.07892857142857</v>
      </c>
      <c r="P75" s="38">
        <f t="shared" si="37"/>
        <v>27.081964285714285</v>
      </c>
      <c r="Q75" s="38">
        <f t="shared" si="38"/>
        <v>28.084999999999994</v>
      </c>
      <c r="R75" s="38">
        <f t="shared" si="39"/>
        <v>29.088035714285709</v>
      </c>
      <c r="S75" s="38">
        <f t="shared" si="32"/>
        <v>25</v>
      </c>
      <c r="T75" s="38">
        <f t="shared" si="33"/>
        <v>26</v>
      </c>
      <c r="U75" s="38">
        <f t="shared" si="34"/>
        <v>27</v>
      </c>
      <c r="V75" s="38">
        <f t="shared" ref="V75" si="44">MROUND(Q75,0.25)</f>
        <v>28</v>
      </c>
      <c r="W75" s="38">
        <f t="shared" si="41"/>
        <v>29</v>
      </c>
    </row>
    <row r="76" spans="1:23" ht="21" customHeight="1" x14ac:dyDescent="0.2">
      <c r="A76" s="19" t="s">
        <v>114</v>
      </c>
      <c r="B76" s="19" t="s">
        <v>273</v>
      </c>
      <c r="C76" s="20" t="s">
        <v>28</v>
      </c>
      <c r="D76" s="20" t="s">
        <v>393</v>
      </c>
      <c r="E76" s="20" t="s">
        <v>397</v>
      </c>
      <c r="F76" s="20" t="s">
        <v>385</v>
      </c>
      <c r="G76" s="33">
        <v>35</v>
      </c>
      <c r="H76" s="34">
        <f>VLOOKUP($C76,'Raw Cost'!$A$1:$B$483,2,FALSE)/G76</f>
        <v>1.2285714285714286</v>
      </c>
      <c r="I76" s="34">
        <f t="shared" si="21"/>
        <v>7.678571428571429E-2</v>
      </c>
      <c r="J76" s="35">
        <v>20</v>
      </c>
      <c r="K76" s="35">
        <v>0.25</v>
      </c>
      <c r="L76" s="36">
        <f>VLOOKUP($F76,'Packaging Cost'!$A$1:$F$43,6,FALSE)</f>
        <v>1.6</v>
      </c>
      <c r="M76" s="37">
        <f>IF($E76="Snakpak",(($J76*H76)+($K76*'Labor Cost'!$A$2)+L76)+2.25,($J76*H76)+($K76*'Labor Cost'!$A$2)+L76+1)</f>
        <v>33.046428571428571</v>
      </c>
      <c r="N76" s="38">
        <f t="shared" si="35"/>
        <v>41.308035714285715</v>
      </c>
      <c r="O76" s="38">
        <f t="shared" si="36"/>
        <v>42.960357142857141</v>
      </c>
      <c r="P76" s="38">
        <f t="shared" si="37"/>
        <v>44.612678571428575</v>
      </c>
      <c r="Q76" s="38">
        <f t="shared" si="38"/>
        <v>46.264999999999993</v>
      </c>
      <c r="R76" s="38">
        <f t="shared" si="39"/>
        <v>47.917321428571427</v>
      </c>
      <c r="S76" s="38">
        <f t="shared" si="32"/>
        <v>41.25</v>
      </c>
      <c r="T76" s="38">
        <f t="shared" si="33"/>
        <v>43</v>
      </c>
      <c r="U76" s="38">
        <f t="shared" si="34"/>
        <v>44.5</v>
      </c>
      <c r="V76" s="38">
        <f t="shared" si="42"/>
        <v>46.25</v>
      </c>
      <c r="W76" s="38">
        <f t="shared" si="41"/>
        <v>48</v>
      </c>
    </row>
    <row r="77" spans="1:23" ht="21" customHeight="1" x14ac:dyDescent="0.2">
      <c r="A77" s="19" t="s">
        <v>140</v>
      </c>
      <c r="B77" s="19" t="s">
        <v>307</v>
      </c>
      <c r="C77" s="32" t="s">
        <v>29</v>
      </c>
      <c r="D77" s="32" t="s">
        <v>393</v>
      </c>
      <c r="E77" s="20" t="s">
        <v>397</v>
      </c>
      <c r="F77" s="20" t="s">
        <v>378</v>
      </c>
      <c r="G77" s="33">
        <v>18</v>
      </c>
      <c r="H77" s="34">
        <f>VLOOKUP($C77,'Raw Cost'!$A$1:$B$483,2,FALSE)/G77</f>
        <v>0.77777777777777779</v>
      </c>
      <c r="I77" s="34">
        <f t="shared" si="21"/>
        <v>4.8611111111111112E-2</v>
      </c>
      <c r="J77" s="35">
        <v>20</v>
      </c>
      <c r="K77" s="35">
        <v>0.25</v>
      </c>
      <c r="L77" s="36">
        <f>VLOOKUP($F77,'Packaging Cost'!$A$1:$F$43,6,FALSE)</f>
        <v>1.1000000000000001</v>
      </c>
      <c r="M77" s="37">
        <f>IF($E77="Snakpak",(($J77*H77)+($K77*'Labor Cost'!$A$2)+L77)+2.25,($J77*H77)+($K77*'Labor Cost'!$A$2)+L77+1)</f>
        <v>23.530555555555559</v>
      </c>
      <c r="N77" s="38">
        <f t="shared" si="35"/>
        <v>29.41319444444445</v>
      </c>
      <c r="O77" s="38">
        <f t="shared" si="36"/>
        <v>30.589722222222228</v>
      </c>
      <c r="P77" s="38">
        <f t="shared" si="37"/>
        <v>31.766250000000007</v>
      </c>
      <c r="Q77" s="38">
        <f t="shared" si="38"/>
        <v>32.942777777777778</v>
      </c>
      <c r="R77" s="38">
        <f t="shared" si="39"/>
        <v>34.119305555555556</v>
      </c>
      <c r="S77" s="38">
        <f t="shared" si="32"/>
        <v>29.5</v>
      </c>
      <c r="T77" s="38">
        <f t="shared" si="33"/>
        <v>30.5</v>
      </c>
      <c r="U77" s="38">
        <f t="shared" si="34"/>
        <v>31.75</v>
      </c>
      <c r="V77" s="38">
        <f t="shared" si="42"/>
        <v>33</v>
      </c>
      <c r="W77" s="38">
        <f t="shared" si="41"/>
        <v>34</v>
      </c>
    </row>
    <row r="78" spans="1:23" ht="21" customHeight="1" x14ac:dyDescent="0.2">
      <c r="A78" s="19" t="s">
        <v>141</v>
      </c>
      <c r="B78" s="19" t="s">
        <v>308</v>
      </c>
      <c r="C78" s="32" t="s">
        <v>29</v>
      </c>
      <c r="D78" s="32" t="s">
        <v>393</v>
      </c>
      <c r="E78" s="20" t="s">
        <v>397</v>
      </c>
      <c r="F78" s="20" t="s">
        <v>384</v>
      </c>
      <c r="G78" s="33">
        <v>18</v>
      </c>
      <c r="H78" s="34">
        <f>VLOOKUP($C78,'Raw Cost'!$A$1:$B$483,2,FALSE)/G78</f>
        <v>0.77777777777777779</v>
      </c>
      <c r="I78" s="34">
        <f t="shared" si="21"/>
        <v>4.8611111111111112E-2</v>
      </c>
      <c r="J78" s="35">
        <v>5</v>
      </c>
      <c r="K78" s="35">
        <v>0.25</v>
      </c>
      <c r="L78" s="36">
        <f>VLOOKUP($F78,'Packaging Cost'!$A$1:$F$43,6,FALSE)</f>
        <v>0.59</v>
      </c>
      <c r="M78" s="37">
        <f>IF($E78="Snakpak",(($J78*H78)+($K78*'Labor Cost'!$A$2)+L78)+2.25,($J78*H78)+($K78*'Labor Cost'!$A$2)+L78+1)</f>
        <v>11.353888888888889</v>
      </c>
      <c r="N78" s="38">
        <f t="shared" si="35"/>
        <v>14.192361111111111</v>
      </c>
      <c r="O78" s="38">
        <f t="shared" si="36"/>
        <v>14.760055555555557</v>
      </c>
      <c r="P78" s="38">
        <f t="shared" si="37"/>
        <v>15.327750000000002</v>
      </c>
      <c r="Q78" s="38">
        <f t="shared" si="38"/>
        <v>15.895444444444443</v>
      </c>
      <c r="R78" s="38">
        <f t="shared" si="39"/>
        <v>16.463138888888889</v>
      </c>
      <c r="S78" s="38">
        <f t="shared" si="32"/>
        <v>14.25</v>
      </c>
      <c r="T78" s="38">
        <f t="shared" si="33"/>
        <v>14.75</v>
      </c>
      <c r="U78" s="38">
        <f t="shared" si="34"/>
        <v>15.25</v>
      </c>
      <c r="V78" s="38">
        <f t="shared" si="42"/>
        <v>16</v>
      </c>
      <c r="W78" s="38">
        <f t="shared" si="41"/>
        <v>16.5</v>
      </c>
    </row>
    <row r="79" spans="1:23" ht="21" customHeight="1" x14ac:dyDescent="0.2">
      <c r="A79" s="19" t="s">
        <v>142</v>
      </c>
      <c r="B79" s="19" t="s">
        <v>310</v>
      </c>
      <c r="C79" s="32" t="s">
        <v>29</v>
      </c>
      <c r="D79" s="32" t="s">
        <v>393</v>
      </c>
      <c r="E79" s="20" t="s">
        <v>397</v>
      </c>
      <c r="F79" s="20" t="s">
        <v>408</v>
      </c>
      <c r="G79" s="33">
        <v>18</v>
      </c>
      <c r="H79" s="34">
        <f>VLOOKUP($C79,'Raw Cost'!$A$1:$B$483,2,FALSE)/G79</f>
        <v>0.77777777777777779</v>
      </c>
      <c r="I79" s="34">
        <f t="shared" si="21"/>
        <v>4.8611111111111112E-2</v>
      </c>
      <c r="J79" s="35">
        <v>10</v>
      </c>
      <c r="K79" s="35">
        <v>0.25</v>
      </c>
      <c r="L79" s="36">
        <f>VLOOKUP($F79,'Packaging Cost'!$A$1:$F$43,6,FALSE)</f>
        <v>2.4600000000000004</v>
      </c>
      <c r="M79" s="37">
        <f>IF($E79="Snakpak",(($J79*H79)+($K79*'Labor Cost'!$A$2)+L79)+2.25,($J79*H79)+($K79*'Labor Cost'!$A$2)+L79+1)</f>
        <v>17.112777777777779</v>
      </c>
      <c r="N79" s="38">
        <f t="shared" si="35"/>
        <v>21.390972222222224</v>
      </c>
      <c r="O79" s="38">
        <f t="shared" si="36"/>
        <v>22.246611111111115</v>
      </c>
      <c r="P79" s="38">
        <f t="shared" si="37"/>
        <v>23.102250000000005</v>
      </c>
      <c r="Q79" s="38">
        <f t="shared" si="38"/>
        <v>23.957888888888888</v>
      </c>
      <c r="R79" s="38">
        <f t="shared" si="39"/>
        <v>24.813527777777779</v>
      </c>
      <c r="S79" s="38">
        <f t="shared" si="32"/>
        <v>21.5</v>
      </c>
      <c r="T79" s="38">
        <f t="shared" si="33"/>
        <v>22.25</v>
      </c>
      <c r="U79" s="38">
        <f t="shared" si="34"/>
        <v>23</v>
      </c>
      <c r="V79" s="38">
        <f t="shared" si="42"/>
        <v>24</v>
      </c>
      <c r="W79" s="38">
        <f t="shared" si="41"/>
        <v>24.75</v>
      </c>
    </row>
    <row r="80" spans="1:23" ht="21" customHeight="1" x14ac:dyDescent="0.2">
      <c r="A80" s="19" t="s">
        <v>104</v>
      </c>
      <c r="B80" s="19" t="s">
        <v>309</v>
      </c>
      <c r="C80" s="32" t="s">
        <v>29</v>
      </c>
      <c r="D80" s="32" t="s">
        <v>393</v>
      </c>
      <c r="E80" s="20" t="s">
        <v>397</v>
      </c>
      <c r="F80" s="20" t="s">
        <v>378</v>
      </c>
      <c r="G80" s="33">
        <v>18</v>
      </c>
      <c r="H80" s="34">
        <f>VLOOKUP($C80,'Raw Cost'!$A$1:$B$483,2,FALSE)/G80</f>
        <v>0.77777777777777779</v>
      </c>
      <c r="I80" s="34">
        <f t="shared" si="21"/>
        <v>4.8611111111111112E-2</v>
      </c>
      <c r="J80" s="35">
        <v>20</v>
      </c>
      <c r="K80" s="35">
        <v>0.25</v>
      </c>
      <c r="L80" s="36">
        <f>VLOOKUP($F80,'Packaging Cost'!$A$1:$F$43,6,FALSE)</f>
        <v>1.1000000000000001</v>
      </c>
      <c r="M80" s="37">
        <f>IF($E80="Snakpak",(($J80*H80)+($K80*'Labor Cost'!$A$2)+L80)+2.25,($J80*H80)+($K80*'Labor Cost'!$A$2)+L80+1)</f>
        <v>23.530555555555559</v>
      </c>
      <c r="N80" s="38">
        <f t="shared" si="35"/>
        <v>29.41319444444445</v>
      </c>
      <c r="O80" s="38">
        <f t="shared" si="36"/>
        <v>30.589722222222228</v>
      </c>
      <c r="P80" s="38">
        <f t="shared" si="37"/>
        <v>31.766250000000007</v>
      </c>
      <c r="Q80" s="38">
        <f t="shared" si="38"/>
        <v>32.942777777777778</v>
      </c>
      <c r="R80" s="38">
        <f t="shared" si="39"/>
        <v>34.119305555555556</v>
      </c>
      <c r="S80" s="38">
        <f t="shared" si="32"/>
        <v>29.5</v>
      </c>
      <c r="T80" s="38">
        <f t="shared" si="33"/>
        <v>30.5</v>
      </c>
      <c r="U80" s="38">
        <f t="shared" si="34"/>
        <v>31.75</v>
      </c>
      <c r="V80" s="38">
        <f t="shared" si="42"/>
        <v>33</v>
      </c>
      <c r="W80" s="38">
        <f t="shared" si="41"/>
        <v>34</v>
      </c>
    </row>
    <row r="81" spans="1:23" ht="21" customHeight="1" x14ac:dyDescent="0.2">
      <c r="A81" s="19" t="s">
        <v>143</v>
      </c>
      <c r="B81" s="19" t="s">
        <v>311</v>
      </c>
      <c r="C81" s="32" t="s">
        <v>29</v>
      </c>
      <c r="D81" s="32" t="s">
        <v>393</v>
      </c>
      <c r="E81" s="20" t="s">
        <v>397</v>
      </c>
      <c r="F81" s="20" t="s">
        <v>384</v>
      </c>
      <c r="G81" s="33">
        <v>18</v>
      </c>
      <c r="H81" s="34">
        <f>VLOOKUP($C81,'Raw Cost'!$A$1:$B$483,2,FALSE)/G81</f>
        <v>0.77777777777777779</v>
      </c>
      <c r="I81" s="34">
        <f t="shared" si="21"/>
        <v>4.8611111111111112E-2</v>
      </c>
      <c r="J81" s="35">
        <v>5</v>
      </c>
      <c r="K81" s="35">
        <v>0.25</v>
      </c>
      <c r="L81" s="36">
        <f>VLOOKUP($F81,'Packaging Cost'!$A$1:$F$43,6,FALSE)</f>
        <v>0.59</v>
      </c>
      <c r="M81" s="37">
        <f>IF($E81="Snakpak",(($J81*H81)+($K81*'Labor Cost'!$A$2)+L81)+2.25,($J81*H81)+($K81*'Labor Cost'!$A$2)+L81+1)</f>
        <v>11.353888888888889</v>
      </c>
      <c r="N81" s="38">
        <f t="shared" si="35"/>
        <v>14.192361111111111</v>
      </c>
      <c r="O81" s="38">
        <f t="shared" si="36"/>
        <v>14.760055555555557</v>
      </c>
      <c r="P81" s="38">
        <f t="shared" si="37"/>
        <v>15.327750000000002</v>
      </c>
      <c r="Q81" s="38">
        <f t="shared" si="38"/>
        <v>15.895444444444443</v>
      </c>
      <c r="R81" s="38">
        <f t="shared" si="39"/>
        <v>16.463138888888889</v>
      </c>
      <c r="S81" s="38">
        <f t="shared" si="32"/>
        <v>14.25</v>
      </c>
      <c r="T81" s="38">
        <f t="shared" si="33"/>
        <v>14.75</v>
      </c>
      <c r="U81" s="38">
        <f t="shared" si="34"/>
        <v>15.25</v>
      </c>
      <c r="V81" s="38">
        <f t="shared" si="42"/>
        <v>16</v>
      </c>
      <c r="W81" s="38">
        <f t="shared" si="41"/>
        <v>16.5</v>
      </c>
    </row>
    <row r="82" spans="1:23" ht="21" customHeight="1" x14ac:dyDescent="0.2">
      <c r="A82" s="19" t="s">
        <v>144</v>
      </c>
      <c r="B82" s="19" t="s">
        <v>312</v>
      </c>
      <c r="C82" s="32" t="s">
        <v>29</v>
      </c>
      <c r="D82" s="32" t="s">
        <v>393</v>
      </c>
      <c r="E82" s="20" t="s">
        <v>397</v>
      </c>
      <c r="F82" s="20" t="s">
        <v>378</v>
      </c>
      <c r="G82" s="33">
        <v>18</v>
      </c>
      <c r="H82" s="34">
        <f>VLOOKUP($C82,'Raw Cost'!$A$1:$B$483,2,FALSE)/G82</f>
        <v>0.77777777777777779</v>
      </c>
      <c r="I82" s="34">
        <f t="shared" si="21"/>
        <v>4.8611111111111112E-2</v>
      </c>
      <c r="J82" s="35">
        <v>20</v>
      </c>
      <c r="K82" s="35">
        <v>0.25</v>
      </c>
      <c r="L82" s="36">
        <f>VLOOKUP($F82,'Packaging Cost'!$A$1:$F$43,6,FALSE)</f>
        <v>1.1000000000000001</v>
      </c>
      <c r="M82" s="37">
        <f>IF($E82="Snakpak",(($J82*H82)+($K82*'Labor Cost'!$A$2)+L82)+2.25,($J82*H82)+($K82*'Labor Cost'!$A$2)+L82+1)</f>
        <v>23.530555555555559</v>
      </c>
      <c r="N82" s="38">
        <f t="shared" si="35"/>
        <v>29.41319444444445</v>
      </c>
      <c r="O82" s="38">
        <f t="shared" si="36"/>
        <v>30.589722222222228</v>
      </c>
      <c r="P82" s="38">
        <f t="shared" si="37"/>
        <v>31.766250000000007</v>
      </c>
      <c r="Q82" s="38">
        <f t="shared" si="38"/>
        <v>32.942777777777778</v>
      </c>
      <c r="R82" s="38">
        <f t="shared" si="39"/>
        <v>34.119305555555556</v>
      </c>
      <c r="S82" s="38">
        <f t="shared" si="32"/>
        <v>29.5</v>
      </c>
      <c r="T82" s="38">
        <f t="shared" si="33"/>
        <v>30.5</v>
      </c>
      <c r="U82" s="38">
        <f t="shared" si="34"/>
        <v>31.75</v>
      </c>
      <c r="V82" s="38">
        <f t="shared" si="42"/>
        <v>33</v>
      </c>
      <c r="W82" s="38">
        <f t="shared" si="41"/>
        <v>34</v>
      </c>
    </row>
    <row r="83" spans="1:23" ht="21" customHeight="1" x14ac:dyDescent="0.2">
      <c r="A83" s="19" t="s">
        <v>466</v>
      </c>
      <c r="B83" s="19" t="s">
        <v>313</v>
      </c>
      <c r="C83" s="32" t="s">
        <v>29</v>
      </c>
      <c r="D83" s="32" t="s">
        <v>393</v>
      </c>
      <c r="E83" s="20" t="s">
        <v>397</v>
      </c>
      <c r="F83" s="20" t="s">
        <v>384</v>
      </c>
      <c r="G83" s="33">
        <v>18</v>
      </c>
      <c r="H83" s="34">
        <f>VLOOKUP($C83,'Raw Cost'!$A$1:$B$483,2,FALSE)/G83</f>
        <v>0.77777777777777779</v>
      </c>
      <c r="I83" s="34">
        <f t="shared" si="21"/>
        <v>4.8611111111111112E-2</v>
      </c>
      <c r="J83" s="35">
        <v>2</v>
      </c>
      <c r="K83" s="35">
        <v>0.2</v>
      </c>
      <c r="L83" s="36">
        <f>VLOOKUP($F83,'Packaging Cost'!$A$1:$F$43,6,FALSE)</f>
        <v>0.59</v>
      </c>
      <c r="M83" s="37">
        <f>IF($E83="Snakpak",(($J83*H83)+($K83*'Labor Cost'!$A$2)+L83)+2.25,($J83*H83)+($K83*'Labor Cost'!$A$2)+L83+1)</f>
        <v>7.8455555555555554</v>
      </c>
      <c r="N83" s="38">
        <f t="shared" si="35"/>
        <v>9.8069444444444436</v>
      </c>
      <c r="O83" s="38">
        <f t="shared" si="36"/>
        <v>10.199222222222222</v>
      </c>
      <c r="P83" s="38">
        <f t="shared" si="37"/>
        <v>10.5915</v>
      </c>
      <c r="Q83" s="38">
        <f t="shared" si="38"/>
        <v>10.983777777777776</v>
      </c>
      <c r="R83" s="38">
        <f t="shared" si="39"/>
        <v>11.376055555555554</v>
      </c>
      <c r="S83" s="38">
        <f t="shared" si="32"/>
        <v>9.75</v>
      </c>
      <c r="T83" s="38">
        <f t="shared" si="33"/>
        <v>10.25</v>
      </c>
      <c r="U83" s="38">
        <f t="shared" si="34"/>
        <v>10.5</v>
      </c>
      <c r="V83" s="38">
        <f t="shared" si="42"/>
        <v>11</v>
      </c>
      <c r="W83" s="38">
        <f t="shared" si="41"/>
        <v>11.5</v>
      </c>
    </row>
    <row r="84" spans="1:23" ht="21" customHeight="1" x14ac:dyDescent="0.2">
      <c r="A84" s="19" t="s">
        <v>105</v>
      </c>
      <c r="B84" s="19" t="s">
        <v>315</v>
      </c>
      <c r="C84" s="32" t="s">
        <v>29</v>
      </c>
      <c r="D84" s="32" t="s">
        <v>393</v>
      </c>
      <c r="E84" s="20" t="s">
        <v>397</v>
      </c>
      <c r="F84" s="20" t="s">
        <v>408</v>
      </c>
      <c r="G84" s="33">
        <v>18</v>
      </c>
      <c r="H84" s="34">
        <f>VLOOKUP($C84,'Raw Cost'!$A$1:$B$483,2,FALSE)/G84</f>
        <v>0.77777777777777779</v>
      </c>
      <c r="I84" s="34">
        <f t="shared" si="21"/>
        <v>4.8611111111111112E-2</v>
      </c>
      <c r="J84" s="35">
        <v>10</v>
      </c>
      <c r="K84" s="35">
        <v>0.25</v>
      </c>
      <c r="L84" s="36">
        <f>VLOOKUP($F84,'Packaging Cost'!$A$1:$F$43,6,FALSE)</f>
        <v>2.4600000000000004</v>
      </c>
      <c r="M84" s="37">
        <f>IF($E84="Snakpak",(($J84*H84)+($K84*'Labor Cost'!$A$2)+L84)+2.25,($J84*H84)+($K84*'Labor Cost'!$A$2)+L84+1)</f>
        <v>17.112777777777779</v>
      </c>
      <c r="N84" s="38">
        <f t="shared" si="35"/>
        <v>21.390972222222224</v>
      </c>
      <c r="O84" s="38">
        <f t="shared" si="36"/>
        <v>22.246611111111115</v>
      </c>
      <c r="P84" s="38">
        <f t="shared" si="37"/>
        <v>23.102250000000005</v>
      </c>
      <c r="Q84" s="38">
        <f t="shared" si="38"/>
        <v>23.957888888888888</v>
      </c>
      <c r="R84" s="38">
        <f t="shared" si="39"/>
        <v>24.813527777777779</v>
      </c>
      <c r="S84" s="38">
        <f t="shared" si="32"/>
        <v>21.5</v>
      </c>
      <c r="T84" s="38">
        <f t="shared" si="33"/>
        <v>22.25</v>
      </c>
      <c r="U84" s="38">
        <f t="shared" si="34"/>
        <v>23</v>
      </c>
      <c r="V84" s="38">
        <f t="shared" si="42"/>
        <v>24</v>
      </c>
      <c r="W84" s="38">
        <f t="shared" si="42"/>
        <v>24.75</v>
      </c>
    </row>
    <row r="85" spans="1:23" ht="21" customHeight="1" x14ac:dyDescent="0.2">
      <c r="A85" s="19" t="s">
        <v>138</v>
      </c>
      <c r="B85" s="19" t="s">
        <v>314</v>
      </c>
      <c r="C85" s="32" t="s">
        <v>29</v>
      </c>
      <c r="D85" s="32" t="s">
        <v>393</v>
      </c>
      <c r="E85" s="20" t="s">
        <v>397</v>
      </c>
      <c r="F85" s="20" t="s">
        <v>378</v>
      </c>
      <c r="G85" s="33">
        <v>18</v>
      </c>
      <c r="H85" s="34">
        <f>VLOOKUP($C85,'Raw Cost'!$A$1:$B$483,2,FALSE)/G85</f>
        <v>0.77777777777777779</v>
      </c>
      <c r="I85" s="34">
        <f t="shared" ref="I85:I140" si="45">H85/16</f>
        <v>4.8611111111111112E-2</v>
      </c>
      <c r="J85" s="35">
        <v>20</v>
      </c>
      <c r="K85" s="35">
        <v>0.3</v>
      </c>
      <c r="L85" s="36">
        <f>VLOOKUP($F85,'Packaging Cost'!$A$1:$F$43,6,FALSE)</f>
        <v>1.1000000000000001</v>
      </c>
      <c r="M85" s="37">
        <f>IF($E85="Snakpak",(($J85*H85)+($K85*'Labor Cost'!$A$2)+L85)+2.25,($J85*H85)+($K85*'Labor Cost'!$A$2)+L85+1)</f>
        <v>24.705555555555556</v>
      </c>
      <c r="N85" s="38">
        <f t="shared" si="35"/>
        <v>30.881944444444443</v>
      </c>
      <c r="O85" s="38">
        <f t="shared" si="36"/>
        <v>32.117222222222225</v>
      </c>
      <c r="P85" s="38">
        <f t="shared" si="37"/>
        <v>33.352499999999999</v>
      </c>
      <c r="Q85" s="38">
        <f t="shared" si="38"/>
        <v>34.587777777777774</v>
      </c>
      <c r="R85" s="38">
        <f t="shared" si="39"/>
        <v>35.823055555555555</v>
      </c>
      <c r="S85" s="38">
        <f t="shared" si="32"/>
        <v>31</v>
      </c>
      <c r="T85" s="38">
        <f t="shared" si="33"/>
        <v>32</v>
      </c>
      <c r="U85" s="38">
        <f t="shared" si="34"/>
        <v>33.25</v>
      </c>
      <c r="V85" s="38">
        <f t="shared" si="42"/>
        <v>34.5</v>
      </c>
      <c r="W85" s="38">
        <f t="shared" si="42"/>
        <v>35.75</v>
      </c>
    </row>
    <row r="86" spans="1:23" ht="21" customHeight="1" x14ac:dyDescent="0.2">
      <c r="A86" s="19" t="s">
        <v>423</v>
      </c>
      <c r="B86" s="19" t="s">
        <v>424</v>
      </c>
      <c r="C86" s="32" t="s">
        <v>29</v>
      </c>
      <c r="D86" s="32" t="s">
        <v>393</v>
      </c>
      <c r="E86" s="20" t="s">
        <v>397</v>
      </c>
      <c r="F86" s="20" t="s">
        <v>420</v>
      </c>
      <c r="G86" s="33">
        <v>25</v>
      </c>
      <c r="H86" s="34">
        <f>VLOOKUP($C86,'Raw Cost'!$A$1:$B$483,2,FALSE)/G86</f>
        <v>0.56000000000000005</v>
      </c>
      <c r="I86" s="34">
        <f t="shared" si="45"/>
        <v>3.5000000000000003E-2</v>
      </c>
      <c r="J86" s="35">
        <v>5</v>
      </c>
      <c r="K86" s="35">
        <v>0.1</v>
      </c>
      <c r="L86" s="36">
        <f>VLOOKUP($F86,'Packaging Cost'!$A$1:$F$43,6,FALSE)</f>
        <v>1.1500000000000001</v>
      </c>
      <c r="M86" s="37">
        <f>IF($E86="Snakpak",(($J86*H86)+($K86*'Labor Cost'!$A$2)+L86)+2.25,($J86*H86)+($K86*'Labor Cost'!$A$2)+L86)</f>
        <v>6.3000000000000007</v>
      </c>
      <c r="N86" s="38">
        <f t="shared" si="35"/>
        <v>7.8750000000000009</v>
      </c>
      <c r="O86" s="38">
        <f t="shared" si="36"/>
        <v>8.1900000000000013</v>
      </c>
      <c r="P86" s="38">
        <f t="shared" si="37"/>
        <v>8.5050000000000008</v>
      </c>
      <c r="Q86" s="38">
        <f t="shared" si="38"/>
        <v>8.82</v>
      </c>
      <c r="R86" s="38">
        <f t="shared" si="39"/>
        <v>9.1350000000000016</v>
      </c>
      <c r="S86" s="38">
        <f t="shared" si="32"/>
        <v>8</v>
      </c>
      <c r="T86" s="38">
        <f t="shared" si="33"/>
        <v>8.25</v>
      </c>
      <c r="U86" s="38">
        <f t="shared" si="34"/>
        <v>8.5</v>
      </c>
      <c r="V86" s="38">
        <f>MROUND(Q86,0.25)</f>
        <v>8.75</v>
      </c>
      <c r="W86" s="38">
        <f t="shared" si="42"/>
        <v>9.25</v>
      </c>
    </row>
    <row r="87" spans="1:23" ht="21" customHeight="1" x14ac:dyDescent="0.2">
      <c r="A87" s="19" t="s">
        <v>175</v>
      </c>
      <c r="B87" s="19" t="s">
        <v>361</v>
      </c>
      <c r="C87" s="20" t="s">
        <v>30</v>
      </c>
      <c r="D87" s="20" t="s">
        <v>393</v>
      </c>
      <c r="E87" s="20" t="s">
        <v>397</v>
      </c>
      <c r="F87" s="20" t="s">
        <v>384</v>
      </c>
      <c r="G87" s="33">
        <v>32</v>
      </c>
      <c r="H87" s="34">
        <f>VLOOKUP($C87,'Raw Cost'!$A$1:$B$483,2,FALSE)/G87</f>
        <v>0.4375</v>
      </c>
      <c r="I87" s="34">
        <f t="shared" si="45"/>
        <v>2.734375E-2</v>
      </c>
      <c r="J87" s="35">
        <v>5</v>
      </c>
      <c r="K87" s="35">
        <v>0.25</v>
      </c>
      <c r="L87" s="36">
        <f>VLOOKUP($F87,'Packaging Cost'!$A$1:$F$43,6,FALSE)</f>
        <v>0.59</v>
      </c>
      <c r="M87" s="37">
        <f>IF($E87="Snakpak",(($J87*H87)+($K87*'Labor Cost'!$A$2)+L87)+2.25,($J87*H87)+($K87*'Labor Cost'!$A$2)+L87+1)</f>
        <v>9.6524999999999999</v>
      </c>
      <c r="N87" s="38">
        <f t="shared" si="35"/>
        <v>12.065625000000001</v>
      </c>
      <c r="O87" s="38">
        <f t="shared" si="36"/>
        <v>12.548249999999999</v>
      </c>
      <c r="P87" s="38">
        <f t="shared" si="37"/>
        <v>13.030875</v>
      </c>
      <c r="Q87" s="38">
        <f t="shared" si="38"/>
        <v>13.513499999999999</v>
      </c>
      <c r="R87" s="38">
        <f t="shared" si="39"/>
        <v>13.996124999999999</v>
      </c>
      <c r="S87" s="38">
        <f t="shared" si="32"/>
        <v>12</v>
      </c>
      <c r="T87" s="38">
        <f t="shared" si="33"/>
        <v>12.5</v>
      </c>
      <c r="U87" s="38">
        <f t="shared" si="34"/>
        <v>13</v>
      </c>
      <c r="V87" s="38">
        <f t="shared" si="42"/>
        <v>13.5</v>
      </c>
      <c r="W87" s="38">
        <f t="shared" si="42"/>
        <v>14</v>
      </c>
    </row>
    <row r="88" spans="1:23" ht="21" customHeight="1" x14ac:dyDescent="0.2">
      <c r="A88" s="19" t="s">
        <v>421</v>
      </c>
      <c r="B88" s="19" t="s">
        <v>422</v>
      </c>
      <c r="C88" s="20" t="s">
        <v>30</v>
      </c>
      <c r="D88" s="20" t="s">
        <v>393</v>
      </c>
      <c r="E88" s="20" t="s">
        <v>397</v>
      </c>
      <c r="F88" s="20" t="s">
        <v>420</v>
      </c>
      <c r="G88" s="33">
        <v>50</v>
      </c>
      <c r="H88" s="34">
        <f>VLOOKUP($C88,'Raw Cost'!$A$1:$B$483,2,FALSE)/G88</f>
        <v>0.28000000000000003</v>
      </c>
      <c r="I88" s="34">
        <f t="shared" si="45"/>
        <v>1.7500000000000002E-2</v>
      </c>
      <c r="J88" s="35">
        <v>5</v>
      </c>
      <c r="K88" s="35">
        <v>0.1</v>
      </c>
      <c r="L88" s="36">
        <f>VLOOKUP($F88,'Packaging Cost'!$A$1:$F$43,6,FALSE)</f>
        <v>1.1500000000000001</v>
      </c>
      <c r="M88" s="37">
        <f>IF($E88="Snakpak",(($J88*H88)+($K88*'Labor Cost'!$A$2)+L88)+2.25,($J88*H88)+($K88*'Labor Cost'!$A$2)+L88)</f>
        <v>4.9000000000000004</v>
      </c>
      <c r="N88" s="38">
        <f t="shared" si="35"/>
        <v>6.125</v>
      </c>
      <c r="O88" s="38">
        <f t="shared" si="36"/>
        <v>6.370000000000001</v>
      </c>
      <c r="P88" s="38">
        <f t="shared" si="37"/>
        <v>6.6150000000000011</v>
      </c>
      <c r="Q88" s="38">
        <f t="shared" si="38"/>
        <v>6.86</v>
      </c>
      <c r="R88" s="38">
        <f t="shared" si="39"/>
        <v>7.1050000000000004</v>
      </c>
      <c r="S88" s="38">
        <f t="shared" si="32"/>
        <v>6.25</v>
      </c>
      <c r="T88" s="38">
        <f t="shared" si="33"/>
        <v>6.25</v>
      </c>
      <c r="U88" s="38">
        <f t="shared" si="34"/>
        <v>6.5</v>
      </c>
      <c r="V88" s="38">
        <f>MROUND(Q88,0.25)</f>
        <v>6.75</v>
      </c>
      <c r="W88" s="38">
        <f t="shared" si="42"/>
        <v>7</v>
      </c>
    </row>
    <row r="89" spans="1:23" ht="21" customHeight="1" x14ac:dyDescent="0.2">
      <c r="A89" s="19" t="s">
        <v>172</v>
      </c>
      <c r="B89" s="19" t="s">
        <v>355</v>
      </c>
      <c r="C89" s="32" t="s">
        <v>30</v>
      </c>
      <c r="D89" s="32" t="s">
        <v>393</v>
      </c>
      <c r="E89" s="20" t="s">
        <v>397</v>
      </c>
      <c r="F89" s="20" t="s">
        <v>383</v>
      </c>
      <c r="G89" s="33">
        <v>32</v>
      </c>
      <c r="H89" s="34">
        <f>VLOOKUP($C89,'Raw Cost'!$A$1:$B$483,2,FALSE)/G89</f>
        <v>0.4375</v>
      </c>
      <c r="I89" s="34">
        <f t="shared" si="45"/>
        <v>2.734375E-2</v>
      </c>
      <c r="J89" s="35">
        <v>10</v>
      </c>
      <c r="K89" s="35">
        <v>0.25</v>
      </c>
      <c r="L89" s="36">
        <f>VLOOKUP($F89,'Packaging Cost'!$A$1:$F$43,6,FALSE)</f>
        <v>0.9</v>
      </c>
      <c r="M89" s="37">
        <f>IF($E89="Snakpak",(($J89*H89)+($K89*'Labor Cost'!$A$2)+L89)+2.25,($J89*H89)+($K89*'Labor Cost'!$A$2)+L89+1)</f>
        <v>12.15</v>
      </c>
      <c r="N89" s="38">
        <f t="shared" si="35"/>
        <v>15.1875</v>
      </c>
      <c r="O89" s="38">
        <f t="shared" si="36"/>
        <v>15.795000000000002</v>
      </c>
      <c r="P89" s="38">
        <f t="shared" si="37"/>
        <v>16.4025</v>
      </c>
      <c r="Q89" s="38">
        <f t="shared" si="38"/>
        <v>17.009999999999998</v>
      </c>
      <c r="R89" s="38">
        <f t="shared" si="39"/>
        <v>17.6175</v>
      </c>
      <c r="S89" s="38">
        <f t="shared" si="32"/>
        <v>15.25</v>
      </c>
      <c r="T89" s="38">
        <f t="shared" si="33"/>
        <v>15.75</v>
      </c>
      <c r="U89" s="38">
        <f t="shared" si="34"/>
        <v>16.5</v>
      </c>
      <c r="V89" s="38">
        <f t="shared" si="42"/>
        <v>17</v>
      </c>
      <c r="W89" s="38">
        <f t="shared" si="42"/>
        <v>17.5</v>
      </c>
    </row>
    <row r="90" spans="1:23" ht="21" customHeight="1" x14ac:dyDescent="0.2">
      <c r="A90" s="19" t="s">
        <v>108</v>
      </c>
      <c r="B90" s="19" t="s">
        <v>354</v>
      </c>
      <c r="C90" s="32" t="s">
        <v>30</v>
      </c>
      <c r="D90" s="32" t="s">
        <v>393</v>
      </c>
      <c r="E90" s="20" t="s">
        <v>397</v>
      </c>
      <c r="F90" s="20" t="s">
        <v>378</v>
      </c>
      <c r="G90" s="33">
        <v>32</v>
      </c>
      <c r="H90" s="34">
        <f>VLOOKUP($C90,'Raw Cost'!$A$1:$B$483,2,FALSE)/G90</f>
        <v>0.4375</v>
      </c>
      <c r="I90" s="34">
        <f t="shared" si="45"/>
        <v>2.734375E-2</v>
      </c>
      <c r="J90" s="35">
        <v>20</v>
      </c>
      <c r="K90" s="35">
        <v>0.25</v>
      </c>
      <c r="L90" s="36">
        <f>VLOOKUP($F90,'Packaging Cost'!$A$1:$F$43,6,FALSE)</f>
        <v>1.1000000000000001</v>
      </c>
      <c r="M90" s="37">
        <f>IF($E90="Snakpak",(($J90*H90)+($K90*'Labor Cost'!$A$2)+L90)+2.25,($J90*H90)+($K90*'Labor Cost'!$A$2)+L90+1)</f>
        <v>16.725000000000001</v>
      </c>
      <c r="N90" s="38">
        <f t="shared" si="35"/>
        <v>20.90625</v>
      </c>
      <c r="O90" s="38">
        <f t="shared" si="36"/>
        <v>21.742500000000003</v>
      </c>
      <c r="P90" s="38">
        <f t="shared" si="37"/>
        <v>22.578750000000003</v>
      </c>
      <c r="Q90" s="38">
        <f t="shared" si="38"/>
        <v>23.414999999999999</v>
      </c>
      <c r="R90" s="38">
        <f t="shared" si="39"/>
        <v>24.251250000000002</v>
      </c>
      <c r="S90" s="38">
        <f t="shared" si="32"/>
        <v>21</v>
      </c>
      <c r="T90" s="38">
        <f t="shared" si="33"/>
        <v>21.75</v>
      </c>
      <c r="U90" s="38">
        <f t="shared" si="34"/>
        <v>22.5</v>
      </c>
      <c r="V90" s="38">
        <f t="shared" si="42"/>
        <v>23.5</v>
      </c>
      <c r="W90" s="38">
        <f t="shared" si="42"/>
        <v>24.25</v>
      </c>
    </row>
    <row r="91" spans="1:23" ht="21" customHeight="1" x14ac:dyDescent="0.2">
      <c r="A91" s="19" t="s">
        <v>173</v>
      </c>
      <c r="B91" s="19" t="s">
        <v>357</v>
      </c>
      <c r="C91" s="32" t="s">
        <v>30</v>
      </c>
      <c r="D91" s="32" t="s">
        <v>393</v>
      </c>
      <c r="E91" s="20" t="s">
        <v>397</v>
      </c>
      <c r="F91" s="20" t="s">
        <v>383</v>
      </c>
      <c r="G91" s="33">
        <v>32</v>
      </c>
      <c r="H91" s="34">
        <f>VLOOKUP($C91,'Raw Cost'!$A$1:$B$483,2,FALSE)/G91</f>
        <v>0.4375</v>
      </c>
      <c r="I91" s="34">
        <f t="shared" si="45"/>
        <v>2.734375E-2</v>
      </c>
      <c r="J91" s="35">
        <v>10</v>
      </c>
      <c r="K91" s="35">
        <v>0.25</v>
      </c>
      <c r="L91" s="36">
        <f>VLOOKUP($F91,'Packaging Cost'!$A$1:$F$43,6,FALSE)</f>
        <v>0.9</v>
      </c>
      <c r="M91" s="37">
        <f>IF($E91="Snakpak",(($J91*H91)+($K91*'Labor Cost'!$A$2)+L91)+2.25,($J91*H91)+($K91*'Labor Cost'!$A$2)+L91+1)</f>
        <v>12.15</v>
      </c>
      <c r="N91" s="38">
        <f t="shared" si="35"/>
        <v>15.1875</v>
      </c>
      <c r="O91" s="38">
        <f t="shared" si="36"/>
        <v>15.795000000000002</v>
      </c>
      <c r="P91" s="38">
        <f t="shared" si="37"/>
        <v>16.4025</v>
      </c>
      <c r="Q91" s="38">
        <f t="shared" si="38"/>
        <v>17.009999999999998</v>
      </c>
      <c r="R91" s="38">
        <f t="shared" si="39"/>
        <v>17.6175</v>
      </c>
      <c r="S91" s="38">
        <f t="shared" si="32"/>
        <v>15.25</v>
      </c>
      <c r="T91" s="38">
        <f t="shared" si="33"/>
        <v>15.75</v>
      </c>
      <c r="U91" s="38">
        <f t="shared" si="34"/>
        <v>16.5</v>
      </c>
      <c r="V91" s="38">
        <f t="shared" si="42"/>
        <v>17</v>
      </c>
      <c r="W91" s="38">
        <f t="shared" si="42"/>
        <v>17.5</v>
      </c>
    </row>
    <row r="92" spans="1:23" ht="21" customHeight="1" x14ac:dyDescent="0.2">
      <c r="A92" s="19" t="s">
        <v>109</v>
      </c>
      <c r="B92" s="19" t="s">
        <v>356</v>
      </c>
      <c r="C92" s="32" t="s">
        <v>30</v>
      </c>
      <c r="D92" s="32" t="s">
        <v>393</v>
      </c>
      <c r="E92" s="20" t="s">
        <v>397</v>
      </c>
      <c r="F92" s="20" t="s">
        <v>378</v>
      </c>
      <c r="G92" s="33">
        <v>32</v>
      </c>
      <c r="H92" s="34">
        <f>VLOOKUP($C92,'Raw Cost'!$A$1:$B$483,2,FALSE)/G92</f>
        <v>0.4375</v>
      </c>
      <c r="I92" s="34">
        <f t="shared" si="45"/>
        <v>2.734375E-2</v>
      </c>
      <c r="J92" s="35">
        <v>20</v>
      </c>
      <c r="K92" s="35">
        <v>0.25</v>
      </c>
      <c r="L92" s="36">
        <f>VLOOKUP($F92,'Packaging Cost'!$A$1:$F$43,6,FALSE)</f>
        <v>1.1000000000000001</v>
      </c>
      <c r="M92" s="37">
        <f>IF($E92="Snakpak",(($J92*H92)+($K92*'Labor Cost'!$A$2)+L92)+2.25,($J92*H92)+($K92*'Labor Cost'!$A$2)+L92+1)</f>
        <v>16.725000000000001</v>
      </c>
      <c r="N92" s="38">
        <f t="shared" si="35"/>
        <v>20.90625</v>
      </c>
      <c r="O92" s="38">
        <f t="shared" si="36"/>
        <v>21.742500000000003</v>
      </c>
      <c r="P92" s="38">
        <f t="shared" si="37"/>
        <v>22.578750000000003</v>
      </c>
      <c r="Q92" s="38">
        <f t="shared" si="38"/>
        <v>23.414999999999999</v>
      </c>
      <c r="R92" s="38">
        <f t="shared" si="39"/>
        <v>24.251250000000002</v>
      </c>
      <c r="S92" s="38">
        <f t="shared" si="32"/>
        <v>21</v>
      </c>
      <c r="T92" s="38">
        <f t="shared" si="33"/>
        <v>21.75</v>
      </c>
      <c r="U92" s="38">
        <f t="shared" si="34"/>
        <v>22.5</v>
      </c>
      <c r="V92" s="38">
        <f t="shared" si="42"/>
        <v>23.5</v>
      </c>
      <c r="W92" s="38">
        <f t="shared" si="42"/>
        <v>24.25</v>
      </c>
    </row>
    <row r="93" spans="1:23" ht="21" customHeight="1" x14ac:dyDescent="0.2">
      <c r="A93" s="19" t="s">
        <v>110</v>
      </c>
      <c r="B93" s="19" t="s">
        <v>358</v>
      </c>
      <c r="C93" s="32" t="s">
        <v>30</v>
      </c>
      <c r="D93" s="32" t="s">
        <v>393</v>
      </c>
      <c r="E93" s="20" t="s">
        <v>397</v>
      </c>
      <c r="F93" s="20" t="s">
        <v>378</v>
      </c>
      <c r="G93" s="33">
        <v>32</v>
      </c>
      <c r="H93" s="34">
        <f>VLOOKUP($C93,'Raw Cost'!$A$1:$B$483,2,FALSE)/G93</f>
        <v>0.4375</v>
      </c>
      <c r="I93" s="34">
        <f t="shared" si="45"/>
        <v>2.734375E-2</v>
      </c>
      <c r="J93" s="35">
        <v>20</v>
      </c>
      <c r="K93" s="35">
        <v>0.25</v>
      </c>
      <c r="L93" s="36">
        <f>VLOOKUP($F93,'Packaging Cost'!$A$1:$F$43,6,FALSE)</f>
        <v>1.1000000000000001</v>
      </c>
      <c r="M93" s="37">
        <f>IF($E93="Snakpak",(($J93*H93)+($K93*'Labor Cost'!$A$2)+L93)+2.25,($J93*H93)+($K93*'Labor Cost'!$A$2)+L93+1)</f>
        <v>16.725000000000001</v>
      </c>
      <c r="N93" s="38">
        <f t="shared" si="35"/>
        <v>20.90625</v>
      </c>
      <c r="O93" s="38">
        <f t="shared" si="36"/>
        <v>21.742500000000003</v>
      </c>
      <c r="P93" s="38">
        <f t="shared" si="37"/>
        <v>22.578750000000003</v>
      </c>
      <c r="Q93" s="38">
        <f t="shared" si="38"/>
        <v>23.414999999999999</v>
      </c>
      <c r="R93" s="38">
        <f t="shared" si="39"/>
        <v>24.251250000000002</v>
      </c>
      <c r="S93" s="38">
        <f t="shared" si="32"/>
        <v>21</v>
      </c>
      <c r="T93" s="38">
        <f t="shared" si="33"/>
        <v>21.75</v>
      </c>
      <c r="U93" s="38">
        <f t="shared" si="34"/>
        <v>22.5</v>
      </c>
      <c r="V93" s="38">
        <f t="shared" si="42"/>
        <v>23.5</v>
      </c>
      <c r="W93" s="38">
        <f t="shared" si="42"/>
        <v>24.25</v>
      </c>
    </row>
    <row r="94" spans="1:23" ht="21" customHeight="1" x14ac:dyDescent="0.2">
      <c r="A94" s="19" t="s">
        <v>439</v>
      </c>
      <c r="B94" s="19" t="s">
        <v>440</v>
      </c>
      <c r="C94" s="32" t="s">
        <v>30</v>
      </c>
      <c r="D94" s="32" t="s">
        <v>393</v>
      </c>
      <c r="E94" s="20" t="s">
        <v>397</v>
      </c>
      <c r="F94" s="20" t="s">
        <v>410</v>
      </c>
      <c r="G94" s="33">
        <v>32</v>
      </c>
      <c r="H94" s="34">
        <f>VLOOKUP($C94,'Raw Cost'!$A$1:$B$483,2,FALSE)/G94</f>
        <v>0.4375</v>
      </c>
      <c r="I94" s="34">
        <f t="shared" si="45"/>
        <v>2.734375E-2</v>
      </c>
      <c r="J94" s="35">
        <v>5</v>
      </c>
      <c r="K94" s="35">
        <v>0.12</v>
      </c>
      <c r="L94" s="36">
        <f>VLOOKUP($F94,'Packaging Cost'!$A$1:$F$43,6,FALSE)</f>
        <v>1.4100000000000001</v>
      </c>
      <c r="M94" s="37">
        <f>IF($E94="Snakpak",(($J94*H94)+($K94*'Labor Cost'!$A$2)+L94)+2.25,($J94*H94)+($K94*'Labor Cost'!$A$2)+L94+1)</f>
        <v>7.4175000000000004</v>
      </c>
      <c r="N94" s="38">
        <f t="shared" si="35"/>
        <v>9.2718750000000014</v>
      </c>
      <c r="O94" s="38">
        <f t="shared" si="36"/>
        <v>9.6427500000000013</v>
      </c>
      <c r="P94" s="38">
        <f t="shared" si="37"/>
        <v>10.013625000000001</v>
      </c>
      <c r="Q94" s="38">
        <f t="shared" si="38"/>
        <v>10.384499999999999</v>
      </c>
      <c r="R94" s="38">
        <f t="shared" si="39"/>
        <v>10.755375000000001</v>
      </c>
      <c r="S94" s="38">
        <f t="shared" si="32"/>
        <v>9.25</v>
      </c>
      <c r="T94" s="38">
        <f t="shared" si="33"/>
        <v>9.75</v>
      </c>
      <c r="U94" s="38">
        <f t="shared" si="34"/>
        <v>10</v>
      </c>
      <c r="V94" s="38">
        <f>MROUND(Q94,0.25)</f>
        <v>10.5</v>
      </c>
      <c r="W94" s="38">
        <f t="shared" si="42"/>
        <v>10.75</v>
      </c>
    </row>
    <row r="95" spans="1:23" ht="21" customHeight="1" x14ac:dyDescent="0.2">
      <c r="A95" s="19" t="s">
        <v>111</v>
      </c>
      <c r="B95" s="19" t="s">
        <v>360</v>
      </c>
      <c r="C95" s="32" t="s">
        <v>30</v>
      </c>
      <c r="D95" s="32" t="s">
        <v>393</v>
      </c>
      <c r="E95" s="20" t="s">
        <v>397</v>
      </c>
      <c r="F95" s="20" t="s">
        <v>383</v>
      </c>
      <c r="G95" s="33">
        <v>32</v>
      </c>
      <c r="H95" s="34">
        <f>VLOOKUP($C95,'Raw Cost'!$A$1:$B$483,2,FALSE)/G95</f>
        <v>0.4375</v>
      </c>
      <c r="I95" s="34">
        <f t="shared" si="45"/>
        <v>2.734375E-2</v>
      </c>
      <c r="J95" s="35">
        <v>10</v>
      </c>
      <c r="K95" s="35">
        <v>0.25</v>
      </c>
      <c r="L95" s="36">
        <f>VLOOKUP($F95,'Packaging Cost'!$A$1:$F$43,6,FALSE)</f>
        <v>0.9</v>
      </c>
      <c r="M95" s="37">
        <f>IF($E95="Snakpak",(($J95*H95)+($K95*'Labor Cost'!$A$2)+L95)+2.25,($J95*H95)+($K95*'Labor Cost'!$A$2)+L95+1)</f>
        <v>12.15</v>
      </c>
      <c r="N95" s="38">
        <f t="shared" si="35"/>
        <v>15.1875</v>
      </c>
      <c r="O95" s="38">
        <f t="shared" si="36"/>
        <v>15.795000000000002</v>
      </c>
      <c r="P95" s="38">
        <f t="shared" si="37"/>
        <v>16.4025</v>
      </c>
      <c r="Q95" s="38">
        <f t="shared" si="38"/>
        <v>17.009999999999998</v>
      </c>
      <c r="R95" s="38">
        <f t="shared" si="39"/>
        <v>17.6175</v>
      </c>
      <c r="S95" s="38">
        <f t="shared" si="32"/>
        <v>15.25</v>
      </c>
      <c r="T95" s="38">
        <f t="shared" si="33"/>
        <v>15.75</v>
      </c>
      <c r="U95" s="38">
        <f t="shared" si="34"/>
        <v>16.5</v>
      </c>
      <c r="V95" s="38">
        <f t="shared" si="42"/>
        <v>17</v>
      </c>
      <c r="W95" s="38">
        <f t="shared" si="42"/>
        <v>17.5</v>
      </c>
    </row>
    <row r="96" spans="1:23" ht="21" customHeight="1" x14ac:dyDescent="0.2">
      <c r="A96" s="19" t="s">
        <v>174</v>
      </c>
      <c r="B96" s="19" t="s">
        <v>359</v>
      </c>
      <c r="C96" s="32" t="s">
        <v>30</v>
      </c>
      <c r="D96" s="32" t="s">
        <v>393</v>
      </c>
      <c r="E96" s="20" t="s">
        <v>397</v>
      </c>
      <c r="F96" s="20" t="s">
        <v>378</v>
      </c>
      <c r="G96" s="33">
        <v>32</v>
      </c>
      <c r="H96" s="34">
        <f>VLOOKUP($C96,'Raw Cost'!$A$1:$B$483,2,FALSE)/G96</f>
        <v>0.4375</v>
      </c>
      <c r="I96" s="34">
        <f t="shared" si="45"/>
        <v>2.734375E-2</v>
      </c>
      <c r="J96" s="35">
        <v>20</v>
      </c>
      <c r="K96" s="35">
        <v>0.25</v>
      </c>
      <c r="L96" s="36">
        <f>VLOOKUP($F96,'Packaging Cost'!$A$1:$F$43,6,FALSE)</f>
        <v>1.1000000000000001</v>
      </c>
      <c r="M96" s="37">
        <f>IF($E96="Snakpak",(($J96*H96)+($K96*'Labor Cost'!$A$2)+L96)+2.25,($J96*H96)+($K96*'Labor Cost'!$A$2)+L96+1)</f>
        <v>16.725000000000001</v>
      </c>
      <c r="N96" s="38">
        <f t="shared" si="35"/>
        <v>20.90625</v>
      </c>
      <c r="O96" s="38">
        <f t="shared" si="36"/>
        <v>21.742500000000003</v>
      </c>
      <c r="P96" s="38">
        <f t="shared" si="37"/>
        <v>22.578750000000003</v>
      </c>
      <c r="Q96" s="38">
        <f t="shared" si="38"/>
        <v>23.414999999999999</v>
      </c>
      <c r="R96" s="38">
        <f t="shared" si="39"/>
        <v>24.251250000000002</v>
      </c>
      <c r="S96" s="38">
        <f t="shared" si="32"/>
        <v>21</v>
      </c>
      <c r="T96" s="38">
        <f t="shared" si="33"/>
        <v>21.75</v>
      </c>
      <c r="U96" s="38">
        <f t="shared" si="34"/>
        <v>22.5</v>
      </c>
      <c r="V96" s="38">
        <f t="shared" si="42"/>
        <v>23.5</v>
      </c>
      <c r="W96" s="38">
        <f t="shared" si="42"/>
        <v>24.25</v>
      </c>
    </row>
    <row r="97" spans="1:23" ht="21" customHeight="1" x14ac:dyDescent="0.2">
      <c r="A97" s="19" t="s">
        <v>1070</v>
      </c>
      <c r="B97" s="19" t="s">
        <v>354</v>
      </c>
      <c r="C97" s="32" t="s">
        <v>1062</v>
      </c>
      <c r="D97" s="32" t="s">
        <v>393</v>
      </c>
      <c r="E97" s="20" t="s">
        <v>397</v>
      </c>
      <c r="F97" s="20" t="s">
        <v>378</v>
      </c>
      <c r="G97" s="33">
        <v>29</v>
      </c>
      <c r="H97" s="34">
        <f>VLOOKUP($C97,'Raw Cost'!$A$1:$B$483,2,FALSE)/G97</f>
        <v>1.103448275862069</v>
      </c>
      <c r="I97" s="34">
        <f t="shared" ref="I97:I98" si="46">H97/16</f>
        <v>6.8965517241379309E-2</v>
      </c>
      <c r="J97" s="35">
        <v>20</v>
      </c>
      <c r="K97" s="35">
        <v>0.25</v>
      </c>
      <c r="L97" s="36">
        <f>VLOOKUP($F97,'Packaging Cost'!$A$1:$F$43,6,FALSE)</f>
        <v>1.1000000000000001</v>
      </c>
      <c r="M97" s="37">
        <f>IF($E97="Snakpak",(($J97*H97)+($K97*'Labor Cost'!$A$2)+L97)+2.25,($J97*H97)+($K97*'Labor Cost'!$A$2)+L97+1)</f>
        <v>30.043965517241382</v>
      </c>
      <c r="N97" s="38">
        <f t="shared" si="35"/>
        <v>37.55495689655173</v>
      </c>
      <c r="O97" s="38">
        <f t="shared" si="36"/>
        <v>39.0571551724138</v>
      </c>
      <c r="P97" s="38">
        <f t="shared" si="37"/>
        <v>40.559353448275871</v>
      </c>
      <c r="Q97" s="38">
        <f t="shared" si="38"/>
        <v>42.061551724137935</v>
      </c>
      <c r="R97" s="38">
        <f t="shared" si="39"/>
        <v>43.563750000000006</v>
      </c>
      <c r="S97" s="38">
        <f t="shared" si="32"/>
        <v>37.5</v>
      </c>
      <c r="T97" s="38">
        <f t="shared" si="33"/>
        <v>39</v>
      </c>
      <c r="U97" s="38">
        <f t="shared" si="34"/>
        <v>40.5</v>
      </c>
      <c r="V97" s="38">
        <f t="shared" ref="V97:V98" si="47">MROUND(Q97,0.25)</f>
        <v>42</v>
      </c>
      <c r="W97" s="38">
        <f t="shared" si="42"/>
        <v>43.5</v>
      </c>
    </row>
    <row r="98" spans="1:23" ht="21" customHeight="1" x14ac:dyDescent="0.2">
      <c r="A98" s="19" t="s">
        <v>1073</v>
      </c>
      <c r="B98" s="19" t="s">
        <v>315</v>
      </c>
      <c r="C98" s="32" t="s">
        <v>1074</v>
      </c>
      <c r="D98" s="32" t="s">
        <v>393</v>
      </c>
      <c r="E98" s="20" t="s">
        <v>397</v>
      </c>
      <c r="F98" s="20" t="s">
        <v>408</v>
      </c>
      <c r="G98" s="33">
        <v>5</v>
      </c>
      <c r="H98" s="34">
        <f>VLOOKUP($C98,'Raw Cost'!$A$1:$B$483,2,FALSE)/G98</f>
        <v>3.4</v>
      </c>
      <c r="I98" s="34">
        <f t="shared" si="46"/>
        <v>0.21249999999999999</v>
      </c>
      <c r="J98" s="35">
        <v>10</v>
      </c>
      <c r="K98" s="35">
        <v>0.25</v>
      </c>
      <c r="L98" s="36">
        <f>VLOOKUP($F98,'Packaging Cost'!$A$1:$F$43,6,FALSE)</f>
        <v>2.4600000000000004</v>
      </c>
      <c r="M98" s="37">
        <f>IF($E98="Snakpak",(($J98*H98)+($K98*'Labor Cost'!$A$2)+L98)+2.25,($J98*H98)+($K98*'Labor Cost'!$A$2)+L98+1)</f>
        <v>43.335000000000001</v>
      </c>
      <c r="N98" s="38">
        <f t="shared" si="35"/>
        <v>54.168750000000003</v>
      </c>
      <c r="O98" s="38">
        <f t="shared" si="36"/>
        <v>56.335500000000003</v>
      </c>
      <c r="P98" s="38">
        <f t="shared" si="37"/>
        <v>58.502250000000004</v>
      </c>
      <c r="Q98" s="38">
        <f t="shared" si="38"/>
        <v>60.668999999999997</v>
      </c>
      <c r="R98" s="38">
        <f t="shared" si="39"/>
        <v>62.835749999999997</v>
      </c>
      <c r="S98" s="38">
        <f t="shared" ref="S98:S129" si="48">MROUND(N98,0.25)</f>
        <v>54.25</v>
      </c>
      <c r="T98" s="38">
        <f t="shared" ref="T98:T129" si="49">MROUND(O98,0.25)</f>
        <v>56.25</v>
      </c>
      <c r="U98" s="38">
        <f t="shared" ref="U98:U129" si="50">MROUND(P98,0.25)</f>
        <v>58.5</v>
      </c>
      <c r="V98" s="38">
        <f t="shared" si="47"/>
        <v>60.75</v>
      </c>
      <c r="W98" s="38">
        <f t="shared" si="42"/>
        <v>62.75</v>
      </c>
    </row>
    <row r="99" spans="1:23" ht="21" customHeight="1" x14ac:dyDescent="0.2">
      <c r="A99" s="19" t="s">
        <v>115</v>
      </c>
      <c r="B99" s="19" t="s">
        <v>274</v>
      </c>
      <c r="C99" s="20" t="s">
        <v>31</v>
      </c>
      <c r="D99" s="20" t="s">
        <v>393</v>
      </c>
      <c r="E99" s="20" t="s">
        <v>397</v>
      </c>
      <c r="F99" s="20" t="s">
        <v>407</v>
      </c>
      <c r="G99" s="33">
        <v>29</v>
      </c>
      <c r="H99" s="34">
        <f>VLOOKUP($C99,'Raw Cost'!$A$1:$B$483,2,FALSE)/G99</f>
        <v>0.93103448275862066</v>
      </c>
      <c r="I99" s="34">
        <f t="shared" si="45"/>
        <v>5.8189655172413791E-2</v>
      </c>
      <c r="J99" s="35">
        <v>5</v>
      </c>
      <c r="K99" s="35">
        <v>0.25</v>
      </c>
      <c r="L99" s="36">
        <f>VLOOKUP($F99,'Packaging Cost'!$A$1:$F$43,6,FALSE)</f>
        <v>3.16</v>
      </c>
      <c r="M99" s="37">
        <f>IF($E99="Snakpak",(($J99*H99)+($K99*'Labor Cost'!$A$2)+L99)+2.25,($J99*H99)+($K99*'Labor Cost'!$A$2)+L99+1)</f>
        <v>14.690172413793103</v>
      </c>
      <c r="N99" s="38">
        <f t="shared" si="35"/>
        <v>18.36271551724138</v>
      </c>
      <c r="O99" s="38">
        <f t="shared" si="36"/>
        <v>19.097224137931036</v>
      </c>
      <c r="P99" s="38">
        <f t="shared" si="37"/>
        <v>19.831732758620692</v>
      </c>
      <c r="Q99" s="38">
        <f t="shared" si="38"/>
        <v>20.566241379310345</v>
      </c>
      <c r="R99" s="38">
        <f t="shared" si="39"/>
        <v>21.300750000000001</v>
      </c>
      <c r="S99" s="38">
        <f t="shared" si="48"/>
        <v>18.25</v>
      </c>
      <c r="T99" s="38">
        <f t="shared" si="49"/>
        <v>19</v>
      </c>
      <c r="U99" s="38">
        <f t="shared" si="50"/>
        <v>19.75</v>
      </c>
      <c r="V99" s="38">
        <f t="shared" si="42"/>
        <v>20.5</v>
      </c>
      <c r="W99" s="38">
        <f t="shared" si="42"/>
        <v>21.25</v>
      </c>
    </row>
    <row r="100" spans="1:23" ht="21" customHeight="1" x14ac:dyDescent="0.2">
      <c r="A100" s="19" t="s">
        <v>1075</v>
      </c>
      <c r="B100" s="19" t="s">
        <v>274</v>
      </c>
      <c r="C100" s="20" t="s">
        <v>31</v>
      </c>
      <c r="D100" s="20" t="s">
        <v>393</v>
      </c>
      <c r="E100" s="20" t="s">
        <v>397</v>
      </c>
      <c r="F100" s="20" t="s">
        <v>384</v>
      </c>
      <c r="G100" s="33">
        <v>15</v>
      </c>
      <c r="H100" s="34">
        <f>VLOOKUP($C100,'Raw Cost'!$A$1:$B$483,2,FALSE)/G100</f>
        <v>1.8</v>
      </c>
      <c r="I100" s="34">
        <f t="shared" ref="I100" si="51">H100/16</f>
        <v>0.1125</v>
      </c>
      <c r="J100" s="35">
        <v>5</v>
      </c>
      <c r="K100" s="35">
        <v>0.25</v>
      </c>
      <c r="L100" s="36">
        <f>VLOOKUP($F100,'Packaging Cost'!$A$1:$F$43,6,FALSE)</f>
        <v>0.59</v>
      </c>
      <c r="M100" s="37">
        <f>IF($E100="Snakpak",(($J100*H100)+($K100*'Labor Cost'!$A$2)+L100)+2.25,($J100*H100)+($K100*'Labor Cost'!$A$2)+L100+1)</f>
        <v>16.465</v>
      </c>
      <c r="N100" s="38">
        <f t="shared" si="35"/>
        <v>20.581250000000001</v>
      </c>
      <c r="O100" s="38">
        <f t="shared" si="36"/>
        <v>21.404500000000002</v>
      </c>
      <c r="P100" s="38">
        <f t="shared" si="37"/>
        <v>22.22775</v>
      </c>
      <c r="Q100" s="38">
        <f t="shared" si="38"/>
        <v>23.050999999999998</v>
      </c>
      <c r="R100" s="38">
        <f t="shared" si="39"/>
        <v>23.87425</v>
      </c>
      <c r="S100" s="38">
        <f t="shared" si="48"/>
        <v>20.5</v>
      </c>
      <c r="T100" s="38">
        <f t="shared" si="49"/>
        <v>21.5</v>
      </c>
      <c r="U100" s="38">
        <f t="shared" si="50"/>
        <v>22.25</v>
      </c>
      <c r="V100" s="38">
        <f t="shared" ref="V100" si="52">MROUND(Q100,0.25)</f>
        <v>23</v>
      </c>
      <c r="W100" s="38">
        <f t="shared" si="42"/>
        <v>23.75</v>
      </c>
    </row>
    <row r="101" spans="1:23" ht="21" customHeight="1" x14ac:dyDescent="0.2">
      <c r="A101" s="19" t="s">
        <v>1077</v>
      </c>
      <c r="B101" s="19" t="s">
        <v>274</v>
      </c>
      <c r="C101" s="20" t="s">
        <v>415</v>
      </c>
      <c r="D101" s="20" t="s">
        <v>393</v>
      </c>
      <c r="E101" s="20" t="s">
        <v>397</v>
      </c>
      <c r="F101" s="20" t="s">
        <v>384</v>
      </c>
      <c r="G101" s="33">
        <v>18</v>
      </c>
      <c r="H101" s="34">
        <f>VLOOKUP($C101,'Raw Cost'!$A$1:$B$483,2,FALSE)/G101</f>
        <v>1.5555555555555556</v>
      </c>
      <c r="I101" s="34">
        <f t="shared" ref="I101" si="53">H101/16</f>
        <v>9.7222222222222224E-2</v>
      </c>
      <c r="J101" s="35">
        <v>5</v>
      </c>
      <c r="K101" s="35">
        <v>0.25</v>
      </c>
      <c r="L101" s="36">
        <f>VLOOKUP($F101,'Packaging Cost'!$A$1:$F$43,6,FALSE)</f>
        <v>0.59</v>
      </c>
      <c r="M101" s="37">
        <f>IF($E101="Snakpak",(($J101*H101)+($K101*'Labor Cost'!$A$2)+L101)+2.25,($J101*H101)+($K101*'Labor Cost'!$A$2)+L101+1)</f>
        <v>15.242777777777778</v>
      </c>
      <c r="N101" s="38">
        <f t="shared" si="35"/>
        <v>19.053472222222222</v>
      </c>
      <c r="O101" s="38">
        <f t="shared" si="36"/>
        <v>19.815611111111114</v>
      </c>
      <c r="P101" s="38">
        <f t="shared" si="37"/>
        <v>20.577750000000002</v>
      </c>
      <c r="Q101" s="38">
        <f t="shared" si="38"/>
        <v>21.33988888888889</v>
      </c>
      <c r="R101" s="38">
        <f t="shared" si="39"/>
        <v>22.102027777777778</v>
      </c>
      <c r="S101" s="38">
        <f t="shared" si="48"/>
        <v>19</v>
      </c>
      <c r="T101" s="38">
        <f t="shared" si="49"/>
        <v>19.75</v>
      </c>
      <c r="U101" s="38">
        <f t="shared" si="50"/>
        <v>20.5</v>
      </c>
      <c r="V101" s="38">
        <f t="shared" ref="V101" si="54">MROUND(Q101,0.25)</f>
        <v>21.25</v>
      </c>
      <c r="W101" s="38">
        <f t="shared" si="42"/>
        <v>22</v>
      </c>
    </row>
    <row r="102" spans="1:23" ht="21" customHeight="1" x14ac:dyDescent="0.2">
      <c r="A102" s="19" t="s">
        <v>1081</v>
      </c>
      <c r="B102" s="19" t="s">
        <v>278</v>
      </c>
      <c r="C102" s="20" t="s">
        <v>33</v>
      </c>
      <c r="D102" s="20" t="s">
        <v>393</v>
      </c>
      <c r="E102" s="20" t="s">
        <v>397</v>
      </c>
      <c r="F102" s="20" t="s">
        <v>383</v>
      </c>
      <c r="G102" s="33">
        <v>18</v>
      </c>
      <c r="H102" s="34">
        <f>VLOOKUP($C102,'Raw Cost'!$A$1:$B$483,2,FALSE)/G102</f>
        <v>2.1111111111111112</v>
      </c>
      <c r="I102" s="34">
        <f t="shared" si="45"/>
        <v>0.13194444444444445</v>
      </c>
      <c r="J102" s="35">
        <v>10</v>
      </c>
      <c r="K102" s="35">
        <v>0.3</v>
      </c>
      <c r="L102" s="36">
        <f>VLOOKUP($F102,'Packaging Cost'!$A$1:$F$43,6,FALSE)</f>
        <v>0.9</v>
      </c>
      <c r="M102" s="37">
        <f>IF($E102="Snakpak",(($J102*H102)+($K102*'Labor Cost'!$A$2)+L102)+2.25,($J102*H102)+($K102*'Labor Cost'!$A$2)+L102+1)</f>
        <v>30.06111111111111</v>
      </c>
      <c r="N102" s="38">
        <f t="shared" si="35"/>
        <v>37.576388888888886</v>
      </c>
      <c r="O102" s="38">
        <f t="shared" si="36"/>
        <v>39.079444444444441</v>
      </c>
      <c r="P102" s="38">
        <f t="shared" si="37"/>
        <v>40.582500000000003</v>
      </c>
      <c r="Q102" s="38">
        <f t="shared" si="38"/>
        <v>42.085555555555551</v>
      </c>
      <c r="R102" s="38">
        <f t="shared" si="39"/>
        <v>43.588611111111106</v>
      </c>
      <c r="S102" s="38">
        <f t="shared" si="48"/>
        <v>37.5</v>
      </c>
      <c r="T102" s="38">
        <f t="shared" si="49"/>
        <v>39</v>
      </c>
      <c r="U102" s="38">
        <f t="shared" si="50"/>
        <v>40.5</v>
      </c>
      <c r="V102" s="38">
        <f t="shared" si="42"/>
        <v>42</v>
      </c>
      <c r="W102" s="38">
        <f t="shared" si="42"/>
        <v>43.5</v>
      </c>
    </row>
    <row r="103" spans="1:23" ht="21" customHeight="1" x14ac:dyDescent="0.2">
      <c r="A103" s="19" t="s">
        <v>118</v>
      </c>
      <c r="B103" s="19" t="s">
        <v>277</v>
      </c>
      <c r="C103" s="20" t="s">
        <v>33</v>
      </c>
      <c r="D103" s="20" t="s">
        <v>393</v>
      </c>
      <c r="E103" s="20" t="s">
        <v>397</v>
      </c>
      <c r="F103" s="20" t="s">
        <v>383</v>
      </c>
      <c r="G103" s="33">
        <v>18</v>
      </c>
      <c r="H103" s="34">
        <f>VLOOKUP($C103,'Raw Cost'!$A$1:$B$483,2,FALSE)/G103</f>
        <v>2.1111111111111112</v>
      </c>
      <c r="I103" s="34">
        <f t="shared" si="45"/>
        <v>0.13194444444444445</v>
      </c>
      <c r="J103" s="35">
        <v>10</v>
      </c>
      <c r="K103" s="35">
        <v>0.25</v>
      </c>
      <c r="L103" s="36">
        <f>VLOOKUP($F103,'Packaging Cost'!$A$1:$F$43,6,FALSE)</f>
        <v>0.9</v>
      </c>
      <c r="M103" s="37">
        <f>IF($E103="Snakpak",(($J103*H103)+($K103*'Labor Cost'!$A$2)+L103)+2.25,($J103*H103)+($K103*'Labor Cost'!$A$2)+L103+1)</f>
        <v>28.886111111111109</v>
      </c>
      <c r="N103" s="38">
        <f t="shared" si="35"/>
        <v>36.107638888888886</v>
      </c>
      <c r="O103" s="38">
        <f t="shared" si="36"/>
        <v>37.551944444444445</v>
      </c>
      <c r="P103" s="38">
        <f t="shared" si="37"/>
        <v>38.996250000000003</v>
      </c>
      <c r="Q103" s="38">
        <f t="shared" si="38"/>
        <v>40.440555555555548</v>
      </c>
      <c r="R103" s="38">
        <f t="shared" si="39"/>
        <v>41.884861111111107</v>
      </c>
      <c r="S103" s="38">
        <f t="shared" si="48"/>
        <v>36</v>
      </c>
      <c r="T103" s="38">
        <f t="shared" si="49"/>
        <v>37.5</v>
      </c>
      <c r="U103" s="38">
        <f t="shared" si="50"/>
        <v>39</v>
      </c>
      <c r="V103" s="38">
        <f t="shared" si="42"/>
        <v>40.5</v>
      </c>
      <c r="W103" s="38">
        <f t="shared" si="42"/>
        <v>42</v>
      </c>
    </row>
    <row r="104" spans="1:23" ht="21" customHeight="1" x14ac:dyDescent="0.2">
      <c r="A104" s="19" t="s">
        <v>86</v>
      </c>
      <c r="B104" s="19" t="s">
        <v>243</v>
      </c>
      <c r="C104" s="20" t="s">
        <v>38</v>
      </c>
      <c r="D104" s="20" t="s">
        <v>393</v>
      </c>
      <c r="E104" s="20" t="s">
        <v>397</v>
      </c>
      <c r="F104" s="20" t="s">
        <v>384</v>
      </c>
      <c r="G104" s="33">
        <v>15</v>
      </c>
      <c r="H104" s="34">
        <f>VLOOKUP($C104,'Raw Cost'!$A$1:$B$483,2,FALSE)/G104</f>
        <v>2.4</v>
      </c>
      <c r="I104" s="34">
        <f t="shared" si="45"/>
        <v>0.15</v>
      </c>
      <c r="J104" s="35">
        <v>5</v>
      </c>
      <c r="K104" s="35">
        <v>0.25</v>
      </c>
      <c r="L104" s="36">
        <f>VLOOKUP($F104,'Packaging Cost'!$A$1:$F$43,6,FALSE)</f>
        <v>0.59</v>
      </c>
      <c r="M104" s="37">
        <f>IF($E104="Snakpak",(($J104*H104)+($K104*'Labor Cost'!$A$2)+L104)+2.25,($J104*H104)+($K104*'Labor Cost'!$A$2)+L104+1)</f>
        <v>19.465</v>
      </c>
      <c r="N104" s="38">
        <f t="shared" si="35"/>
        <v>24.331250000000001</v>
      </c>
      <c r="O104" s="38">
        <f t="shared" si="36"/>
        <v>25.304500000000001</v>
      </c>
      <c r="P104" s="38">
        <f t="shared" si="37"/>
        <v>26.277750000000001</v>
      </c>
      <c r="Q104" s="38">
        <f t="shared" si="38"/>
        <v>27.250999999999998</v>
      </c>
      <c r="R104" s="38">
        <f t="shared" si="39"/>
        <v>28.224249999999998</v>
      </c>
      <c r="S104" s="38">
        <f t="shared" si="48"/>
        <v>24.25</v>
      </c>
      <c r="T104" s="38">
        <f t="shared" si="49"/>
        <v>25.25</v>
      </c>
      <c r="U104" s="38">
        <f t="shared" si="50"/>
        <v>26.25</v>
      </c>
      <c r="V104" s="38">
        <f t="shared" si="42"/>
        <v>27.25</v>
      </c>
      <c r="W104" s="38">
        <f t="shared" si="42"/>
        <v>28.25</v>
      </c>
    </row>
    <row r="105" spans="1:23" ht="21" customHeight="1" x14ac:dyDescent="0.2">
      <c r="A105" s="19" t="s">
        <v>81</v>
      </c>
      <c r="B105" s="19" t="s">
        <v>237</v>
      </c>
      <c r="C105" s="32" t="s">
        <v>36</v>
      </c>
      <c r="D105" s="32" t="s">
        <v>393</v>
      </c>
      <c r="E105" s="20" t="s">
        <v>397</v>
      </c>
      <c r="F105" s="20" t="s">
        <v>409</v>
      </c>
      <c r="G105" s="33">
        <v>15</v>
      </c>
      <c r="H105" s="34">
        <f>VLOOKUP($C105,'Raw Cost'!$A$1:$B$483,2,FALSE)/G105</f>
        <v>1.3333333333333333</v>
      </c>
      <c r="I105" s="34">
        <f t="shared" si="45"/>
        <v>8.3333333333333329E-2</v>
      </c>
      <c r="J105" s="35">
        <v>5</v>
      </c>
      <c r="K105" s="35">
        <v>0.25</v>
      </c>
      <c r="L105" s="36">
        <f>VLOOKUP($F105,'Packaging Cost'!$A$1:$F$43,6,FALSE)</f>
        <v>1.7600000000000002</v>
      </c>
      <c r="M105" s="37">
        <f>IF($E105="Snakpak",(($J105*H105)+($K105*'Labor Cost'!$A$2)+L105)+2.25,($J105*H105)+($K105*'Labor Cost'!$A$2)+L105+1)</f>
        <v>15.301666666666666</v>
      </c>
      <c r="N105" s="38">
        <f t="shared" si="35"/>
        <v>19.127083333333331</v>
      </c>
      <c r="O105" s="38">
        <f t="shared" si="36"/>
        <v>19.892166666666665</v>
      </c>
      <c r="P105" s="38">
        <f t="shared" si="37"/>
        <v>20.657250000000001</v>
      </c>
      <c r="Q105" s="38">
        <f t="shared" si="38"/>
        <v>21.422333333333331</v>
      </c>
      <c r="R105" s="38">
        <f t="shared" si="39"/>
        <v>22.187416666666664</v>
      </c>
      <c r="S105" s="38">
        <f t="shared" si="48"/>
        <v>19.25</v>
      </c>
      <c r="T105" s="38">
        <f t="shared" si="49"/>
        <v>20</v>
      </c>
      <c r="U105" s="38">
        <f t="shared" si="50"/>
        <v>20.75</v>
      </c>
      <c r="V105" s="38">
        <f t="shared" si="42"/>
        <v>21.5</v>
      </c>
      <c r="W105" s="38">
        <f t="shared" si="42"/>
        <v>22.25</v>
      </c>
    </row>
    <row r="106" spans="1:23" ht="21" customHeight="1" x14ac:dyDescent="0.2">
      <c r="A106" s="19" t="s">
        <v>92</v>
      </c>
      <c r="B106" s="19" t="s">
        <v>260</v>
      </c>
      <c r="C106" s="32" t="s">
        <v>36</v>
      </c>
      <c r="D106" s="32" t="s">
        <v>393</v>
      </c>
      <c r="E106" s="20" t="s">
        <v>397</v>
      </c>
      <c r="F106" s="20" t="s">
        <v>407</v>
      </c>
      <c r="G106" s="33">
        <v>15</v>
      </c>
      <c r="H106" s="34">
        <f>VLOOKUP($C106,'Raw Cost'!$A$1:$B$483,2,FALSE)/G106</f>
        <v>1.3333333333333333</v>
      </c>
      <c r="I106" s="34">
        <f t="shared" si="45"/>
        <v>8.3333333333333329E-2</v>
      </c>
      <c r="J106" s="35">
        <v>10</v>
      </c>
      <c r="K106" s="35">
        <v>0.27</v>
      </c>
      <c r="L106" s="36">
        <f>VLOOKUP($F106,'Packaging Cost'!$A$1:$F$43,6,FALSE)</f>
        <v>3.16</v>
      </c>
      <c r="M106" s="37">
        <f>IF($E106="Snakpak",(($J106*H106)+($K106*'Labor Cost'!$A$2)+L106)+2.25,($J106*H106)+($K106*'Labor Cost'!$A$2)+L106+1)</f>
        <v>23.838333333333335</v>
      </c>
      <c r="N106" s="38">
        <f t="shared" si="35"/>
        <v>29.797916666666669</v>
      </c>
      <c r="O106" s="38">
        <f t="shared" si="36"/>
        <v>30.989833333333337</v>
      </c>
      <c r="P106" s="38">
        <f t="shared" si="37"/>
        <v>32.181750000000001</v>
      </c>
      <c r="Q106" s="38">
        <f t="shared" si="38"/>
        <v>33.373666666666665</v>
      </c>
      <c r="R106" s="38">
        <f t="shared" si="39"/>
        <v>34.565583333333336</v>
      </c>
      <c r="S106" s="38">
        <f t="shared" si="48"/>
        <v>29.75</v>
      </c>
      <c r="T106" s="38">
        <f t="shared" si="49"/>
        <v>31</v>
      </c>
      <c r="U106" s="38">
        <f t="shared" si="50"/>
        <v>32.25</v>
      </c>
      <c r="V106" s="38">
        <f t="shared" si="42"/>
        <v>33.25</v>
      </c>
      <c r="W106" s="38">
        <f t="shared" si="42"/>
        <v>34.5</v>
      </c>
    </row>
    <row r="107" spans="1:23" ht="21" customHeight="1" x14ac:dyDescent="0.2">
      <c r="A107" s="19" t="s">
        <v>79</v>
      </c>
      <c r="B107" s="19" t="s">
        <v>235</v>
      </c>
      <c r="C107" s="32" t="s">
        <v>36</v>
      </c>
      <c r="D107" s="32" t="s">
        <v>393</v>
      </c>
      <c r="E107" s="20" t="s">
        <v>397</v>
      </c>
      <c r="F107" s="20" t="s">
        <v>408</v>
      </c>
      <c r="G107" s="33">
        <v>15</v>
      </c>
      <c r="H107" s="34">
        <f>VLOOKUP($C107,'Raw Cost'!$A$1:$B$483,2,FALSE)/G107</f>
        <v>1.3333333333333333</v>
      </c>
      <c r="I107" s="34">
        <f t="shared" si="45"/>
        <v>8.3333333333333329E-2</v>
      </c>
      <c r="J107" s="35">
        <v>10</v>
      </c>
      <c r="K107" s="35">
        <v>0.25</v>
      </c>
      <c r="L107" s="36">
        <f>VLOOKUP($F107,'Packaging Cost'!$A$1:$F$43,6,FALSE)</f>
        <v>2.4600000000000004</v>
      </c>
      <c r="M107" s="37">
        <f>IF($E107="Snakpak",(($J107*H107)+($K107*'Labor Cost'!$A$2)+L107)+2.25,($J107*H107)+($K107*'Labor Cost'!$A$2)+L107+1)</f>
        <v>22.668333333333333</v>
      </c>
      <c r="N107" s="38">
        <f t="shared" si="35"/>
        <v>28.335416666666667</v>
      </c>
      <c r="O107" s="38">
        <f t="shared" si="36"/>
        <v>29.468833333333333</v>
      </c>
      <c r="P107" s="38">
        <f t="shared" si="37"/>
        <v>30.602250000000002</v>
      </c>
      <c r="Q107" s="38">
        <f t="shared" si="38"/>
        <v>31.735666666666663</v>
      </c>
      <c r="R107" s="38">
        <f t="shared" si="39"/>
        <v>32.869083333333329</v>
      </c>
      <c r="S107" s="38">
        <f t="shared" si="48"/>
        <v>28.25</v>
      </c>
      <c r="T107" s="38">
        <f t="shared" si="49"/>
        <v>29.5</v>
      </c>
      <c r="U107" s="38">
        <f t="shared" si="50"/>
        <v>30.5</v>
      </c>
      <c r="V107" s="38">
        <f t="shared" si="42"/>
        <v>31.75</v>
      </c>
      <c r="W107" s="38">
        <f t="shared" si="42"/>
        <v>32.75</v>
      </c>
    </row>
    <row r="108" spans="1:23" ht="21" customHeight="1" x14ac:dyDescent="0.2">
      <c r="A108" s="19" t="s">
        <v>93</v>
      </c>
      <c r="B108" s="19" t="s">
        <v>261</v>
      </c>
      <c r="C108" s="32" t="s">
        <v>36</v>
      </c>
      <c r="D108" s="32" t="s">
        <v>393</v>
      </c>
      <c r="E108" s="20" t="s">
        <v>397</v>
      </c>
      <c r="F108" s="20" t="s">
        <v>378</v>
      </c>
      <c r="G108" s="33">
        <v>15</v>
      </c>
      <c r="H108" s="34">
        <f>VLOOKUP($C108,'Raw Cost'!$A$1:$B$483,2,FALSE)/G108</f>
        <v>1.3333333333333333</v>
      </c>
      <c r="I108" s="34">
        <f t="shared" si="45"/>
        <v>8.3333333333333329E-2</v>
      </c>
      <c r="J108" s="35">
        <v>20</v>
      </c>
      <c r="K108" s="35">
        <v>0.25</v>
      </c>
      <c r="L108" s="36">
        <f>VLOOKUP($F108,'Packaging Cost'!$A$1:$F$43,6,FALSE)</f>
        <v>1.1000000000000001</v>
      </c>
      <c r="M108" s="37">
        <f>IF($E108="Snakpak",(($J108*H108)+($K108*'Labor Cost'!$A$2)+L108)+2.25,($J108*H108)+($K108*'Labor Cost'!$A$2)+L108+1)</f>
        <v>34.641666666666666</v>
      </c>
      <c r="N108" s="38">
        <f t="shared" si="35"/>
        <v>43.302083333333329</v>
      </c>
      <c r="O108" s="38">
        <f t="shared" si="36"/>
        <v>45.034166666666664</v>
      </c>
      <c r="P108" s="38">
        <f t="shared" si="37"/>
        <v>46.766249999999999</v>
      </c>
      <c r="Q108" s="38">
        <f t="shared" si="38"/>
        <v>48.498333333333328</v>
      </c>
      <c r="R108" s="38">
        <f t="shared" si="39"/>
        <v>50.230416666666663</v>
      </c>
      <c r="S108" s="38">
        <f t="shared" si="48"/>
        <v>43.25</v>
      </c>
      <c r="T108" s="38">
        <f t="shared" si="49"/>
        <v>45</v>
      </c>
      <c r="U108" s="38">
        <f t="shared" si="50"/>
        <v>46.75</v>
      </c>
      <c r="V108" s="38">
        <f t="shared" si="42"/>
        <v>48.5</v>
      </c>
      <c r="W108" s="38">
        <f t="shared" si="42"/>
        <v>50.25</v>
      </c>
    </row>
    <row r="109" spans="1:23" ht="21" customHeight="1" x14ac:dyDescent="0.2">
      <c r="A109" s="19" t="s">
        <v>94</v>
      </c>
      <c r="B109" s="19" t="s">
        <v>262</v>
      </c>
      <c r="C109" s="32" t="s">
        <v>36</v>
      </c>
      <c r="D109" s="32" t="s">
        <v>393</v>
      </c>
      <c r="E109" s="20" t="s">
        <v>397</v>
      </c>
      <c r="F109" s="20" t="s">
        <v>410</v>
      </c>
      <c r="G109" s="33">
        <v>15</v>
      </c>
      <c r="H109" s="34">
        <f>VLOOKUP($C109,'Raw Cost'!$A$1:$B$483,2,FALSE)/G109</f>
        <v>1.3333333333333333</v>
      </c>
      <c r="I109" s="34">
        <f t="shared" si="45"/>
        <v>8.3333333333333329E-2</v>
      </c>
      <c r="J109" s="35">
        <v>5</v>
      </c>
      <c r="K109" s="35">
        <v>0.25</v>
      </c>
      <c r="L109" s="36">
        <f>VLOOKUP($F109,'Packaging Cost'!$A$1:$F$43,6,FALSE)</f>
        <v>1.4100000000000001</v>
      </c>
      <c r="M109" s="37">
        <f>IF($E109="Snakpak",(($J109*H109)+($K109*'Labor Cost'!$A$2)+L109)+2.25,($J109*H109)+($K109*'Labor Cost'!$A$2)+L109+1)</f>
        <v>14.951666666666666</v>
      </c>
      <c r="N109" s="38">
        <f t="shared" si="35"/>
        <v>18.689583333333331</v>
      </c>
      <c r="O109" s="38">
        <f t="shared" si="36"/>
        <v>19.437166666666666</v>
      </c>
      <c r="P109" s="38">
        <f t="shared" si="37"/>
        <v>20.184750000000001</v>
      </c>
      <c r="Q109" s="38">
        <f t="shared" si="38"/>
        <v>20.932333333333332</v>
      </c>
      <c r="R109" s="38">
        <f t="shared" si="39"/>
        <v>21.679916666666664</v>
      </c>
      <c r="S109" s="38">
        <f t="shared" si="48"/>
        <v>18.75</v>
      </c>
      <c r="T109" s="38">
        <f t="shared" si="49"/>
        <v>19.5</v>
      </c>
      <c r="U109" s="38">
        <f t="shared" si="50"/>
        <v>20.25</v>
      </c>
      <c r="V109" s="38">
        <f t="shared" si="42"/>
        <v>21</v>
      </c>
      <c r="W109" s="38">
        <f t="shared" si="42"/>
        <v>21.75</v>
      </c>
    </row>
    <row r="110" spans="1:23" ht="21" customHeight="1" x14ac:dyDescent="0.2">
      <c r="A110" s="19" t="s">
        <v>425</v>
      </c>
      <c r="B110" s="19" t="s">
        <v>426</v>
      </c>
      <c r="C110" s="32" t="s">
        <v>36</v>
      </c>
      <c r="D110" s="32" t="s">
        <v>393</v>
      </c>
      <c r="E110" s="20" t="s">
        <v>397</v>
      </c>
      <c r="F110" s="20" t="s">
        <v>420</v>
      </c>
      <c r="G110" s="33">
        <v>20</v>
      </c>
      <c r="H110" s="34">
        <f>VLOOKUP($C110,'Raw Cost'!$A$1:$B$483,2,FALSE)/G110</f>
        <v>1</v>
      </c>
      <c r="I110" s="34">
        <f t="shared" si="45"/>
        <v>6.25E-2</v>
      </c>
      <c r="J110" s="35">
        <v>5</v>
      </c>
      <c r="K110" s="35">
        <v>0.1</v>
      </c>
      <c r="L110" s="36">
        <f>VLOOKUP($F110,'Packaging Cost'!$A$1:$F$43,6,FALSE)</f>
        <v>1.1500000000000001</v>
      </c>
      <c r="M110" s="37">
        <f>IF($E110="Snakpak",(($J110*H110)+($K110*'Labor Cost'!$A$2)+L110)+2.25,($J110*H110)+($K110*'Labor Cost'!$A$2)+L110)</f>
        <v>8.5</v>
      </c>
      <c r="N110" s="38">
        <f t="shared" si="35"/>
        <v>10.625</v>
      </c>
      <c r="O110" s="38">
        <f t="shared" si="36"/>
        <v>11.05</v>
      </c>
      <c r="P110" s="38">
        <f t="shared" si="37"/>
        <v>11.475000000000001</v>
      </c>
      <c r="Q110" s="38">
        <f t="shared" si="38"/>
        <v>11.899999999999999</v>
      </c>
      <c r="R110" s="38">
        <f t="shared" si="39"/>
        <v>12.324999999999999</v>
      </c>
      <c r="S110" s="38">
        <f t="shared" si="48"/>
        <v>10.75</v>
      </c>
      <c r="T110" s="38">
        <f t="shared" si="49"/>
        <v>11</v>
      </c>
      <c r="U110" s="38">
        <f t="shared" si="50"/>
        <v>11.5</v>
      </c>
      <c r="V110" s="38">
        <f t="shared" ref="V110:W125" si="55">MROUND(Q110,0.25)</f>
        <v>12</v>
      </c>
      <c r="W110" s="38">
        <f t="shared" si="55"/>
        <v>12.25</v>
      </c>
    </row>
    <row r="111" spans="1:23" ht="21" customHeight="1" x14ac:dyDescent="0.2">
      <c r="A111" s="19" t="s">
        <v>428</v>
      </c>
      <c r="B111" s="19" t="s">
        <v>427</v>
      </c>
      <c r="C111" s="32" t="s">
        <v>37</v>
      </c>
      <c r="D111" s="32" t="s">
        <v>393</v>
      </c>
      <c r="E111" s="20" t="s">
        <v>397</v>
      </c>
      <c r="F111" s="20" t="s">
        <v>420</v>
      </c>
      <c r="G111" s="33">
        <v>20</v>
      </c>
      <c r="H111" s="34">
        <f>VLOOKUP($C111,'Raw Cost'!$A$1:$B$483,2,FALSE)/G111</f>
        <v>1.8</v>
      </c>
      <c r="I111" s="34">
        <f t="shared" si="45"/>
        <v>0.1125</v>
      </c>
      <c r="J111" s="35">
        <v>5</v>
      </c>
      <c r="K111" s="35">
        <v>0.1</v>
      </c>
      <c r="L111" s="36">
        <f>VLOOKUP($F111,'Packaging Cost'!$A$1:$F$43,6,FALSE)</f>
        <v>1.1500000000000001</v>
      </c>
      <c r="M111" s="37">
        <f>IF($E111="Snakpak",(($J111*H111)+($K111*'Labor Cost'!$A$2)+L111)+2.25,($J111*H111)+($K111*'Labor Cost'!$A$2)+L111)</f>
        <v>12.5</v>
      </c>
      <c r="N111" s="38">
        <f t="shared" si="35"/>
        <v>15.625</v>
      </c>
      <c r="O111" s="38">
        <f t="shared" si="36"/>
        <v>16.25</v>
      </c>
      <c r="P111" s="38">
        <f t="shared" si="37"/>
        <v>16.875</v>
      </c>
      <c r="Q111" s="38">
        <f t="shared" si="38"/>
        <v>17.5</v>
      </c>
      <c r="R111" s="38">
        <f t="shared" si="39"/>
        <v>18.125</v>
      </c>
      <c r="S111" s="38">
        <f t="shared" si="48"/>
        <v>15.75</v>
      </c>
      <c r="T111" s="38">
        <f t="shared" si="49"/>
        <v>16.25</v>
      </c>
      <c r="U111" s="38">
        <f t="shared" si="50"/>
        <v>17</v>
      </c>
      <c r="V111" s="38">
        <f t="shared" si="55"/>
        <v>17.5</v>
      </c>
      <c r="W111" s="38">
        <f t="shared" si="55"/>
        <v>18.25</v>
      </c>
    </row>
    <row r="112" spans="1:23" ht="21" customHeight="1" x14ac:dyDescent="0.2">
      <c r="A112" s="19" t="s">
        <v>96</v>
      </c>
      <c r="B112" s="19" t="s">
        <v>264</v>
      </c>
      <c r="C112" s="32" t="s">
        <v>37</v>
      </c>
      <c r="D112" s="32" t="s">
        <v>393</v>
      </c>
      <c r="E112" s="20" t="s">
        <v>397</v>
      </c>
      <c r="F112" s="20" t="s">
        <v>407</v>
      </c>
      <c r="G112" s="33">
        <v>12</v>
      </c>
      <c r="H112" s="34">
        <f>VLOOKUP($C112,'Raw Cost'!$A$1:$B$483,2,FALSE)/G112</f>
        <v>3</v>
      </c>
      <c r="I112" s="34">
        <f t="shared" si="45"/>
        <v>0.1875</v>
      </c>
      <c r="J112" s="35">
        <v>10</v>
      </c>
      <c r="K112" s="35">
        <v>0.25</v>
      </c>
      <c r="L112" s="36">
        <f>VLOOKUP($F112,'Packaging Cost'!$A$1:$F$43,6,FALSE)</f>
        <v>3.16</v>
      </c>
      <c r="M112" s="37">
        <f>IF($E112="Snakpak",(($J112*H112)+($K112*'Labor Cost'!$A$2)+L112)+2.25,($J112*H112)+($K112*'Labor Cost'!$A$2)+L112+1)</f>
        <v>40.034999999999997</v>
      </c>
      <c r="N112" s="38">
        <f t="shared" si="35"/>
        <v>50.043749999999996</v>
      </c>
      <c r="O112" s="38">
        <f t="shared" si="36"/>
        <v>52.045499999999997</v>
      </c>
      <c r="P112" s="38">
        <f t="shared" si="37"/>
        <v>54.047249999999998</v>
      </c>
      <c r="Q112" s="38">
        <f t="shared" si="38"/>
        <v>56.048999999999992</v>
      </c>
      <c r="R112" s="38">
        <f t="shared" si="39"/>
        <v>58.050749999999994</v>
      </c>
      <c r="S112" s="38">
        <f t="shared" si="48"/>
        <v>50</v>
      </c>
      <c r="T112" s="38">
        <f t="shared" si="49"/>
        <v>52</v>
      </c>
      <c r="U112" s="38">
        <f t="shared" si="50"/>
        <v>54</v>
      </c>
      <c r="V112" s="38">
        <f t="shared" ref="V112:W149" si="56">MROUND(Q112,0.25)</f>
        <v>56</v>
      </c>
      <c r="W112" s="38">
        <f t="shared" si="55"/>
        <v>58</v>
      </c>
    </row>
    <row r="113" spans="1:23" ht="21" customHeight="1" x14ac:dyDescent="0.2">
      <c r="A113" s="19" t="s">
        <v>83</v>
      </c>
      <c r="B113" s="19" t="s">
        <v>240</v>
      </c>
      <c r="C113" s="32" t="s">
        <v>37</v>
      </c>
      <c r="D113" s="32" t="s">
        <v>393</v>
      </c>
      <c r="E113" s="20" t="s">
        <v>397</v>
      </c>
      <c r="F113" s="20" t="s">
        <v>407</v>
      </c>
      <c r="G113" s="33">
        <v>12</v>
      </c>
      <c r="H113" s="34">
        <f>VLOOKUP($C113,'Raw Cost'!$A$1:$B$483,2,FALSE)/G113</f>
        <v>3</v>
      </c>
      <c r="I113" s="34">
        <f t="shared" si="45"/>
        <v>0.1875</v>
      </c>
      <c r="J113" s="35">
        <v>10</v>
      </c>
      <c r="K113" s="35">
        <v>0.25</v>
      </c>
      <c r="L113" s="36">
        <f>VLOOKUP($F113,'Packaging Cost'!$A$1:$F$43,6,FALSE)</f>
        <v>3.16</v>
      </c>
      <c r="M113" s="37">
        <f>IF($E113="Snakpak",(($J113*H113)+($K113*'Labor Cost'!$A$2)+L113)+2.25,($J113*H113)+($K113*'Labor Cost'!$A$2)+L113+1)</f>
        <v>40.034999999999997</v>
      </c>
      <c r="N113" s="38">
        <f t="shared" si="35"/>
        <v>50.043749999999996</v>
      </c>
      <c r="O113" s="38">
        <f t="shared" si="36"/>
        <v>52.045499999999997</v>
      </c>
      <c r="P113" s="38">
        <f t="shared" si="37"/>
        <v>54.047249999999998</v>
      </c>
      <c r="Q113" s="38">
        <f t="shared" si="38"/>
        <v>56.048999999999992</v>
      </c>
      <c r="R113" s="38">
        <f t="shared" si="39"/>
        <v>58.050749999999994</v>
      </c>
      <c r="S113" s="38">
        <f t="shared" si="48"/>
        <v>50</v>
      </c>
      <c r="T113" s="38">
        <f t="shared" si="49"/>
        <v>52</v>
      </c>
      <c r="U113" s="38">
        <f t="shared" si="50"/>
        <v>54</v>
      </c>
      <c r="V113" s="38">
        <f t="shared" si="56"/>
        <v>56</v>
      </c>
      <c r="W113" s="38">
        <f t="shared" si="55"/>
        <v>58</v>
      </c>
    </row>
    <row r="114" spans="1:23" ht="21" customHeight="1" x14ac:dyDescent="0.2">
      <c r="A114" s="19" t="s">
        <v>82</v>
      </c>
      <c r="B114" s="19" t="s">
        <v>238</v>
      </c>
      <c r="C114" s="32" t="s">
        <v>38</v>
      </c>
      <c r="D114" s="32" t="s">
        <v>393</v>
      </c>
      <c r="E114" s="20" t="s">
        <v>397</v>
      </c>
      <c r="F114" s="20" t="s">
        <v>407</v>
      </c>
      <c r="G114" s="33">
        <v>12</v>
      </c>
      <c r="H114" s="34">
        <f>VLOOKUP($C114,'Raw Cost'!$A$1:$B$483,2,FALSE)/G114</f>
        <v>3</v>
      </c>
      <c r="I114" s="34">
        <f t="shared" si="45"/>
        <v>0.1875</v>
      </c>
      <c r="J114" s="35">
        <v>10</v>
      </c>
      <c r="K114" s="35">
        <v>0.25</v>
      </c>
      <c r="L114" s="36">
        <f>VLOOKUP($F114,'Packaging Cost'!$A$1:$F$43,6,FALSE)</f>
        <v>3.16</v>
      </c>
      <c r="M114" s="37">
        <f>IF($E114="Snakpak",(($J114*H114)+($K114*'Labor Cost'!$A$2)+L114)+2.25,($J114*H114)+($K114*'Labor Cost'!$A$2)+L114+1)</f>
        <v>40.034999999999997</v>
      </c>
      <c r="N114" s="38">
        <f t="shared" si="35"/>
        <v>50.043749999999996</v>
      </c>
      <c r="O114" s="38">
        <f t="shared" si="36"/>
        <v>52.045499999999997</v>
      </c>
      <c r="P114" s="38">
        <f t="shared" si="37"/>
        <v>54.047249999999998</v>
      </c>
      <c r="Q114" s="38">
        <f t="shared" si="38"/>
        <v>56.048999999999992</v>
      </c>
      <c r="R114" s="38">
        <f t="shared" si="39"/>
        <v>58.050749999999994</v>
      </c>
      <c r="S114" s="38">
        <f t="shared" si="48"/>
        <v>50</v>
      </c>
      <c r="T114" s="38">
        <f t="shared" si="49"/>
        <v>52</v>
      </c>
      <c r="U114" s="38">
        <f t="shared" si="50"/>
        <v>54</v>
      </c>
      <c r="V114" s="38">
        <f t="shared" si="56"/>
        <v>56</v>
      </c>
      <c r="W114" s="38">
        <f t="shared" si="55"/>
        <v>58</v>
      </c>
    </row>
    <row r="115" spans="1:23" ht="21" customHeight="1" x14ac:dyDescent="0.2">
      <c r="A115" s="19" t="s">
        <v>97</v>
      </c>
      <c r="B115" s="19" t="s">
        <v>265</v>
      </c>
      <c r="C115" s="32" t="s">
        <v>38</v>
      </c>
      <c r="D115" s="32" t="s">
        <v>393</v>
      </c>
      <c r="E115" s="20" t="s">
        <v>397</v>
      </c>
      <c r="F115" s="20" t="s">
        <v>408</v>
      </c>
      <c r="G115" s="33">
        <v>12</v>
      </c>
      <c r="H115" s="34">
        <f>VLOOKUP($C115,'Raw Cost'!$A$1:$B$483,2,FALSE)/G115</f>
        <v>3</v>
      </c>
      <c r="I115" s="34">
        <f t="shared" si="45"/>
        <v>0.1875</v>
      </c>
      <c r="J115" s="35">
        <v>10</v>
      </c>
      <c r="K115" s="35">
        <v>0.25</v>
      </c>
      <c r="L115" s="36">
        <f>VLOOKUP($F115,'Packaging Cost'!$A$1:$F$43,6,FALSE)</f>
        <v>2.4600000000000004</v>
      </c>
      <c r="M115" s="37">
        <f>IF($E115="Snakpak",(($J115*H115)+($K115*'Labor Cost'!$A$2)+L115)+2.25,($J115*H115)+($K115*'Labor Cost'!$A$2)+L115+1)</f>
        <v>39.335000000000001</v>
      </c>
      <c r="N115" s="38">
        <f t="shared" si="35"/>
        <v>49.168750000000003</v>
      </c>
      <c r="O115" s="38">
        <f t="shared" si="36"/>
        <v>51.1355</v>
      </c>
      <c r="P115" s="38">
        <f t="shared" si="37"/>
        <v>53.102250000000005</v>
      </c>
      <c r="Q115" s="38">
        <f t="shared" si="38"/>
        <v>55.068999999999996</v>
      </c>
      <c r="R115" s="38">
        <f t="shared" si="39"/>
        <v>57.03575</v>
      </c>
      <c r="S115" s="38">
        <f t="shared" si="48"/>
        <v>49.25</v>
      </c>
      <c r="T115" s="38">
        <f t="shared" si="49"/>
        <v>51.25</v>
      </c>
      <c r="U115" s="38">
        <f t="shared" si="50"/>
        <v>53</v>
      </c>
      <c r="V115" s="38">
        <f t="shared" si="56"/>
        <v>55</v>
      </c>
      <c r="W115" s="38">
        <f t="shared" si="55"/>
        <v>57</v>
      </c>
    </row>
    <row r="116" spans="1:23" ht="21" customHeight="1" x14ac:dyDescent="0.2">
      <c r="A116" s="19" t="s">
        <v>80</v>
      </c>
      <c r="B116" s="19" t="s">
        <v>236</v>
      </c>
      <c r="C116" s="20" t="s">
        <v>585</v>
      </c>
      <c r="D116" s="20" t="s">
        <v>393</v>
      </c>
      <c r="E116" s="20" t="s">
        <v>397</v>
      </c>
      <c r="F116" s="20" t="s">
        <v>408</v>
      </c>
      <c r="G116" s="33">
        <v>12</v>
      </c>
      <c r="H116" s="34">
        <f>VLOOKUP($C116,'Raw Cost'!$A$1:$B$483,2,FALSE)/G116</f>
        <v>1.3882352941176472</v>
      </c>
      <c r="I116" s="34">
        <f t="shared" si="45"/>
        <v>8.6764705882352952E-2</v>
      </c>
      <c r="J116" s="35">
        <v>10</v>
      </c>
      <c r="K116" s="35">
        <v>0.25</v>
      </c>
      <c r="L116" s="36">
        <f>VLOOKUP($F116,'Packaging Cost'!$A$1:$F$43,6,FALSE)</f>
        <v>2.4600000000000004</v>
      </c>
      <c r="M116" s="37">
        <f>IF($E116="Snakpak",(($J116*H116)+($K116*'Labor Cost'!$A$2)+L116)+2.25,($J116*H116)+($K116*'Labor Cost'!$A$2)+L116+1)</f>
        <v>23.217352941176472</v>
      </c>
      <c r="N116" s="38">
        <f t="shared" si="35"/>
        <v>29.02169117647059</v>
      </c>
      <c r="O116" s="38">
        <f t="shared" si="36"/>
        <v>30.182558823529416</v>
      </c>
      <c r="P116" s="38">
        <f t="shared" si="37"/>
        <v>31.343426470588238</v>
      </c>
      <c r="Q116" s="38">
        <f t="shared" si="38"/>
        <v>32.504294117647056</v>
      </c>
      <c r="R116" s="38">
        <f t="shared" si="39"/>
        <v>33.665161764705886</v>
      </c>
      <c r="S116" s="38">
        <f t="shared" si="48"/>
        <v>29</v>
      </c>
      <c r="T116" s="38">
        <f t="shared" si="49"/>
        <v>30.25</v>
      </c>
      <c r="U116" s="38">
        <f t="shared" si="50"/>
        <v>31.25</v>
      </c>
      <c r="V116" s="38">
        <f t="shared" si="56"/>
        <v>32.5</v>
      </c>
      <c r="W116" s="38">
        <f t="shared" si="55"/>
        <v>33.75</v>
      </c>
    </row>
    <row r="117" spans="1:23" ht="21" customHeight="1" x14ac:dyDescent="0.2">
      <c r="A117" s="19" t="s">
        <v>95</v>
      </c>
      <c r="B117" s="19" t="s">
        <v>263</v>
      </c>
      <c r="C117" s="20" t="s">
        <v>585</v>
      </c>
      <c r="D117" s="20" t="s">
        <v>393</v>
      </c>
      <c r="E117" s="20" t="s">
        <v>397</v>
      </c>
      <c r="F117" s="20" t="s">
        <v>408</v>
      </c>
      <c r="G117" s="33">
        <v>12</v>
      </c>
      <c r="H117" s="34">
        <f>VLOOKUP($C117,'Raw Cost'!$A$1:$B$483,2,FALSE)/G117</f>
        <v>1.3882352941176472</v>
      </c>
      <c r="I117" s="34">
        <f t="shared" si="45"/>
        <v>8.6764705882352952E-2</v>
      </c>
      <c r="J117" s="35">
        <v>10</v>
      </c>
      <c r="K117" s="35">
        <v>0.25</v>
      </c>
      <c r="L117" s="36">
        <f>VLOOKUP($F117,'Packaging Cost'!$A$1:$F$43,6,FALSE)</f>
        <v>2.4600000000000004</v>
      </c>
      <c r="M117" s="37">
        <f>IF($E117="Snakpak",(($J117*H117)+($K117*'Labor Cost'!$A$2)+L117)+2.25,($J117*H117)+($K117*'Labor Cost'!$A$2)+L117+1)</f>
        <v>23.217352941176472</v>
      </c>
      <c r="N117" s="38">
        <f t="shared" si="35"/>
        <v>29.02169117647059</v>
      </c>
      <c r="O117" s="38">
        <f t="shared" si="36"/>
        <v>30.182558823529416</v>
      </c>
      <c r="P117" s="38">
        <f t="shared" si="37"/>
        <v>31.343426470588238</v>
      </c>
      <c r="Q117" s="38">
        <f t="shared" si="38"/>
        <v>32.504294117647056</v>
      </c>
      <c r="R117" s="38">
        <f t="shared" si="39"/>
        <v>33.665161764705886</v>
      </c>
      <c r="S117" s="38">
        <f t="shared" si="48"/>
        <v>29</v>
      </c>
      <c r="T117" s="38">
        <f t="shared" si="49"/>
        <v>30.25</v>
      </c>
      <c r="U117" s="38">
        <f t="shared" si="50"/>
        <v>31.25</v>
      </c>
      <c r="V117" s="38">
        <f t="shared" si="56"/>
        <v>32.5</v>
      </c>
      <c r="W117" s="38">
        <f t="shared" si="55"/>
        <v>33.75</v>
      </c>
    </row>
    <row r="118" spans="1:23" ht="21" customHeight="1" x14ac:dyDescent="0.2">
      <c r="A118" s="19" t="s">
        <v>1071</v>
      </c>
      <c r="B118" s="19" t="s">
        <v>235</v>
      </c>
      <c r="C118" s="32" t="s">
        <v>1045</v>
      </c>
      <c r="D118" s="32" t="s">
        <v>393</v>
      </c>
      <c r="E118" s="20" t="s">
        <v>397</v>
      </c>
      <c r="F118" s="20" t="s">
        <v>408</v>
      </c>
      <c r="G118" s="33">
        <v>15</v>
      </c>
      <c r="H118" s="34">
        <f>VLOOKUP($C118,'Raw Cost'!$A$1:$B$483,2,FALSE)/G118</f>
        <v>1.0666666666666667</v>
      </c>
      <c r="I118" s="34">
        <f t="shared" ref="I118" si="57">H118/16</f>
        <v>6.6666666666666666E-2</v>
      </c>
      <c r="J118" s="35">
        <v>10</v>
      </c>
      <c r="K118" s="35">
        <v>0.25</v>
      </c>
      <c r="L118" s="36">
        <f>VLOOKUP($F118,'Packaging Cost'!$A$1:$F$43,6,FALSE)</f>
        <v>2.4600000000000004</v>
      </c>
      <c r="M118" s="37">
        <f>IF($E118="Snakpak",(($J118*H118)+($K118*'Labor Cost'!$A$2)+L118)+2.25,($J118*H118)+($K118*'Labor Cost'!$A$2)+L118+1)</f>
        <v>20.001666666666665</v>
      </c>
      <c r="N118" s="38">
        <f t="shared" si="35"/>
        <v>25.002083333333331</v>
      </c>
      <c r="O118" s="38">
        <f t="shared" si="36"/>
        <v>26.002166666666664</v>
      </c>
      <c r="P118" s="38">
        <f t="shared" si="37"/>
        <v>27.00225</v>
      </c>
      <c r="Q118" s="38">
        <f t="shared" si="38"/>
        <v>28.002333333333329</v>
      </c>
      <c r="R118" s="38">
        <f t="shared" si="39"/>
        <v>29.002416666666665</v>
      </c>
      <c r="S118" s="38">
        <f t="shared" si="48"/>
        <v>25</v>
      </c>
      <c r="T118" s="38">
        <f t="shared" si="49"/>
        <v>26</v>
      </c>
      <c r="U118" s="38">
        <f t="shared" si="50"/>
        <v>27</v>
      </c>
      <c r="V118" s="38">
        <f t="shared" si="56"/>
        <v>28</v>
      </c>
      <c r="W118" s="38">
        <f t="shared" si="55"/>
        <v>29</v>
      </c>
    </row>
    <row r="119" spans="1:23" ht="21" customHeight="1" x14ac:dyDescent="0.2">
      <c r="A119" s="19" t="s">
        <v>119</v>
      </c>
      <c r="B119" s="19" t="s">
        <v>280</v>
      </c>
      <c r="C119" s="20" t="s">
        <v>586</v>
      </c>
      <c r="D119" s="20" t="s">
        <v>393</v>
      </c>
      <c r="E119" s="20" t="s">
        <v>397</v>
      </c>
      <c r="F119" s="20" t="s">
        <v>450</v>
      </c>
      <c r="G119" s="33">
        <v>10</v>
      </c>
      <c r="H119" s="34">
        <f>VLOOKUP($C119,'Raw Cost'!$A$1:$B$483,2,FALSE)/G119</f>
        <v>0.92166666666666663</v>
      </c>
      <c r="I119" s="34">
        <f t="shared" si="45"/>
        <v>5.7604166666666665E-2</v>
      </c>
      <c r="J119" s="35">
        <v>10</v>
      </c>
      <c r="K119" s="35">
        <v>0.25</v>
      </c>
      <c r="L119" s="36">
        <f>VLOOKUP($F119,'Packaging Cost'!$A$1:$F$43,6,FALSE)</f>
        <v>5.46</v>
      </c>
      <c r="M119" s="37">
        <f>IF($E119="Snakpak",(($J119*H119)+($K119*'Labor Cost'!$A$2)+L119)+2.25,($J119*H119)+($K119*'Labor Cost'!$A$2)+L119+1)</f>
        <v>21.551666666666666</v>
      </c>
      <c r="N119" s="38">
        <f t="shared" si="35"/>
        <v>26.939583333333331</v>
      </c>
      <c r="O119" s="38">
        <f t="shared" si="36"/>
        <v>28.017166666666668</v>
      </c>
      <c r="P119" s="38">
        <f t="shared" si="37"/>
        <v>29.094750000000001</v>
      </c>
      <c r="Q119" s="38">
        <f t="shared" si="38"/>
        <v>30.172333333333331</v>
      </c>
      <c r="R119" s="38">
        <f t="shared" si="39"/>
        <v>31.249916666666664</v>
      </c>
      <c r="S119" s="38">
        <f t="shared" si="48"/>
        <v>27</v>
      </c>
      <c r="T119" s="38">
        <f t="shared" si="49"/>
        <v>28</v>
      </c>
      <c r="U119" s="38">
        <f t="shared" si="50"/>
        <v>29</v>
      </c>
      <c r="V119" s="38">
        <f t="shared" si="56"/>
        <v>30.25</v>
      </c>
      <c r="W119" s="38">
        <f t="shared" si="55"/>
        <v>31.25</v>
      </c>
    </row>
    <row r="120" spans="1:23" ht="21" customHeight="1" x14ac:dyDescent="0.2">
      <c r="A120" s="19" t="s">
        <v>123</v>
      </c>
      <c r="B120" s="19" t="s">
        <v>284</v>
      </c>
      <c r="C120" s="32" t="s">
        <v>39</v>
      </c>
      <c r="D120" s="32" t="s">
        <v>393</v>
      </c>
      <c r="E120" s="20" t="s">
        <v>397</v>
      </c>
      <c r="F120" s="20" t="s">
        <v>409</v>
      </c>
      <c r="G120" s="33">
        <v>8.5</v>
      </c>
      <c r="H120" s="34">
        <f>VLOOKUP($C120,'Raw Cost'!$A$1:$B$483,2,FALSE)/G120</f>
        <v>2.1176470588235294</v>
      </c>
      <c r="I120" s="34">
        <f t="shared" si="45"/>
        <v>0.13235294117647059</v>
      </c>
      <c r="J120" s="35">
        <v>5</v>
      </c>
      <c r="K120" s="35">
        <v>0.25</v>
      </c>
      <c r="L120" s="36">
        <f>VLOOKUP($F120,'Packaging Cost'!$A$1:$F$43,6,FALSE)</f>
        <v>1.7600000000000002</v>
      </c>
      <c r="M120" s="37">
        <f>IF($E120="Snakpak",(($J120*H120)+($K120*'Labor Cost'!$A$2)+L120)+2.25,($J120*H120)+($K120*'Labor Cost'!$A$2)+L120+1)</f>
        <v>19.223235294117647</v>
      </c>
      <c r="N120" s="38">
        <f t="shared" si="35"/>
        <v>24.029044117647057</v>
      </c>
      <c r="O120" s="38">
        <f t="shared" si="36"/>
        <v>24.990205882352942</v>
      </c>
      <c r="P120" s="38">
        <f t="shared" si="37"/>
        <v>25.951367647058824</v>
      </c>
      <c r="Q120" s="38">
        <f t="shared" si="38"/>
        <v>26.912529411764705</v>
      </c>
      <c r="R120" s="38">
        <f t="shared" si="39"/>
        <v>27.873691176470587</v>
      </c>
      <c r="S120" s="38">
        <f t="shared" si="48"/>
        <v>24</v>
      </c>
      <c r="T120" s="38">
        <f t="shared" si="49"/>
        <v>25</v>
      </c>
      <c r="U120" s="38">
        <f t="shared" si="50"/>
        <v>26</v>
      </c>
      <c r="V120" s="38">
        <f t="shared" si="56"/>
        <v>27</v>
      </c>
      <c r="W120" s="38">
        <f t="shared" si="55"/>
        <v>27.75</v>
      </c>
    </row>
    <row r="121" spans="1:23" ht="21" customHeight="1" x14ac:dyDescent="0.2">
      <c r="A121" s="19" t="s">
        <v>122</v>
      </c>
      <c r="B121" s="19" t="s">
        <v>283</v>
      </c>
      <c r="C121" s="32" t="s">
        <v>39</v>
      </c>
      <c r="D121" s="32" t="s">
        <v>393</v>
      </c>
      <c r="E121" s="20" t="s">
        <v>397</v>
      </c>
      <c r="F121" s="20" t="s">
        <v>409</v>
      </c>
      <c r="G121" s="33">
        <v>8.5</v>
      </c>
      <c r="H121" s="34">
        <f>VLOOKUP($C121,'Raw Cost'!$A$1:$B$483,2,FALSE)/G121</f>
        <v>2.1176470588235294</v>
      </c>
      <c r="I121" s="34">
        <f t="shared" si="45"/>
        <v>0.13235294117647059</v>
      </c>
      <c r="J121" s="35">
        <v>5</v>
      </c>
      <c r="K121" s="35">
        <v>0.25</v>
      </c>
      <c r="L121" s="36">
        <f>VLOOKUP($F121,'Packaging Cost'!$A$1:$F$43,6,FALSE)</f>
        <v>1.7600000000000002</v>
      </c>
      <c r="M121" s="37">
        <f>IF($E121="Snakpak",(($J121*H121)+($K121*'Labor Cost'!$A$2)+L121)+2.25,($J121*H121)+($K121*'Labor Cost'!$A$2)+L121+1)</f>
        <v>19.223235294117647</v>
      </c>
      <c r="N121" s="38">
        <f t="shared" si="35"/>
        <v>24.029044117647057</v>
      </c>
      <c r="O121" s="38">
        <f t="shared" si="36"/>
        <v>24.990205882352942</v>
      </c>
      <c r="P121" s="38">
        <f t="shared" si="37"/>
        <v>25.951367647058824</v>
      </c>
      <c r="Q121" s="38">
        <f t="shared" si="38"/>
        <v>26.912529411764705</v>
      </c>
      <c r="R121" s="38">
        <f t="shared" si="39"/>
        <v>27.873691176470587</v>
      </c>
      <c r="S121" s="38">
        <f t="shared" si="48"/>
        <v>24</v>
      </c>
      <c r="T121" s="38">
        <f t="shared" si="49"/>
        <v>25</v>
      </c>
      <c r="U121" s="38">
        <f t="shared" si="50"/>
        <v>26</v>
      </c>
      <c r="V121" s="38">
        <f t="shared" si="56"/>
        <v>27</v>
      </c>
      <c r="W121" s="38">
        <f t="shared" si="55"/>
        <v>27.75</v>
      </c>
    </row>
    <row r="122" spans="1:23" ht="21" customHeight="1" x14ac:dyDescent="0.2">
      <c r="A122" s="19" t="s">
        <v>124</v>
      </c>
      <c r="B122" s="19" t="s">
        <v>285</v>
      </c>
      <c r="C122" s="32" t="s">
        <v>39</v>
      </c>
      <c r="D122" s="32" t="s">
        <v>393</v>
      </c>
      <c r="E122" s="20" t="s">
        <v>397</v>
      </c>
      <c r="F122" s="20" t="s">
        <v>407</v>
      </c>
      <c r="G122" s="33">
        <v>8.5</v>
      </c>
      <c r="H122" s="34">
        <f>VLOOKUP($C122,'Raw Cost'!$A$1:$B$483,2,FALSE)/G122</f>
        <v>2.1176470588235294</v>
      </c>
      <c r="I122" s="34">
        <f t="shared" si="45"/>
        <v>0.13235294117647059</v>
      </c>
      <c r="J122" s="35">
        <v>10</v>
      </c>
      <c r="K122" s="35">
        <v>0.25</v>
      </c>
      <c r="L122" s="36">
        <f>VLOOKUP($F122,'Packaging Cost'!$A$1:$F$43,6,FALSE)</f>
        <v>3.16</v>
      </c>
      <c r="M122" s="37">
        <f>IF($E122="Snakpak",(($J122*H122)+($K122*'Labor Cost'!$A$2)+L122)+2.25,($J122*H122)+($K122*'Labor Cost'!$A$2)+L122+1)</f>
        <v>31.211470588235294</v>
      </c>
      <c r="N122" s="38">
        <f t="shared" si="35"/>
        <v>39.014338235294119</v>
      </c>
      <c r="O122" s="38">
        <f t="shared" si="36"/>
        <v>40.574911764705881</v>
      </c>
      <c r="P122" s="38">
        <f t="shared" si="37"/>
        <v>42.13548529411765</v>
      </c>
      <c r="Q122" s="38">
        <f t="shared" si="38"/>
        <v>43.696058823529405</v>
      </c>
      <c r="R122" s="38">
        <f t="shared" si="39"/>
        <v>45.256632352941175</v>
      </c>
      <c r="S122" s="38">
        <f t="shared" si="48"/>
        <v>39</v>
      </c>
      <c r="T122" s="38">
        <f t="shared" si="49"/>
        <v>40.5</v>
      </c>
      <c r="U122" s="38">
        <f t="shared" si="50"/>
        <v>42.25</v>
      </c>
      <c r="V122" s="38">
        <f t="shared" si="56"/>
        <v>43.75</v>
      </c>
      <c r="W122" s="38">
        <f t="shared" si="55"/>
        <v>45.25</v>
      </c>
    </row>
    <row r="123" spans="1:23" ht="21" customHeight="1" x14ac:dyDescent="0.2">
      <c r="A123" s="19" t="s">
        <v>127</v>
      </c>
      <c r="B123" s="19" t="s">
        <v>288</v>
      </c>
      <c r="C123" s="20" t="s">
        <v>40</v>
      </c>
      <c r="D123" s="20" t="s">
        <v>393</v>
      </c>
      <c r="E123" s="20" t="s">
        <v>397</v>
      </c>
      <c r="F123" s="20" t="s">
        <v>641</v>
      </c>
      <c r="G123" s="33">
        <v>40</v>
      </c>
      <c r="H123" s="34">
        <f>VLOOKUP($C123,'Raw Cost'!$A$1:$B$483,2,FALSE)/G123</f>
        <v>0.5</v>
      </c>
      <c r="I123" s="34">
        <f t="shared" si="45"/>
        <v>3.125E-2</v>
      </c>
      <c r="J123" s="35">
        <v>20</v>
      </c>
      <c r="K123" s="35">
        <v>0.25</v>
      </c>
      <c r="L123" s="36">
        <f>VLOOKUP($F123,'Packaging Cost'!$A$1:$F$43,6,FALSE)</f>
        <v>2.6</v>
      </c>
      <c r="M123" s="37">
        <f>IF($E123="Snakpak",(($J123*H123)+($K123*'Labor Cost'!$A$2)+L123)+2.25,($J123*H123)+($K123*'Labor Cost'!$A$2)+L123+1)</f>
        <v>19.475000000000001</v>
      </c>
      <c r="N123" s="38">
        <f t="shared" si="35"/>
        <v>24.34375</v>
      </c>
      <c r="O123" s="38">
        <f t="shared" si="36"/>
        <v>25.317500000000003</v>
      </c>
      <c r="P123" s="38">
        <f t="shared" si="37"/>
        <v>26.291250000000005</v>
      </c>
      <c r="Q123" s="38">
        <f t="shared" si="38"/>
        <v>27.265000000000001</v>
      </c>
      <c r="R123" s="38">
        <f t="shared" si="39"/>
        <v>28.23875</v>
      </c>
      <c r="S123" s="38">
        <f t="shared" si="48"/>
        <v>24.25</v>
      </c>
      <c r="T123" s="38">
        <f t="shared" si="49"/>
        <v>25.25</v>
      </c>
      <c r="U123" s="38">
        <f t="shared" si="50"/>
        <v>26.25</v>
      </c>
      <c r="V123" s="38">
        <f t="shared" si="56"/>
        <v>27.25</v>
      </c>
      <c r="W123" s="38">
        <f t="shared" si="55"/>
        <v>28.25</v>
      </c>
    </row>
    <row r="124" spans="1:23" ht="21" customHeight="1" x14ac:dyDescent="0.2">
      <c r="A124" s="19" t="s">
        <v>102</v>
      </c>
      <c r="B124" s="19" t="s">
        <v>291</v>
      </c>
      <c r="C124" s="20" t="s">
        <v>41</v>
      </c>
      <c r="D124" s="20" t="s">
        <v>393</v>
      </c>
      <c r="E124" s="20" t="s">
        <v>397</v>
      </c>
      <c r="F124" s="20" t="s">
        <v>641</v>
      </c>
      <c r="G124" s="33">
        <v>38</v>
      </c>
      <c r="H124" s="34">
        <f>VLOOKUP($C124,'Raw Cost'!$A$1:$B$483,2,FALSE)/G124</f>
        <v>0.52631578947368418</v>
      </c>
      <c r="I124" s="34">
        <f t="shared" si="45"/>
        <v>3.2894736842105261E-2</v>
      </c>
      <c r="J124" s="35">
        <v>20</v>
      </c>
      <c r="K124" s="35">
        <v>0.25</v>
      </c>
      <c r="L124" s="36">
        <f>VLOOKUP($F124,'Packaging Cost'!$A$1:$F$43,6,FALSE)</f>
        <v>2.6</v>
      </c>
      <c r="M124" s="37">
        <f>IF($E124="Snakpak",(($J124*H124)+($K124*'Labor Cost'!$A$2)+L124)+2.25,($J124*H124)+($K124*'Labor Cost'!$A$2)+L124+1)</f>
        <v>20.001315789473686</v>
      </c>
      <c r="N124" s="38">
        <f t="shared" si="35"/>
        <v>25.00164473684211</v>
      </c>
      <c r="O124" s="38">
        <f t="shared" si="36"/>
        <v>26.001710526315794</v>
      </c>
      <c r="P124" s="38">
        <f t="shared" si="37"/>
        <v>27.001776315789478</v>
      </c>
      <c r="Q124" s="38">
        <f t="shared" si="38"/>
        <v>28.001842105263158</v>
      </c>
      <c r="R124" s="38">
        <f t="shared" si="39"/>
        <v>29.001907894736846</v>
      </c>
      <c r="S124" s="38">
        <f t="shared" si="48"/>
        <v>25</v>
      </c>
      <c r="T124" s="38">
        <f t="shared" si="49"/>
        <v>26</v>
      </c>
      <c r="U124" s="38">
        <f t="shared" si="50"/>
        <v>27</v>
      </c>
      <c r="V124" s="38">
        <f t="shared" si="56"/>
        <v>28</v>
      </c>
      <c r="W124" s="38">
        <f t="shared" si="55"/>
        <v>29</v>
      </c>
    </row>
    <row r="125" spans="1:23" ht="21" customHeight="1" x14ac:dyDescent="0.2">
      <c r="A125" s="19" t="s">
        <v>132</v>
      </c>
      <c r="B125" s="19" t="s">
        <v>295</v>
      </c>
      <c r="C125" s="20" t="s">
        <v>40</v>
      </c>
      <c r="D125" s="20" t="s">
        <v>393</v>
      </c>
      <c r="E125" s="20" t="s">
        <v>397</v>
      </c>
      <c r="F125" s="20" t="s">
        <v>641</v>
      </c>
      <c r="G125" s="33">
        <v>48</v>
      </c>
      <c r="H125" s="34">
        <f>VLOOKUP($C125,'Raw Cost'!$A$1:$B$483,2,FALSE)/G125</f>
        <v>0.41666666666666669</v>
      </c>
      <c r="I125" s="34">
        <f t="shared" si="45"/>
        <v>2.6041666666666668E-2</v>
      </c>
      <c r="J125" s="35">
        <v>20</v>
      </c>
      <c r="K125" s="35">
        <v>0.25</v>
      </c>
      <c r="L125" s="36">
        <f>VLOOKUP($F125,'Packaging Cost'!$A$1:$F$43,6,FALSE)</f>
        <v>2.6</v>
      </c>
      <c r="M125" s="37">
        <f>IF($E125="Snakpak",(($J125*H125)+($K125*'Labor Cost'!$A$2)+L125)+2.25,($J125*H125)+($K125*'Labor Cost'!$A$2)+L125+1)</f>
        <v>17.808333333333334</v>
      </c>
      <c r="N125" s="38">
        <f t="shared" si="35"/>
        <v>22.260416666666668</v>
      </c>
      <c r="O125" s="38">
        <f t="shared" si="36"/>
        <v>23.150833333333335</v>
      </c>
      <c r="P125" s="38">
        <f t="shared" si="37"/>
        <v>24.041250000000002</v>
      </c>
      <c r="Q125" s="38">
        <f t="shared" si="38"/>
        <v>24.931666666666665</v>
      </c>
      <c r="R125" s="38">
        <f t="shared" si="39"/>
        <v>25.822083333333332</v>
      </c>
      <c r="S125" s="38">
        <f t="shared" si="48"/>
        <v>22.25</v>
      </c>
      <c r="T125" s="38">
        <f t="shared" si="49"/>
        <v>23.25</v>
      </c>
      <c r="U125" s="38">
        <f t="shared" si="50"/>
        <v>24</v>
      </c>
      <c r="V125" s="38">
        <f t="shared" si="56"/>
        <v>25</v>
      </c>
      <c r="W125" s="38">
        <f t="shared" si="55"/>
        <v>25.75</v>
      </c>
    </row>
    <row r="126" spans="1:23" ht="21" customHeight="1" x14ac:dyDescent="0.2">
      <c r="A126" s="19" t="s">
        <v>126</v>
      </c>
      <c r="B126" s="19" t="s">
        <v>287</v>
      </c>
      <c r="C126" s="20" t="s">
        <v>40</v>
      </c>
      <c r="D126" s="20" t="s">
        <v>393</v>
      </c>
      <c r="E126" s="20" t="s">
        <v>397</v>
      </c>
      <c r="F126" s="20" t="s">
        <v>640</v>
      </c>
      <c r="G126" s="33">
        <v>35</v>
      </c>
      <c r="H126" s="34">
        <f>VLOOKUP($C126,'Raw Cost'!$A$1:$B$483,2,FALSE)/G126</f>
        <v>0.5714285714285714</v>
      </c>
      <c r="I126" s="34">
        <f t="shared" si="45"/>
        <v>3.5714285714285712E-2</v>
      </c>
      <c r="J126" s="35">
        <v>10</v>
      </c>
      <c r="K126" s="35">
        <v>0.25</v>
      </c>
      <c r="L126" s="36">
        <f>VLOOKUP($F126,'Packaging Cost'!$A$1:$F$43,6,FALSE)</f>
        <v>3.1</v>
      </c>
      <c r="M126" s="37">
        <f>IF($E126="Snakpak",(($J126*H126)+($K126*'Labor Cost'!$A$2)+L126)+2.25,($J126*H126)+($K126*'Labor Cost'!$A$2)+L126+1)</f>
        <v>15.689285714285713</v>
      </c>
      <c r="N126" s="38">
        <f t="shared" si="35"/>
        <v>19.611607142857142</v>
      </c>
      <c r="O126" s="38">
        <f t="shared" si="36"/>
        <v>20.396071428571428</v>
      </c>
      <c r="P126" s="38">
        <f t="shared" si="37"/>
        <v>21.180535714285714</v>
      </c>
      <c r="Q126" s="38">
        <f t="shared" si="38"/>
        <v>21.964999999999996</v>
      </c>
      <c r="R126" s="38">
        <f t="shared" si="39"/>
        <v>22.749464285714282</v>
      </c>
      <c r="S126" s="38">
        <f t="shared" si="48"/>
        <v>19.5</v>
      </c>
      <c r="T126" s="38">
        <f t="shared" si="49"/>
        <v>20.5</v>
      </c>
      <c r="U126" s="38">
        <f t="shared" si="50"/>
        <v>21.25</v>
      </c>
      <c r="V126" s="38">
        <f t="shared" si="56"/>
        <v>22</v>
      </c>
      <c r="W126" s="38">
        <f t="shared" si="56"/>
        <v>22.75</v>
      </c>
    </row>
    <row r="127" spans="1:23" ht="21" customHeight="1" x14ac:dyDescent="0.2">
      <c r="A127" s="19" t="s">
        <v>125</v>
      </c>
      <c r="B127" s="19" t="s">
        <v>286</v>
      </c>
      <c r="C127" s="20" t="s">
        <v>40</v>
      </c>
      <c r="D127" s="20" t="s">
        <v>393</v>
      </c>
      <c r="E127" s="20" t="s">
        <v>397</v>
      </c>
      <c r="F127" s="20" t="s">
        <v>641</v>
      </c>
      <c r="G127" s="33">
        <v>35</v>
      </c>
      <c r="H127" s="34">
        <f>VLOOKUP($C127,'Raw Cost'!$A$1:$B$483,2,FALSE)/G127</f>
        <v>0.5714285714285714</v>
      </c>
      <c r="I127" s="34">
        <f t="shared" si="45"/>
        <v>3.5714285714285712E-2</v>
      </c>
      <c r="J127" s="35">
        <v>20</v>
      </c>
      <c r="K127" s="35">
        <v>0.25</v>
      </c>
      <c r="L127" s="36">
        <f>VLOOKUP($F127,'Packaging Cost'!$A$1:$F$43,6,FALSE)</f>
        <v>2.6</v>
      </c>
      <c r="M127" s="37">
        <f>IF($E127="Snakpak",(($J127*H127)+($K127*'Labor Cost'!$A$2)+L127)+2.25,($J127*H127)+($K127*'Labor Cost'!$A$2)+L127+1)</f>
        <v>20.903571428571428</v>
      </c>
      <c r="N127" s="38">
        <f t="shared" si="35"/>
        <v>26.129464285714285</v>
      </c>
      <c r="O127" s="38">
        <f t="shared" si="36"/>
        <v>27.174642857142857</v>
      </c>
      <c r="P127" s="38">
        <f t="shared" si="37"/>
        <v>28.219821428571429</v>
      </c>
      <c r="Q127" s="38">
        <f t="shared" si="38"/>
        <v>29.264999999999997</v>
      </c>
      <c r="R127" s="38">
        <f t="shared" si="39"/>
        <v>30.310178571428569</v>
      </c>
      <c r="S127" s="38">
        <f t="shared" si="48"/>
        <v>26.25</v>
      </c>
      <c r="T127" s="38">
        <f t="shared" si="49"/>
        <v>27.25</v>
      </c>
      <c r="U127" s="38">
        <f t="shared" si="50"/>
        <v>28.25</v>
      </c>
      <c r="V127" s="38">
        <f t="shared" si="56"/>
        <v>29.25</v>
      </c>
      <c r="W127" s="38">
        <f t="shared" si="56"/>
        <v>30.25</v>
      </c>
    </row>
    <row r="128" spans="1:23" ht="21" customHeight="1" x14ac:dyDescent="0.2">
      <c r="A128" s="19" t="s">
        <v>128</v>
      </c>
      <c r="B128" s="19" t="s">
        <v>289</v>
      </c>
      <c r="C128" s="20" t="s">
        <v>40</v>
      </c>
      <c r="D128" s="20" t="s">
        <v>393</v>
      </c>
      <c r="E128" s="20" t="s">
        <v>397</v>
      </c>
      <c r="F128" s="20" t="s">
        <v>641</v>
      </c>
      <c r="G128" s="33">
        <v>38</v>
      </c>
      <c r="H128" s="34">
        <f>VLOOKUP($C128,'Raw Cost'!$A$1:$B$483,2,FALSE)/G128</f>
        <v>0.52631578947368418</v>
      </c>
      <c r="I128" s="34">
        <f t="shared" si="45"/>
        <v>3.2894736842105261E-2</v>
      </c>
      <c r="J128" s="35">
        <v>20</v>
      </c>
      <c r="K128" s="35">
        <v>0.25</v>
      </c>
      <c r="L128" s="36">
        <f>VLOOKUP($F128,'Packaging Cost'!$A$1:$F$43,6,FALSE)</f>
        <v>2.6</v>
      </c>
      <c r="M128" s="37">
        <f>IF($E128="Snakpak",(($J128*H128)+($K128*'Labor Cost'!$A$2)+L128)+2.25,($J128*H128)+($K128*'Labor Cost'!$A$2)+L128+1)</f>
        <v>20.001315789473686</v>
      </c>
      <c r="N128" s="38">
        <f t="shared" si="35"/>
        <v>25.00164473684211</v>
      </c>
      <c r="O128" s="38">
        <f t="shared" si="36"/>
        <v>26.001710526315794</v>
      </c>
      <c r="P128" s="38">
        <f t="shared" si="37"/>
        <v>27.001776315789478</v>
      </c>
      <c r="Q128" s="38">
        <f t="shared" si="38"/>
        <v>28.001842105263158</v>
      </c>
      <c r="R128" s="38">
        <f t="shared" si="39"/>
        <v>29.001907894736846</v>
      </c>
      <c r="S128" s="38">
        <f t="shared" si="48"/>
        <v>25</v>
      </c>
      <c r="T128" s="38">
        <f t="shared" si="49"/>
        <v>26</v>
      </c>
      <c r="U128" s="38">
        <f t="shared" si="50"/>
        <v>27</v>
      </c>
      <c r="V128" s="38">
        <f t="shared" si="56"/>
        <v>28</v>
      </c>
      <c r="W128" s="38">
        <f t="shared" si="56"/>
        <v>29</v>
      </c>
    </row>
    <row r="129" spans="1:23" ht="21" customHeight="1" x14ac:dyDescent="0.2">
      <c r="A129" s="19" t="s">
        <v>101</v>
      </c>
      <c r="B129" s="19" t="s">
        <v>290</v>
      </c>
      <c r="C129" s="20" t="s">
        <v>40</v>
      </c>
      <c r="D129" s="20" t="s">
        <v>393</v>
      </c>
      <c r="E129" s="20" t="s">
        <v>397</v>
      </c>
      <c r="F129" s="20" t="s">
        <v>641</v>
      </c>
      <c r="G129" s="33">
        <v>38</v>
      </c>
      <c r="H129" s="34">
        <f>VLOOKUP($C129,'Raw Cost'!$A$1:$B$483,2,FALSE)/G129</f>
        <v>0.52631578947368418</v>
      </c>
      <c r="I129" s="34">
        <f t="shared" si="45"/>
        <v>3.2894736842105261E-2</v>
      </c>
      <c r="J129" s="35">
        <v>20</v>
      </c>
      <c r="K129" s="35">
        <v>0.25</v>
      </c>
      <c r="L129" s="36">
        <f>VLOOKUP($F129,'Packaging Cost'!$A$1:$F$43,6,FALSE)</f>
        <v>2.6</v>
      </c>
      <c r="M129" s="37">
        <f>IF($E129="Snakpak",(($J129*H129)+($K129*'Labor Cost'!$A$2)+L129)+2.25,($J129*H129)+($K129*'Labor Cost'!$A$2)+L129+1)</f>
        <v>20.001315789473686</v>
      </c>
      <c r="N129" s="38">
        <f t="shared" si="35"/>
        <v>25.00164473684211</v>
      </c>
      <c r="O129" s="38">
        <f t="shared" si="36"/>
        <v>26.001710526315794</v>
      </c>
      <c r="P129" s="38">
        <f t="shared" si="37"/>
        <v>27.001776315789478</v>
      </c>
      <c r="Q129" s="38">
        <f t="shared" si="38"/>
        <v>28.001842105263158</v>
      </c>
      <c r="R129" s="38">
        <f t="shared" si="39"/>
        <v>29.001907894736846</v>
      </c>
      <c r="S129" s="38">
        <f t="shared" si="48"/>
        <v>25</v>
      </c>
      <c r="T129" s="38">
        <f t="shared" si="49"/>
        <v>26</v>
      </c>
      <c r="U129" s="38">
        <f t="shared" si="50"/>
        <v>27</v>
      </c>
      <c r="V129" s="38">
        <f t="shared" si="56"/>
        <v>28</v>
      </c>
      <c r="W129" s="38">
        <f t="shared" si="56"/>
        <v>29</v>
      </c>
    </row>
    <row r="130" spans="1:23" ht="21" customHeight="1" x14ac:dyDescent="0.2">
      <c r="A130" s="19" t="s">
        <v>129</v>
      </c>
      <c r="B130" s="19" t="s">
        <v>292</v>
      </c>
      <c r="C130" s="32" t="s">
        <v>41</v>
      </c>
      <c r="D130" s="32" t="s">
        <v>393</v>
      </c>
      <c r="E130" s="20" t="s">
        <v>397</v>
      </c>
      <c r="F130" s="20" t="s">
        <v>640</v>
      </c>
      <c r="G130" s="33">
        <v>38</v>
      </c>
      <c r="H130" s="34">
        <f>VLOOKUP($C130,'Raw Cost'!$A$1:$B$483,2,FALSE)/G130</f>
        <v>0.52631578947368418</v>
      </c>
      <c r="I130" s="34">
        <f t="shared" si="45"/>
        <v>3.2894736842105261E-2</v>
      </c>
      <c r="J130" s="35">
        <v>10</v>
      </c>
      <c r="K130" s="35">
        <v>0.25</v>
      </c>
      <c r="L130" s="36">
        <f>VLOOKUP($F130,'Packaging Cost'!$A$1:$F$43,6,FALSE)</f>
        <v>3.1</v>
      </c>
      <c r="M130" s="37">
        <f>IF($E130="Snakpak",(($J130*H130)+($K130*'Labor Cost'!$A$2)+L130)+2.25,($J130*H130)+($K130*'Labor Cost'!$A$2)+L130+1)</f>
        <v>15.238157894736842</v>
      </c>
      <c r="N130" s="38">
        <f t="shared" si="35"/>
        <v>19.047697368421051</v>
      </c>
      <c r="O130" s="38">
        <f t="shared" si="36"/>
        <v>19.809605263157895</v>
      </c>
      <c r="P130" s="38">
        <f t="shared" si="37"/>
        <v>20.571513157894739</v>
      </c>
      <c r="Q130" s="38">
        <f t="shared" si="38"/>
        <v>21.333421052631579</v>
      </c>
      <c r="R130" s="38">
        <f t="shared" si="39"/>
        <v>22.095328947368419</v>
      </c>
      <c r="S130" s="38">
        <f t="shared" ref="S130:S166" si="58">MROUND(N130,0.25)</f>
        <v>19</v>
      </c>
      <c r="T130" s="38">
        <f t="shared" ref="T130:T166" si="59">MROUND(O130,0.25)</f>
        <v>19.75</v>
      </c>
      <c r="U130" s="38">
        <f t="shared" ref="U130:U166" si="60">MROUND(P130,0.25)</f>
        <v>20.5</v>
      </c>
      <c r="V130" s="38">
        <f t="shared" si="56"/>
        <v>21.25</v>
      </c>
      <c r="W130" s="38">
        <f t="shared" si="56"/>
        <v>22</v>
      </c>
    </row>
    <row r="131" spans="1:23" ht="21" customHeight="1" x14ac:dyDescent="0.2">
      <c r="A131" s="19" t="s">
        <v>131</v>
      </c>
      <c r="B131" s="19" t="s">
        <v>294</v>
      </c>
      <c r="C131" s="20" t="s">
        <v>40</v>
      </c>
      <c r="D131" s="20" t="s">
        <v>393</v>
      </c>
      <c r="E131" s="20" t="s">
        <v>397</v>
      </c>
      <c r="F131" s="20" t="s">
        <v>640</v>
      </c>
      <c r="G131" s="33">
        <v>38</v>
      </c>
      <c r="H131" s="34">
        <f>VLOOKUP($C131,'Raw Cost'!$A$1:$B$483,2,FALSE)/G131</f>
        <v>0.52631578947368418</v>
      </c>
      <c r="I131" s="34">
        <f t="shared" si="45"/>
        <v>3.2894736842105261E-2</v>
      </c>
      <c r="J131" s="35">
        <v>10</v>
      </c>
      <c r="K131" s="35">
        <v>0.25</v>
      </c>
      <c r="L131" s="36">
        <f>VLOOKUP($F131,'Packaging Cost'!$A$1:$F$43,6,FALSE)</f>
        <v>3.1</v>
      </c>
      <c r="M131" s="37">
        <f>IF($E131="Snakpak",(($J131*H131)+($K131*'Labor Cost'!$A$2)+L131)+2.25,($J131*H131)+($K131*'Labor Cost'!$A$2)+L131+1)</f>
        <v>15.238157894736842</v>
      </c>
      <c r="N131" s="38">
        <f t="shared" ref="N131:N194" si="61">IF($D131="No",$M131*1.25,($M131*1.25)+15)</f>
        <v>19.047697368421051</v>
      </c>
      <c r="O131" s="38">
        <f t="shared" ref="O131:O194" si="62">IF($D131="No",$M131*1.3,($M131*1.3)+15)</f>
        <v>19.809605263157895</v>
      </c>
      <c r="P131" s="38">
        <f t="shared" ref="P131:P194" si="63">IF($D131="No",$M131*1.35,($M131*1.35)+15)</f>
        <v>20.571513157894739</v>
      </c>
      <c r="Q131" s="38">
        <f t="shared" ref="Q131:Q194" si="64">IF($D131="No",$M131*1.4,($M131*1.4)+15)</f>
        <v>21.333421052631579</v>
      </c>
      <c r="R131" s="38">
        <f t="shared" ref="R131:R194" si="65">IF($D131="No",$M131*1.45,($M131*1.45)+15)</f>
        <v>22.095328947368419</v>
      </c>
      <c r="S131" s="38">
        <f t="shared" si="58"/>
        <v>19</v>
      </c>
      <c r="T131" s="38">
        <f t="shared" si="59"/>
        <v>19.75</v>
      </c>
      <c r="U131" s="38">
        <f t="shared" si="60"/>
        <v>20.5</v>
      </c>
      <c r="V131" s="38">
        <f t="shared" si="56"/>
        <v>21.25</v>
      </c>
      <c r="W131" s="38">
        <f t="shared" si="56"/>
        <v>22</v>
      </c>
    </row>
    <row r="132" spans="1:23" ht="21" customHeight="1" x14ac:dyDescent="0.2">
      <c r="A132" s="19" t="s">
        <v>130</v>
      </c>
      <c r="B132" s="19" t="s">
        <v>293</v>
      </c>
      <c r="C132" s="20" t="s">
        <v>40</v>
      </c>
      <c r="D132" s="20" t="s">
        <v>393</v>
      </c>
      <c r="E132" s="20" t="s">
        <v>397</v>
      </c>
      <c r="F132" s="20" t="s">
        <v>641</v>
      </c>
      <c r="G132" s="33">
        <v>38</v>
      </c>
      <c r="H132" s="34">
        <f>VLOOKUP($C132,'Raw Cost'!$A$1:$B$483,2,FALSE)/G132</f>
        <v>0.52631578947368418</v>
      </c>
      <c r="I132" s="34">
        <f t="shared" si="45"/>
        <v>3.2894736842105261E-2</v>
      </c>
      <c r="J132" s="35">
        <v>20</v>
      </c>
      <c r="K132" s="35">
        <v>0.25</v>
      </c>
      <c r="L132" s="36">
        <f>VLOOKUP($F132,'Packaging Cost'!$A$1:$F$43,6,FALSE)</f>
        <v>2.6</v>
      </c>
      <c r="M132" s="37">
        <f>IF($E132="Snakpak",(($J132*H132)+($K132*'Labor Cost'!$A$2)+L132)+2.25,($J132*H132)+($K132*'Labor Cost'!$A$2)+L132+1)</f>
        <v>20.001315789473686</v>
      </c>
      <c r="N132" s="38">
        <f t="shared" si="61"/>
        <v>25.00164473684211</v>
      </c>
      <c r="O132" s="38">
        <f t="shared" si="62"/>
        <v>26.001710526315794</v>
      </c>
      <c r="P132" s="38">
        <f t="shared" si="63"/>
        <v>27.001776315789478</v>
      </c>
      <c r="Q132" s="38">
        <f t="shared" si="64"/>
        <v>28.001842105263158</v>
      </c>
      <c r="R132" s="38">
        <f t="shared" si="65"/>
        <v>29.001907894736846</v>
      </c>
      <c r="S132" s="38">
        <f t="shared" si="58"/>
        <v>25</v>
      </c>
      <c r="T132" s="38">
        <f t="shared" si="59"/>
        <v>26</v>
      </c>
      <c r="U132" s="38">
        <f t="shared" si="60"/>
        <v>27</v>
      </c>
      <c r="V132" s="38">
        <f t="shared" si="56"/>
        <v>28</v>
      </c>
      <c r="W132" s="38">
        <f t="shared" si="56"/>
        <v>29</v>
      </c>
    </row>
    <row r="133" spans="1:23" ht="21" customHeight="1" x14ac:dyDescent="0.2">
      <c r="A133" s="19" t="s">
        <v>133</v>
      </c>
      <c r="B133" s="19" t="s">
        <v>297</v>
      </c>
      <c r="C133" s="20" t="s">
        <v>40</v>
      </c>
      <c r="D133" s="20" t="s">
        <v>393</v>
      </c>
      <c r="E133" s="20" t="s">
        <v>397</v>
      </c>
      <c r="F133" s="20" t="s">
        <v>640</v>
      </c>
      <c r="G133" s="33">
        <v>38</v>
      </c>
      <c r="H133" s="34">
        <f>VLOOKUP($C133,'Raw Cost'!$A$1:$B$483,2,FALSE)/G133</f>
        <v>0.52631578947368418</v>
      </c>
      <c r="I133" s="34">
        <f t="shared" si="45"/>
        <v>3.2894736842105261E-2</v>
      </c>
      <c r="J133" s="35">
        <v>10</v>
      </c>
      <c r="K133" s="35">
        <v>0.25</v>
      </c>
      <c r="L133" s="36">
        <f>VLOOKUP($F133,'Packaging Cost'!$A$1:$F$43,6,FALSE)</f>
        <v>3.1</v>
      </c>
      <c r="M133" s="37">
        <f>IF($E133="Snakpak",(($J133*H133)+($K133*'Labor Cost'!$A$2)+L133)+2.25,($J133*H133)+($K133*'Labor Cost'!$A$2)+L133+1)</f>
        <v>15.238157894736842</v>
      </c>
      <c r="N133" s="38">
        <f t="shared" si="61"/>
        <v>19.047697368421051</v>
      </c>
      <c r="O133" s="38">
        <f t="shared" si="62"/>
        <v>19.809605263157895</v>
      </c>
      <c r="P133" s="38">
        <f t="shared" si="63"/>
        <v>20.571513157894739</v>
      </c>
      <c r="Q133" s="38">
        <f t="shared" si="64"/>
        <v>21.333421052631579</v>
      </c>
      <c r="R133" s="38">
        <f t="shared" si="65"/>
        <v>22.095328947368419</v>
      </c>
      <c r="S133" s="38">
        <f t="shared" si="58"/>
        <v>19</v>
      </c>
      <c r="T133" s="38">
        <f t="shared" si="59"/>
        <v>19.75</v>
      </c>
      <c r="U133" s="38">
        <f t="shared" si="60"/>
        <v>20.5</v>
      </c>
      <c r="V133" s="38">
        <f t="shared" si="56"/>
        <v>21.25</v>
      </c>
      <c r="W133" s="38">
        <f t="shared" si="56"/>
        <v>22</v>
      </c>
    </row>
    <row r="134" spans="1:23" ht="21" customHeight="1" x14ac:dyDescent="0.2">
      <c r="A134" s="19" t="s">
        <v>113</v>
      </c>
      <c r="B134" s="19" t="s">
        <v>296</v>
      </c>
      <c r="C134" s="20" t="s">
        <v>40</v>
      </c>
      <c r="D134" s="20" t="s">
        <v>393</v>
      </c>
      <c r="E134" s="20" t="s">
        <v>397</v>
      </c>
      <c r="F134" s="20" t="s">
        <v>641</v>
      </c>
      <c r="G134" s="33">
        <v>38</v>
      </c>
      <c r="H134" s="34">
        <f>VLOOKUP($C134,'Raw Cost'!$A$1:$B$483,2,FALSE)/G134</f>
        <v>0.52631578947368418</v>
      </c>
      <c r="I134" s="34">
        <f t="shared" si="45"/>
        <v>3.2894736842105261E-2</v>
      </c>
      <c r="J134" s="35">
        <v>20</v>
      </c>
      <c r="K134" s="35">
        <v>0.25</v>
      </c>
      <c r="L134" s="36">
        <f>VLOOKUP($F134,'Packaging Cost'!$A$1:$F$43,6,FALSE)</f>
        <v>2.6</v>
      </c>
      <c r="M134" s="37">
        <f>IF($E134="Snakpak",(($J134*H134)+($K134*'Labor Cost'!$A$2)+L134)+2.25,($J134*H134)+($K134*'Labor Cost'!$A$2)+L134+1)</f>
        <v>20.001315789473686</v>
      </c>
      <c r="N134" s="38">
        <f t="shared" si="61"/>
        <v>25.00164473684211</v>
      </c>
      <c r="O134" s="38">
        <f t="shared" si="62"/>
        <v>26.001710526315794</v>
      </c>
      <c r="P134" s="38">
        <f t="shared" si="63"/>
        <v>27.001776315789478</v>
      </c>
      <c r="Q134" s="38">
        <f t="shared" si="64"/>
        <v>28.001842105263158</v>
      </c>
      <c r="R134" s="38">
        <f t="shared" si="65"/>
        <v>29.001907894736846</v>
      </c>
      <c r="S134" s="38">
        <f t="shared" si="58"/>
        <v>25</v>
      </c>
      <c r="T134" s="38">
        <f t="shared" si="59"/>
        <v>26</v>
      </c>
      <c r="U134" s="38">
        <f t="shared" si="60"/>
        <v>27</v>
      </c>
      <c r="V134" s="38">
        <f t="shared" si="56"/>
        <v>28</v>
      </c>
      <c r="W134" s="38">
        <f t="shared" si="56"/>
        <v>29</v>
      </c>
    </row>
    <row r="135" spans="1:23" ht="21" customHeight="1" x14ac:dyDescent="0.2">
      <c r="A135" s="19" t="s">
        <v>1042</v>
      </c>
      <c r="B135" s="19" t="s">
        <v>303</v>
      </c>
      <c r="C135" s="20" t="s">
        <v>1059</v>
      </c>
      <c r="D135" s="20" t="s">
        <v>393</v>
      </c>
      <c r="E135" s="20" t="s">
        <v>397</v>
      </c>
      <c r="F135" s="20" t="s">
        <v>378</v>
      </c>
      <c r="G135" s="33">
        <v>35</v>
      </c>
      <c r="H135" s="34">
        <f>VLOOKUP($C135,'Raw Cost'!$A$1:$B$483,2,FALSE)/G135</f>
        <v>0.42857142857142855</v>
      </c>
      <c r="I135" s="34">
        <f t="shared" si="45"/>
        <v>2.6785714285714284E-2</v>
      </c>
      <c r="J135" s="35">
        <v>10</v>
      </c>
      <c r="K135" s="35">
        <v>0.25</v>
      </c>
      <c r="L135" s="36">
        <f>VLOOKUP($F135,'Packaging Cost'!$A$1:$F$43,6,FALSE)</f>
        <v>1.1000000000000001</v>
      </c>
      <c r="M135" s="37">
        <f>IF($E135="Snakpak",(($J135*H135)+($K135*'Labor Cost'!$A$2)+L135)+2.25,($J135*H135)+($K135*'Labor Cost'!$A$2)+L135+1)</f>
        <v>12.260714285714284</v>
      </c>
      <c r="N135" s="38">
        <f t="shared" si="61"/>
        <v>15.325892857142856</v>
      </c>
      <c r="O135" s="38">
        <f t="shared" si="62"/>
        <v>15.938928571428571</v>
      </c>
      <c r="P135" s="38">
        <f t="shared" si="63"/>
        <v>16.551964285714284</v>
      </c>
      <c r="Q135" s="38">
        <f t="shared" si="64"/>
        <v>17.164999999999996</v>
      </c>
      <c r="R135" s="38">
        <f t="shared" si="65"/>
        <v>17.778035714285711</v>
      </c>
      <c r="S135" s="38">
        <f t="shared" si="58"/>
        <v>15.25</v>
      </c>
      <c r="T135" s="38">
        <f t="shared" si="59"/>
        <v>16</v>
      </c>
      <c r="U135" s="38">
        <f t="shared" si="60"/>
        <v>16.5</v>
      </c>
      <c r="V135" s="38">
        <f t="shared" si="56"/>
        <v>17.25</v>
      </c>
      <c r="W135" s="38">
        <f t="shared" si="56"/>
        <v>17.75</v>
      </c>
    </row>
    <row r="136" spans="1:23" ht="21" customHeight="1" x14ac:dyDescent="0.2">
      <c r="A136" s="19" t="s">
        <v>1043</v>
      </c>
      <c r="B136" s="19" t="s">
        <v>304</v>
      </c>
      <c r="C136" s="20" t="s">
        <v>1059</v>
      </c>
      <c r="D136" s="20" t="s">
        <v>393</v>
      </c>
      <c r="E136" s="20" t="s">
        <v>397</v>
      </c>
      <c r="F136" s="20" t="s">
        <v>378</v>
      </c>
      <c r="G136" s="33">
        <v>35</v>
      </c>
      <c r="H136" s="34">
        <f>VLOOKUP($C136,'Raw Cost'!$A$1:$B$483,2,FALSE)/G136</f>
        <v>0.42857142857142855</v>
      </c>
      <c r="I136" s="34">
        <f t="shared" si="45"/>
        <v>2.6785714285714284E-2</v>
      </c>
      <c r="J136" s="35">
        <v>10</v>
      </c>
      <c r="K136" s="35">
        <v>0.25</v>
      </c>
      <c r="L136" s="36">
        <f>VLOOKUP($F136,'Packaging Cost'!$A$1:$F$43,6,FALSE)</f>
        <v>1.1000000000000001</v>
      </c>
      <c r="M136" s="37">
        <f>IF($E136="Snakpak",(($J136*H136)+($K136*'Labor Cost'!$A$2)+L136)+2.25,($J136*H136)+($K136*'Labor Cost'!$A$2)+L136+1)</f>
        <v>12.260714285714284</v>
      </c>
      <c r="N136" s="38">
        <f t="shared" si="61"/>
        <v>15.325892857142856</v>
      </c>
      <c r="O136" s="38">
        <f t="shared" si="62"/>
        <v>15.938928571428571</v>
      </c>
      <c r="P136" s="38">
        <f t="shared" si="63"/>
        <v>16.551964285714284</v>
      </c>
      <c r="Q136" s="38">
        <f t="shared" si="64"/>
        <v>17.164999999999996</v>
      </c>
      <c r="R136" s="38">
        <f t="shared" si="65"/>
        <v>17.778035714285711</v>
      </c>
      <c r="S136" s="38">
        <f t="shared" si="58"/>
        <v>15.25</v>
      </c>
      <c r="T136" s="38">
        <f t="shared" si="59"/>
        <v>16</v>
      </c>
      <c r="U136" s="38">
        <f t="shared" si="60"/>
        <v>16.5</v>
      </c>
      <c r="V136" s="38">
        <f t="shared" si="56"/>
        <v>17.25</v>
      </c>
      <c r="W136" s="38">
        <f t="shared" si="56"/>
        <v>17.75</v>
      </c>
    </row>
    <row r="137" spans="1:23" ht="21" customHeight="1" x14ac:dyDescent="0.2">
      <c r="A137" s="19" t="s">
        <v>139</v>
      </c>
      <c r="B137" s="19" t="s">
        <v>306</v>
      </c>
      <c r="C137" s="20" t="s">
        <v>41</v>
      </c>
      <c r="D137" s="20" t="s">
        <v>393</v>
      </c>
      <c r="E137" s="20" t="s">
        <v>397</v>
      </c>
      <c r="F137" s="20" t="s">
        <v>640</v>
      </c>
      <c r="G137" s="33">
        <v>40</v>
      </c>
      <c r="H137" s="34">
        <f>VLOOKUP($C137,'Raw Cost'!$A$1:$B$483,2,FALSE)/G137</f>
        <v>0.5</v>
      </c>
      <c r="I137" s="34">
        <f t="shared" si="45"/>
        <v>3.125E-2</v>
      </c>
      <c r="J137" s="35">
        <v>10</v>
      </c>
      <c r="K137" s="35">
        <v>0.25</v>
      </c>
      <c r="L137" s="36">
        <f>VLOOKUP($F137,'Packaging Cost'!$A$1:$F$43,6,FALSE)</f>
        <v>3.1</v>
      </c>
      <c r="M137" s="37">
        <f>IF($E137="Snakpak",(($J137*H137)+($K137*'Labor Cost'!$A$2)+L137)+2.25,($J137*H137)+($K137*'Labor Cost'!$A$2)+L137+1)</f>
        <v>14.975</v>
      </c>
      <c r="N137" s="38">
        <f t="shared" si="61"/>
        <v>18.71875</v>
      </c>
      <c r="O137" s="38">
        <f t="shared" si="62"/>
        <v>19.467500000000001</v>
      </c>
      <c r="P137" s="38">
        <f t="shared" si="63"/>
        <v>20.216250000000002</v>
      </c>
      <c r="Q137" s="38">
        <f t="shared" si="64"/>
        <v>20.965</v>
      </c>
      <c r="R137" s="38">
        <f t="shared" si="65"/>
        <v>21.713749999999997</v>
      </c>
      <c r="S137" s="38">
        <f t="shared" si="58"/>
        <v>18.75</v>
      </c>
      <c r="T137" s="38">
        <f t="shared" si="59"/>
        <v>19.5</v>
      </c>
      <c r="U137" s="38">
        <f t="shared" si="60"/>
        <v>20.25</v>
      </c>
      <c r="V137" s="38">
        <f t="shared" si="56"/>
        <v>21</v>
      </c>
      <c r="W137" s="38">
        <f t="shared" si="56"/>
        <v>21.75</v>
      </c>
    </row>
    <row r="138" spans="1:23" ht="21" customHeight="1" x14ac:dyDescent="0.2">
      <c r="A138" s="19" t="s">
        <v>103</v>
      </c>
      <c r="B138" s="19" t="s">
        <v>305</v>
      </c>
      <c r="C138" s="20" t="s">
        <v>41</v>
      </c>
      <c r="D138" s="20" t="s">
        <v>393</v>
      </c>
      <c r="E138" s="20" t="s">
        <v>397</v>
      </c>
      <c r="F138" s="20" t="s">
        <v>641</v>
      </c>
      <c r="G138" s="33">
        <v>40</v>
      </c>
      <c r="H138" s="34">
        <f>VLOOKUP($C138,'Raw Cost'!$A$1:$B$483,2,FALSE)/G138</f>
        <v>0.5</v>
      </c>
      <c r="I138" s="34">
        <f t="shared" si="45"/>
        <v>3.125E-2</v>
      </c>
      <c r="J138" s="35">
        <v>20</v>
      </c>
      <c r="K138" s="35">
        <v>0.25</v>
      </c>
      <c r="L138" s="36">
        <f>VLOOKUP($F138,'Packaging Cost'!$A$1:$F$43,6,FALSE)</f>
        <v>2.6</v>
      </c>
      <c r="M138" s="37">
        <f>IF($E138="Snakpak",(($J138*H138)+($K138*'Labor Cost'!$A$2)+L138)+2.25,($J138*H138)+($K138*'Labor Cost'!$A$2)+L138+1)</f>
        <v>19.475000000000001</v>
      </c>
      <c r="N138" s="38">
        <f t="shared" si="61"/>
        <v>24.34375</v>
      </c>
      <c r="O138" s="38">
        <f t="shared" si="62"/>
        <v>25.317500000000003</v>
      </c>
      <c r="P138" s="38">
        <f t="shared" si="63"/>
        <v>26.291250000000005</v>
      </c>
      <c r="Q138" s="38">
        <f t="shared" si="64"/>
        <v>27.265000000000001</v>
      </c>
      <c r="R138" s="38">
        <f t="shared" si="65"/>
        <v>28.23875</v>
      </c>
      <c r="S138" s="38">
        <f t="shared" si="58"/>
        <v>24.25</v>
      </c>
      <c r="T138" s="38">
        <f t="shared" si="59"/>
        <v>25.25</v>
      </c>
      <c r="U138" s="38">
        <f t="shared" si="60"/>
        <v>26.25</v>
      </c>
      <c r="V138" s="38">
        <f t="shared" si="56"/>
        <v>27.25</v>
      </c>
      <c r="W138" s="38">
        <f t="shared" si="56"/>
        <v>28.25</v>
      </c>
    </row>
    <row r="139" spans="1:23" ht="21" customHeight="1" x14ac:dyDescent="0.2">
      <c r="A139" s="19" t="s">
        <v>146</v>
      </c>
      <c r="B139" s="19" t="s">
        <v>317</v>
      </c>
      <c r="C139" s="20" t="s">
        <v>52</v>
      </c>
      <c r="D139" s="20" t="s">
        <v>393</v>
      </c>
      <c r="E139" s="20" t="s">
        <v>397</v>
      </c>
      <c r="F139" s="20" t="s">
        <v>378</v>
      </c>
      <c r="G139" s="33">
        <v>30</v>
      </c>
      <c r="H139" s="34">
        <f>VLOOKUP($C139,'Raw Cost'!$A$1:$B$483,2,FALSE)/G139</f>
        <v>1.0666666666666667</v>
      </c>
      <c r="I139" s="34">
        <f t="shared" si="45"/>
        <v>6.6666666666666666E-2</v>
      </c>
      <c r="J139" s="35">
        <v>12</v>
      </c>
      <c r="K139" s="35">
        <v>0.25</v>
      </c>
      <c r="L139" s="36">
        <f>VLOOKUP($F139,'Packaging Cost'!$A$1:$F$43,6,FALSE)</f>
        <v>1.1000000000000001</v>
      </c>
      <c r="M139" s="37">
        <f>IF($E139="Snakpak",(($J139*H139)+($K139*'Labor Cost'!$A$2)+L139)+2.25,($J139*H139)+($K139*'Labor Cost'!$A$2)+L139+1)</f>
        <v>20.775000000000002</v>
      </c>
      <c r="N139" s="38">
        <f t="shared" si="61"/>
        <v>25.968750000000004</v>
      </c>
      <c r="O139" s="38">
        <f t="shared" si="62"/>
        <v>27.007500000000004</v>
      </c>
      <c r="P139" s="38">
        <f t="shared" si="63"/>
        <v>28.046250000000004</v>
      </c>
      <c r="Q139" s="38">
        <f t="shared" si="64"/>
        <v>29.085000000000001</v>
      </c>
      <c r="R139" s="38">
        <f t="shared" si="65"/>
        <v>30.123750000000001</v>
      </c>
      <c r="S139" s="38">
        <f t="shared" si="58"/>
        <v>26</v>
      </c>
      <c r="T139" s="38">
        <f t="shared" si="59"/>
        <v>27</v>
      </c>
      <c r="U139" s="38">
        <f t="shared" si="60"/>
        <v>28</v>
      </c>
      <c r="V139" s="38">
        <f t="shared" si="56"/>
        <v>29</v>
      </c>
      <c r="W139" s="38">
        <f t="shared" si="56"/>
        <v>30</v>
      </c>
    </row>
    <row r="140" spans="1:23" ht="21" customHeight="1" x14ac:dyDescent="0.2">
      <c r="A140" s="19" t="s">
        <v>145</v>
      </c>
      <c r="B140" s="19" t="s">
        <v>316</v>
      </c>
      <c r="C140" s="20" t="s">
        <v>49</v>
      </c>
      <c r="D140" s="20" t="s">
        <v>393</v>
      </c>
      <c r="E140" s="20" t="s">
        <v>397</v>
      </c>
      <c r="F140" s="20" t="s">
        <v>378</v>
      </c>
      <c r="G140" s="33">
        <v>32</v>
      </c>
      <c r="H140" s="34">
        <f>VLOOKUP($C140,'Raw Cost'!$A$1:$B$483,2,FALSE)/G140</f>
        <v>0.875</v>
      </c>
      <c r="I140" s="34">
        <f t="shared" si="45"/>
        <v>5.46875E-2</v>
      </c>
      <c r="J140" s="35">
        <v>20</v>
      </c>
      <c r="K140" s="35">
        <v>0.25</v>
      </c>
      <c r="L140" s="36">
        <f>VLOOKUP($F140,'Packaging Cost'!$A$1:$F$43,6,FALSE)</f>
        <v>1.1000000000000001</v>
      </c>
      <c r="M140" s="37">
        <f>IF($E140="Snakpak",(($J140*H140)+($K140*'Labor Cost'!$A$2)+L140)+2.25,($J140*H140)+($K140*'Labor Cost'!$A$2)+L140+1)</f>
        <v>25.475000000000001</v>
      </c>
      <c r="N140" s="38">
        <f t="shared" si="61"/>
        <v>31.84375</v>
      </c>
      <c r="O140" s="38">
        <f t="shared" si="62"/>
        <v>33.1175</v>
      </c>
      <c r="P140" s="38">
        <f t="shared" si="63"/>
        <v>34.391250000000007</v>
      </c>
      <c r="Q140" s="38">
        <f t="shared" si="64"/>
        <v>35.664999999999999</v>
      </c>
      <c r="R140" s="38">
        <f t="shared" si="65"/>
        <v>36.938749999999999</v>
      </c>
      <c r="S140" s="38">
        <f t="shared" si="58"/>
        <v>31.75</v>
      </c>
      <c r="T140" s="38">
        <f t="shared" si="59"/>
        <v>33</v>
      </c>
      <c r="U140" s="38">
        <f t="shared" si="60"/>
        <v>34.5</v>
      </c>
      <c r="V140" s="38">
        <f t="shared" si="56"/>
        <v>35.75</v>
      </c>
      <c r="W140" s="38">
        <f t="shared" si="56"/>
        <v>37</v>
      </c>
    </row>
    <row r="141" spans="1:23" ht="21" customHeight="1" x14ac:dyDescent="0.2">
      <c r="A141" s="19" t="s">
        <v>159</v>
      </c>
      <c r="B141" s="19" t="s">
        <v>335</v>
      </c>
      <c r="C141" s="20" t="s">
        <v>54</v>
      </c>
      <c r="D141" s="20" t="s">
        <v>393</v>
      </c>
      <c r="E141" s="20" t="s">
        <v>397</v>
      </c>
      <c r="F141" s="20" t="s">
        <v>383</v>
      </c>
      <c r="G141" s="33">
        <v>32</v>
      </c>
      <c r="H141" s="34">
        <f>VLOOKUP($C141,'Raw Cost'!$A$1:$B$483,2,FALSE)/G141</f>
        <v>0.5</v>
      </c>
      <c r="I141" s="34">
        <f t="shared" ref="I141:I166" si="66">H141/16</f>
        <v>3.125E-2</v>
      </c>
      <c r="J141" s="35">
        <v>10</v>
      </c>
      <c r="K141" s="35">
        <v>0.25</v>
      </c>
      <c r="L141" s="36">
        <f>VLOOKUP($F141,'Packaging Cost'!$A$1:$F$43,6,FALSE)</f>
        <v>0.9</v>
      </c>
      <c r="M141" s="37">
        <f>IF($E141="Snakpak",(($J141*H141)+($K141*'Labor Cost'!$A$2)+L141)+2.25,($J141*H141)+($K141*'Labor Cost'!$A$2)+L141+1)</f>
        <v>12.775</v>
      </c>
      <c r="N141" s="38">
        <f t="shared" si="61"/>
        <v>15.96875</v>
      </c>
      <c r="O141" s="38">
        <f t="shared" si="62"/>
        <v>16.607500000000002</v>
      </c>
      <c r="P141" s="38">
        <f t="shared" si="63"/>
        <v>17.24625</v>
      </c>
      <c r="Q141" s="38">
        <f t="shared" si="64"/>
        <v>17.884999999999998</v>
      </c>
      <c r="R141" s="38">
        <f t="shared" si="65"/>
        <v>18.52375</v>
      </c>
      <c r="S141" s="38">
        <f t="shared" si="58"/>
        <v>16</v>
      </c>
      <c r="T141" s="38">
        <f t="shared" si="59"/>
        <v>16.5</v>
      </c>
      <c r="U141" s="38">
        <f t="shared" si="60"/>
        <v>17.25</v>
      </c>
      <c r="V141" s="38">
        <f t="shared" si="56"/>
        <v>18</v>
      </c>
      <c r="W141" s="38">
        <f t="shared" si="56"/>
        <v>18.5</v>
      </c>
    </row>
    <row r="142" spans="1:23" ht="21" customHeight="1" x14ac:dyDescent="0.2">
      <c r="A142" s="19" t="s">
        <v>60</v>
      </c>
      <c r="B142" s="19" t="s">
        <v>336</v>
      </c>
      <c r="C142" s="20" t="s">
        <v>54</v>
      </c>
      <c r="D142" s="20" t="s">
        <v>393</v>
      </c>
      <c r="E142" s="20" t="s">
        <v>397</v>
      </c>
      <c r="F142" s="20" t="s">
        <v>378</v>
      </c>
      <c r="G142" s="33">
        <v>32</v>
      </c>
      <c r="H142" s="34">
        <f>VLOOKUP($C142,'Raw Cost'!$A$1:$B$483,2,FALSE)/G142</f>
        <v>0.5</v>
      </c>
      <c r="I142" s="34">
        <f t="shared" si="66"/>
        <v>3.125E-2</v>
      </c>
      <c r="J142" s="35">
        <v>20</v>
      </c>
      <c r="K142" s="35">
        <v>0.25</v>
      </c>
      <c r="L142" s="36">
        <f>VLOOKUP($F142,'Packaging Cost'!$A$1:$F$43,6,FALSE)</f>
        <v>1.1000000000000001</v>
      </c>
      <c r="M142" s="37">
        <f>IF($E142="Snakpak",(($J142*H142)+($K142*'Labor Cost'!$A$2)+L142)+2.25,($J142*H142)+($K142*'Labor Cost'!$A$2)+L142+1)</f>
        <v>17.975000000000001</v>
      </c>
      <c r="N142" s="38">
        <f t="shared" si="61"/>
        <v>22.46875</v>
      </c>
      <c r="O142" s="38">
        <f t="shared" si="62"/>
        <v>23.367500000000003</v>
      </c>
      <c r="P142" s="38">
        <f t="shared" si="63"/>
        <v>24.266250000000003</v>
      </c>
      <c r="Q142" s="38">
        <f t="shared" si="64"/>
        <v>25.164999999999999</v>
      </c>
      <c r="R142" s="38">
        <f t="shared" si="65"/>
        <v>26.063750000000002</v>
      </c>
      <c r="S142" s="38">
        <f t="shared" si="58"/>
        <v>22.5</v>
      </c>
      <c r="T142" s="38">
        <f t="shared" si="59"/>
        <v>23.25</v>
      </c>
      <c r="U142" s="38">
        <f t="shared" si="60"/>
        <v>24.25</v>
      </c>
      <c r="V142" s="38">
        <f t="shared" si="56"/>
        <v>25.25</v>
      </c>
      <c r="W142" s="38">
        <f t="shared" si="56"/>
        <v>26</v>
      </c>
    </row>
    <row r="143" spans="1:23" ht="21" customHeight="1" x14ac:dyDescent="0.2">
      <c r="A143" s="19" t="s">
        <v>160</v>
      </c>
      <c r="B143" s="19" t="s">
        <v>337</v>
      </c>
      <c r="C143" s="20" t="s">
        <v>54</v>
      </c>
      <c r="D143" s="20" t="s">
        <v>393</v>
      </c>
      <c r="E143" s="20" t="s">
        <v>397</v>
      </c>
      <c r="F143" s="20" t="s">
        <v>384</v>
      </c>
      <c r="G143" s="33">
        <v>32</v>
      </c>
      <c r="H143" s="34">
        <f>VLOOKUP($C143,'Raw Cost'!$A$1:$B$483,2,FALSE)/G143</f>
        <v>0.5</v>
      </c>
      <c r="I143" s="34">
        <f t="shared" si="66"/>
        <v>3.125E-2</v>
      </c>
      <c r="J143" s="35">
        <v>5</v>
      </c>
      <c r="K143" s="35">
        <v>0.15</v>
      </c>
      <c r="L143" s="36">
        <f>VLOOKUP($F143,'Packaging Cost'!$A$1:$F$43,6,FALSE)</f>
        <v>0.59</v>
      </c>
      <c r="M143" s="37">
        <f>IF($E143="Snakpak",(($J143*H143)+($K143*'Labor Cost'!$A$2)+L143)+2.25,($J143*H143)+($K143*'Labor Cost'!$A$2)+L143+1)</f>
        <v>7.6150000000000002</v>
      </c>
      <c r="N143" s="38">
        <f t="shared" si="61"/>
        <v>9.5187500000000007</v>
      </c>
      <c r="O143" s="38">
        <f t="shared" si="62"/>
        <v>9.8994999999999997</v>
      </c>
      <c r="P143" s="38">
        <f t="shared" si="63"/>
        <v>10.280250000000001</v>
      </c>
      <c r="Q143" s="38">
        <f t="shared" si="64"/>
        <v>10.661</v>
      </c>
      <c r="R143" s="38">
        <f t="shared" si="65"/>
        <v>11.04175</v>
      </c>
      <c r="S143" s="38">
        <f t="shared" si="58"/>
        <v>9.5</v>
      </c>
      <c r="T143" s="38">
        <f t="shared" si="59"/>
        <v>10</v>
      </c>
      <c r="U143" s="38">
        <f t="shared" si="60"/>
        <v>10.25</v>
      </c>
      <c r="V143" s="38">
        <f t="shared" si="56"/>
        <v>10.75</v>
      </c>
      <c r="W143" s="38">
        <f t="shared" si="56"/>
        <v>11</v>
      </c>
    </row>
    <row r="144" spans="1:23" ht="21" customHeight="1" x14ac:dyDescent="0.2">
      <c r="A144" s="19" t="s">
        <v>1076</v>
      </c>
      <c r="B144" s="19" t="s">
        <v>335</v>
      </c>
      <c r="C144" s="20" t="s">
        <v>594</v>
      </c>
      <c r="D144" s="20" t="s">
        <v>393</v>
      </c>
      <c r="E144" s="20" t="s">
        <v>397</v>
      </c>
      <c r="F144" s="20" t="s">
        <v>383</v>
      </c>
      <c r="G144" s="33">
        <v>10</v>
      </c>
      <c r="H144" s="34">
        <f>VLOOKUP($C144,'Raw Cost'!$A$1:$B$483,2,FALSE)/G144</f>
        <v>3.2</v>
      </c>
      <c r="I144" s="34">
        <f t="shared" ref="I144" si="67">H144/16</f>
        <v>0.2</v>
      </c>
      <c r="J144" s="35">
        <v>10</v>
      </c>
      <c r="K144" s="35">
        <v>0.25</v>
      </c>
      <c r="L144" s="36">
        <f>VLOOKUP($F144,'Packaging Cost'!$A$1:$F$43,6,FALSE)</f>
        <v>0.9</v>
      </c>
      <c r="M144" s="37">
        <f>IF($E144="Snakpak",(($J144*H144)+($K144*'Labor Cost'!$A$2)+L144)+2.25,($J144*H144)+($K144*'Labor Cost'!$A$2)+L144+1)</f>
        <v>39.774999999999999</v>
      </c>
      <c r="N144" s="38">
        <f t="shared" si="61"/>
        <v>49.71875</v>
      </c>
      <c r="O144" s="38">
        <f t="shared" si="62"/>
        <v>51.707500000000003</v>
      </c>
      <c r="P144" s="38">
        <f t="shared" si="63"/>
        <v>53.696249999999999</v>
      </c>
      <c r="Q144" s="38">
        <f t="shared" si="64"/>
        <v>55.684999999999995</v>
      </c>
      <c r="R144" s="38">
        <f t="shared" si="65"/>
        <v>57.673749999999998</v>
      </c>
      <c r="S144" s="38">
        <f t="shared" si="58"/>
        <v>49.75</v>
      </c>
      <c r="T144" s="38">
        <f t="shared" si="59"/>
        <v>51.75</v>
      </c>
      <c r="U144" s="38">
        <f t="shared" si="60"/>
        <v>53.75</v>
      </c>
      <c r="V144" s="38">
        <f t="shared" ref="V144" si="68">MROUND(Q144,0.25)</f>
        <v>55.75</v>
      </c>
      <c r="W144" s="38">
        <f t="shared" si="56"/>
        <v>57.75</v>
      </c>
    </row>
    <row r="145" spans="1:23" ht="21" customHeight="1" x14ac:dyDescent="0.2">
      <c r="A145" s="19" t="s">
        <v>162</v>
      </c>
      <c r="B145" s="19" t="s">
        <v>342</v>
      </c>
      <c r="C145" s="32" t="s">
        <v>58</v>
      </c>
      <c r="D145" s="32" t="s">
        <v>393</v>
      </c>
      <c r="E145" s="20" t="s">
        <v>397</v>
      </c>
      <c r="F145" s="20" t="s">
        <v>409</v>
      </c>
      <c r="G145" s="33">
        <v>8</v>
      </c>
      <c r="H145" s="34">
        <f>VLOOKUP($C145,'Raw Cost'!$A$1:$B$483,2,FALSE)/G145</f>
        <v>2.75</v>
      </c>
      <c r="I145" s="34">
        <f t="shared" si="66"/>
        <v>0.171875</v>
      </c>
      <c r="J145" s="35">
        <v>5</v>
      </c>
      <c r="K145" s="35">
        <v>0.25</v>
      </c>
      <c r="L145" s="36">
        <f>VLOOKUP($F145,'Packaging Cost'!$A$1:$F$43,6,FALSE)</f>
        <v>1.7600000000000002</v>
      </c>
      <c r="M145" s="37">
        <f>IF($E145="Snakpak",(($J145*H145)+($K145*'Labor Cost'!$A$2)+L145)+2.25,($J145*H145)+($K145*'Labor Cost'!$A$2)+L145+1)</f>
        <v>22.385000000000002</v>
      </c>
      <c r="N145" s="38">
        <f t="shared" si="61"/>
        <v>27.981250000000003</v>
      </c>
      <c r="O145" s="38">
        <f t="shared" si="62"/>
        <v>29.100500000000004</v>
      </c>
      <c r="P145" s="38">
        <f t="shared" si="63"/>
        <v>30.219750000000005</v>
      </c>
      <c r="Q145" s="38">
        <f t="shared" si="64"/>
        <v>31.338999999999999</v>
      </c>
      <c r="R145" s="38">
        <f t="shared" si="65"/>
        <v>32.45825</v>
      </c>
      <c r="S145" s="38">
        <f t="shared" si="58"/>
        <v>28</v>
      </c>
      <c r="T145" s="38">
        <f t="shared" si="59"/>
        <v>29</v>
      </c>
      <c r="U145" s="38">
        <f t="shared" si="60"/>
        <v>30.25</v>
      </c>
      <c r="V145" s="38">
        <f t="shared" si="56"/>
        <v>31.25</v>
      </c>
      <c r="W145" s="38">
        <f t="shared" si="56"/>
        <v>32.5</v>
      </c>
    </row>
    <row r="146" spans="1:23" ht="21" customHeight="1" x14ac:dyDescent="0.2">
      <c r="A146" s="19" t="s">
        <v>161</v>
      </c>
      <c r="B146" s="19" t="s">
        <v>340</v>
      </c>
      <c r="C146" s="32" t="s">
        <v>58</v>
      </c>
      <c r="D146" s="32" t="s">
        <v>393</v>
      </c>
      <c r="E146" s="20" t="s">
        <v>397</v>
      </c>
      <c r="F146" s="20" t="s">
        <v>409</v>
      </c>
      <c r="G146" s="33">
        <v>8</v>
      </c>
      <c r="H146" s="34">
        <f>VLOOKUP($C146,'Raw Cost'!$A$1:$B$483,2,FALSE)/G146</f>
        <v>2.75</v>
      </c>
      <c r="I146" s="34">
        <f t="shared" si="66"/>
        <v>0.171875</v>
      </c>
      <c r="J146" s="35">
        <v>5</v>
      </c>
      <c r="K146" s="35">
        <v>0.25</v>
      </c>
      <c r="L146" s="36">
        <f>VLOOKUP($F146,'Packaging Cost'!$A$1:$F$43,6,FALSE)</f>
        <v>1.7600000000000002</v>
      </c>
      <c r="M146" s="37">
        <f>IF($E146="Snakpak",(($J146*H146)+($K146*'Labor Cost'!$A$2)+L146)+2.25,($J146*H146)+($K146*'Labor Cost'!$A$2)+L146+1)</f>
        <v>22.385000000000002</v>
      </c>
      <c r="N146" s="38">
        <f t="shared" si="61"/>
        <v>27.981250000000003</v>
      </c>
      <c r="O146" s="38">
        <f t="shared" si="62"/>
        <v>29.100500000000004</v>
      </c>
      <c r="P146" s="38">
        <f t="shared" si="63"/>
        <v>30.219750000000005</v>
      </c>
      <c r="Q146" s="38">
        <f t="shared" si="64"/>
        <v>31.338999999999999</v>
      </c>
      <c r="R146" s="38">
        <f t="shared" si="65"/>
        <v>32.45825</v>
      </c>
      <c r="S146" s="38">
        <f t="shared" si="58"/>
        <v>28</v>
      </c>
      <c r="T146" s="38">
        <f t="shared" si="59"/>
        <v>29</v>
      </c>
      <c r="U146" s="38">
        <f t="shared" si="60"/>
        <v>30.25</v>
      </c>
      <c r="V146" s="38">
        <f t="shared" si="56"/>
        <v>31.25</v>
      </c>
      <c r="W146" s="38">
        <f t="shared" si="56"/>
        <v>32.5</v>
      </c>
    </row>
    <row r="147" spans="1:23" ht="21" customHeight="1" x14ac:dyDescent="0.2">
      <c r="A147" s="19" t="s">
        <v>154</v>
      </c>
      <c r="B147" s="19" t="s">
        <v>330</v>
      </c>
      <c r="C147" s="32" t="s">
        <v>42</v>
      </c>
      <c r="D147" s="32" t="s">
        <v>393</v>
      </c>
      <c r="E147" s="20" t="s">
        <v>397</v>
      </c>
      <c r="F147" s="20" t="s">
        <v>378</v>
      </c>
      <c r="G147" s="33">
        <v>32</v>
      </c>
      <c r="H147" s="34">
        <f>VLOOKUP($C147,'Raw Cost'!$A$1:$B$483,2,FALSE)/G147</f>
        <v>0.5625</v>
      </c>
      <c r="I147" s="34">
        <f t="shared" si="66"/>
        <v>3.515625E-2</v>
      </c>
      <c r="J147" s="35">
        <v>20</v>
      </c>
      <c r="K147" s="35">
        <v>0.3</v>
      </c>
      <c r="L147" s="36">
        <f>VLOOKUP($F147,'Packaging Cost'!$A$1:$F$43,6,FALSE)</f>
        <v>1.1000000000000001</v>
      </c>
      <c r="M147" s="37">
        <f>IF($E147="Snakpak",(($J147*H147)+($K147*'Labor Cost'!$A$2)+L147)+2.25,($J147*H147)+($K147*'Labor Cost'!$A$2)+L147+1)</f>
        <v>20.400000000000002</v>
      </c>
      <c r="N147" s="38">
        <f t="shared" si="61"/>
        <v>25.500000000000004</v>
      </c>
      <c r="O147" s="38">
        <f t="shared" si="62"/>
        <v>26.520000000000003</v>
      </c>
      <c r="P147" s="38">
        <f t="shared" si="63"/>
        <v>27.540000000000006</v>
      </c>
      <c r="Q147" s="38">
        <f t="shared" si="64"/>
        <v>28.560000000000002</v>
      </c>
      <c r="R147" s="38">
        <f t="shared" si="65"/>
        <v>29.580000000000002</v>
      </c>
      <c r="S147" s="38">
        <f t="shared" si="58"/>
        <v>25.5</v>
      </c>
      <c r="T147" s="38">
        <f t="shared" si="59"/>
        <v>26.5</v>
      </c>
      <c r="U147" s="38">
        <f t="shared" si="60"/>
        <v>27.5</v>
      </c>
      <c r="V147" s="38">
        <f t="shared" si="56"/>
        <v>28.5</v>
      </c>
      <c r="W147" s="38">
        <f t="shared" si="56"/>
        <v>29.5</v>
      </c>
    </row>
    <row r="148" spans="1:23" ht="21" customHeight="1" x14ac:dyDescent="0.2">
      <c r="A148" s="19" t="s">
        <v>155</v>
      </c>
      <c r="B148" s="19" t="s">
        <v>331</v>
      </c>
      <c r="C148" s="32" t="s">
        <v>42</v>
      </c>
      <c r="D148" s="32" t="s">
        <v>393</v>
      </c>
      <c r="E148" s="20" t="s">
        <v>397</v>
      </c>
      <c r="F148" s="20" t="s">
        <v>378</v>
      </c>
      <c r="G148" s="33">
        <v>32</v>
      </c>
      <c r="H148" s="34">
        <f>VLOOKUP($C148,'Raw Cost'!$A$1:$B$483,2,FALSE)/G148</f>
        <v>0.5625</v>
      </c>
      <c r="I148" s="34">
        <f t="shared" si="66"/>
        <v>3.515625E-2</v>
      </c>
      <c r="J148" s="35">
        <v>20</v>
      </c>
      <c r="K148" s="35">
        <v>0.3</v>
      </c>
      <c r="L148" s="36">
        <f>VLOOKUP($F148,'Packaging Cost'!$A$1:$F$43,6,FALSE)</f>
        <v>1.1000000000000001</v>
      </c>
      <c r="M148" s="37">
        <f>IF($E148="Snakpak",(($J148*H148)+($K148*'Labor Cost'!$A$2)+L148)+2.25,($J148*H148)+($K148*'Labor Cost'!$A$2)+L148+1)</f>
        <v>20.400000000000002</v>
      </c>
      <c r="N148" s="38">
        <f t="shared" si="61"/>
        <v>25.500000000000004</v>
      </c>
      <c r="O148" s="38">
        <f t="shared" si="62"/>
        <v>26.520000000000003</v>
      </c>
      <c r="P148" s="38">
        <f t="shared" si="63"/>
        <v>27.540000000000006</v>
      </c>
      <c r="Q148" s="38">
        <f t="shared" si="64"/>
        <v>28.560000000000002</v>
      </c>
      <c r="R148" s="38">
        <f t="shared" si="65"/>
        <v>29.580000000000002</v>
      </c>
      <c r="S148" s="38">
        <f t="shared" si="58"/>
        <v>25.5</v>
      </c>
      <c r="T148" s="38">
        <f t="shared" si="59"/>
        <v>26.5</v>
      </c>
      <c r="U148" s="38">
        <f t="shared" si="60"/>
        <v>27.5</v>
      </c>
      <c r="V148" s="38">
        <f t="shared" si="56"/>
        <v>28.5</v>
      </c>
      <c r="W148" s="38">
        <f t="shared" si="56"/>
        <v>29.5</v>
      </c>
    </row>
    <row r="149" spans="1:23" ht="21" customHeight="1" x14ac:dyDescent="0.2">
      <c r="A149" s="19" t="s">
        <v>152</v>
      </c>
      <c r="B149" s="19" t="s">
        <v>328</v>
      </c>
      <c r="C149" s="32" t="s">
        <v>42</v>
      </c>
      <c r="D149" s="32" t="s">
        <v>393</v>
      </c>
      <c r="E149" s="20" t="s">
        <v>397</v>
      </c>
      <c r="F149" s="20" t="s">
        <v>378</v>
      </c>
      <c r="G149" s="33">
        <v>32</v>
      </c>
      <c r="H149" s="34">
        <f>VLOOKUP($C149,'Raw Cost'!$A$1:$B$483,2,FALSE)/G149</f>
        <v>0.5625</v>
      </c>
      <c r="I149" s="34">
        <f t="shared" si="66"/>
        <v>3.515625E-2</v>
      </c>
      <c r="J149" s="35">
        <v>20</v>
      </c>
      <c r="K149" s="35">
        <v>0.3</v>
      </c>
      <c r="L149" s="36">
        <f>VLOOKUP($F149,'Packaging Cost'!$A$1:$F$43,6,FALSE)</f>
        <v>1.1000000000000001</v>
      </c>
      <c r="M149" s="37">
        <f>IF($E149="Snakpak",(($J149*H149)+($K149*'Labor Cost'!$A$2)+L149)+2.25,($J149*H149)+($K149*'Labor Cost'!$A$2)+L149+1)</f>
        <v>20.400000000000002</v>
      </c>
      <c r="N149" s="38">
        <f t="shared" si="61"/>
        <v>25.500000000000004</v>
      </c>
      <c r="O149" s="38">
        <f t="shared" si="62"/>
        <v>26.520000000000003</v>
      </c>
      <c r="P149" s="38">
        <f t="shared" si="63"/>
        <v>27.540000000000006</v>
      </c>
      <c r="Q149" s="38">
        <f t="shared" si="64"/>
        <v>28.560000000000002</v>
      </c>
      <c r="R149" s="38">
        <f t="shared" si="65"/>
        <v>29.580000000000002</v>
      </c>
      <c r="S149" s="38">
        <f t="shared" si="58"/>
        <v>25.5</v>
      </c>
      <c r="T149" s="38">
        <f t="shared" si="59"/>
        <v>26.5</v>
      </c>
      <c r="U149" s="38">
        <f t="shared" si="60"/>
        <v>27.5</v>
      </c>
      <c r="V149" s="38">
        <f t="shared" si="56"/>
        <v>28.5</v>
      </c>
      <c r="W149" s="38">
        <f t="shared" si="56"/>
        <v>29.5</v>
      </c>
    </row>
    <row r="150" spans="1:23" ht="21" customHeight="1" x14ac:dyDescent="0.2">
      <c r="A150" s="19" t="s">
        <v>156</v>
      </c>
      <c r="B150" s="19" t="s">
        <v>332</v>
      </c>
      <c r="C150" s="32" t="s">
        <v>42</v>
      </c>
      <c r="D150" s="32" t="s">
        <v>393</v>
      </c>
      <c r="E150" s="20" t="s">
        <v>397</v>
      </c>
      <c r="F150" s="20" t="s">
        <v>378</v>
      </c>
      <c r="G150" s="33">
        <v>37</v>
      </c>
      <c r="H150" s="34">
        <f>VLOOKUP($C150,'Raw Cost'!$A$1:$B$483,2,FALSE)/G150</f>
        <v>0.48648648648648651</v>
      </c>
      <c r="I150" s="34">
        <f t="shared" si="66"/>
        <v>3.0405405405405407E-2</v>
      </c>
      <c r="J150" s="35">
        <v>20</v>
      </c>
      <c r="K150" s="35">
        <v>0.3</v>
      </c>
      <c r="L150" s="36">
        <f>VLOOKUP($F150,'Packaging Cost'!$A$1:$F$43,6,FALSE)</f>
        <v>1.1000000000000001</v>
      </c>
      <c r="M150" s="37">
        <f>IF($E150="Snakpak",(($J150*H150)+($K150*'Labor Cost'!$A$2)+L150)+2.25,($J150*H150)+($K150*'Labor Cost'!$A$2)+L150+1)</f>
        <v>18.879729729729732</v>
      </c>
      <c r="N150" s="38">
        <f t="shared" si="61"/>
        <v>23.599662162162165</v>
      </c>
      <c r="O150" s="38">
        <f t="shared" si="62"/>
        <v>24.543648648648652</v>
      </c>
      <c r="P150" s="38">
        <f t="shared" si="63"/>
        <v>25.48763513513514</v>
      </c>
      <c r="Q150" s="38">
        <f t="shared" si="64"/>
        <v>26.431621621621623</v>
      </c>
      <c r="R150" s="38">
        <f t="shared" si="65"/>
        <v>27.375608108108111</v>
      </c>
      <c r="S150" s="38">
        <f t="shared" si="58"/>
        <v>23.5</v>
      </c>
      <c r="T150" s="38">
        <f t="shared" si="59"/>
        <v>24.5</v>
      </c>
      <c r="U150" s="38">
        <f t="shared" si="60"/>
        <v>25.5</v>
      </c>
      <c r="V150" s="38">
        <f t="shared" ref="V150:W166" si="69">MROUND(Q150,0.25)</f>
        <v>26.5</v>
      </c>
      <c r="W150" s="38">
        <f t="shared" si="69"/>
        <v>27.5</v>
      </c>
    </row>
    <row r="151" spans="1:23" ht="21" customHeight="1" x14ac:dyDescent="0.2">
      <c r="A151" s="19" t="s">
        <v>150</v>
      </c>
      <c r="B151" s="19" t="s">
        <v>326</v>
      </c>
      <c r="C151" s="32" t="s">
        <v>42</v>
      </c>
      <c r="D151" s="32" t="s">
        <v>393</v>
      </c>
      <c r="E151" s="20" t="s">
        <v>397</v>
      </c>
      <c r="F151" s="20" t="s">
        <v>378</v>
      </c>
      <c r="G151" s="33">
        <v>32</v>
      </c>
      <c r="H151" s="34">
        <f>VLOOKUP($C151,'Raw Cost'!$A$1:$B$483,2,FALSE)/G151</f>
        <v>0.5625</v>
      </c>
      <c r="I151" s="34">
        <f t="shared" si="66"/>
        <v>3.515625E-2</v>
      </c>
      <c r="J151" s="35">
        <v>20</v>
      </c>
      <c r="K151" s="35">
        <v>0.27</v>
      </c>
      <c r="L151" s="36">
        <f>VLOOKUP($F151,'Packaging Cost'!$A$1:$F$43,6,FALSE)</f>
        <v>1.1000000000000001</v>
      </c>
      <c r="M151" s="37">
        <f>IF($E151="Snakpak",(($J151*H151)+($K151*'Labor Cost'!$A$2)+L151)+2.25,($J151*H151)+($K151*'Labor Cost'!$A$2)+L151+1)</f>
        <v>19.695</v>
      </c>
      <c r="N151" s="38">
        <f t="shared" si="61"/>
        <v>24.618749999999999</v>
      </c>
      <c r="O151" s="38">
        <f t="shared" si="62"/>
        <v>25.6035</v>
      </c>
      <c r="P151" s="38">
        <f t="shared" si="63"/>
        <v>26.588250000000002</v>
      </c>
      <c r="Q151" s="38">
        <f t="shared" si="64"/>
        <v>27.573</v>
      </c>
      <c r="R151" s="38">
        <f t="shared" si="65"/>
        <v>28.557749999999999</v>
      </c>
      <c r="S151" s="38">
        <f t="shared" si="58"/>
        <v>24.5</v>
      </c>
      <c r="T151" s="38">
        <f t="shared" si="59"/>
        <v>25.5</v>
      </c>
      <c r="U151" s="38">
        <f t="shared" si="60"/>
        <v>26.5</v>
      </c>
      <c r="V151" s="38">
        <f t="shared" si="69"/>
        <v>27.5</v>
      </c>
      <c r="W151" s="38">
        <f t="shared" si="69"/>
        <v>28.5</v>
      </c>
    </row>
    <row r="152" spans="1:23" ht="21" customHeight="1" x14ac:dyDescent="0.2">
      <c r="A152" s="19" t="s">
        <v>151</v>
      </c>
      <c r="B152" s="19" t="s">
        <v>327</v>
      </c>
      <c r="C152" s="32" t="s">
        <v>42</v>
      </c>
      <c r="D152" s="32" t="s">
        <v>393</v>
      </c>
      <c r="E152" s="20" t="s">
        <v>397</v>
      </c>
      <c r="F152" s="20" t="s">
        <v>378</v>
      </c>
      <c r="G152" s="33">
        <v>32</v>
      </c>
      <c r="H152" s="34">
        <f>VLOOKUP($C152,'Raw Cost'!$A$1:$B$483,2,FALSE)/G152</f>
        <v>0.5625</v>
      </c>
      <c r="I152" s="34">
        <f t="shared" si="66"/>
        <v>3.515625E-2</v>
      </c>
      <c r="J152" s="35">
        <v>20</v>
      </c>
      <c r="K152" s="35">
        <v>0.25</v>
      </c>
      <c r="L152" s="36">
        <f>VLOOKUP($F152,'Packaging Cost'!$A$1:$F$43,6,FALSE)</f>
        <v>1.1000000000000001</v>
      </c>
      <c r="M152" s="37">
        <f>IF($E152="Snakpak",(($J152*H152)+($K152*'Labor Cost'!$A$2)+L152)+2.25,($J152*H152)+($K152*'Labor Cost'!$A$2)+L152+1)</f>
        <v>19.225000000000001</v>
      </c>
      <c r="N152" s="38">
        <f t="shared" si="61"/>
        <v>24.03125</v>
      </c>
      <c r="O152" s="38">
        <f t="shared" si="62"/>
        <v>24.992500000000003</v>
      </c>
      <c r="P152" s="38">
        <f t="shared" si="63"/>
        <v>25.953750000000003</v>
      </c>
      <c r="Q152" s="38">
        <f t="shared" si="64"/>
        <v>26.914999999999999</v>
      </c>
      <c r="R152" s="38">
        <f t="shared" si="65"/>
        <v>27.876250000000002</v>
      </c>
      <c r="S152" s="38">
        <f t="shared" si="58"/>
        <v>24</v>
      </c>
      <c r="T152" s="38">
        <f t="shared" si="59"/>
        <v>25</v>
      </c>
      <c r="U152" s="38">
        <f t="shared" si="60"/>
        <v>26</v>
      </c>
      <c r="V152" s="38">
        <f t="shared" si="69"/>
        <v>27</v>
      </c>
      <c r="W152" s="38">
        <f t="shared" si="69"/>
        <v>28</v>
      </c>
    </row>
    <row r="153" spans="1:23" ht="21" customHeight="1" x14ac:dyDescent="0.2">
      <c r="A153" s="19" t="s">
        <v>153</v>
      </c>
      <c r="B153" s="19" t="s">
        <v>329</v>
      </c>
      <c r="C153" s="32" t="s">
        <v>42</v>
      </c>
      <c r="D153" s="32" t="s">
        <v>393</v>
      </c>
      <c r="E153" s="20" t="s">
        <v>397</v>
      </c>
      <c r="F153" s="20" t="s">
        <v>378</v>
      </c>
      <c r="G153" s="33">
        <v>32</v>
      </c>
      <c r="H153" s="34">
        <f>VLOOKUP($C153,'Raw Cost'!$A$1:$B$483,2,FALSE)/G153</f>
        <v>0.5625</v>
      </c>
      <c r="I153" s="34">
        <f t="shared" si="66"/>
        <v>3.515625E-2</v>
      </c>
      <c r="J153" s="35">
        <v>20</v>
      </c>
      <c r="K153" s="35">
        <v>0.3</v>
      </c>
      <c r="L153" s="36">
        <f>VLOOKUP($F153,'Packaging Cost'!$A$1:$F$43,6,FALSE)</f>
        <v>1.1000000000000001</v>
      </c>
      <c r="M153" s="37">
        <f>IF($E153="Snakpak",(($J153*H153)+($K153*'Labor Cost'!$A$2)+L153)+2.25,($J153*H153)+($K153*'Labor Cost'!$A$2)+L153+1)</f>
        <v>20.400000000000002</v>
      </c>
      <c r="N153" s="38">
        <f t="shared" si="61"/>
        <v>25.500000000000004</v>
      </c>
      <c r="O153" s="38">
        <f t="shared" si="62"/>
        <v>26.520000000000003</v>
      </c>
      <c r="P153" s="38">
        <f t="shared" si="63"/>
        <v>27.540000000000006</v>
      </c>
      <c r="Q153" s="38">
        <f t="shared" si="64"/>
        <v>28.560000000000002</v>
      </c>
      <c r="R153" s="38">
        <f t="shared" si="65"/>
        <v>29.580000000000002</v>
      </c>
      <c r="S153" s="38">
        <f t="shared" si="58"/>
        <v>25.5</v>
      </c>
      <c r="T153" s="38">
        <f t="shared" si="59"/>
        <v>26.5</v>
      </c>
      <c r="U153" s="38">
        <f t="shared" si="60"/>
        <v>27.5</v>
      </c>
      <c r="V153" s="38">
        <f t="shared" si="69"/>
        <v>28.5</v>
      </c>
      <c r="W153" s="38">
        <f t="shared" si="69"/>
        <v>29.5</v>
      </c>
    </row>
    <row r="154" spans="1:23" ht="21" customHeight="1" x14ac:dyDescent="0.2">
      <c r="A154" s="19" t="s">
        <v>84</v>
      </c>
      <c r="B154" s="19" t="s">
        <v>241</v>
      </c>
      <c r="C154" s="20" t="s">
        <v>43</v>
      </c>
      <c r="D154" s="20" t="s">
        <v>393</v>
      </c>
      <c r="E154" s="20" t="s">
        <v>397</v>
      </c>
      <c r="F154" s="20" t="s">
        <v>407</v>
      </c>
      <c r="G154" s="33">
        <v>20</v>
      </c>
      <c r="H154" s="34">
        <f>VLOOKUP($C154,'Raw Cost'!$A$1:$B$483,2,FALSE)/G154</f>
        <v>0.8</v>
      </c>
      <c r="I154" s="34">
        <f t="shared" si="66"/>
        <v>0.05</v>
      </c>
      <c r="J154" s="35">
        <v>10</v>
      </c>
      <c r="K154" s="35">
        <v>0.25</v>
      </c>
      <c r="L154" s="36">
        <f>L157</f>
        <v>3.16</v>
      </c>
      <c r="M154" s="37">
        <f>IF($E154="Snakpak",(($J154*H154)+($K154*'Labor Cost'!$A$2)+L154)+2.25,($J154*H154)+($K154*'Labor Cost'!$A$2)+L154+1)</f>
        <v>18.035</v>
      </c>
      <c r="N154" s="38">
        <f t="shared" si="61"/>
        <v>22.543749999999999</v>
      </c>
      <c r="O154" s="38">
        <f t="shared" si="62"/>
        <v>23.445500000000003</v>
      </c>
      <c r="P154" s="38">
        <f t="shared" si="63"/>
        <v>24.347250000000003</v>
      </c>
      <c r="Q154" s="38">
        <f t="shared" si="64"/>
        <v>25.248999999999999</v>
      </c>
      <c r="R154" s="38">
        <f t="shared" si="65"/>
        <v>26.150749999999999</v>
      </c>
      <c r="S154" s="38">
        <f t="shared" si="58"/>
        <v>22.5</v>
      </c>
      <c r="T154" s="38">
        <f t="shared" si="59"/>
        <v>23.5</v>
      </c>
      <c r="U154" s="38">
        <f t="shared" si="60"/>
        <v>24.25</v>
      </c>
      <c r="V154" s="38">
        <f t="shared" si="69"/>
        <v>25.25</v>
      </c>
      <c r="W154" s="38">
        <f t="shared" si="69"/>
        <v>26.25</v>
      </c>
    </row>
    <row r="155" spans="1:23" ht="21" customHeight="1" x14ac:dyDescent="0.2">
      <c r="A155" s="19" t="s">
        <v>85</v>
      </c>
      <c r="B155" s="19" t="s">
        <v>242</v>
      </c>
      <c r="C155" s="20" t="s">
        <v>43</v>
      </c>
      <c r="D155" s="20" t="s">
        <v>393</v>
      </c>
      <c r="E155" s="20" t="s">
        <v>397</v>
      </c>
      <c r="F155" s="20" t="s">
        <v>409</v>
      </c>
      <c r="G155" s="33">
        <v>20</v>
      </c>
      <c r="H155" s="34">
        <f>VLOOKUP($C155,'Raw Cost'!$A$1:$B$483,2,FALSE)/G155</f>
        <v>0.8</v>
      </c>
      <c r="I155" s="34">
        <f t="shared" si="66"/>
        <v>0.05</v>
      </c>
      <c r="J155" s="35">
        <v>5</v>
      </c>
      <c r="K155" s="35">
        <v>0.25</v>
      </c>
      <c r="L155" s="36">
        <f>VLOOKUP($F155,'Packaging Cost'!$A$1:$F$43,6,FALSE)</f>
        <v>1.7600000000000002</v>
      </c>
      <c r="M155" s="37">
        <f>IF($E155="Snakpak",(($J155*H155)+($K155*'Labor Cost'!$A$2)+L155)+2.25,($J155*H155)+($K155*'Labor Cost'!$A$2)+L155+1)</f>
        <v>12.635</v>
      </c>
      <c r="N155" s="38">
        <f t="shared" si="61"/>
        <v>15.793749999999999</v>
      </c>
      <c r="O155" s="38">
        <f t="shared" si="62"/>
        <v>16.4255</v>
      </c>
      <c r="P155" s="38">
        <f t="shared" si="63"/>
        <v>17.05725</v>
      </c>
      <c r="Q155" s="38">
        <f t="shared" si="64"/>
        <v>17.689</v>
      </c>
      <c r="R155" s="38">
        <f t="shared" si="65"/>
        <v>18.32075</v>
      </c>
      <c r="S155" s="38">
        <f t="shared" si="58"/>
        <v>15.75</v>
      </c>
      <c r="T155" s="38">
        <f t="shared" si="59"/>
        <v>16.5</v>
      </c>
      <c r="U155" s="38">
        <f t="shared" si="60"/>
        <v>17</v>
      </c>
      <c r="V155" s="38">
        <f t="shared" si="69"/>
        <v>17.75</v>
      </c>
      <c r="W155" s="38">
        <f t="shared" si="69"/>
        <v>18.25</v>
      </c>
    </row>
    <row r="156" spans="1:23" ht="21" customHeight="1" x14ac:dyDescent="0.2">
      <c r="A156" s="19" t="s">
        <v>1080</v>
      </c>
      <c r="B156" s="19" t="s">
        <v>241</v>
      </c>
      <c r="C156" s="20" t="s">
        <v>43</v>
      </c>
      <c r="D156" s="20" t="s">
        <v>393</v>
      </c>
      <c r="E156" s="20" t="s">
        <v>397</v>
      </c>
      <c r="F156" s="20" t="s">
        <v>407</v>
      </c>
      <c r="G156" s="33">
        <v>20</v>
      </c>
      <c r="H156" s="34">
        <f>VLOOKUP($C156,'Raw Cost'!$A$1:$B$483,2,FALSE)/G156</f>
        <v>0.8</v>
      </c>
      <c r="I156" s="34">
        <f t="shared" ref="I156" si="70">H156/16</f>
        <v>0.05</v>
      </c>
      <c r="J156" s="35">
        <v>20</v>
      </c>
      <c r="K156" s="35">
        <v>0.25</v>
      </c>
      <c r="L156" s="36">
        <f>L157*2</f>
        <v>6.32</v>
      </c>
      <c r="M156" s="37">
        <f>IF($E156="Snakpak",(($J156*H156)+($K156*'Labor Cost'!$A$2)+L156)+2.25,($J156*H156)+($K156*'Labor Cost'!$A$2)+L156+1)</f>
        <v>29.195</v>
      </c>
      <c r="N156" s="38">
        <f t="shared" si="61"/>
        <v>36.493749999999999</v>
      </c>
      <c r="O156" s="38">
        <f t="shared" si="62"/>
        <v>37.953499999999998</v>
      </c>
      <c r="P156" s="38">
        <f t="shared" si="63"/>
        <v>39.413250000000005</v>
      </c>
      <c r="Q156" s="38">
        <f t="shared" si="64"/>
        <v>40.872999999999998</v>
      </c>
      <c r="R156" s="38">
        <f t="shared" si="65"/>
        <v>42.332749999999997</v>
      </c>
      <c r="S156" s="38">
        <f t="shared" si="58"/>
        <v>36.5</v>
      </c>
      <c r="T156" s="38">
        <f t="shared" si="59"/>
        <v>38</v>
      </c>
      <c r="U156" s="38">
        <f t="shared" si="60"/>
        <v>39.5</v>
      </c>
      <c r="V156" s="38">
        <f t="shared" ref="V156" si="71">MROUND(Q156,0.25)</f>
        <v>40.75</v>
      </c>
      <c r="W156" s="38">
        <f t="shared" si="69"/>
        <v>42.25</v>
      </c>
    </row>
    <row r="157" spans="1:23" ht="21" customHeight="1" x14ac:dyDescent="0.2">
      <c r="A157" s="19" t="s">
        <v>107</v>
      </c>
      <c r="B157" s="19" t="s">
        <v>339</v>
      </c>
      <c r="C157" s="20" t="s">
        <v>46</v>
      </c>
      <c r="D157" s="20" t="s">
        <v>393</v>
      </c>
      <c r="E157" s="20" t="s">
        <v>397</v>
      </c>
      <c r="F157" s="20" t="s">
        <v>407</v>
      </c>
      <c r="G157" s="33">
        <v>20</v>
      </c>
      <c r="H157" s="34">
        <f>VLOOKUP($C157,'Raw Cost'!$A$1:$B$483,2,FALSE)/G157</f>
        <v>0.9</v>
      </c>
      <c r="I157" s="34">
        <f t="shared" si="66"/>
        <v>5.6250000000000001E-2</v>
      </c>
      <c r="J157" s="35">
        <v>10</v>
      </c>
      <c r="K157" s="35">
        <v>0.25</v>
      </c>
      <c r="L157" s="36">
        <f>VLOOKUP($F157,'Packaging Cost'!$A$1:$F$43,6,FALSE)</f>
        <v>3.16</v>
      </c>
      <c r="M157" s="37">
        <f>IF($E157="Snakpak",(($J157*H157)+($K157*'Labor Cost'!$A$2)+L157)+2.25,($J157*H157)+($K157*'Labor Cost'!$A$2)+L157+1)</f>
        <v>19.035</v>
      </c>
      <c r="N157" s="38">
        <f t="shared" si="61"/>
        <v>23.793749999999999</v>
      </c>
      <c r="O157" s="38">
        <f t="shared" si="62"/>
        <v>24.7455</v>
      </c>
      <c r="P157" s="38">
        <f t="shared" si="63"/>
        <v>25.69725</v>
      </c>
      <c r="Q157" s="38">
        <f t="shared" si="64"/>
        <v>26.648999999999997</v>
      </c>
      <c r="R157" s="38">
        <f t="shared" si="65"/>
        <v>27.600749999999998</v>
      </c>
      <c r="S157" s="38">
        <f t="shared" si="58"/>
        <v>23.75</v>
      </c>
      <c r="T157" s="38">
        <f t="shared" si="59"/>
        <v>24.75</v>
      </c>
      <c r="U157" s="38">
        <f t="shared" si="60"/>
        <v>25.75</v>
      </c>
      <c r="V157" s="38">
        <f t="shared" si="69"/>
        <v>26.75</v>
      </c>
      <c r="W157" s="38">
        <f t="shared" si="69"/>
        <v>27.5</v>
      </c>
    </row>
    <row r="158" spans="1:23" ht="21" customHeight="1" x14ac:dyDescent="0.2">
      <c r="A158" s="19" t="s">
        <v>1078</v>
      </c>
      <c r="B158" s="19" t="s">
        <v>241</v>
      </c>
      <c r="C158" s="20" t="s">
        <v>1047</v>
      </c>
      <c r="D158" s="20" t="s">
        <v>393</v>
      </c>
      <c r="E158" s="20" t="s">
        <v>397</v>
      </c>
      <c r="F158" s="20" t="s">
        <v>407</v>
      </c>
      <c r="G158" s="33">
        <v>18</v>
      </c>
      <c r="H158" s="34">
        <f>VLOOKUP($C158,'Raw Cost'!$A$1:$B$483,2,FALSE)/G158</f>
        <v>1.3888888888888888</v>
      </c>
      <c r="I158" s="34">
        <f t="shared" ref="I158" si="72">H158/16</f>
        <v>8.6805555555555552E-2</v>
      </c>
      <c r="J158" s="35">
        <v>10</v>
      </c>
      <c r="K158" s="35">
        <v>0.25</v>
      </c>
      <c r="L158" s="36">
        <v>2.6</v>
      </c>
      <c r="M158" s="37">
        <f>IF($E158="Snakpak",(($J158*H158)+($K158*'Labor Cost'!$A$2)+L158)+2.25,($J158*H158)+($K158*'Labor Cost'!$A$2)+L158+1)</f>
        <v>23.363888888888891</v>
      </c>
      <c r="N158" s="38">
        <f t="shared" si="61"/>
        <v>29.204861111111114</v>
      </c>
      <c r="O158" s="38">
        <f t="shared" si="62"/>
        <v>30.37305555555556</v>
      </c>
      <c r="P158" s="38">
        <f t="shared" si="63"/>
        <v>31.541250000000005</v>
      </c>
      <c r="Q158" s="38">
        <f t="shared" si="64"/>
        <v>32.709444444444443</v>
      </c>
      <c r="R158" s="38">
        <f t="shared" si="65"/>
        <v>33.877638888888889</v>
      </c>
      <c r="S158" s="38">
        <f t="shared" si="58"/>
        <v>29.25</v>
      </c>
      <c r="T158" s="38">
        <f t="shared" si="59"/>
        <v>30.25</v>
      </c>
      <c r="U158" s="38">
        <f t="shared" si="60"/>
        <v>31.5</v>
      </c>
      <c r="V158" s="38">
        <f t="shared" ref="V158" si="73">MROUND(Q158,0.25)</f>
        <v>32.75</v>
      </c>
      <c r="W158" s="38">
        <f t="shared" si="69"/>
        <v>34</v>
      </c>
    </row>
    <row r="159" spans="1:23" ht="21" customHeight="1" x14ac:dyDescent="0.2">
      <c r="A159" s="19" t="s">
        <v>167</v>
      </c>
      <c r="B159" s="19" t="s">
        <v>347</v>
      </c>
      <c r="C159" s="32" t="s">
        <v>1058</v>
      </c>
      <c r="D159" s="20" t="s">
        <v>393</v>
      </c>
      <c r="E159" s="20" t="s">
        <v>397</v>
      </c>
      <c r="F159" s="20" t="s">
        <v>385</v>
      </c>
      <c r="G159" s="33">
        <v>18</v>
      </c>
      <c r="H159" s="34">
        <f>VLOOKUP($C159,'Raw Cost'!$A$1:$B$483,2,FALSE)/G159</f>
        <v>1.6666666666666667</v>
      </c>
      <c r="I159" s="34">
        <f t="shared" si="66"/>
        <v>0.10416666666666667</v>
      </c>
      <c r="J159" s="35">
        <v>12</v>
      </c>
      <c r="K159" s="35">
        <v>0.25</v>
      </c>
      <c r="L159" s="36">
        <f>VLOOKUP($F159,'Packaging Cost'!$A$1:$F$43,6,FALSE)</f>
        <v>1.6</v>
      </c>
      <c r="M159" s="37">
        <f>IF($E159="Snakpak",(($J159*H159)+($K159*'Labor Cost'!$A$2)+L159)+2.25,($J159*H159)+($K159*'Labor Cost'!$A$2)+L159+1)</f>
        <v>28.475000000000001</v>
      </c>
      <c r="N159" s="38">
        <f t="shared" si="61"/>
        <v>35.59375</v>
      </c>
      <c r="O159" s="38">
        <f t="shared" si="62"/>
        <v>37.017500000000005</v>
      </c>
      <c r="P159" s="38">
        <f t="shared" si="63"/>
        <v>38.441250000000004</v>
      </c>
      <c r="Q159" s="38">
        <f t="shared" si="64"/>
        <v>39.865000000000002</v>
      </c>
      <c r="R159" s="38">
        <f t="shared" si="65"/>
        <v>41.28875</v>
      </c>
      <c r="S159" s="38">
        <f t="shared" si="58"/>
        <v>35.5</v>
      </c>
      <c r="T159" s="38">
        <f t="shared" si="59"/>
        <v>37</v>
      </c>
      <c r="U159" s="38">
        <f t="shared" si="60"/>
        <v>38.5</v>
      </c>
      <c r="V159" s="38">
        <f t="shared" si="69"/>
        <v>39.75</v>
      </c>
      <c r="W159" s="38">
        <f t="shared" si="69"/>
        <v>41.25</v>
      </c>
    </row>
    <row r="160" spans="1:23" ht="21" customHeight="1" x14ac:dyDescent="0.2">
      <c r="A160" s="19" t="s">
        <v>1079</v>
      </c>
      <c r="B160" s="19" t="s">
        <v>350</v>
      </c>
      <c r="C160" s="32" t="s">
        <v>47</v>
      </c>
      <c r="D160" s="20" t="s">
        <v>393</v>
      </c>
      <c r="E160" s="20" t="s">
        <v>397</v>
      </c>
      <c r="F160" s="20" t="s">
        <v>378</v>
      </c>
      <c r="G160" s="33">
        <v>18</v>
      </c>
      <c r="H160" s="34">
        <f>VLOOKUP($C160,'Raw Cost'!$A$1:$B$483,2,FALSE)/G160</f>
        <v>1</v>
      </c>
      <c r="I160" s="34">
        <f t="shared" si="66"/>
        <v>6.25E-2</v>
      </c>
      <c r="J160" s="35">
        <v>10</v>
      </c>
      <c r="K160" s="35">
        <v>0.27</v>
      </c>
      <c r="L160" s="36">
        <f>VLOOKUP($F160,'Packaging Cost'!$A$1:$F$43,6,FALSE)</f>
        <v>1.1000000000000001</v>
      </c>
      <c r="M160" s="37">
        <f>IF($E160="Snakpak",(($J160*H160)+($K160*'Labor Cost'!$A$2)+L160)+2.25,($J160*H160)+($K160*'Labor Cost'!$A$2)+L160+1)</f>
        <v>18.445</v>
      </c>
      <c r="N160" s="38">
        <f t="shared" si="61"/>
        <v>23.056249999999999</v>
      </c>
      <c r="O160" s="38">
        <f t="shared" si="62"/>
        <v>23.9785</v>
      </c>
      <c r="P160" s="38">
        <f t="shared" si="63"/>
        <v>24.900750000000002</v>
      </c>
      <c r="Q160" s="38">
        <f t="shared" si="64"/>
        <v>25.823</v>
      </c>
      <c r="R160" s="38">
        <f t="shared" si="65"/>
        <v>26.745249999999999</v>
      </c>
      <c r="S160" s="38">
        <f t="shared" si="58"/>
        <v>23</v>
      </c>
      <c r="T160" s="38">
        <f t="shared" si="59"/>
        <v>24</v>
      </c>
      <c r="U160" s="38">
        <f t="shared" si="60"/>
        <v>25</v>
      </c>
      <c r="V160" s="38">
        <f t="shared" si="69"/>
        <v>25.75</v>
      </c>
      <c r="W160" s="38">
        <f t="shared" si="69"/>
        <v>26.75</v>
      </c>
    </row>
    <row r="161" spans="1:23" ht="21" customHeight="1" x14ac:dyDescent="0.2">
      <c r="A161" s="19" t="s">
        <v>169</v>
      </c>
      <c r="B161" s="19" t="s">
        <v>350</v>
      </c>
      <c r="C161" s="32" t="s">
        <v>47</v>
      </c>
      <c r="D161" s="20" t="s">
        <v>393</v>
      </c>
      <c r="E161" s="20" t="s">
        <v>397</v>
      </c>
      <c r="F161" s="20" t="s">
        <v>378</v>
      </c>
      <c r="G161" s="33">
        <v>18</v>
      </c>
      <c r="H161" s="34">
        <f>VLOOKUP($C161,'Raw Cost'!$A$1:$B$483,2,FALSE)/G161</f>
        <v>1</v>
      </c>
      <c r="I161" s="34">
        <f t="shared" ref="I161" si="74">H161/16</f>
        <v>6.25E-2</v>
      </c>
      <c r="J161" s="35">
        <v>20</v>
      </c>
      <c r="K161" s="35">
        <v>0.27</v>
      </c>
      <c r="L161" s="36">
        <f>VLOOKUP($F161,'Packaging Cost'!$A$1:$F$43,6,FALSE)</f>
        <v>1.1000000000000001</v>
      </c>
      <c r="M161" s="37">
        <f>IF($E161="Snakpak",(($J161*H161)+($K161*'Labor Cost'!$A$2)+L161)+2.25,($J161*H161)+($K161*'Labor Cost'!$A$2)+L161+1)</f>
        <v>28.445</v>
      </c>
      <c r="N161" s="38">
        <f t="shared" si="61"/>
        <v>35.556249999999999</v>
      </c>
      <c r="O161" s="38">
        <f t="shared" si="62"/>
        <v>36.978500000000004</v>
      </c>
      <c r="P161" s="38">
        <f t="shared" si="63"/>
        <v>38.400750000000002</v>
      </c>
      <c r="Q161" s="38">
        <f t="shared" si="64"/>
        <v>39.823</v>
      </c>
      <c r="R161" s="38">
        <f t="shared" si="65"/>
        <v>41.245249999999999</v>
      </c>
      <c r="S161" s="38">
        <f t="shared" si="58"/>
        <v>35.5</v>
      </c>
      <c r="T161" s="38">
        <f t="shared" si="59"/>
        <v>37</v>
      </c>
      <c r="U161" s="38">
        <f t="shared" si="60"/>
        <v>38.5</v>
      </c>
      <c r="V161" s="38">
        <f t="shared" ref="V161" si="75">MROUND(Q161,0.25)</f>
        <v>39.75</v>
      </c>
      <c r="W161" s="38">
        <f t="shared" si="69"/>
        <v>41.25</v>
      </c>
    </row>
    <row r="162" spans="1:23" ht="21" customHeight="1" x14ac:dyDescent="0.2">
      <c r="A162" s="19" t="s">
        <v>171</v>
      </c>
      <c r="B162" s="19" t="s">
        <v>352</v>
      </c>
      <c r="C162" s="32" t="s">
        <v>59</v>
      </c>
      <c r="D162" s="20" t="s">
        <v>393</v>
      </c>
      <c r="E162" s="20" t="s">
        <v>397</v>
      </c>
      <c r="F162" s="20" t="s">
        <v>409</v>
      </c>
      <c r="G162" s="33">
        <v>7</v>
      </c>
      <c r="H162" s="34">
        <f>VLOOKUP($C162,'Raw Cost'!$A$1:$B$483,2,FALSE)/G162</f>
        <v>1.4285714285714286</v>
      </c>
      <c r="I162" s="34">
        <f t="shared" si="66"/>
        <v>8.9285714285714288E-2</v>
      </c>
      <c r="J162" s="35">
        <v>5</v>
      </c>
      <c r="K162" s="35">
        <v>0.25</v>
      </c>
      <c r="L162" s="36">
        <f>VLOOKUP($F162,'Packaging Cost'!$A$1:$F$43,6,FALSE)</f>
        <v>1.7600000000000002</v>
      </c>
      <c r="M162" s="37">
        <f>IF($E162="Snakpak",(($J162*H162)+($K162*'Labor Cost'!$A$2)+L162)+2.25,($J162*H162)+($K162*'Labor Cost'!$A$2)+L162+1)</f>
        <v>15.777857142857142</v>
      </c>
      <c r="N162" s="38">
        <f t="shared" si="61"/>
        <v>19.722321428571426</v>
      </c>
      <c r="O162" s="38">
        <f t="shared" si="62"/>
        <v>20.511214285714285</v>
      </c>
      <c r="P162" s="38">
        <f t="shared" si="63"/>
        <v>21.300107142857144</v>
      </c>
      <c r="Q162" s="38">
        <f t="shared" si="64"/>
        <v>22.088999999999999</v>
      </c>
      <c r="R162" s="38">
        <f t="shared" si="65"/>
        <v>22.877892857142854</v>
      </c>
      <c r="S162" s="38">
        <f t="shared" si="58"/>
        <v>19.75</v>
      </c>
      <c r="T162" s="38">
        <f t="shared" si="59"/>
        <v>20.5</v>
      </c>
      <c r="U162" s="38">
        <f t="shared" si="60"/>
        <v>21.25</v>
      </c>
      <c r="V162" s="38">
        <f t="shared" si="69"/>
        <v>22</v>
      </c>
      <c r="W162" s="38">
        <f t="shared" si="69"/>
        <v>23</v>
      </c>
    </row>
    <row r="163" spans="1:23" ht="21" customHeight="1" x14ac:dyDescent="0.2">
      <c r="A163" s="19" t="s">
        <v>112</v>
      </c>
      <c r="B163" s="19" t="s">
        <v>367</v>
      </c>
      <c r="C163" s="20" t="s">
        <v>55</v>
      </c>
      <c r="D163" s="20" t="s">
        <v>393</v>
      </c>
      <c r="E163" s="20" t="s">
        <v>397</v>
      </c>
      <c r="F163" s="20" t="s">
        <v>378</v>
      </c>
      <c r="G163" s="33">
        <v>17</v>
      </c>
      <c r="H163" s="34">
        <f>VLOOKUP($C163,'Raw Cost'!$A$1:$B$483,2,FALSE)/G163</f>
        <v>0.82352941176470584</v>
      </c>
      <c r="I163" s="34">
        <f t="shared" si="66"/>
        <v>5.1470588235294115E-2</v>
      </c>
      <c r="J163" s="35">
        <v>20</v>
      </c>
      <c r="K163" s="35">
        <v>0.25</v>
      </c>
      <c r="L163" s="36">
        <f>VLOOKUP($F163,'Packaging Cost'!$A$1:$F$43,6,FALSE)</f>
        <v>1.1000000000000001</v>
      </c>
      <c r="M163" s="37">
        <f>IF($E163="Snakpak",(($J163*H163)+($K163*'Labor Cost'!$A$2)+L163)+2.25,($J163*H163)+($K163*'Labor Cost'!$A$2)+L163+1)</f>
        <v>24.445588235294117</v>
      </c>
      <c r="N163" s="38">
        <f t="shared" si="61"/>
        <v>30.556985294117645</v>
      </c>
      <c r="O163" s="38">
        <f t="shared" si="62"/>
        <v>31.779264705882355</v>
      </c>
      <c r="P163" s="38">
        <f t="shared" si="63"/>
        <v>33.001544117647057</v>
      </c>
      <c r="Q163" s="38">
        <f t="shared" si="64"/>
        <v>34.22382352941176</v>
      </c>
      <c r="R163" s="38">
        <f t="shared" si="65"/>
        <v>35.44610294117647</v>
      </c>
      <c r="S163" s="38">
        <f t="shared" si="58"/>
        <v>30.5</v>
      </c>
      <c r="T163" s="38">
        <f t="shared" si="59"/>
        <v>31.75</v>
      </c>
      <c r="U163" s="38">
        <f t="shared" si="60"/>
        <v>33</v>
      </c>
      <c r="V163" s="38">
        <f t="shared" si="69"/>
        <v>34.25</v>
      </c>
      <c r="W163" s="38">
        <f t="shared" si="69"/>
        <v>35.5</v>
      </c>
    </row>
    <row r="164" spans="1:23" ht="21" customHeight="1" x14ac:dyDescent="0.2">
      <c r="A164" s="19" t="s">
        <v>179</v>
      </c>
      <c r="B164" s="19" t="s">
        <v>365</v>
      </c>
      <c r="C164" s="20" t="s">
        <v>55</v>
      </c>
      <c r="D164" s="20" t="s">
        <v>393</v>
      </c>
      <c r="E164" s="20" t="s">
        <v>397</v>
      </c>
      <c r="F164" s="20" t="s">
        <v>407</v>
      </c>
      <c r="G164" s="33">
        <v>17</v>
      </c>
      <c r="H164" s="34">
        <f>VLOOKUP($C164,'Raw Cost'!$A$1:$B$483,2,FALSE)/G164</f>
        <v>0.82352941176470584</v>
      </c>
      <c r="I164" s="34">
        <f t="shared" si="66"/>
        <v>5.1470588235294115E-2</v>
      </c>
      <c r="J164" s="35">
        <v>10</v>
      </c>
      <c r="K164" s="35">
        <v>0.25</v>
      </c>
      <c r="L164" s="36">
        <f>VLOOKUP($F164,'Packaging Cost'!$A$1:$F$43,6,FALSE)</f>
        <v>3.16</v>
      </c>
      <c r="M164" s="37">
        <f>IF($E164="Snakpak",(($J164*H164)+($K164*'Labor Cost'!$A$2)+L164)+2.25,($J164*H164)+($K164*'Labor Cost'!$A$2)+L164+1)</f>
        <v>18.270294117647058</v>
      </c>
      <c r="N164" s="38">
        <f t="shared" si="61"/>
        <v>22.837867647058822</v>
      </c>
      <c r="O164" s="38">
        <f t="shared" si="62"/>
        <v>23.751382352941178</v>
      </c>
      <c r="P164" s="38">
        <f t="shared" si="63"/>
        <v>24.664897058823531</v>
      </c>
      <c r="Q164" s="38">
        <f t="shared" si="64"/>
        <v>25.57841176470588</v>
      </c>
      <c r="R164" s="38">
        <f t="shared" si="65"/>
        <v>26.491926470588233</v>
      </c>
      <c r="S164" s="38">
        <f t="shared" si="58"/>
        <v>22.75</v>
      </c>
      <c r="T164" s="38">
        <f t="shared" si="59"/>
        <v>23.75</v>
      </c>
      <c r="U164" s="38">
        <f t="shared" si="60"/>
        <v>24.75</v>
      </c>
      <c r="V164" s="38">
        <f t="shared" si="69"/>
        <v>25.5</v>
      </c>
      <c r="W164" s="38">
        <f t="shared" si="69"/>
        <v>26.5</v>
      </c>
    </row>
    <row r="165" spans="1:23" ht="21" customHeight="1" x14ac:dyDescent="0.2">
      <c r="A165" s="19" t="s">
        <v>180</v>
      </c>
      <c r="B165" s="19" t="s">
        <v>366</v>
      </c>
      <c r="C165" s="20" t="s">
        <v>55</v>
      </c>
      <c r="D165" s="20" t="s">
        <v>393</v>
      </c>
      <c r="E165" s="20" t="s">
        <v>397</v>
      </c>
      <c r="F165" s="20" t="s">
        <v>383</v>
      </c>
      <c r="G165" s="33">
        <v>17</v>
      </c>
      <c r="H165" s="34">
        <f>VLOOKUP($C165,'Raw Cost'!$A$1:$B$483,2,FALSE)/G165</f>
        <v>0.82352941176470584</v>
      </c>
      <c r="I165" s="34">
        <f t="shared" si="66"/>
        <v>5.1470588235294115E-2</v>
      </c>
      <c r="J165" s="35">
        <v>10</v>
      </c>
      <c r="K165" s="35">
        <v>0.25</v>
      </c>
      <c r="L165" s="36">
        <f>VLOOKUP($F165,'Packaging Cost'!$A$1:$F$43,6,FALSE)</f>
        <v>0.9</v>
      </c>
      <c r="M165" s="37">
        <f>IF($E165="Snakpak",(($J165*H165)+($K165*'Labor Cost'!$A$2)+L165)+2.25,($J165*H165)+($K165*'Labor Cost'!$A$2)+L165+1)</f>
        <v>16.010294117647057</v>
      </c>
      <c r="N165" s="38">
        <f t="shared" si="61"/>
        <v>20.012867647058819</v>
      </c>
      <c r="O165" s="38">
        <f t="shared" si="62"/>
        <v>20.813382352941176</v>
      </c>
      <c r="P165" s="38">
        <f t="shared" si="63"/>
        <v>21.613897058823529</v>
      </c>
      <c r="Q165" s="38">
        <f t="shared" si="64"/>
        <v>22.414411764705878</v>
      </c>
      <c r="R165" s="38">
        <f t="shared" si="65"/>
        <v>23.214926470588232</v>
      </c>
      <c r="S165" s="38">
        <f t="shared" si="58"/>
        <v>20</v>
      </c>
      <c r="T165" s="38">
        <f t="shared" si="59"/>
        <v>20.75</v>
      </c>
      <c r="U165" s="38">
        <f t="shared" si="60"/>
        <v>21.5</v>
      </c>
      <c r="V165" s="38">
        <f t="shared" si="69"/>
        <v>22.5</v>
      </c>
      <c r="W165" s="38">
        <f t="shared" si="69"/>
        <v>23.25</v>
      </c>
    </row>
    <row r="166" spans="1:23" ht="21" customHeight="1" x14ac:dyDescent="0.2">
      <c r="A166" s="19" t="s">
        <v>369</v>
      </c>
      <c r="B166" s="19" t="s">
        <v>368</v>
      </c>
      <c r="C166" s="20" t="s">
        <v>55</v>
      </c>
      <c r="D166" s="20" t="s">
        <v>393</v>
      </c>
      <c r="E166" s="20" t="s">
        <v>397</v>
      </c>
      <c r="F166" s="20" t="s">
        <v>384</v>
      </c>
      <c r="G166" s="33">
        <v>17</v>
      </c>
      <c r="H166" s="34">
        <f>VLOOKUP($C166,'Raw Cost'!$A$1:$B$483,2,FALSE)/G166</f>
        <v>0.82352941176470584</v>
      </c>
      <c r="I166" s="34">
        <f t="shared" si="66"/>
        <v>5.1470588235294115E-2</v>
      </c>
      <c r="J166" s="35">
        <v>5</v>
      </c>
      <c r="K166" s="35">
        <v>0.15</v>
      </c>
      <c r="L166" s="36">
        <f>VLOOKUP($F166,'Packaging Cost'!$A$1:$F$43,6,FALSE)</f>
        <v>0.59</v>
      </c>
      <c r="M166" s="37">
        <f>IF($E166="Snakpak",(($J166*H166)+($K166*'Labor Cost'!$A$2)+L166)+2.25,($J166*H166)+($K166*'Labor Cost'!$A$2)+L166+1)</f>
        <v>9.2326470588235292</v>
      </c>
      <c r="N166" s="38">
        <f t="shared" si="61"/>
        <v>11.540808823529412</v>
      </c>
      <c r="O166" s="38">
        <f t="shared" si="62"/>
        <v>12.002441176470589</v>
      </c>
      <c r="P166" s="38">
        <f t="shared" si="63"/>
        <v>12.464073529411765</v>
      </c>
      <c r="Q166" s="38">
        <f t="shared" si="64"/>
        <v>12.92570588235294</v>
      </c>
      <c r="R166" s="38">
        <f t="shared" si="65"/>
        <v>13.387338235294116</v>
      </c>
      <c r="S166" s="38">
        <f t="shared" si="58"/>
        <v>11.5</v>
      </c>
      <c r="T166" s="38">
        <f t="shared" si="59"/>
        <v>12</v>
      </c>
      <c r="U166" s="38">
        <f t="shared" si="60"/>
        <v>12.5</v>
      </c>
      <c r="V166" s="38">
        <f t="shared" si="69"/>
        <v>13</v>
      </c>
      <c r="W166" s="38">
        <f t="shared" si="69"/>
        <v>13.5</v>
      </c>
    </row>
    <row r="167" spans="1:23" ht="21" customHeight="1" x14ac:dyDescent="0.2">
      <c r="A167" s="40"/>
      <c r="B167" s="40"/>
      <c r="C167" s="40"/>
      <c r="D167" s="40"/>
      <c r="E167" s="40"/>
      <c r="F167" s="40"/>
      <c r="G167" s="41"/>
      <c r="H167" s="42"/>
      <c r="I167" s="42"/>
      <c r="J167" s="43"/>
      <c r="K167" s="43"/>
      <c r="L167" s="44"/>
      <c r="M167" s="41"/>
      <c r="N167" s="38">
        <f t="shared" si="61"/>
        <v>15</v>
      </c>
      <c r="O167" s="38">
        <f t="shared" si="62"/>
        <v>15</v>
      </c>
      <c r="P167" s="38">
        <f t="shared" si="63"/>
        <v>15</v>
      </c>
      <c r="Q167" s="38">
        <f t="shared" si="64"/>
        <v>15</v>
      </c>
      <c r="R167" s="38">
        <f t="shared" si="65"/>
        <v>15</v>
      </c>
      <c r="S167" s="43"/>
      <c r="T167" s="43"/>
      <c r="U167" s="43"/>
    </row>
    <row r="168" spans="1:23" ht="21" customHeight="1" x14ac:dyDescent="0.2">
      <c r="A168" s="45" t="s">
        <v>570</v>
      </c>
      <c r="B168" s="40"/>
      <c r="C168" s="40"/>
      <c r="D168" s="40"/>
      <c r="E168" s="40"/>
      <c r="F168" s="40"/>
      <c r="G168" s="41"/>
      <c r="H168" s="42"/>
      <c r="I168" s="42"/>
      <c r="J168" s="43"/>
      <c r="K168" s="43"/>
      <c r="L168" s="44"/>
      <c r="M168" s="41"/>
      <c r="N168" s="38">
        <f t="shared" si="61"/>
        <v>15</v>
      </c>
      <c r="O168" s="38">
        <f t="shared" si="62"/>
        <v>15</v>
      </c>
      <c r="P168" s="38">
        <f t="shared" si="63"/>
        <v>15</v>
      </c>
      <c r="Q168" s="38">
        <f t="shared" si="64"/>
        <v>15</v>
      </c>
      <c r="R168" s="38">
        <f t="shared" si="65"/>
        <v>15</v>
      </c>
      <c r="S168" s="43"/>
      <c r="T168" s="43"/>
      <c r="U168" s="43"/>
    </row>
    <row r="169" spans="1:23" ht="21" customHeight="1" x14ac:dyDescent="0.2">
      <c r="A169" s="19" t="s">
        <v>509</v>
      </c>
      <c r="B169" s="19" t="s">
        <v>185</v>
      </c>
      <c r="C169" s="32" t="s">
        <v>0</v>
      </c>
      <c r="D169" s="20" t="s">
        <v>393</v>
      </c>
      <c r="E169" s="20" t="s">
        <v>395</v>
      </c>
      <c r="F169" s="20" t="s">
        <v>637</v>
      </c>
      <c r="G169" s="33">
        <v>30</v>
      </c>
      <c r="H169" s="34">
        <f>VLOOKUP($C169,'Raw Cost'!$A$1:$B$483,2,FALSE)/G169</f>
        <v>0.8666666666666667</v>
      </c>
      <c r="I169" s="34">
        <f t="shared" ref="I169:I204" si="76">H169/16</f>
        <v>5.4166666666666669E-2</v>
      </c>
      <c r="J169" s="35">
        <v>12.5</v>
      </c>
      <c r="K169" s="35">
        <v>0.25</v>
      </c>
      <c r="L169" s="36">
        <f>VLOOKUP($F169,'Packaging Cost'!$A$1:$F$43,6,FALSE)</f>
        <v>7.35</v>
      </c>
      <c r="M169" s="37">
        <f>IF($E169="Snakpak",(($J169*H169)+($K169*'Labor Cost'!$A$2)+L169)+2.25,($J169*H169)+($K169*'Labor Cost'!$A$2)+L169+1)</f>
        <v>26.308333333333337</v>
      </c>
      <c r="N169" s="38">
        <f t="shared" si="61"/>
        <v>32.885416666666671</v>
      </c>
      <c r="O169" s="38">
        <f t="shared" si="62"/>
        <v>34.200833333333343</v>
      </c>
      <c r="P169" s="38">
        <f t="shared" si="63"/>
        <v>35.516250000000007</v>
      </c>
      <c r="Q169" s="38">
        <f t="shared" si="64"/>
        <v>36.831666666666671</v>
      </c>
      <c r="R169" s="38">
        <f t="shared" si="65"/>
        <v>38.147083333333335</v>
      </c>
      <c r="S169" s="38">
        <f t="shared" ref="S169:S200" si="77">MROUND(N169,0.25)</f>
        <v>33</v>
      </c>
      <c r="T169" s="38">
        <f t="shared" ref="T169:T200" si="78">MROUND(O169,0.25)</f>
        <v>34.25</v>
      </c>
      <c r="U169" s="38">
        <f t="shared" ref="U169:U200" si="79">MROUND(P169,0.25)</f>
        <v>35.5</v>
      </c>
      <c r="V169" s="38">
        <f t="shared" ref="V169:W204" si="80">MROUND(Q169,0.25)</f>
        <v>36.75</v>
      </c>
      <c r="W169" s="38">
        <f t="shared" si="80"/>
        <v>38.25</v>
      </c>
    </row>
    <row r="170" spans="1:23" ht="21" customHeight="1" x14ac:dyDescent="0.2">
      <c r="A170" s="19" t="s">
        <v>508</v>
      </c>
      <c r="B170" s="19" t="s">
        <v>186</v>
      </c>
      <c r="C170" s="32" t="s">
        <v>0</v>
      </c>
      <c r="D170" s="20" t="s">
        <v>393</v>
      </c>
      <c r="E170" s="20" t="s">
        <v>395</v>
      </c>
      <c r="F170" s="20" t="s">
        <v>636</v>
      </c>
      <c r="G170" s="33">
        <v>30</v>
      </c>
      <c r="H170" s="34">
        <f>VLOOKUP($C170,'Raw Cost'!$A$1:$B$483,2,FALSE)/G170</f>
        <v>0.8666666666666667</v>
      </c>
      <c r="I170" s="34">
        <f t="shared" si="76"/>
        <v>5.4166666666666669E-2</v>
      </c>
      <c r="J170" s="35">
        <v>6.25</v>
      </c>
      <c r="K170" s="35">
        <v>0.25</v>
      </c>
      <c r="L170" s="36">
        <f>VLOOKUP($F170,'Packaging Cost'!$A$1:$F$43,6,FALSE)</f>
        <v>4.0999999999999996</v>
      </c>
      <c r="M170" s="37">
        <f>IF($E170="Snakpak",(($J170*H170)+($K170*'Labor Cost'!$A$2)+L170)+2.25,($J170*H170)+($K170*'Labor Cost'!$A$2)+L170+1)</f>
        <v>17.641666666666666</v>
      </c>
      <c r="N170" s="38">
        <f t="shared" si="61"/>
        <v>22.052083333333332</v>
      </c>
      <c r="O170" s="38">
        <f t="shared" si="62"/>
        <v>22.934166666666666</v>
      </c>
      <c r="P170" s="38">
        <f t="shared" si="63"/>
        <v>23.81625</v>
      </c>
      <c r="Q170" s="38">
        <f t="shared" si="64"/>
        <v>24.698333333333331</v>
      </c>
      <c r="R170" s="38">
        <f t="shared" si="65"/>
        <v>25.580416666666665</v>
      </c>
      <c r="S170" s="38">
        <f t="shared" si="77"/>
        <v>22</v>
      </c>
      <c r="T170" s="38">
        <f t="shared" si="78"/>
        <v>23</v>
      </c>
      <c r="U170" s="38">
        <f t="shared" si="79"/>
        <v>23.75</v>
      </c>
      <c r="V170" s="38">
        <f t="shared" si="80"/>
        <v>24.75</v>
      </c>
      <c r="W170" s="38">
        <f t="shared" si="80"/>
        <v>25.5</v>
      </c>
    </row>
    <row r="171" spans="1:23" ht="21" customHeight="1" x14ac:dyDescent="0.2">
      <c r="A171" s="19" t="s">
        <v>507</v>
      </c>
      <c r="B171" s="19" t="s">
        <v>183</v>
      </c>
      <c r="C171" s="20" t="s">
        <v>1</v>
      </c>
      <c r="D171" s="32" t="s">
        <v>393</v>
      </c>
      <c r="E171" s="20" t="s">
        <v>395</v>
      </c>
      <c r="F171" s="20" t="s">
        <v>637</v>
      </c>
      <c r="G171" s="33">
        <v>30</v>
      </c>
      <c r="H171" s="34">
        <f>VLOOKUP($C171,'Raw Cost'!$A$1:$B$483,2,FALSE)/G171</f>
        <v>1.1000000000000001</v>
      </c>
      <c r="I171" s="34">
        <f t="shared" si="76"/>
        <v>6.8750000000000006E-2</v>
      </c>
      <c r="J171" s="35">
        <v>12.5</v>
      </c>
      <c r="K171" s="35">
        <v>0.25</v>
      </c>
      <c r="L171" s="36">
        <f>VLOOKUP($F171,'Packaging Cost'!$A$1:$F$43,6,FALSE)</f>
        <v>7.35</v>
      </c>
      <c r="M171" s="37">
        <f>IF($E171="Snakpak",(($J171*H171)+($K171*'Labor Cost'!$A$2)+L171)+2.25,($J171*H171)+($K171*'Labor Cost'!$A$2)+L171+1)</f>
        <v>29.225000000000001</v>
      </c>
      <c r="N171" s="38">
        <f t="shared" si="61"/>
        <v>36.53125</v>
      </c>
      <c r="O171" s="38">
        <f t="shared" si="62"/>
        <v>37.9925</v>
      </c>
      <c r="P171" s="38">
        <f t="shared" si="63"/>
        <v>39.453750000000007</v>
      </c>
      <c r="Q171" s="38">
        <f t="shared" si="64"/>
        <v>40.914999999999999</v>
      </c>
      <c r="R171" s="38">
        <f t="shared" si="65"/>
        <v>42.376249999999999</v>
      </c>
      <c r="S171" s="38">
        <f t="shared" si="77"/>
        <v>36.5</v>
      </c>
      <c r="T171" s="38">
        <f t="shared" si="78"/>
        <v>38</v>
      </c>
      <c r="U171" s="38">
        <f t="shared" si="79"/>
        <v>39.5</v>
      </c>
      <c r="V171" s="38">
        <f t="shared" si="80"/>
        <v>41</v>
      </c>
      <c r="W171" s="38">
        <f t="shared" si="80"/>
        <v>42.5</v>
      </c>
    </row>
    <row r="172" spans="1:23" ht="21" customHeight="1" x14ac:dyDescent="0.2">
      <c r="A172" s="19" t="s">
        <v>506</v>
      </c>
      <c r="B172" s="19" t="s">
        <v>184</v>
      </c>
      <c r="C172" s="20" t="s">
        <v>1</v>
      </c>
      <c r="D172" s="32" t="s">
        <v>393</v>
      </c>
      <c r="E172" s="20" t="s">
        <v>395</v>
      </c>
      <c r="F172" s="20" t="s">
        <v>636</v>
      </c>
      <c r="G172" s="33">
        <v>30</v>
      </c>
      <c r="H172" s="34">
        <f>VLOOKUP($C172,'Raw Cost'!$A$1:$B$483,2,FALSE)/G172</f>
        <v>1.1000000000000001</v>
      </c>
      <c r="I172" s="34">
        <f t="shared" si="76"/>
        <v>6.8750000000000006E-2</v>
      </c>
      <c r="J172" s="35">
        <v>6.25</v>
      </c>
      <c r="K172" s="35">
        <v>0.25</v>
      </c>
      <c r="L172" s="36">
        <f>VLOOKUP($F172,'Packaging Cost'!$A$1:$F$43,6,FALSE)</f>
        <v>4.0999999999999996</v>
      </c>
      <c r="M172" s="37">
        <f>IF($E172="Snakpak",(($J172*H172)+($K172*'Labor Cost'!$A$2)+L172)+2.25,($J172*H172)+($K172*'Labor Cost'!$A$2)+L172+1)</f>
        <v>19.100000000000001</v>
      </c>
      <c r="N172" s="38">
        <f t="shared" si="61"/>
        <v>23.875</v>
      </c>
      <c r="O172" s="38">
        <f t="shared" si="62"/>
        <v>24.830000000000002</v>
      </c>
      <c r="P172" s="38">
        <f t="shared" si="63"/>
        <v>25.785000000000004</v>
      </c>
      <c r="Q172" s="38">
        <f t="shared" si="64"/>
        <v>26.740000000000002</v>
      </c>
      <c r="R172" s="38">
        <f t="shared" si="65"/>
        <v>27.695</v>
      </c>
      <c r="S172" s="38">
        <f t="shared" si="77"/>
        <v>24</v>
      </c>
      <c r="T172" s="38">
        <f t="shared" si="78"/>
        <v>24.75</v>
      </c>
      <c r="U172" s="38">
        <f t="shared" si="79"/>
        <v>25.75</v>
      </c>
      <c r="V172" s="38">
        <f t="shared" si="80"/>
        <v>26.75</v>
      </c>
      <c r="W172" s="38">
        <f t="shared" si="80"/>
        <v>27.75</v>
      </c>
    </row>
    <row r="173" spans="1:23" ht="21" customHeight="1" x14ac:dyDescent="0.2">
      <c r="A173" s="19" t="s">
        <v>510</v>
      </c>
      <c r="B173" s="19" t="s">
        <v>467</v>
      </c>
      <c r="C173" s="20" t="s">
        <v>468</v>
      </c>
      <c r="D173" s="32" t="s">
        <v>393</v>
      </c>
      <c r="E173" s="20" t="s">
        <v>395</v>
      </c>
      <c r="F173" s="20" t="s">
        <v>411</v>
      </c>
      <c r="G173" s="33">
        <v>8.5</v>
      </c>
      <c r="H173" s="34">
        <f>VLOOKUP($C173,'Raw Cost'!$A$1:$B$483,2,FALSE)/G173</f>
        <v>4.4705882352941178</v>
      </c>
      <c r="I173" s="34">
        <f t="shared" si="76"/>
        <v>0.27941176470588236</v>
      </c>
      <c r="J173" s="35">
        <v>6.25</v>
      </c>
      <c r="K173" s="35">
        <v>0.09</v>
      </c>
      <c r="L173" s="36">
        <f>VLOOKUP($F173,'Packaging Cost'!$A$1:$F$43,6,FALSE)</f>
        <v>2.6</v>
      </c>
      <c r="M173" s="37">
        <f>IF($E173="Snakpak",(($J173*H173)+($K173*'Labor Cost'!$A$2)+L173)+2.25,($J173*H173)+($K173*'Labor Cost'!$A$2)+L173+1)</f>
        <v>34.906176470588235</v>
      </c>
      <c r="N173" s="38">
        <f t="shared" si="61"/>
        <v>43.632720588235294</v>
      </c>
      <c r="O173" s="38">
        <f t="shared" si="62"/>
        <v>45.378029411764707</v>
      </c>
      <c r="P173" s="38">
        <f t="shared" si="63"/>
        <v>47.123338235294121</v>
      </c>
      <c r="Q173" s="38">
        <f t="shared" si="64"/>
        <v>48.868647058823527</v>
      </c>
      <c r="R173" s="38">
        <f t="shared" si="65"/>
        <v>50.61395588235294</v>
      </c>
      <c r="S173" s="38">
        <f t="shared" si="77"/>
        <v>43.75</v>
      </c>
      <c r="T173" s="38">
        <f t="shared" si="78"/>
        <v>45.5</v>
      </c>
      <c r="U173" s="38">
        <f t="shared" si="79"/>
        <v>47</v>
      </c>
      <c r="V173" s="38">
        <f t="shared" si="80"/>
        <v>48.75</v>
      </c>
      <c r="W173" s="38">
        <f t="shared" si="80"/>
        <v>50.5</v>
      </c>
    </row>
    <row r="174" spans="1:23" ht="21" customHeight="1" x14ac:dyDescent="0.2">
      <c r="A174" s="19" t="s">
        <v>71</v>
      </c>
      <c r="B174" s="19" t="s">
        <v>209</v>
      </c>
      <c r="C174" s="32" t="s">
        <v>12</v>
      </c>
      <c r="D174" s="32" t="s">
        <v>394</v>
      </c>
      <c r="E174" s="20" t="s">
        <v>395</v>
      </c>
      <c r="F174" s="20" t="s">
        <v>411</v>
      </c>
      <c r="G174" s="33">
        <v>30</v>
      </c>
      <c r="H174" s="34">
        <f>VLOOKUP($C174,'Raw Cost'!$A$1:$B$483,2,FALSE)/G174</f>
        <v>1.0333333333333334</v>
      </c>
      <c r="I174" s="34">
        <f t="shared" si="76"/>
        <v>6.458333333333334E-2</v>
      </c>
      <c r="J174" s="35">
        <v>6.25</v>
      </c>
      <c r="K174" s="35">
        <v>0.25</v>
      </c>
      <c r="L174" s="36">
        <f>VLOOKUP($F174,'Packaging Cost'!$A$1:$F$43,6,FALSE)</f>
        <v>2.6</v>
      </c>
      <c r="M174" s="37">
        <f>IF($E174="Snakpak",(($J174*H174)+($K174*'Labor Cost'!$A$2)+L174)+2.25,($J174*H174)+($K174*'Labor Cost'!$A$2)+L174+1)</f>
        <v>17.183333333333334</v>
      </c>
      <c r="N174" s="38">
        <f t="shared" si="61"/>
        <v>36.479166666666671</v>
      </c>
      <c r="O174" s="38">
        <f t="shared" si="62"/>
        <v>37.338333333333338</v>
      </c>
      <c r="P174" s="38">
        <f t="shared" si="63"/>
        <v>38.197500000000005</v>
      </c>
      <c r="Q174" s="38">
        <f t="shared" si="64"/>
        <v>39.056666666666665</v>
      </c>
      <c r="R174" s="38">
        <f t="shared" si="65"/>
        <v>39.915833333333332</v>
      </c>
      <c r="S174" s="38">
        <f t="shared" si="77"/>
        <v>36.5</v>
      </c>
      <c r="T174" s="38">
        <f t="shared" si="78"/>
        <v>37.25</v>
      </c>
      <c r="U174" s="38">
        <f t="shared" si="79"/>
        <v>38.25</v>
      </c>
      <c r="V174" s="38">
        <f t="shared" si="80"/>
        <v>39</v>
      </c>
      <c r="W174" s="38">
        <f t="shared" si="80"/>
        <v>40</v>
      </c>
    </row>
    <row r="175" spans="1:23" ht="21" customHeight="1" x14ac:dyDescent="0.2">
      <c r="A175" s="19" t="s">
        <v>511</v>
      </c>
      <c r="B175" s="19" t="s">
        <v>207</v>
      </c>
      <c r="C175" s="32" t="s">
        <v>12</v>
      </c>
      <c r="D175" s="32" t="s">
        <v>393</v>
      </c>
      <c r="E175" s="20" t="s">
        <v>395</v>
      </c>
      <c r="F175" s="20" t="s">
        <v>412</v>
      </c>
      <c r="G175" s="33">
        <v>30</v>
      </c>
      <c r="H175" s="34">
        <f>VLOOKUP($C175,'Raw Cost'!$A$1:$B$483,2,FALSE)/G175</f>
        <v>1.0333333333333334</v>
      </c>
      <c r="I175" s="34">
        <f t="shared" si="76"/>
        <v>6.458333333333334E-2</v>
      </c>
      <c r="J175" s="35">
        <v>12.5</v>
      </c>
      <c r="K175" s="35">
        <v>0.3</v>
      </c>
      <c r="L175" s="36">
        <f>VLOOKUP($F175,'Packaging Cost'!$A$1:$F$43,6,FALSE)</f>
        <v>4.3499999999999996</v>
      </c>
      <c r="M175" s="37">
        <f>IF($E175="Snakpak",(($J175*H175)+($K175*'Labor Cost'!$A$2)+L175)+2.25,($J175*H175)+($K175*'Labor Cost'!$A$2)+L175+1)</f>
        <v>26.56666666666667</v>
      </c>
      <c r="N175" s="38">
        <f t="shared" si="61"/>
        <v>33.208333333333336</v>
      </c>
      <c r="O175" s="38">
        <f t="shared" si="62"/>
        <v>34.536666666666669</v>
      </c>
      <c r="P175" s="38">
        <f t="shared" si="63"/>
        <v>35.865000000000009</v>
      </c>
      <c r="Q175" s="38">
        <f t="shared" si="64"/>
        <v>37.193333333333335</v>
      </c>
      <c r="R175" s="38">
        <f t="shared" si="65"/>
        <v>38.521666666666668</v>
      </c>
      <c r="S175" s="38">
        <f t="shared" si="77"/>
        <v>33.25</v>
      </c>
      <c r="T175" s="38">
        <f t="shared" si="78"/>
        <v>34.5</v>
      </c>
      <c r="U175" s="38">
        <f t="shared" si="79"/>
        <v>35.75</v>
      </c>
      <c r="V175" s="38">
        <f t="shared" si="80"/>
        <v>37.25</v>
      </c>
      <c r="W175" s="38">
        <f t="shared" si="80"/>
        <v>38.5</v>
      </c>
    </row>
    <row r="176" spans="1:23" ht="21" customHeight="1" x14ac:dyDescent="0.2">
      <c r="A176" s="19" t="s">
        <v>512</v>
      </c>
      <c r="B176" s="19" t="s">
        <v>208</v>
      </c>
      <c r="C176" s="32" t="s">
        <v>12</v>
      </c>
      <c r="D176" s="32" t="s">
        <v>393</v>
      </c>
      <c r="E176" s="20" t="s">
        <v>395</v>
      </c>
      <c r="F176" s="20" t="s">
        <v>411</v>
      </c>
      <c r="G176" s="33">
        <v>30</v>
      </c>
      <c r="H176" s="34">
        <f>VLOOKUP($C176,'Raw Cost'!$A$1:$B$483,2,FALSE)/G176</f>
        <v>1.0333333333333334</v>
      </c>
      <c r="I176" s="34">
        <f t="shared" si="76"/>
        <v>6.458333333333334E-2</v>
      </c>
      <c r="J176" s="35">
        <v>6.25</v>
      </c>
      <c r="K176" s="35">
        <v>0.25</v>
      </c>
      <c r="L176" s="36">
        <f>VLOOKUP($F176,'Packaging Cost'!$A$1:$F$43,6,FALSE)</f>
        <v>2.6</v>
      </c>
      <c r="M176" s="37">
        <f>IF($E176="Snakpak",(($J176*H176)+($K176*'Labor Cost'!$A$2)+L176)+2.25,($J176*H176)+($K176*'Labor Cost'!$A$2)+L176+1)</f>
        <v>17.183333333333334</v>
      </c>
      <c r="N176" s="38">
        <f t="shared" si="61"/>
        <v>21.479166666666668</v>
      </c>
      <c r="O176" s="38">
        <f t="shared" si="62"/>
        <v>22.338333333333335</v>
      </c>
      <c r="P176" s="38">
        <f t="shared" si="63"/>
        <v>23.197500000000002</v>
      </c>
      <c r="Q176" s="38">
        <f t="shared" si="64"/>
        <v>24.056666666666665</v>
      </c>
      <c r="R176" s="38">
        <f t="shared" si="65"/>
        <v>24.915833333333332</v>
      </c>
      <c r="S176" s="38">
        <f t="shared" si="77"/>
        <v>21.5</v>
      </c>
      <c r="T176" s="38">
        <f t="shared" si="78"/>
        <v>22.25</v>
      </c>
      <c r="U176" s="38">
        <f t="shared" si="79"/>
        <v>23.25</v>
      </c>
      <c r="V176" s="38">
        <f t="shared" si="80"/>
        <v>24</v>
      </c>
      <c r="W176" s="38">
        <f t="shared" si="80"/>
        <v>25</v>
      </c>
    </row>
    <row r="177" spans="1:23" ht="21" customHeight="1" x14ac:dyDescent="0.2">
      <c r="A177" s="19" t="s">
        <v>470</v>
      </c>
      <c r="B177" s="19" t="s">
        <v>471</v>
      </c>
      <c r="C177" s="32" t="s">
        <v>469</v>
      </c>
      <c r="D177" s="32" t="s">
        <v>393</v>
      </c>
      <c r="E177" s="20" t="s">
        <v>395</v>
      </c>
      <c r="F177" s="20" t="s">
        <v>411</v>
      </c>
      <c r="G177" s="33">
        <v>4.25</v>
      </c>
      <c r="H177" s="34">
        <f>VLOOKUP($C177,'Raw Cost'!$A$1:$B$483,2,FALSE)/G177</f>
        <v>1.4352941176470588</v>
      </c>
      <c r="I177" s="34">
        <f t="shared" si="76"/>
        <v>8.9705882352941177E-2</v>
      </c>
      <c r="J177" s="35">
        <v>12.5</v>
      </c>
      <c r="K177" s="35">
        <v>0.25</v>
      </c>
      <c r="L177" s="36">
        <f>VLOOKUP($F177,'Packaging Cost'!$A$1:$F$43,6,FALSE)</f>
        <v>2.6</v>
      </c>
      <c r="M177" s="37">
        <f>IF($E177="Snakpak",(($J177*H177)+($K177*'Labor Cost'!$A$2)+L177)+2.25,($J177*H177)+($K177*'Labor Cost'!$A$2)+L177+1)</f>
        <v>28.666176470588237</v>
      </c>
      <c r="N177" s="38">
        <f t="shared" si="61"/>
        <v>35.832720588235297</v>
      </c>
      <c r="O177" s="38">
        <f t="shared" si="62"/>
        <v>37.266029411764713</v>
      </c>
      <c r="P177" s="38">
        <f t="shared" si="63"/>
        <v>38.699338235294121</v>
      </c>
      <c r="Q177" s="38">
        <f t="shared" si="64"/>
        <v>40.13264705882353</v>
      </c>
      <c r="R177" s="38">
        <f t="shared" si="65"/>
        <v>41.565955882352945</v>
      </c>
      <c r="S177" s="38">
        <f t="shared" si="77"/>
        <v>35.75</v>
      </c>
      <c r="T177" s="38">
        <f t="shared" si="78"/>
        <v>37.25</v>
      </c>
      <c r="U177" s="38">
        <f t="shared" si="79"/>
        <v>38.75</v>
      </c>
      <c r="V177" s="38">
        <f t="shared" si="80"/>
        <v>40.25</v>
      </c>
      <c r="W177" s="38">
        <f t="shared" si="80"/>
        <v>41.5</v>
      </c>
    </row>
    <row r="178" spans="1:23" ht="21" customHeight="1" x14ac:dyDescent="0.2">
      <c r="A178" s="19" t="s">
        <v>518</v>
      </c>
      <c r="B178" s="19" t="s">
        <v>447</v>
      </c>
      <c r="C178" s="20" t="s">
        <v>446</v>
      </c>
      <c r="D178" s="32" t="s">
        <v>393</v>
      </c>
      <c r="E178" s="20" t="s">
        <v>395</v>
      </c>
      <c r="F178" s="20" t="s">
        <v>411</v>
      </c>
      <c r="G178" s="33">
        <v>18</v>
      </c>
      <c r="H178" s="34">
        <f>VLOOKUP($C178,'Raw Cost'!$A$1:$B$483,2,FALSE)/G178</f>
        <v>2.1111111111111112</v>
      </c>
      <c r="I178" s="34">
        <f t="shared" si="76"/>
        <v>0.13194444444444445</v>
      </c>
      <c r="J178" s="35">
        <v>6.25</v>
      </c>
      <c r="K178" s="35">
        <v>0.3</v>
      </c>
      <c r="L178" s="36">
        <f>VLOOKUP($F178,'Packaging Cost'!$A$1:$F$43,6,FALSE)</f>
        <v>2.6</v>
      </c>
      <c r="M178" s="37">
        <f>IF($E178="Snakpak",(($J178*H178)+($K178*'Labor Cost'!$A$2)+L178)+2.25,($J178*H178)+($K178*'Labor Cost'!$A$2)+L178+1)</f>
        <v>25.094444444444445</v>
      </c>
      <c r="N178" s="38">
        <f t="shared" si="61"/>
        <v>31.368055555555557</v>
      </c>
      <c r="O178" s="38">
        <f t="shared" si="62"/>
        <v>32.622777777777777</v>
      </c>
      <c r="P178" s="38">
        <f t="shared" si="63"/>
        <v>33.877500000000005</v>
      </c>
      <c r="Q178" s="38">
        <f t="shared" si="64"/>
        <v>35.132222222222218</v>
      </c>
      <c r="R178" s="38">
        <f t="shared" si="65"/>
        <v>36.386944444444445</v>
      </c>
      <c r="S178" s="38">
        <f t="shared" si="77"/>
        <v>31.25</v>
      </c>
      <c r="T178" s="38">
        <f t="shared" si="78"/>
        <v>32.5</v>
      </c>
      <c r="U178" s="38">
        <f t="shared" si="79"/>
        <v>34</v>
      </c>
      <c r="V178" s="38">
        <f t="shared" si="80"/>
        <v>35.25</v>
      </c>
      <c r="W178" s="38">
        <f t="shared" si="80"/>
        <v>36.5</v>
      </c>
    </row>
    <row r="179" spans="1:23" ht="21" customHeight="1" x14ac:dyDescent="0.2">
      <c r="A179" s="19" t="s">
        <v>519</v>
      </c>
      <c r="B179" s="19" t="s">
        <v>434</v>
      </c>
      <c r="C179" s="20" t="s">
        <v>453</v>
      </c>
      <c r="D179" s="20" t="s">
        <v>393</v>
      </c>
      <c r="E179" s="20" t="s">
        <v>395</v>
      </c>
      <c r="F179" s="20" t="s">
        <v>411</v>
      </c>
      <c r="G179" s="33">
        <v>38</v>
      </c>
      <c r="H179" s="34">
        <f>VLOOKUP($C179,'Raw Cost'!$A$1:$B$483,2,FALSE)/G179</f>
        <v>1.7105263157894737</v>
      </c>
      <c r="I179" s="34">
        <f t="shared" si="76"/>
        <v>0.1069078947368421</v>
      </c>
      <c r="J179" s="35">
        <v>11</v>
      </c>
      <c r="K179" s="35">
        <v>0.25</v>
      </c>
      <c r="L179" s="36">
        <f>VLOOKUP($F179,'Packaging Cost'!$A$1:$F$43,6,FALSE)</f>
        <v>2.6</v>
      </c>
      <c r="M179" s="37">
        <f>IF($E179="Snakpak",(($J179*H179)+($K179*'Labor Cost'!$A$2)+L179)+2.25,($J179*H179)+($K179*'Labor Cost'!$A$2)+L179+1)</f>
        <v>29.54078947368421</v>
      </c>
      <c r="N179" s="38">
        <f t="shared" si="61"/>
        <v>36.92598684210526</v>
      </c>
      <c r="O179" s="38">
        <f t="shared" si="62"/>
        <v>38.403026315789475</v>
      </c>
      <c r="P179" s="38">
        <f t="shared" si="63"/>
        <v>39.880065789473683</v>
      </c>
      <c r="Q179" s="38">
        <f t="shared" si="64"/>
        <v>41.357105263157891</v>
      </c>
      <c r="R179" s="38">
        <f t="shared" si="65"/>
        <v>42.834144736842106</v>
      </c>
      <c r="S179" s="38">
        <f t="shared" si="77"/>
        <v>37</v>
      </c>
      <c r="T179" s="38">
        <f t="shared" si="78"/>
        <v>38.5</v>
      </c>
      <c r="U179" s="38">
        <f t="shared" si="79"/>
        <v>40</v>
      </c>
      <c r="V179" s="38">
        <f t="shared" si="80"/>
        <v>41.25</v>
      </c>
      <c r="W179" s="38">
        <f t="shared" si="80"/>
        <v>42.75</v>
      </c>
    </row>
    <row r="180" spans="1:23" ht="21" customHeight="1" x14ac:dyDescent="0.2">
      <c r="A180" s="19" t="s">
        <v>520</v>
      </c>
      <c r="B180" s="19" t="s">
        <v>187</v>
      </c>
      <c r="C180" s="32" t="s">
        <v>406</v>
      </c>
      <c r="D180" s="20" t="s">
        <v>393</v>
      </c>
      <c r="E180" s="20" t="s">
        <v>395</v>
      </c>
      <c r="F180" s="20" t="s">
        <v>411</v>
      </c>
      <c r="G180" s="33">
        <v>9</v>
      </c>
      <c r="H180" s="34">
        <f>VLOOKUP($C180,'Raw Cost'!$A$1:$B$483,2,FALSE)/G180</f>
        <v>5.333333333333333</v>
      </c>
      <c r="I180" s="34">
        <f t="shared" si="76"/>
        <v>0.33333333333333331</v>
      </c>
      <c r="J180" s="35">
        <v>6.25</v>
      </c>
      <c r="K180" s="35">
        <v>0.25</v>
      </c>
      <c r="L180" s="36">
        <f>VLOOKUP($F180,'Packaging Cost'!$A$1:$F$43,6,FALSE)</f>
        <v>2.6</v>
      </c>
      <c r="M180" s="37">
        <f>IF($E180="Snakpak",(($J180*H180)+($K180*'Labor Cost'!$A$2)+L180)+2.25,($J180*H180)+($K180*'Labor Cost'!$A$2)+L180+1)</f>
        <v>44.05833333333333</v>
      </c>
      <c r="N180" s="38">
        <f t="shared" si="61"/>
        <v>55.072916666666664</v>
      </c>
      <c r="O180" s="38">
        <f t="shared" si="62"/>
        <v>57.275833333333331</v>
      </c>
      <c r="P180" s="38">
        <f t="shared" si="63"/>
        <v>59.478749999999998</v>
      </c>
      <c r="Q180" s="38">
        <f t="shared" si="64"/>
        <v>61.681666666666658</v>
      </c>
      <c r="R180" s="38">
        <f t="shared" si="65"/>
        <v>63.884583333333325</v>
      </c>
      <c r="S180" s="38">
        <f t="shared" si="77"/>
        <v>55</v>
      </c>
      <c r="T180" s="38">
        <f t="shared" si="78"/>
        <v>57.25</v>
      </c>
      <c r="U180" s="38">
        <f t="shared" si="79"/>
        <v>59.5</v>
      </c>
      <c r="V180" s="38">
        <f t="shared" si="80"/>
        <v>61.75</v>
      </c>
      <c r="W180" s="38">
        <f t="shared" si="80"/>
        <v>64</v>
      </c>
    </row>
    <row r="181" spans="1:23" ht="21" customHeight="1" x14ac:dyDescent="0.2">
      <c r="A181" s="19" t="s">
        <v>521</v>
      </c>
      <c r="B181" s="19" t="s">
        <v>190</v>
      </c>
      <c r="C181" s="32" t="s">
        <v>3</v>
      </c>
      <c r="D181" s="20" t="s">
        <v>393</v>
      </c>
      <c r="E181" s="20" t="s">
        <v>395</v>
      </c>
      <c r="F181" s="20" t="s">
        <v>411</v>
      </c>
      <c r="G181" s="33">
        <v>18</v>
      </c>
      <c r="H181" s="34">
        <f>VLOOKUP($C181,'Raw Cost'!$A$1:$B$483,2,FALSE)/G181</f>
        <v>1.1111111111111112</v>
      </c>
      <c r="I181" s="34">
        <f t="shared" si="76"/>
        <v>6.9444444444444448E-2</v>
      </c>
      <c r="J181" s="35">
        <v>6.25</v>
      </c>
      <c r="K181" s="35">
        <v>0.25</v>
      </c>
      <c r="L181" s="36">
        <f>VLOOKUP($F181,'Packaging Cost'!$A$1:$F$43,6,FALSE)</f>
        <v>2.6</v>
      </c>
      <c r="M181" s="37">
        <f>IF($E181="Snakpak",(($J181*H181)+($K181*'Labor Cost'!$A$2)+L181)+2.25,($J181*H181)+($K181*'Labor Cost'!$A$2)+L181+1)</f>
        <v>17.669444444444444</v>
      </c>
      <c r="N181" s="38">
        <f t="shared" si="61"/>
        <v>22.086805555555557</v>
      </c>
      <c r="O181" s="38">
        <f t="shared" si="62"/>
        <v>22.970277777777778</v>
      </c>
      <c r="P181" s="38">
        <f t="shared" si="63"/>
        <v>23.853750000000002</v>
      </c>
      <c r="Q181" s="38">
        <f t="shared" si="64"/>
        <v>24.737222222222222</v>
      </c>
      <c r="R181" s="38">
        <f t="shared" si="65"/>
        <v>25.620694444444442</v>
      </c>
      <c r="S181" s="38">
        <f t="shared" si="77"/>
        <v>22</v>
      </c>
      <c r="T181" s="38">
        <f t="shared" si="78"/>
        <v>23</v>
      </c>
      <c r="U181" s="38">
        <f t="shared" si="79"/>
        <v>23.75</v>
      </c>
      <c r="V181" s="38">
        <f t="shared" si="80"/>
        <v>24.75</v>
      </c>
      <c r="W181" s="38">
        <f t="shared" si="80"/>
        <v>25.5</v>
      </c>
    </row>
    <row r="182" spans="1:23" ht="21" customHeight="1" x14ac:dyDescent="0.2">
      <c r="A182" s="19" t="s">
        <v>598</v>
      </c>
      <c r="B182" s="19" t="s">
        <v>190</v>
      </c>
      <c r="C182" s="32" t="s">
        <v>3</v>
      </c>
      <c r="D182" s="20" t="s">
        <v>393</v>
      </c>
      <c r="E182" s="20" t="s">
        <v>395</v>
      </c>
      <c r="F182" s="20" t="s">
        <v>411</v>
      </c>
      <c r="G182" s="33">
        <v>18</v>
      </c>
      <c r="H182" s="34">
        <f>VLOOKUP($C182,'Raw Cost'!$A$1:$B$483,2,FALSE)/G182</f>
        <v>1.1111111111111112</v>
      </c>
      <c r="I182" s="34">
        <f t="shared" ref="I182" si="81">H182/16</f>
        <v>6.9444444444444448E-2</v>
      </c>
      <c r="J182" s="35">
        <v>12.5</v>
      </c>
      <c r="K182" s="35">
        <v>0.25</v>
      </c>
      <c r="L182" s="36">
        <f>VLOOKUP($F182,'Packaging Cost'!$A$1:$F$43,6,FALSE)</f>
        <v>2.6</v>
      </c>
      <c r="M182" s="37">
        <f>IF($E182="Snakpak",(($J182*H182)+($K182*'Labor Cost'!$A$2)+L182)+2.25,($J182*H182)+($K182*'Labor Cost'!$A$2)+L182+1)</f>
        <v>24.613888888888891</v>
      </c>
      <c r="N182" s="38">
        <f t="shared" si="61"/>
        <v>30.767361111111114</v>
      </c>
      <c r="O182" s="38">
        <f t="shared" si="62"/>
        <v>31.99805555555556</v>
      </c>
      <c r="P182" s="38">
        <f t="shared" si="63"/>
        <v>33.228750000000005</v>
      </c>
      <c r="Q182" s="38">
        <f t="shared" si="64"/>
        <v>34.459444444444443</v>
      </c>
      <c r="R182" s="38">
        <f t="shared" si="65"/>
        <v>35.690138888888889</v>
      </c>
      <c r="S182" s="38">
        <f t="shared" si="77"/>
        <v>30.75</v>
      </c>
      <c r="T182" s="38">
        <f t="shared" si="78"/>
        <v>32</v>
      </c>
      <c r="U182" s="38">
        <f t="shared" si="79"/>
        <v>33.25</v>
      </c>
      <c r="V182" s="38">
        <f t="shared" ref="V182" si="82">MROUND(Q182,0.25)</f>
        <v>34.5</v>
      </c>
      <c r="W182" s="38">
        <f t="shared" si="80"/>
        <v>35.75</v>
      </c>
    </row>
    <row r="183" spans="1:23" ht="21" customHeight="1" x14ac:dyDescent="0.2">
      <c r="A183" s="19" t="s">
        <v>522</v>
      </c>
      <c r="B183" s="19" t="s">
        <v>191</v>
      </c>
      <c r="C183" s="32" t="s">
        <v>3</v>
      </c>
      <c r="D183" s="32" t="s">
        <v>394</v>
      </c>
      <c r="E183" s="20" t="s">
        <v>395</v>
      </c>
      <c r="F183" s="20" t="s">
        <v>411</v>
      </c>
      <c r="G183" s="33">
        <v>18</v>
      </c>
      <c r="H183" s="34">
        <f>VLOOKUP($C183,'Raw Cost'!$A$1:$B$483,2,FALSE)/G183</f>
        <v>1.1111111111111112</v>
      </c>
      <c r="I183" s="34">
        <f t="shared" si="76"/>
        <v>6.9444444444444448E-2</v>
      </c>
      <c r="J183" s="35">
        <v>6.25</v>
      </c>
      <c r="K183" s="35">
        <v>0.27</v>
      </c>
      <c r="L183" s="36">
        <f>VLOOKUP($F183,'Packaging Cost'!$A$1:$F$43,6,FALSE)</f>
        <v>2.6</v>
      </c>
      <c r="M183" s="37">
        <f>IF($E183="Snakpak",(($J183*H183)+($K183*'Labor Cost'!$A$2)+L183)+2.25,($J183*H183)+($K183*'Labor Cost'!$A$2)+L183+1)</f>
        <v>18.139444444444443</v>
      </c>
      <c r="N183" s="38">
        <f t="shared" si="61"/>
        <v>37.674305555555556</v>
      </c>
      <c r="O183" s="38">
        <f t="shared" si="62"/>
        <v>38.581277777777778</v>
      </c>
      <c r="P183" s="38">
        <f t="shared" si="63"/>
        <v>39.488250000000001</v>
      </c>
      <c r="Q183" s="38">
        <f t="shared" si="64"/>
        <v>40.395222222222216</v>
      </c>
      <c r="R183" s="38">
        <f t="shared" si="65"/>
        <v>41.302194444444439</v>
      </c>
      <c r="S183" s="38">
        <f t="shared" si="77"/>
        <v>37.75</v>
      </c>
      <c r="T183" s="38">
        <f t="shared" si="78"/>
        <v>38.5</v>
      </c>
      <c r="U183" s="38">
        <f t="shared" si="79"/>
        <v>39.5</v>
      </c>
      <c r="V183" s="38">
        <f t="shared" si="80"/>
        <v>40.5</v>
      </c>
      <c r="W183" s="38">
        <f t="shared" si="80"/>
        <v>41.25</v>
      </c>
    </row>
    <row r="184" spans="1:23" ht="21" customHeight="1" x14ac:dyDescent="0.2">
      <c r="A184" s="19" t="s">
        <v>64</v>
      </c>
      <c r="B184" s="19" t="s">
        <v>198</v>
      </c>
      <c r="C184" s="32" t="s">
        <v>10</v>
      </c>
      <c r="D184" s="20" t="s">
        <v>393</v>
      </c>
      <c r="E184" s="20" t="s">
        <v>395</v>
      </c>
      <c r="F184" s="20" t="s">
        <v>411</v>
      </c>
      <c r="G184" s="33">
        <v>17</v>
      </c>
      <c r="H184" s="34">
        <f>VLOOKUP($C184,'Raw Cost'!$A$1:$B$483,2,FALSE)/G184</f>
        <v>1.2941176470588236</v>
      </c>
      <c r="I184" s="34">
        <f t="shared" si="76"/>
        <v>8.0882352941176475E-2</v>
      </c>
      <c r="J184" s="35">
        <v>8.44</v>
      </c>
      <c r="K184" s="35">
        <v>0.25</v>
      </c>
      <c r="L184" s="36">
        <f>VLOOKUP($F184,'Packaging Cost'!$A$1:$F$43,6,FALSE)</f>
        <v>2.6</v>
      </c>
      <c r="M184" s="37">
        <f>IF($E184="Snakpak",(($J184*H184)+($K184*'Labor Cost'!$A$2)+L184)+2.25,($J184*H184)+($K184*'Labor Cost'!$A$2)+L184+1)</f>
        <v>21.647352941176472</v>
      </c>
      <c r="N184" s="38">
        <f t="shared" si="61"/>
        <v>27.059191176470591</v>
      </c>
      <c r="O184" s="38">
        <f t="shared" si="62"/>
        <v>28.141558823529415</v>
      </c>
      <c r="P184" s="38">
        <f t="shared" si="63"/>
        <v>29.223926470588239</v>
      </c>
      <c r="Q184" s="38">
        <f t="shared" si="64"/>
        <v>30.306294117647059</v>
      </c>
      <c r="R184" s="38">
        <f t="shared" si="65"/>
        <v>31.388661764705883</v>
      </c>
      <c r="S184" s="38">
        <f t="shared" si="77"/>
        <v>27</v>
      </c>
      <c r="T184" s="38">
        <f t="shared" si="78"/>
        <v>28.25</v>
      </c>
      <c r="U184" s="38">
        <f t="shared" si="79"/>
        <v>29.25</v>
      </c>
      <c r="V184" s="38">
        <f t="shared" si="80"/>
        <v>30.25</v>
      </c>
      <c r="W184" s="38">
        <f t="shared" si="80"/>
        <v>31.5</v>
      </c>
    </row>
    <row r="185" spans="1:23" ht="21" customHeight="1" x14ac:dyDescent="0.2">
      <c r="A185" s="19" t="s">
        <v>68</v>
      </c>
      <c r="B185" s="19" t="s">
        <v>202</v>
      </c>
      <c r="C185" s="32" t="s">
        <v>11</v>
      </c>
      <c r="D185" s="32" t="s">
        <v>393</v>
      </c>
      <c r="E185" s="20" t="s">
        <v>395</v>
      </c>
      <c r="F185" s="20" t="s">
        <v>411</v>
      </c>
      <c r="G185" s="33">
        <v>32</v>
      </c>
      <c r="H185" s="34">
        <f>VLOOKUP($C185,'Raw Cost'!$A$1:$B$483,2,FALSE)/G185</f>
        <v>0.59375</v>
      </c>
      <c r="I185" s="34">
        <f t="shared" si="76"/>
        <v>3.7109375E-2</v>
      </c>
      <c r="J185" s="35">
        <v>6.25</v>
      </c>
      <c r="K185" s="35">
        <v>0.25</v>
      </c>
      <c r="L185" s="36">
        <f>VLOOKUP($F185,'Packaging Cost'!$A$1:$F$43,6,FALSE)</f>
        <v>2.6</v>
      </c>
      <c r="M185" s="37">
        <f>IF($E185="Snakpak",(($J185*H185)+($K185*'Labor Cost'!$A$2)+L185)+2.25,($J185*H185)+($K185*'Labor Cost'!$A$2)+L185+1)</f>
        <v>14.4359375</v>
      </c>
      <c r="N185" s="38">
        <f t="shared" si="61"/>
        <v>18.044921875</v>
      </c>
      <c r="O185" s="38">
        <f t="shared" si="62"/>
        <v>18.766718749999999</v>
      </c>
      <c r="P185" s="38">
        <f t="shared" si="63"/>
        <v>19.488515625000002</v>
      </c>
      <c r="Q185" s="38">
        <f t="shared" si="64"/>
        <v>20.210312499999997</v>
      </c>
      <c r="R185" s="38">
        <f t="shared" si="65"/>
        <v>20.932109375</v>
      </c>
      <c r="S185" s="38">
        <f t="shared" si="77"/>
        <v>18</v>
      </c>
      <c r="T185" s="38">
        <f t="shared" si="78"/>
        <v>18.75</v>
      </c>
      <c r="U185" s="38">
        <f t="shared" si="79"/>
        <v>19.5</v>
      </c>
      <c r="V185" s="38">
        <f t="shared" si="80"/>
        <v>20.25</v>
      </c>
      <c r="W185" s="38">
        <f t="shared" si="80"/>
        <v>21</v>
      </c>
    </row>
    <row r="186" spans="1:23" ht="21" customHeight="1" x14ac:dyDescent="0.2">
      <c r="A186" s="19" t="s">
        <v>465</v>
      </c>
      <c r="B186" s="19" t="s">
        <v>208</v>
      </c>
      <c r="C186" s="32" t="s">
        <v>12</v>
      </c>
      <c r="D186" s="32" t="s">
        <v>393</v>
      </c>
      <c r="E186" s="20" t="s">
        <v>395</v>
      </c>
      <c r="F186" s="20" t="s">
        <v>411</v>
      </c>
      <c r="G186" s="33">
        <v>30</v>
      </c>
      <c r="H186" s="34">
        <f>VLOOKUP($C186,'Raw Cost'!$A$1:$B$483,2,FALSE)/G186</f>
        <v>1.0333333333333334</v>
      </c>
      <c r="I186" s="34">
        <f t="shared" si="76"/>
        <v>6.458333333333334E-2</v>
      </c>
      <c r="J186" s="35">
        <v>6.25</v>
      </c>
      <c r="K186" s="35">
        <v>0.25</v>
      </c>
      <c r="L186" s="36">
        <f>VLOOKUP($F186,'Packaging Cost'!$A$1:$F$43,6,FALSE)</f>
        <v>2.6</v>
      </c>
      <c r="M186" s="37">
        <f>IF($E186="Snakpak",(($J186*H186)+($K186*'Labor Cost'!$A$2)+L186)+2.25,($J186*H186)+($K186*'Labor Cost'!$A$2)+L186+1)</f>
        <v>17.183333333333334</v>
      </c>
      <c r="N186" s="38">
        <f t="shared" si="61"/>
        <v>21.479166666666668</v>
      </c>
      <c r="O186" s="38">
        <f t="shared" si="62"/>
        <v>22.338333333333335</v>
      </c>
      <c r="P186" s="38">
        <f t="shared" si="63"/>
        <v>23.197500000000002</v>
      </c>
      <c r="Q186" s="38">
        <f t="shared" si="64"/>
        <v>24.056666666666665</v>
      </c>
      <c r="R186" s="38">
        <f t="shared" si="65"/>
        <v>24.915833333333332</v>
      </c>
      <c r="S186" s="38">
        <f t="shared" si="77"/>
        <v>21.5</v>
      </c>
      <c r="T186" s="38">
        <f t="shared" si="78"/>
        <v>22.25</v>
      </c>
      <c r="U186" s="38">
        <f t="shared" si="79"/>
        <v>23.25</v>
      </c>
      <c r="V186" s="38">
        <f t="shared" si="80"/>
        <v>24</v>
      </c>
      <c r="W186" s="38">
        <f t="shared" si="80"/>
        <v>25</v>
      </c>
    </row>
    <row r="187" spans="1:23" ht="21" customHeight="1" x14ac:dyDescent="0.2">
      <c r="A187" s="19" t="s">
        <v>528</v>
      </c>
      <c r="B187" s="19" t="s">
        <v>213</v>
      </c>
      <c r="C187" s="32" t="s">
        <v>13</v>
      </c>
      <c r="D187" s="32" t="s">
        <v>393</v>
      </c>
      <c r="E187" s="20" t="s">
        <v>395</v>
      </c>
      <c r="F187" s="20" t="s">
        <v>411</v>
      </c>
      <c r="G187" s="33">
        <v>20</v>
      </c>
      <c r="H187" s="34">
        <f>VLOOKUP($C187,'Raw Cost'!$A$1:$B$483,2,FALSE)/G187</f>
        <v>1.4</v>
      </c>
      <c r="I187" s="34">
        <f t="shared" si="76"/>
        <v>8.7499999999999994E-2</v>
      </c>
      <c r="J187" s="35">
        <v>6.25</v>
      </c>
      <c r="K187" s="35">
        <v>0.25</v>
      </c>
      <c r="L187" s="36">
        <f>VLOOKUP($F187,'Packaging Cost'!$A$1:$F$43,6,FALSE)</f>
        <v>2.6</v>
      </c>
      <c r="M187" s="37">
        <f>IF($E187="Snakpak",(($J187*H187)+($K187*'Labor Cost'!$A$2)+L187)+2.25,($J187*H187)+($K187*'Labor Cost'!$A$2)+L187+1)</f>
        <v>19.475000000000001</v>
      </c>
      <c r="N187" s="38">
        <f t="shared" si="61"/>
        <v>24.34375</v>
      </c>
      <c r="O187" s="38">
        <f t="shared" si="62"/>
        <v>25.317500000000003</v>
      </c>
      <c r="P187" s="38">
        <f t="shared" si="63"/>
        <v>26.291250000000005</v>
      </c>
      <c r="Q187" s="38">
        <f t="shared" si="64"/>
        <v>27.265000000000001</v>
      </c>
      <c r="R187" s="38">
        <f t="shared" si="65"/>
        <v>28.23875</v>
      </c>
      <c r="S187" s="38">
        <f t="shared" si="77"/>
        <v>24.25</v>
      </c>
      <c r="T187" s="38">
        <f t="shared" si="78"/>
        <v>25.25</v>
      </c>
      <c r="U187" s="38">
        <f t="shared" si="79"/>
        <v>26.25</v>
      </c>
      <c r="V187" s="38">
        <f t="shared" si="80"/>
        <v>27.25</v>
      </c>
      <c r="W187" s="38">
        <f t="shared" si="80"/>
        <v>28.25</v>
      </c>
    </row>
    <row r="188" spans="1:23" ht="21" customHeight="1" x14ac:dyDescent="0.2">
      <c r="A188" s="19" t="s">
        <v>529</v>
      </c>
      <c r="B188" s="19" t="s">
        <v>212</v>
      </c>
      <c r="C188" s="32" t="s">
        <v>13</v>
      </c>
      <c r="D188" s="32" t="s">
        <v>393</v>
      </c>
      <c r="E188" s="20" t="s">
        <v>395</v>
      </c>
      <c r="F188" s="20" t="s">
        <v>412</v>
      </c>
      <c r="G188" s="33">
        <v>20</v>
      </c>
      <c r="H188" s="34">
        <f>VLOOKUP($C188,'Raw Cost'!$A$1:$B$483,2,FALSE)/G188</f>
        <v>1.4</v>
      </c>
      <c r="I188" s="34">
        <f t="shared" si="76"/>
        <v>8.7499999999999994E-2</v>
      </c>
      <c r="J188" s="35">
        <v>12.5</v>
      </c>
      <c r="K188" s="35">
        <v>0.25</v>
      </c>
      <c r="L188" s="36">
        <f>VLOOKUP($F188,'Packaging Cost'!$A$1:$F$43,6,FALSE)</f>
        <v>4.3499999999999996</v>
      </c>
      <c r="M188" s="37">
        <f>IF($E188="Snakpak",(($J188*H188)+($K188*'Labor Cost'!$A$2)+L188)+2.25,($J188*H188)+($K188*'Labor Cost'!$A$2)+L188+1)</f>
        <v>29.975000000000001</v>
      </c>
      <c r="N188" s="38">
        <f t="shared" si="61"/>
        <v>37.46875</v>
      </c>
      <c r="O188" s="38">
        <f t="shared" si="62"/>
        <v>38.967500000000001</v>
      </c>
      <c r="P188" s="38">
        <f t="shared" si="63"/>
        <v>40.466250000000002</v>
      </c>
      <c r="Q188" s="38">
        <f t="shared" si="64"/>
        <v>41.964999999999996</v>
      </c>
      <c r="R188" s="38">
        <f t="shared" si="65"/>
        <v>43.463749999999997</v>
      </c>
      <c r="S188" s="38">
        <f t="shared" si="77"/>
        <v>37.5</v>
      </c>
      <c r="T188" s="38">
        <f t="shared" si="78"/>
        <v>39</v>
      </c>
      <c r="U188" s="38">
        <f t="shared" si="79"/>
        <v>40.5</v>
      </c>
      <c r="V188" s="38">
        <f t="shared" si="80"/>
        <v>42</v>
      </c>
      <c r="W188" s="38">
        <f t="shared" si="80"/>
        <v>43.5</v>
      </c>
    </row>
    <row r="189" spans="1:23" ht="21" customHeight="1" x14ac:dyDescent="0.2">
      <c r="A189" s="19" t="s">
        <v>530</v>
      </c>
      <c r="B189" s="19" t="s">
        <v>214</v>
      </c>
      <c r="C189" s="20" t="s">
        <v>13</v>
      </c>
      <c r="D189" s="20" t="s">
        <v>394</v>
      </c>
      <c r="E189" s="20" t="s">
        <v>395</v>
      </c>
      <c r="F189" s="20" t="s">
        <v>411</v>
      </c>
      <c r="G189" s="33">
        <v>20</v>
      </c>
      <c r="H189" s="34">
        <f>VLOOKUP($C189,'Raw Cost'!$A$1:$B$483,2,FALSE)/G189</f>
        <v>1.4</v>
      </c>
      <c r="I189" s="34">
        <f t="shared" si="76"/>
        <v>8.7499999999999994E-2</v>
      </c>
      <c r="J189" s="35">
        <v>6.25</v>
      </c>
      <c r="K189" s="35">
        <v>0.25</v>
      </c>
      <c r="L189" s="36">
        <f>VLOOKUP($F189,'Packaging Cost'!$A$1:$F$43,6,FALSE)</f>
        <v>2.6</v>
      </c>
      <c r="M189" s="37">
        <f>IF($E189="Snakpak",(($J189*H189)+($K189*'Labor Cost'!$A$2)+L189)+2.25,($J189*H189)+($K189*'Labor Cost'!$A$2)+L189+1)</f>
        <v>19.475000000000001</v>
      </c>
      <c r="N189" s="38">
        <f t="shared" si="61"/>
        <v>39.34375</v>
      </c>
      <c r="O189" s="38">
        <f t="shared" si="62"/>
        <v>40.317500000000003</v>
      </c>
      <c r="P189" s="38">
        <f t="shared" si="63"/>
        <v>41.291250000000005</v>
      </c>
      <c r="Q189" s="38">
        <f t="shared" si="64"/>
        <v>42.265000000000001</v>
      </c>
      <c r="R189" s="38">
        <f t="shared" si="65"/>
        <v>43.238749999999996</v>
      </c>
      <c r="S189" s="38">
        <f t="shared" si="77"/>
        <v>39.25</v>
      </c>
      <c r="T189" s="38">
        <f t="shared" si="78"/>
        <v>40.25</v>
      </c>
      <c r="U189" s="38">
        <f t="shared" si="79"/>
        <v>41.25</v>
      </c>
      <c r="V189" s="38">
        <f t="shared" si="80"/>
        <v>42.25</v>
      </c>
      <c r="W189" s="38">
        <f t="shared" si="80"/>
        <v>43.25</v>
      </c>
    </row>
    <row r="190" spans="1:23" ht="21" customHeight="1" x14ac:dyDescent="0.2">
      <c r="A190" s="19" t="s">
        <v>531</v>
      </c>
      <c r="B190" s="19" t="s">
        <v>210</v>
      </c>
      <c r="C190" s="20" t="s">
        <v>11</v>
      </c>
      <c r="D190" s="20" t="s">
        <v>393</v>
      </c>
      <c r="E190" s="20" t="s">
        <v>395</v>
      </c>
      <c r="F190" s="20" t="s">
        <v>411</v>
      </c>
      <c r="G190" s="33">
        <v>32</v>
      </c>
      <c r="H190" s="34">
        <f>VLOOKUP($C190,'Raw Cost'!$A$1:$B$483,2,FALSE)/G190</f>
        <v>0.59375</v>
      </c>
      <c r="I190" s="34">
        <f t="shared" si="76"/>
        <v>3.7109375E-2</v>
      </c>
      <c r="J190" s="35">
        <v>6.25</v>
      </c>
      <c r="K190" s="35">
        <v>0.25</v>
      </c>
      <c r="L190" s="36">
        <f>VLOOKUP($F190,'Packaging Cost'!$A$1:$F$43,6,FALSE)</f>
        <v>2.6</v>
      </c>
      <c r="M190" s="37">
        <f>IF($E190="Snakpak",(($J190*H190)+($K190*'Labor Cost'!$A$2)+L190)+2.25,($J190*H190)+($K190*'Labor Cost'!$A$2)+L190+1)</f>
        <v>14.4359375</v>
      </c>
      <c r="N190" s="38">
        <f t="shared" si="61"/>
        <v>18.044921875</v>
      </c>
      <c r="O190" s="38">
        <f t="shared" si="62"/>
        <v>18.766718749999999</v>
      </c>
      <c r="P190" s="38">
        <f t="shared" si="63"/>
        <v>19.488515625000002</v>
      </c>
      <c r="Q190" s="38">
        <f t="shared" si="64"/>
        <v>20.210312499999997</v>
      </c>
      <c r="R190" s="38">
        <f t="shared" si="65"/>
        <v>20.932109375</v>
      </c>
      <c r="S190" s="38">
        <f t="shared" si="77"/>
        <v>18</v>
      </c>
      <c r="T190" s="38">
        <f t="shared" si="78"/>
        <v>18.75</v>
      </c>
      <c r="U190" s="38">
        <f t="shared" si="79"/>
        <v>19.5</v>
      </c>
      <c r="V190" s="38">
        <f t="shared" si="80"/>
        <v>20.25</v>
      </c>
      <c r="W190" s="38">
        <f t="shared" si="80"/>
        <v>21</v>
      </c>
    </row>
    <row r="191" spans="1:23" ht="21" customHeight="1" x14ac:dyDescent="0.2">
      <c r="A191" s="19" t="s">
        <v>532</v>
      </c>
      <c r="B191" s="19" t="s">
        <v>211</v>
      </c>
      <c r="C191" s="20" t="s">
        <v>11</v>
      </c>
      <c r="D191" s="20" t="s">
        <v>394</v>
      </c>
      <c r="E191" s="20" t="s">
        <v>395</v>
      </c>
      <c r="F191" s="20" t="s">
        <v>411</v>
      </c>
      <c r="G191" s="33">
        <v>32</v>
      </c>
      <c r="H191" s="34">
        <f>VLOOKUP($C191,'Raw Cost'!$A$1:$B$483,2,FALSE)/G191</f>
        <v>0.59375</v>
      </c>
      <c r="I191" s="34">
        <f t="shared" si="76"/>
        <v>3.7109375E-2</v>
      </c>
      <c r="J191" s="35">
        <v>6.25</v>
      </c>
      <c r="K191" s="35">
        <v>0.25</v>
      </c>
      <c r="L191" s="36">
        <f>VLOOKUP($F191,'Packaging Cost'!$A$1:$F$43,6,FALSE)</f>
        <v>2.6</v>
      </c>
      <c r="M191" s="37">
        <f>IF($E191="Snakpak",(($J191*H191)+($K191*'Labor Cost'!$A$2)+L191)+2.25,($J191*H191)+($K191*'Labor Cost'!$A$2)+L191+1)</f>
        <v>14.4359375</v>
      </c>
      <c r="N191" s="38">
        <f t="shared" si="61"/>
        <v>33.044921875</v>
      </c>
      <c r="O191" s="38">
        <f t="shared" si="62"/>
        <v>33.766718749999995</v>
      </c>
      <c r="P191" s="38">
        <f t="shared" si="63"/>
        <v>34.488515625000005</v>
      </c>
      <c r="Q191" s="38">
        <f t="shared" si="64"/>
        <v>35.210312500000001</v>
      </c>
      <c r="R191" s="38">
        <f t="shared" si="65"/>
        <v>35.932109374999996</v>
      </c>
      <c r="S191" s="38">
        <f t="shared" si="77"/>
        <v>33</v>
      </c>
      <c r="T191" s="38">
        <f t="shared" si="78"/>
        <v>33.75</v>
      </c>
      <c r="U191" s="38">
        <f t="shared" si="79"/>
        <v>34.5</v>
      </c>
      <c r="V191" s="38">
        <f t="shared" si="80"/>
        <v>35.25</v>
      </c>
      <c r="W191" s="38">
        <f t="shared" si="80"/>
        <v>36</v>
      </c>
    </row>
    <row r="192" spans="1:23" ht="21" customHeight="1" x14ac:dyDescent="0.2">
      <c r="A192" s="19" t="s">
        <v>533</v>
      </c>
      <c r="B192" s="19" t="s">
        <v>197</v>
      </c>
      <c r="C192" s="32" t="s">
        <v>14</v>
      </c>
      <c r="D192" s="32" t="s">
        <v>393</v>
      </c>
      <c r="E192" s="20" t="s">
        <v>395</v>
      </c>
      <c r="F192" s="20" t="s">
        <v>411</v>
      </c>
      <c r="G192" s="33">
        <v>15</v>
      </c>
      <c r="H192" s="34">
        <f>VLOOKUP($C192,'Raw Cost'!$A$1:$B$483,2,FALSE)/G192</f>
        <v>1.6</v>
      </c>
      <c r="I192" s="34">
        <f t="shared" si="76"/>
        <v>0.1</v>
      </c>
      <c r="J192" s="35">
        <v>6.25</v>
      </c>
      <c r="K192" s="35">
        <v>0.25</v>
      </c>
      <c r="L192" s="36">
        <f>VLOOKUP($F192,'Packaging Cost'!$A$1:$F$43,6,FALSE)</f>
        <v>2.6</v>
      </c>
      <c r="M192" s="37">
        <f>IF($E192="Snakpak",(($J192*H192)+($K192*'Labor Cost'!$A$2)+L192)+2.25,($J192*H192)+($K192*'Labor Cost'!$A$2)+L192+1)</f>
        <v>20.725000000000001</v>
      </c>
      <c r="N192" s="38">
        <f t="shared" si="61"/>
        <v>25.90625</v>
      </c>
      <c r="O192" s="38">
        <f t="shared" si="62"/>
        <v>26.942500000000003</v>
      </c>
      <c r="P192" s="38">
        <f t="shared" si="63"/>
        <v>27.978750000000005</v>
      </c>
      <c r="Q192" s="38">
        <f t="shared" si="64"/>
        <v>29.015000000000001</v>
      </c>
      <c r="R192" s="38">
        <f t="shared" si="65"/>
        <v>30.05125</v>
      </c>
      <c r="S192" s="38">
        <f t="shared" si="77"/>
        <v>26</v>
      </c>
      <c r="T192" s="38">
        <f t="shared" si="78"/>
        <v>27</v>
      </c>
      <c r="U192" s="38">
        <f t="shared" si="79"/>
        <v>28</v>
      </c>
      <c r="V192" s="38">
        <f t="shared" si="80"/>
        <v>29</v>
      </c>
      <c r="W192" s="38">
        <f t="shared" si="80"/>
        <v>30</v>
      </c>
    </row>
    <row r="193" spans="1:23" ht="21" customHeight="1" x14ac:dyDescent="0.2">
      <c r="A193" s="19" t="s">
        <v>534</v>
      </c>
      <c r="B193" s="19" t="s">
        <v>222</v>
      </c>
      <c r="C193" s="32" t="s">
        <v>14</v>
      </c>
      <c r="D193" s="32" t="s">
        <v>394</v>
      </c>
      <c r="E193" s="20" t="s">
        <v>395</v>
      </c>
      <c r="F193" s="20" t="s">
        <v>411</v>
      </c>
      <c r="G193" s="33">
        <v>15</v>
      </c>
      <c r="H193" s="34">
        <f>VLOOKUP($C193,'Raw Cost'!$A$1:$B$483,2,FALSE)/G193</f>
        <v>1.6</v>
      </c>
      <c r="I193" s="34">
        <f t="shared" si="76"/>
        <v>0.1</v>
      </c>
      <c r="J193" s="35">
        <v>6.25</v>
      </c>
      <c r="K193" s="35">
        <v>0.28000000000000003</v>
      </c>
      <c r="L193" s="36">
        <f>VLOOKUP($F193,'Packaging Cost'!$A$1:$F$43,6,FALSE)</f>
        <v>2.6</v>
      </c>
      <c r="M193" s="37">
        <f>IF($E193="Snakpak",(($J193*H193)+($K193*'Labor Cost'!$A$2)+L193)+2.25,($J193*H193)+($K193*'Labor Cost'!$A$2)+L193+1)</f>
        <v>21.430000000000003</v>
      </c>
      <c r="N193" s="38">
        <f t="shared" si="61"/>
        <v>41.787500000000009</v>
      </c>
      <c r="O193" s="38">
        <f t="shared" si="62"/>
        <v>42.859000000000009</v>
      </c>
      <c r="P193" s="38">
        <f t="shared" si="63"/>
        <v>43.930500000000009</v>
      </c>
      <c r="Q193" s="38">
        <f t="shared" si="64"/>
        <v>45.002000000000002</v>
      </c>
      <c r="R193" s="38">
        <f t="shared" si="65"/>
        <v>46.073500000000003</v>
      </c>
      <c r="S193" s="38">
        <f t="shared" si="77"/>
        <v>41.75</v>
      </c>
      <c r="T193" s="38">
        <f t="shared" si="78"/>
        <v>42.75</v>
      </c>
      <c r="U193" s="38">
        <f t="shared" si="79"/>
        <v>44</v>
      </c>
      <c r="V193" s="38">
        <f t="shared" si="80"/>
        <v>45</v>
      </c>
      <c r="W193" s="38">
        <f t="shared" si="80"/>
        <v>46</v>
      </c>
    </row>
    <row r="194" spans="1:23" ht="21" customHeight="1" x14ac:dyDescent="0.2">
      <c r="A194" s="19" t="s">
        <v>1065</v>
      </c>
      <c r="B194" s="19" t="s">
        <v>197</v>
      </c>
      <c r="C194" s="32" t="s">
        <v>14</v>
      </c>
      <c r="D194" s="32" t="s">
        <v>393</v>
      </c>
      <c r="E194" s="20" t="s">
        <v>395</v>
      </c>
      <c r="F194" s="20" t="s">
        <v>411</v>
      </c>
      <c r="G194" s="33">
        <v>15</v>
      </c>
      <c r="H194" s="34">
        <f>VLOOKUP($C194,'Raw Cost'!$A$1:$B$483,2,FALSE)/G194</f>
        <v>1.6</v>
      </c>
      <c r="I194" s="34">
        <f t="shared" ref="I194" si="83">H194/16</f>
        <v>0.1</v>
      </c>
      <c r="J194" s="35">
        <v>12.5</v>
      </c>
      <c r="K194" s="35">
        <v>0.25</v>
      </c>
      <c r="L194" s="36">
        <f>VLOOKUP($F194,'Packaging Cost'!$A$1:$F$43,6,FALSE)</f>
        <v>2.6</v>
      </c>
      <c r="M194" s="37">
        <f>IF($E194="Snakpak",(($J194*H194)+($K194*'Labor Cost'!$A$2)+L194)+2.25,($J194*H194)+($K194*'Labor Cost'!$A$2)+L194+1)</f>
        <v>30.725000000000001</v>
      </c>
      <c r="N194" s="38">
        <f t="shared" si="61"/>
        <v>38.40625</v>
      </c>
      <c r="O194" s="38">
        <f t="shared" si="62"/>
        <v>39.942500000000003</v>
      </c>
      <c r="P194" s="38">
        <f t="shared" si="63"/>
        <v>41.478750000000005</v>
      </c>
      <c r="Q194" s="38">
        <f t="shared" si="64"/>
        <v>43.015000000000001</v>
      </c>
      <c r="R194" s="38">
        <f t="shared" si="65"/>
        <v>44.551250000000003</v>
      </c>
      <c r="S194" s="38">
        <f t="shared" si="77"/>
        <v>38.5</v>
      </c>
      <c r="T194" s="38">
        <f t="shared" si="78"/>
        <v>40</v>
      </c>
      <c r="U194" s="38">
        <f t="shared" si="79"/>
        <v>41.5</v>
      </c>
      <c r="V194" s="38">
        <f t="shared" ref="V194" si="84">MROUND(Q194,0.25)</f>
        <v>43</v>
      </c>
      <c r="W194" s="38">
        <f t="shared" si="80"/>
        <v>44.5</v>
      </c>
    </row>
    <row r="195" spans="1:23" ht="21" customHeight="1" x14ac:dyDescent="0.2">
      <c r="A195" s="19" t="s">
        <v>535</v>
      </c>
      <c r="B195" s="19" t="s">
        <v>217</v>
      </c>
      <c r="C195" s="32" t="s">
        <v>15</v>
      </c>
      <c r="D195" s="32" t="s">
        <v>393</v>
      </c>
      <c r="E195" s="20" t="s">
        <v>395</v>
      </c>
      <c r="F195" s="20" t="s">
        <v>411</v>
      </c>
      <c r="G195" s="33">
        <v>32</v>
      </c>
      <c r="H195" s="34">
        <f>VLOOKUP($C195,'Raw Cost'!$A$1:$B$483,2,FALSE)/G195</f>
        <v>0.75</v>
      </c>
      <c r="I195" s="34">
        <f t="shared" si="76"/>
        <v>4.6875E-2</v>
      </c>
      <c r="J195" s="35">
        <v>6.25</v>
      </c>
      <c r="K195" s="35">
        <v>0.27</v>
      </c>
      <c r="L195" s="36">
        <f>VLOOKUP($F195,'Packaging Cost'!$A$1:$F$43,6,FALSE)</f>
        <v>2.6</v>
      </c>
      <c r="M195" s="37">
        <f>IF($E195="Snakpak",(($J195*H195)+($K195*'Labor Cost'!$A$2)+L195)+2.25,($J195*H195)+($K195*'Labor Cost'!$A$2)+L195+1)</f>
        <v>15.8825</v>
      </c>
      <c r="N195" s="38">
        <f t="shared" ref="N195:N259" si="85">IF($D195="No",$M195*1.25,($M195*1.25)+15)</f>
        <v>19.853124999999999</v>
      </c>
      <c r="O195" s="38">
        <f t="shared" ref="O195:O259" si="86">IF($D195="No",$M195*1.3,($M195*1.3)+15)</f>
        <v>20.64725</v>
      </c>
      <c r="P195" s="38">
        <f t="shared" ref="P195:P259" si="87">IF($D195="No",$M195*1.35,($M195*1.35)+15)</f>
        <v>21.441375000000001</v>
      </c>
      <c r="Q195" s="38">
        <f t="shared" ref="Q195:Q259" si="88">IF($D195="No",$M195*1.4,($M195*1.4)+15)</f>
        <v>22.235499999999998</v>
      </c>
      <c r="R195" s="38">
        <f t="shared" ref="R195:R259" si="89">IF($D195="No",$M195*1.45,($M195*1.45)+15)</f>
        <v>23.029624999999999</v>
      </c>
      <c r="S195" s="38">
        <f t="shared" si="77"/>
        <v>19.75</v>
      </c>
      <c r="T195" s="38">
        <f t="shared" si="78"/>
        <v>20.75</v>
      </c>
      <c r="U195" s="38">
        <f t="shared" si="79"/>
        <v>21.5</v>
      </c>
      <c r="V195" s="38">
        <f t="shared" si="80"/>
        <v>22.25</v>
      </c>
      <c r="W195" s="38">
        <f t="shared" si="80"/>
        <v>23</v>
      </c>
    </row>
    <row r="196" spans="1:23" ht="21" customHeight="1" x14ac:dyDescent="0.2">
      <c r="A196" s="19" t="s">
        <v>536</v>
      </c>
      <c r="B196" s="19" t="s">
        <v>218</v>
      </c>
      <c r="C196" s="20" t="s">
        <v>15</v>
      </c>
      <c r="D196" s="20" t="s">
        <v>394</v>
      </c>
      <c r="E196" s="20" t="s">
        <v>395</v>
      </c>
      <c r="F196" s="20" t="s">
        <v>411</v>
      </c>
      <c r="G196" s="33">
        <v>32</v>
      </c>
      <c r="H196" s="34">
        <f>VLOOKUP($C196,'Raw Cost'!$A$1:$B$483,2,FALSE)/G196</f>
        <v>0.75</v>
      </c>
      <c r="I196" s="34">
        <f t="shared" si="76"/>
        <v>4.6875E-2</v>
      </c>
      <c r="J196" s="35">
        <v>6.25</v>
      </c>
      <c r="K196" s="35">
        <v>0.3</v>
      </c>
      <c r="L196" s="36">
        <f>VLOOKUP($F196,'Packaging Cost'!$A$1:$F$43,6,FALSE)</f>
        <v>2.6</v>
      </c>
      <c r="M196" s="37">
        <f>IF($E196="Snakpak",(($J196*H196)+($K196*'Labor Cost'!$A$2)+L196)+2.25,($J196*H196)+($K196*'Labor Cost'!$A$2)+L196+1)</f>
        <v>16.587499999999999</v>
      </c>
      <c r="N196" s="38">
        <f t="shared" si="85"/>
        <v>35.734375</v>
      </c>
      <c r="O196" s="38">
        <f t="shared" si="86"/>
        <v>36.563749999999999</v>
      </c>
      <c r="P196" s="38">
        <f t="shared" si="87"/>
        <v>37.393124999999998</v>
      </c>
      <c r="Q196" s="38">
        <f t="shared" si="88"/>
        <v>38.222499999999997</v>
      </c>
      <c r="R196" s="38">
        <f t="shared" si="89"/>
        <v>39.051874999999995</v>
      </c>
      <c r="S196" s="38">
        <f t="shared" si="77"/>
        <v>35.75</v>
      </c>
      <c r="T196" s="38">
        <f t="shared" si="78"/>
        <v>36.5</v>
      </c>
      <c r="U196" s="38">
        <f t="shared" si="79"/>
        <v>37.5</v>
      </c>
      <c r="V196" s="38">
        <f t="shared" si="80"/>
        <v>38.25</v>
      </c>
      <c r="W196" s="38">
        <f t="shared" si="80"/>
        <v>39</v>
      </c>
    </row>
    <row r="197" spans="1:23" ht="21" customHeight="1" x14ac:dyDescent="0.2">
      <c r="A197" s="19" t="s">
        <v>1066</v>
      </c>
      <c r="B197" s="19" t="s">
        <v>217</v>
      </c>
      <c r="C197" s="32" t="s">
        <v>15</v>
      </c>
      <c r="D197" s="32" t="s">
        <v>393</v>
      </c>
      <c r="E197" s="20" t="s">
        <v>395</v>
      </c>
      <c r="F197" s="20" t="s">
        <v>411</v>
      </c>
      <c r="G197" s="33">
        <v>32</v>
      </c>
      <c r="H197" s="34">
        <f>VLOOKUP($C197,'Raw Cost'!$A$1:$B$483,2,FALSE)/G197</f>
        <v>0.75</v>
      </c>
      <c r="I197" s="34">
        <f t="shared" ref="I197" si="90">H197/16</f>
        <v>4.6875E-2</v>
      </c>
      <c r="J197" s="35">
        <v>12.5</v>
      </c>
      <c r="K197" s="35">
        <v>0.27</v>
      </c>
      <c r="L197" s="36">
        <f>VLOOKUP($F197,'Packaging Cost'!$A$1:$F$43,6,FALSE)</f>
        <v>2.6</v>
      </c>
      <c r="M197" s="37">
        <f>IF($E197="Snakpak",(($J197*H197)+($K197*'Labor Cost'!$A$2)+L197)+2.25,($J197*H197)+($K197*'Labor Cost'!$A$2)+L197+1)</f>
        <v>20.57</v>
      </c>
      <c r="N197" s="38">
        <f t="shared" si="85"/>
        <v>25.712499999999999</v>
      </c>
      <c r="O197" s="38">
        <f t="shared" si="86"/>
        <v>26.741</v>
      </c>
      <c r="P197" s="38">
        <f t="shared" si="87"/>
        <v>27.769500000000001</v>
      </c>
      <c r="Q197" s="38">
        <f t="shared" si="88"/>
        <v>28.797999999999998</v>
      </c>
      <c r="R197" s="38">
        <f t="shared" si="89"/>
        <v>29.826499999999999</v>
      </c>
      <c r="S197" s="38">
        <f t="shared" si="77"/>
        <v>25.75</v>
      </c>
      <c r="T197" s="38">
        <f t="shared" si="78"/>
        <v>26.75</v>
      </c>
      <c r="U197" s="38">
        <f t="shared" si="79"/>
        <v>27.75</v>
      </c>
      <c r="V197" s="38">
        <f t="shared" ref="V197" si="91">MROUND(Q197,0.25)</f>
        <v>28.75</v>
      </c>
      <c r="W197" s="38">
        <f t="shared" si="80"/>
        <v>29.75</v>
      </c>
    </row>
    <row r="198" spans="1:23" ht="21" customHeight="1" x14ac:dyDescent="0.2">
      <c r="A198" s="19" t="s">
        <v>75</v>
      </c>
      <c r="B198" s="19" t="s">
        <v>228</v>
      </c>
      <c r="C198" s="32" t="s">
        <v>45</v>
      </c>
      <c r="D198" s="32" t="s">
        <v>393</v>
      </c>
      <c r="E198" s="20" t="s">
        <v>395</v>
      </c>
      <c r="F198" s="20" t="s">
        <v>411</v>
      </c>
      <c r="G198" s="33">
        <v>9</v>
      </c>
      <c r="H198" s="34">
        <f>VLOOKUP($C198,'Raw Cost'!$A$1:$B$483,2,FALSE)/G198</f>
        <v>2</v>
      </c>
      <c r="I198" s="34">
        <f t="shared" si="76"/>
        <v>0.125</v>
      </c>
      <c r="J198" s="35">
        <v>6.25</v>
      </c>
      <c r="K198" s="35">
        <v>0.25</v>
      </c>
      <c r="L198" s="36">
        <f>VLOOKUP($F198,'Packaging Cost'!$A$1:$F$43,6,FALSE)</f>
        <v>2.6</v>
      </c>
      <c r="M198" s="37">
        <f>IF($E198="Snakpak",(($J198*H198)+($K198*'Labor Cost'!$A$2)+L198)+2.25,($J198*H198)+($K198*'Labor Cost'!$A$2)+L198+1)</f>
        <v>23.225000000000001</v>
      </c>
      <c r="N198" s="38">
        <f t="shared" si="85"/>
        <v>29.03125</v>
      </c>
      <c r="O198" s="38">
        <f t="shared" si="86"/>
        <v>30.192500000000003</v>
      </c>
      <c r="P198" s="38">
        <f t="shared" si="87"/>
        <v>31.353750000000005</v>
      </c>
      <c r="Q198" s="38">
        <f t="shared" si="88"/>
        <v>32.515000000000001</v>
      </c>
      <c r="R198" s="38">
        <f t="shared" si="89"/>
        <v>33.676250000000003</v>
      </c>
      <c r="S198" s="38">
        <f t="shared" si="77"/>
        <v>29</v>
      </c>
      <c r="T198" s="38">
        <f t="shared" si="78"/>
        <v>30.25</v>
      </c>
      <c r="U198" s="38">
        <f t="shared" si="79"/>
        <v>31.25</v>
      </c>
      <c r="V198" s="38">
        <f t="shared" si="80"/>
        <v>32.5</v>
      </c>
      <c r="W198" s="38">
        <f t="shared" si="80"/>
        <v>33.75</v>
      </c>
    </row>
    <row r="199" spans="1:23" ht="21" customHeight="1" x14ac:dyDescent="0.2">
      <c r="A199" s="21" t="s">
        <v>76</v>
      </c>
      <c r="B199" s="19" t="s">
        <v>229</v>
      </c>
      <c r="C199" s="20" t="s">
        <v>45</v>
      </c>
      <c r="D199" s="20" t="s">
        <v>394</v>
      </c>
      <c r="E199" s="20" t="s">
        <v>395</v>
      </c>
      <c r="F199" s="20" t="s">
        <v>411</v>
      </c>
      <c r="G199" s="33">
        <v>9</v>
      </c>
      <c r="H199" s="34">
        <f>VLOOKUP($C199,'Raw Cost'!$A$1:$B$483,2,FALSE)/G199</f>
        <v>2</v>
      </c>
      <c r="I199" s="34">
        <f t="shared" si="76"/>
        <v>0.125</v>
      </c>
      <c r="J199" s="35">
        <v>6.25</v>
      </c>
      <c r="K199" s="35">
        <v>0.2</v>
      </c>
      <c r="L199" s="36">
        <f>VLOOKUP($F199,'Packaging Cost'!$A$1:$F$43,6,FALSE)</f>
        <v>2.6</v>
      </c>
      <c r="M199" s="37">
        <f>IF($E199="Snakpak",(($J199*H199)+($K199*'Labor Cost'!$A$2)+L199)+2.25,($J199*H199)+($K199*'Labor Cost'!$A$2)+L199+1)</f>
        <v>22.05</v>
      </c>
      <c r="N199" s="38">
        <f t="shared" si="85"/>
        <v>42.5625</v>
      </c>
      <c r="O199" s="38">
        <f t="shared" si="86"/>
        <v>43.665000000000006</v>
      </c>
      <c r="P199" s="38">
        <f t="shared" si="87"/>
        <v>44.767499999999998</v>
      </c>
      <c r="Q199" s="38">
        <f t="shared" si="88"/>
        <v>45.87</v>
      </c>
      <c r="R199" s="38">
        <f t="shared" si="89"/>
        <v>46.972499999999997</v>
      </c>
      <c r="S199" s="38">
        <f t="shared" si="77"/>
        <v>42.5</v>
      </c>
      <c r="T199" s="38">
        <f t="shared" si="78"/>
        <v>43.75</v>
      </c>
      <c r="U199" s="38">
        <f t="shared" si="79"/>
        <v>44.75</v>
      </c>
      <c r="V199" s="38">
        <f t="shared" si="80"/>
        <v>45.75</v>
      </c>
      <c r="W199" s="38">
        <f t="shared" si="80"/>
        <v>47</v>
      </c>
    </row>
    <row r="200" spans="1:23" ht="21" customHeight="1" x14ac:dyDescent="0.2">
      <c r="A200" s="19" t="s">
        <v>554</v>
      </c>
      <c r="B200" s="19" t="s">
        <v>230</v>
      </c>
      <c r="C200" s="32" t="s">
        <v>454</v>
      </c>
      <c r="D200" s="32" t="s">
        <v>393</v>
      </c>
      <c r="E200" s="20" t="s">
        <v>395</v>
      </c>
      <c r="F200" s="20" t="s">
        <v>411</v>
      </c>
      <c r="G200" s="33">
        <v>40</v>
      </c>
      <c r="H200" s="34">
        <f>VLOOKUP($C200,'Raw Cost'!$A$1:$B$483,2,FALSE)/G200</f>
        <v>0.5</v>
      </c>
      <c r="I200" s="34">
        <f t="shared" si="76"/>
        <v>3.125E-2</v>
      </c>
      <c r="J200" s="35">
        <v>6.25</v>
      </c>
      <c r="K200" s="35">
        <v>0.25</v>
      </c>
      <c r="L200" s="36">
        <f>VLOOKUP($F200,'Packaging Cost'!$A$1:$F$43,6,FALSE)</f>
        <v>2.6</v>
      </c>
      <c r="M200" s="37">
        <f>IF($E200="Snakpak",(($J200*H200)+($K200*'Labor Cost'!$A$2)+L200)+2.25,($J200*H200)+($K200*'Labor Cost'!$A$2)+L200+1)</f>
        <v>13.85</v>
      </c>
      <c r="N200" s="38">
        <f t="shared" si="85"/>
        <v>17.3125</v>
      </c>
      <c r="O200" s="38">
        <f t="shared" si="86"/>
        <v>18.004999999999999</v>
      </c>
      <c r="P200" s="38">
        <f t="shared" si="87"/>
        <v>18.697500000000002</v>
      </c>
      <c r="Q200" s="38">
        <f t="shared" si="88"/>
        <v>19.389999999999997</v>
      </c>
      <c r="R200" s="38">
        <f t="shared" si="89"/>
        <v>20.0825</v>
      </c>
      <c r="S200" s="38">
        <f t="shared" si="77"/>
        <v>17.25</v>
      </c>
      <c r="T200" s="38">
        <f t="shared" si="78"/>
        <v>18</v>
      </c>
      <c r="U200" s="38">
        <f t="shared" si="79"/>
        <v>18.75</v>
      </c>
      <c r="V200" s="38">
        <f t="shared" si="80"/>
        <v>19.5</v>
      </c>
      <c r="W200" s="38">
        <f t="shared" si="80"/>
        <v>20</v>
      </c>
    </row>
    <row r="201" spans="1:23" ht="21" customHeight="1" x14ac:dyDescent="0.2">
      <c r="A201" s="19" t="s">
        <v>553</v>
      </c>
      <c r="B201" s="19" t="s">
        <v>231</v>
      </c>
      <c r="C201" s="20" t="s">
        <v>454</v>
      </c>
      <c r="D201" s="20" t="s">
        <v>394</v>
      </c>
      <c r="E201" s="20" t="s">
        <v>395</v>
      </c>
      <c r="F201" s="20" t="s">
        <v>411</v>
      </c>
      <c r="G201" s="33">
        <v>40</v>
      </c>
      <c r="H201" s="34">
        <f>VLOOKUP($C201,'Raw Cost'!$A$1:$B$483,2,FALSE)/G201</f>
        <v>0.5</v>
      </c>
      <c r="I201" s="34">
        <f t="shared" si="76"/>
        <v>3.125E-2</v>
      </c>
      <c r="J201" s="35">
        <v>6.25</v>
      </c>
      <c r="K201" s="35">
        <v>0.25</v>
      </c>
      <c r="L201" s="36">
        <f>VLOOKUP($F201,'Packaging Cost'!$A$1:$F$43,6,FALSE)</f>
        <v>2.6</v>
      </c>
      <c r="M201" s="37">
        <f>IF($E201="Snakpak",(($J201*H201)+($K201*'Labor Cost'!$A$2)+L201)+2.25,($J201*H201)+($K201*'Labor Cost'!$A$2)+L201+1)</f>
        <v>13.85</v>
      </c>
      <c r="N201" s="38">
        <f t="shared" si="85"/>
        <v>32.3125</v>
      </c>
      <c r="O201" s="38">
        <f t="shared" si="86"/>
        <v>33.004999999999995</v>
      </c>
      <c r="P201" s="38">
        <f t="shared" si="87"/>
        <v>33.697500000000005</v>
      </c>
      <c r="Q201" s="38">
        <f t="shared" si="88"/>
        <v>34.39</v>
      </c>
      <c r="R201" s="38">
        <f t="shared" si="89"/>
        <v>35.082499999999996</v>
      </c>
      <c r="S201" s="38">
        <f t="shared" ref="S201:S232" si="92">MROUND(N201,0.25)</f>
        <v>32.25</v>
      </c>
      <c r="T201" s="38">
        <f t="shared" ref="T201:T232" si="93">MROUND(O201,0.25)</f>
        <v>33</v>
      </c>
      <c r="U201" s="38">
        <f t="shared" ref="U201:U232" si="94">MROUND(P201,0.25)</f>
        <v>33.75</v>
      </c>
      <c r="V201" s="38">
        <f t="shared" si="80"/>
        <v>34.5</v>
      </c>
      <c r="W201" s="38">
        <f t="shared" si="80"/>
        <v>35</v>
      </c>
    </row>
    <row r="202" spans="1:23" ht="21" customHeight="1" x14ac:dyDescent="0.2">
      <c r="A202" s="19" t="s">
        <v>1068</v>
      </c>
      <c r="B202" s="19" t="s">
        <v>230</v>
      </c>
      <c r="C202" s="32" t="s">
        <v>454</v>
      </c>
      <c r="D202" s="32" t="s">
        <v>393</v>
      </c>
      <c r="E202" s="20" t="s">
        <v>395</v>
      </c>
      <c r="F202" s="20" t="s">
        <v>411</v>
      </c>
      <c r="G202" s="33">
        <v>40</v>
      </c>
      <c r="H202" s="34">
        <f>VLOOKUP($C202,'Raw Cost'!$A$1:$B$483,2,FALSE)/G202</f>
        <v>0.5</v>
      </c>
      <c r="I202" s="34">
        <f t="shared" ref="I202" si="95">H202/16</f>
        <v>3.125E-2</v>
      </c>
      <c r="J202" s="35">
        <v>12.5</v>
      </c>
      <c r="K202" s="35">
        <v>0.27</v>
      </c>
      <c r="L202" s="36">
        <f>VLOOKUP($F202,'Packaging Cost'!$A$1:$F$43,6,FALSE)</f>
        <v>2.6</v>
      </c>
      <c r="M202" s="37">
        <f>IF($E202="Snakpak",(($J202*H202)+($K202*'Labor Cost'!$A$2)+L202)+2.25,($J202*H202)+($K202*'Labor Cost'!$A$2)+L202+1)</f>
        <v>17.445</v>
      </c>
      <c r="N202" s="38">
        <f t="shared" si="85"/>
        <v>21.806249999999999</v>
      </c>
      <c r="O202" s="38">
        <f t="shared" si="86"/>
        <v>22.6785</v>
      </c>
      <c r="P202" s="38">
        <f t="shared" si="87"/>
        <v>23.550750000000001</v>
      </c>
      <c r="Q202" s="38">
        <f t="shared" si="88"/>
        <v>24.422999999999998</v>
      </c>
      <c r="R202" s="38">
        <f t="shared" si="89"/>
        <v>25.295249999999999</v>
      </c>
      <c r="S202" s="38">
        <f t="shared" si="92"/>
        <v>21.75</v>
      </c>
      <c r="T202" s="38">
        <f t="shared" si="93"/>
        <v>22.75</v>
      </c>
      <c r="U202" s="38">
        <f t="shared" si="94"/>
        <v>23.5</v>
      </c>
      <c r="V202" s="38">
        <f t="shared" ref="V202" si="96">MROUND(Q202,0.25)</f>
        <v>24.5</v>
      </c>
      <c r="W202" s="38">
        <f t="shared" si="80"/>
        <v>25.25</v>
      </c>
    </row>
    <row r="203" spans="1:23" ht="21" customHeight="1" x14ac:dyDescent="0.2">
      <c r="A203" s="19" t="s">
        <v>556</v>
      </c>
      <c r="B203" s="19" t="s">
        <v>442</v>
      </c>
      <c r="C203" s="20" t="s">
        <v>441</v>
      </c>
      <c r="D203" s="20" t="s">
        <v>393</v>
      </c>
      <c r="E203" s="20" t="s">
        <v>395</v>
      </c>
      <c r="F203" s="20" t="s">
        <v>411</v>
      </c>
      <c r="G203" s="33">
        <v>5</v>
      </c>
      <c r="H203" s="34">
        <f>VLOOKUP($C203,'Raw Cost'!$A$1:$B$483,2,FALSE)/G203</f>
        <v>14</v>
      </c>
      <c r="I203" s="34">
        <f t="shared" si="76"/>
        <v>0.875</v>
      </c>
      <c r="J203" s="35">
        <v>6.25</v>
      </c>
      <c r="K203" s="35">
        <v>0.25</v>
      </c>
      <c r="L203" s="36">
        <f>VLOOKUP($F203,'Packaging Cost'!$A$1:$F$43,6,FALSE)</f>
        <v>2.6</v>
      </c>
      <c r="M203" s="37">
        <f>IF($E203="Snakpak",(($J203*H203)+($K203*'Labor Cost'!$A$2)+L203)+2.25,($J203*H203)+($K203*'Labor Cost'!$A$2)+L203+1)</f>
        <v>98.224999999999994</v>
      </c>
      <c r="N203" s="38">
        <f t="shared" si="85"/>
        <v>122.78125</v>
      </c>
      <c r="O203" s="38">
        <f t="shared" si="86"/>
        <v>127.6925</v>
      </c>
      <c r="P203" s="38">
        <f t="shared" si="87"/>
        <v>132.60374999999999</v>
      </c>
      <c r="Q203" s="38">
        <f t="shared" si="88"/>
        <v>137.51499999999999</v>
      </c>
      <c r="R203" s="38">
        <f t="shared" si="89"/>
        <v>142.42624999999998</v>
      </c>
      <c r="S203" s="38">
        <f t="shared" si="92"/>
        <v>122.75</v>
      </c>
      <c r="T203" s="38">
        <f t="shared" si="93"/>
        <v>127.75</v>
      </c>
      <c r="U203" s="38">
        <f t="shared" si="94"/>
        <v>132.5</v>
      </c>
      <c r="V203" s="38">
        <f t="shared" si="80"/>
        <v>137.5</v>
      </c>
      <c r="W203" s="38">
        <f t="shared" si="80"/>
        <v>142.5</v>
      </c>
    </row>
    <row r="204" spans="1:23" ht="21" customHeight="1" x14ac:dyDescent="0.2">
      <c r="A204" s="19" t="s">
        <v>526</v>
      </c>
      <c r="B204" s="19" t="s">
        <v>249</v>
      </c>
      <c r="C204" s="32" t="s">
        <v>18</v>
      </c>
      <c r="D204" s="32" t="s">
        <v>393</v>
      </c>
      <c r="E204" s="20" t="s">
        <v>395</v>
      </c>
      <c r="F204" s="20" t="s">
        <v>412</v>
      </c>
      <c r="G204" s="33">
        <v>18</v>
      </c>
      <c r="H204" s="34">
        <f>VLOOKUP($C204,'Raw Cost'!$A$1:$B$483,2,FALSE)/G204</f>
        <v>1.8888888888888888</v>
      </c>
      <c r="I204" s="34">
        <f t="shared" si="76"/>
        <v>0.11805555555555555</v>
      </c>
      <c r="J204" s="35">
        <v>18.75</v>
      </c>
      <c r="K204" s="35">
        <v>0.3</v>
      </c>
      <c r="L204" s="36">
        <f>VLOOKUP($F204,'Packaging Cost'!$A$1:$F$43,6,FALSE)</f>
        <v>4.3499999999999996</v>
      </c>
      <c r="M204" s="37">
        <f>IF($E204="Snakpak",(($J204*H204)+($K204*'Labor Cost'!$A$2)+L204)+2.25,($J204*H204)+($K204*'Labor Cost'!$A$2)+L204+1)</f>
        <v>49.066666666666663</v>
      </c>
      <c r="N204" s="38">
        <f t="shared" si="85"/>
        <v>61.333333333333329</v>
      </c>
      <c r="O204" s="38">
        <f t="shared" si="86"/>
        <v>63.786666666666662</v>
      </c>
      <c r="P204" s="38">
        <f t="shared" si="87"/>
        <v>66.239999999999995</v>
      </c>
      <c r="Q204" s="38">
        <f t="shared" si="88"/>
        <v>68.693333333333328</v>
      </c>
      <c r="R204" s="38">
        <f t="shared" si="89"/>
        <v>71.146666666666661</v>
      </c>
      <c r="S204" s="38">
        <f t="shared" si="92"/>
        <v>61.25</v>
      </c>
      <c r="T204" s="38">
        <f t="shared" si="93"/>
        <v>63.75</v>
      </c>
      <c r="U204" s="38">
        <f t="shared" si="94"/>
        <v>66.25</v>
      </c>
      <c r="V204" s="38">
        <f t="shared" si="80"/>
        <v>68.75</v>
      </c>
      <c r="W204" s="38">
        <f t="shared" si="80"/>
        <v>71.25</v>
      </c>
    </row>
    <row r="205" spans="1:23" ht="21" customHeight="1" x14ac:dyDescent="0.2">
      <c r="A205" s="19" t="s">
        <v>525</v>
      </c>
      <c r="B205" s="19" t="s">
        <v>250</v>
      </c>
      <c r="C205" s="32" t="s">
        <v>18</v>
      </c>
      <c r="D205" s="32" t="s">
        <v>393</v>
      </c>
      <c r="E205" s="20" t="s">
        <v>395</v>
      </c>
      <c r="F205" s="20" t="s">
        <v>411</v>
      </c>
      <c r="G205" s="33">
        <v>18</v>
      </c>
      <c r="H205" s="34">
        <f>VLOOKUP($C205,'Raw Cost'!$A$1:$B$483,2,FALSE)/G205</f>
        <v>1.8888888888888888</v>
      </c>
      <c r="I205" s="34">
        <f t="shared" ref="I205:I243" si="97">H205/16</f>
        <v>0.11805555555555555</v>
      </c>
      <c r="J205" s="35">
        <v>9.3800000000000008</v>
      </c>
      <c r="K205" s="35">
        <v>0.25</v>
      </c>
      <c r="L205" s="36">
        <f>VLOOKUP($F205,'Packaging Cost'!$A$1:$F$43,6,FALSE)</f>
        <v>2.6</v>
      </c>
      <c r="M205" s="37">
        <f>IF($E205="Snakpak",(($J205*H205)+($K205*'Labor Cost'!$A$2)+L205)+2.25,($J205*H205)+($K205*'Labor Cost'!$A$2)+L205+1)</f>
        <v>28.442777777777781</v>
      </c>
      <c r="N205" s="38">
        <f t="shared" si="85"/>
        <v>35.553472222222226</v>
      </c>
      <c r="O205" s="38">
        <f t="shared" si="86"/>
        <v>36.975611111111114</v>
      </c>
      <c r="P205" s="38">
        <f t="shared" si="87"/>
        <v>38.397750000000009</v>
      </c>
      <c r="Q205" s="38">
        <f t="shared" si="88"/>
        <v>39.81988888888889</v>
      </c>
      <c r="R205" s="38">
        <f t="shared" si="89"/>
        <v>41.242027777777778</v>
      </c>
      <c r="S205" s="38">
        <f t="shared" si="92"/>
        <v>35.5</v>
      </c>
      <c r="T205" s="38">
        <f t="shared" si="93"/>
        <v>37</v>
      </c>
      <c r="U205" s="38">
        <f t="shared" si="94"/>
        <v>38.5</v>
      </c>
      <c r="V205" s="38">
        <f t="shared" ref="V205:W246" si="98">MROUND(Q205,0.25)</f>
        <v>39.75</v>
      </c>
      <c r="W205" s="38">
        <f t="shared" si="98"/>
        <v>41.25</v>
      </c>
    </row>
    <row r="206" spans="1:23" ht="21" customHeight="1" x14ac:dyDescent="0.2">
      <c r="A206" s="19" t="s">
        <v>582</v>
      </c>
      <c r="B206" s="19" t="s">
        <v>250</v>
      </c>
      <c r="C206" s="32" t="s">
        <v>583</v>
      </c>
      <c r="D206" s="32" t="s">
        <v>393</v>
      </c>
      <c r="E206" s="20" t="s">
        <v>395</v>
      </c>
      <c r="F206" s="20" t="s">
        <v>411</v>
      </c>
      <c r="G206" s="33">
        <v>18</v>
      </c>
      <c r="H206" s="34">
        <f>VLOOKUP($C206,'Raw Cost'!$A$1:$B$483,2,FALSE)/G206</f>
        <v>2.2222222222222223</v>
      </c>
      <c r="I206" s="34">
        <f t="shared" ref="I206" si="99">H206/16</f>
        <v>0.1388888888888889</v>
      </c>
      <c r="J206" s="35">
        <v>9.3800000000000008</v>
      </c>
      <c r="K206" s="35">
        <v>0.25</v>
      </c>
      <c r="L206" s="36">
        <f>VLOOKUP($F206,'Packaging Cost'!$A$1:$F$43,6,FALSE)</f>
        <v>2.6</v>
      </c>
      <c r="M206" s="37">
        <f>IF($E206="Snakpak",(($J206*H206)+($K206*'Labor Cost'!$A$2)+L206)+2.25,($J206*H206)+($K206*'Labor Cost'!$A$2)+L206+1)</f>
        <v>31.56944444444445</v>
      </c>
      <c r="N206" s="38">
        <f t="shared" si="85"/>
        <v>39.461805555555564</v>
      </c>
      <c r="O206" s="38">
        <f t="shared" si="86"/>
        <v>41.040277777777789</v>
      </c>
      <c r="P206" s="38">
        <f t="shared" si="87"/>
        <v>42.618750000000013</v>
      </c>
      <c r="Q206" s="38">
        <f t="shared" si="88"/>
        <v>44.19722222222223</v>
      </c>
      <c r="R206" s="38">
        <f t="shared" si="89"/>
        <v>45.775694444444454</v>
      </c>
      <c r="S206" s="38">
        <f t="shared" si="92"/>
        <v>39.5</v>
      </c>
      <c r="T206" s="38">
        <f t="shared" si="93"/>
        <v>41</v>
      </c>
      <c r="U206" s="38">
        <f t="shared" si="94"/>
        <v>42.5</v>
      </c>
      <c r="V206" s="38">
        <f t="shared" ref="V206" si="100">MROUND(Q206,0.25)</f>
        <v>44.25</v>
      </c>
      <c r="W206" s="38">
        <f t="shared" si="98"/>
        <v>45.75</v>
      </c>
    </row>
    <row r="207" spans="1:23" ht="21" customHeight="1" x14ac:dyDescent="0.2">
      <c r="A207" s="19" t="s">
        <v>558</v>
      </c>
      <c r="B207" s="19" t="s">
        <v>254</v>
      </c>
      <c r="C207" s="20" t="s">
        <v>44</v>
      </c>
      <c r="D207" s="20" t="s">
        <v>394</v>
      </c>
      <c r="E207" s="20" t="s">
        <v>395</v>
      </c>
      <c r="F207" s="20" t="s">
        <v>411</v>
      </c>
      <c r="G207" s="33">
        <v>9</v>
      </c>
      <c r="H207" s="34">
        <f>VLOOKUP($C207,'Raw Cost'!$A$1:$B$483,2,FALSE)/G207</f>
        <v>1.7777777777777777</v>
      </c>
      <c r="I207" s="34">
        <f t="shared" si="97"/>
        <v>0.1111111111111111</v>
      </c>
      <c r="J207" s="35">
        <v>6.25</v>
      </c>
      <c r="K207" s="35">
        <v>0.25</v>
      </c>
      <c r="L207" s="36">
        <f>VLOOKUP($F207,'Packaging Cost'!$A$1:$F$43,6,FALSE)</f>
        <v>2.6</v>
      </c>
      <c r="M207" s="37">
        <f>IF($E207="Snakpak",(($J207*H207)+($K207*'Labor Cost'!$A$2)+L207)+2.25,($J207*H207)+($K207*'Labor Cost'!$A$2)+L207+1)</f>
        <v>21.836111111111112</v>
      </c>
      <c r="N207" s="38">
        <f t="shared" si="85"/>
        <v>42.295138888888886</v>
      </c>
      <c r="O207" s="38">
        <f t="shared" si="86"/>
        <v>43.386944444444445</v>
      </c>
      <c r="P207" s="38">
        <f t="shared" si="87"/>
        <v>44.478750000000005</v>
      </c>
      <c r="Q207" s="38">
        <f t="shared" si="88"/>
        <v>45.570555555555558</v>
      </c>
      <c r="R207" s="38">
        <f t="shared" si="89"/>
        <v>46.66236111111111</v>
      </c>
      <c r="S207" s="38">
        <f t="shared" si="92"/>
        <v>42.25</v>
      </c>
      <c r="T207" s="38">
        <f t="shared" si="93"/>
        <v>43.5</v>
      </c>
      <c r="U207" s="38">
        <f t="shared" si="94"/>
        <v>44.5</v>
      </c>
      <c r="V207" s="38">
        <f t="shared" si="98"/>
        <v>45.5</v>
      </c>
      <c r="W207" s="38">
        <f t="shared" si="98"/>
        <v>46.75</v>
      </c>
    </row>
    <row r="208" spans="1:23" ht="21" customHeight="1" x14ac:dyDescent="0.2">
      <c r="A208" s="19" t="s">
        <v>559</v>
      </c>
      <c r="B208" s="19" t="s">
        <v>253</v>
      </c>
      <c r="C208" s="32" t="s">
        <v>44</v>
      </c>
      <c r="D208" s="32" t="s">
        <v>393</v>
      </c>
      <c r="E208" s="20" t="s">
        <v>395</v>
      </c>
      <c r="F208" s="20" t="s">
        <v>411</v>
      </c>
      <c r="G208" s="33">
        <v>9</v>
      </c>
      <c r="H208" s="34">
        <f>VLOOKUP($C208,'Raw Cost'!$A$1:$B$483,2,FALSE)/G208</f>
        <v>1.7777777777777777</v>
      </c>
      <c r="I208" s="34">
        <f t="shared" si="97"/>
        <v>0.1111111111111111</v>
      </c>
      <c r="J208" s="35">
        <v>6.25</v>
      </c>
      <c r="K208" s="35">
        <v>0.25</v>
      </c>
      <c r="L208" s="36">
        <f>VLOOKUP($F208,'Packaging Cost'!$A$1:$F$43,6,FALSE)</f>
        <v>2.6</v>
      </c>
      <c r="M208" s="37">
        <f>IF($E208="Snakpak",(($J208*H208)+($K208*'Labor Cost'!$A$2)+L208)+2.25,($J208*H208)+($K208*'Labor Cost'!$A$2)+L208+1)</f>
        <v>21.836111111111112</v>
      </c>
      <c r="N208" s="38">
        <f t="shared" si="85"/>
        <v>27.295138888888889</v>
      </c>
      <c r="O208" s="38">
        <f t="shared" si="86"/>
        <v>28.386944444444445</v>
      </c>
      <c r="P208" s="38">
        <f t="shared" si="87"/>
        <v>29.478750000000002</v>
      </c>
      <c r="Q208" s="38">
        <f t="shared" si="88"/>
        <v>30.570555555555554</v>
      </c>
      <c r="R208" s="38">
        <f t="shared" si="89"/>
        <v>31.66236111111111</v>
      </c>
      <c r="S208" s="38">
        <f t="shared" si="92"/>
        <v>27.25</v>
      </c>
      <c r="T208" s="38">
        <f t="shared" si="93"/>
        <v>28.5</v>
      </c>
      <c r="U208" s="38">
        <f t="shared" si="94"/>
        <v>29.5</v>
      </c>
      <c r="V208" s="38">
        <f t="shared" si="98"/>
        <v>30.5</v>
      </c>
      <c r="W208" s="38">
        <f t="shared" si="98"/>
        <v>31.75</v>
      </c>
    </row>
    <row r="209" spans="1:23" ht="21" customHeight="1" x14ac:dyDescent="0.2">
      <c r="A209" s="19" t="s">
        <v>561</v>
      </c>
      <c r="B209" s="19" t="s">
        <v>449</v>
      </c>
      <c r="C209" s="32" t="s">
        <v>452</v>
      </c>
      <c r="D209" s="32" t="s">
        <v>393</v>
      </c>
      <c r="E209" s="20" t="s">
        <v>395</v>
      </c>
      <c r="F209" s="20" t="s">
        <v>411</v>
      </c>
      <c r="G209" s="33">
        <v>9.5</v>
      </c>
      <c r="H209" s="34">
        <f>VLOOKUP($C209,'Raw Cost'!$A$1:$B$483,2,FALSE)/G209</f>
        <v>6.8421052631578947</v>
      </c>
      <c r="I209" s="34">
        <f t="shared" si="97"/>
        <v>0.42763157894736842</v>
      </c>
      <c r="J209" s="35">
        <v>6.25</v>
      </c>
      <c r="K209" s="35">
        <v>0.25</v>
      </c>
      <c r="L209" s="36">
        <f>VLOOKUP($F209,'Packaging Cost'!$A$1:$F$43,6,FALSE)</f>
        <v>2.6</v>
      </c>
      <c r="M209" s="37">
        <f>IF($E209="Snakpak",(($J209*H209)+($K209*'Labor Cost'!$A$2)+L209)+2.25,($J209*H209)+($K209*'Labor Cost'!$A$2)+L209+1)</f>
        <v>53.488157894736844</v>
      </c>
      <c r="N209" s="38">
        <f t="shared" si="85"/>
        <v>66.860197368421055</v>
      </c>
      <c r="O209" s="38">
        <f t="shared" si="86"/>
        <v>69.5346052631579</v>
      </c>
      <c r="P209" s="38">
        <f t="shared" si="87"/>
        <v>72.209013157894745</v>
      </c>
      <c r="Q209" s="38">
        <f t="shared" si="88"/>
        <v>74.883421052631576</v>
      </c>
      <c r="R209" s="38">
        <f t="shared" si="89"/>
        <v>77.557828947368421</v>
      </c>
      <c r="S209" s="38">
        <f t="shared" si="92"/>
        <v>66.75</v>
      </c>
      <c r="T209" s="38">
        <f t="shared" si="93"/>
        <v>69.5</v>
      </c>
      <c r="U209" s="38">
        <f t="shared" si="94"/>
        <v>72.25</v>
      </c>
      <c r="V209" s="38">
        <f t="shared" si="98"/>
        <v>75</v>
      </c>
      <c r="W209" s="38">
        <f t="shared" si="98"/>
        <v>77.5</v>
      </c>
    </row>
    <row r="210" spans="1:23" ht="21" customHeight="1" x14ac:dyDescent="0.2">
      <c r="A210" s="19" t="s">
        <v>562</v>
      </c>
      <c r="B210" s="19" t="s">
        <v>431</v>
      </c>
      <c r="C210" s="32" t="s">
        <v>432</v>
      </c>
      <c r="D210" s="32" t="s">
        <v>393</v>
      </c>
      <c r="E210" s="20" t="s">
        <v>395</v>
      </c>
      <c r="F210" s="20" t="s">
        <v>411</v>
      </c>
      <c r="G210" s="33">
        <v>10</v>
      </c>
      <c r="H210" s="34">
        <f>VLOOKUP($C210,'Raw Cost'!$A$1:$B$483,2,FALSE)/G210</f>
        <v>5</v>
      </c>
      <c r="I210" s="34">
        <f t="shared" si="97"/>
        <v>0.3125</v>
      </c>
      <c r="J210" s="35">
        <v>6.25</v>
      </c>
      <c r="K210" s="35">
        <v>0.27</v>
      </c>
      <c r="L210" s="36">
        <f>VLOOKUP($F210,'Packaging Cost'!$A$1:$F$43,6,FALSE)</f>
        <v>2.6</v>
      </c>
      <c r="M210" s="37">
        <f>IF($E210="Snakpak",(($J210*H210)+($K210*'Labor Cost'!$A$2)+L210)+2.25,($J210*H210)+($K210*'Labor Cost'!$A$2)+L210+1)</f>
        <v>42.445</v>
      </c>
      <c r="N210" s="38">
        <f t="shared" si="85"/>
        <v>53.056249999999999</v>
      </c>
      <c r="O210" s="38">
        <f t="shared" si="86"/>
        <v>55.1785</v>
      </c>
      <c r="P210" s="38">
        <f t="shared" si="87"/>
        <v>57.300750000000001</v>
      </c>
      <c r="Q210" s="38">
        <f t="shared" si="88"/>
        <v>59.422999999999995</v>
      </c>
      <c r="R210" s="38">
        <f t="shared" si="89"/>
        <v>61.545249999999996</v>
      </c>
      <c r="S210" s="38">
        <f t="shared" si="92"/>
        <v>53</v>
      </c>
      <c r="T210" s="38">
        <f t="shared" si="93"/>
        <v>55.25</v>
      </c>
      <c r="U210" s="38">
        <f t="shared" si="94"/>
        <v>57.25</v>
      </c>
      <c r="V210" s="38">
        <f t="shared" si="98"/>
        <v>59.5</v>
      </c>
      <c r="W210" s="38">
        <f t="shared" si="98"/>
        <v>61.5</v>
      </c>
    </row>
    <row r="211" spans="1:23" ht="21" customHeight="1" x14ac:dyDescent="0.2">
      <c r="A211" s="19" t="s">
        <v>91</v>
      </c>
      <c r="B211" s="19" t="s">
        <v>257</v>
      </c>
      <c r="C211" s="32" t="s">
        <v>20</v>
      </c>
      <c r="D211" s="32" t="s">
        <v>393</v>
      </c>
      <c r="E211" s="20" t="s">
        <v>395</v>
      </c>
      <c r="F211" s="20" t="s">
        <v>411</v>
      </c>
      <c r="G211" s="33">
        <v>16</v>
      </c>
      <c r="H211" s="34">
        <f>VLOOKUP($C211,'Raw Cost'!$A$1:$B$483,2,FALSE)/G211</f>
        <v>1.125</v>
      </c>
      <c r="I211" s="34">
        <f t="shared" si="97"/>
        <v>7.03125E-2</v>
      </c>
      <c r="J211" s="35">
        <v>8.44</v>
      </c>
      <c r="K211" s="35">
        <v>0.27</v>
      </c>
      <c r="L211" s="36">
        <f>VLOOKUP($F211,'Packaging Cost'!$A$1:$F$43,6,FALSE)</f>
        <v>2.6</v>
      </c>
      <c r="M211" s="37">
        <f>IF($E211="Snakpak",(($J211*H211)+($K211*'Labor Cost'!$A$2)+L211)+2.25,($J211*H211)+($K211*'Labor Cost'!$A$2)+L211+1)</f>
        <v>20.69</v>
      </c>
      <c r="N211" s="38">
        <f t="shared" si="85"/>
        <v>25.862500000000001</v>
      </c>
      <c r="O211" s="38">
        <f t="shared" si="86"/>
        <v>26.897000000000002</v>
      </c>
      <c r="P211" s="38">
        <f t="shared" si="87"/>
        <v>27.931500000000003</v>
      </c>
      <c r="Q211" s="38">
        <f t="shared" si="88"/>
        <v>28.966000000000001</v>
      </c>
      <c r="R211" s="38">
        <f t="shared" si="89"/>
        <v>30.000500000000002</v>
      </c>
      <c r="S211" s="38">
        <f t="shared" si="92"/>
        <v>25.75</v>
      </c>
      <c r="T211" s="38">
        <f t="shared" si="93"/>
        <v>27</v>
      </c>
      <c r="U211" s="38">
        <f t="shared" si="94"/>
        <v>28</v>
      </c>
      <c r="V211" s="38">
        <f t="shared" si="98"/>
        <v>29</v>
      </c>
      <c r="W211" s="38">
        <f t="shared" si="98"/>
        <v>30</v>
      </c>
    </row>
    <row r="212" spans="1:23" ht="21" customHeight="1" x14ac:dyDescent="0.2">
      <c r="A212" s="19" t="s">
        <v>565</v>
      </c>
      <c r="B212" s="19" t="s">
        <v>267</v>
      </c>
      <c r="C212" s="20" t="s">
        <v>21</v>
      </c>
      <c r="D212" s="20" t="s">
        <v>393</v>
      </c>
      <c r="E212" s="20" t="s">
        <v>395</v>
      </c>
      <c r="F212" s="20" t="s">
        <v>411</v>
      </c>
      <c r="G212" s="33">
        <v>18</v>
      </c>
      <c r="H212" s="34">
        <f>VLOOKUP($C212,'Raw Cost'!$A$1:$B$483,2,FALSE)/G212</f>
        <v>1.2777777777777777</v>
      </c>
      <c r="I212" s="34">
        <f t="shared" si="97"/>
        <v>7.9861111111111105E-2</v>
      </c>
      <c r="J212" s="35">
        <v>6.25</v>
      </c>
      <c r="K212" s="35">
        <v>0.25</v>
      </c>
      <c r="L212" s="36">
        <f>VLOOKUP($F212,'Packaging Cost'!$A$1:$F$43,6,FALSE)</f>
        <v>2.6</v>
      </c>
      <c r="M212" s="37">
        <f>IF($E212="Snakpak",(($J212*H212)+($K212*'Labor Cost'!$A$2)+L212)+2.25,($J212*H212)+($K212*'Labor Cost'!$A$2)+L212+1)</f>
        <v>18.711111111111112</v>
      </c>
      <c r="N212" s="38">
        <f t="shared" si="85"/>
        <v>23.388888888888889</v>
      </c>
      <c r="O212" s="38">
        <f t="shared" si="86"/>
        <v>24.324444444444445</v>
      </c>
      <c r="P212" s="38">
        <f t="shared" si="87"/>
        <v>25.26</v>
      </c>
      <c r="Q212" s="38">
        <f t="shared" si="88"/>
        <v>26.195555555555554</v>
      </c>
      <c r="R212" s="38">
        <f t="shared" si="89"/>
        <v>27.13111111111111</v>
      </c>
      <c r="S212" s="38">
        <f t="shared" si="92"/>
        <v>23.5</v>
      </c>
      <c r="T212" s="38">
        <f t="shared" si="93"/>
        <v>24.25</v>
      </c>
      <c r="U212" s="38">
        <f t="shared" si="94"/>
        <v>25.25</v>
      </c>
      <c r="V212" s="38">
        <f t="shared" si="98"/>
        <v>26.25</v>
      </c>
      <c r="W212" s="38">
        <f t="shared" si="98"/>
        <v>27.25</v>
      </c>
    </row>
    <row r="213" spans="1:23" ht="21" customHeight="1" x14ac:dyDescent="0.2">
      <c r="A213" s="19" t="s">
        <v>566</v>
      </c>
      <c r="B213" s="19" t="s">
        <v>268</v>
      </c>
      <c r="C213" s="20" t="s">
        <v>21</v>
      </c>
      <c r="D213" s="20" t="s">
        <v>394</v>
      </c>
      <c r="E213" s="20" t="s">
        <v>395</v>
      </c>
      <c r="F213" s="20" t="s">
        <v>411</v>
      </c>
      <c r="G213" s="33">
        <v>18</v>
      </c>
      <c r="H213" s="34">
        <f>VLOOKUP($C213,'Raw Cost'!$A$1:$B$483,2,FALSE)/G213</f>
        <v>1.2777777777777777</v>
      </c>
      <c r="I213" s="34">
        <f t="shared" si="97"/>
        <v>7.9861111111111105E-2</v>
      </c>
      <c r="J213" s="35">
        <v>6.25</v>
      </c>
      <c r="K213" s="35">
        <v>0.4</v>
      </c>
      <c r="L213" s="36">
        <f>VLOOKUP($F213,'Packaging Cost'!$A$1:$F$43,6,FALSE)</f>
        <v>2.6</v>
      </c>
      <c r="M213" s="37">
        <f>IF($E213="Snakpak",(($J213*H213)+($K213*'Labor Cost'!$A$2)+L213)+2.25,($J213*H213)+($K213*'Labor Cost'!$A$2)+L213+1)</f>
        <v>22.236111111111114</v>
      </c>
      <c r="N213" s="38">
        <f t="shared" si="85"/>
        <v>42.795138888888893</v>
      </c>
      <c r="O213" s="38">
        <f t="shared" si="86"/>
        <v>43.906944444444449</v>
      </c>
      <c r="P213" s="38">
        <f t="shared" si="87"/>
        <v>45.018750000000011</v>
      </c>
      <c r="Q213" s="38">
        <f t="shared" si="88"/>
        <v>46.13055555555556</v>
      </c>
      <c r="R213" s="38">
        <f t="shared" si="89"/>
        <v>47.242361111111116</v>
      </c>
      <c r="S213" s="38">
        <f t="shared" si="92"/>
        <v>42.75</v>
      </c>
      <c r="T213" s="38">
        <f t="shared" si="93"/>
        <v>44</v>
      </c>
      <c r="U213" s="38">
        <f t="shared" si="94"/>
        <v>45</v>
      </c>
      <c r="V213" s="38">
        <f t="shared" si="98"/>
        <v>46.25</v>
      </c>
      <c r="W213" s="38">
        <f t="shared" si="98"/>
        <v>47.25</v>
      </c>
    </row>
    <row r="214" spans="1:23" ht="21" customHeight="1" x14ac:dyDescent="0.2">
      <c r="A214" s="19" t="s">
        <v>99</v>
      </c>
      <c r="B214" s="19" t="s">
        <v>270</v>
      </c>
      <c r="C214" s="20" t="s">
        <v>23</v>
      </c>
      <c r="D214" s="20" t="s">
        <v>393</v>
      </c>
      <c r="E214" s="20" t="s">
        <v>395</v>
      </c>
      <c r="F214" s="20" t="s">
        <v>411</v>
      </c>
      <c r="G214" s="33">
        <v>18.25</v>
      </c>
      <c r="H214" s="34">
        <f>VLOOKUP($C214,'Raw Cost'!$A$1:$B$483,2,FALSE)/G214</f>
        <v>1.9726027397260273</v>
      </c>
      <c r="I214" s="34">
        <f t="shared" si="97"/>
        <v>0.12328767123287671</v>
      </c>
      <c r="J214" s="35">
        <v>6.25</v>
      </c>
      <c r="K214" s="35">
        <v>0.25</v>
      </c>
      <c r="L214" s="36">
        <f>VLOOKUP($F214,'Packaging Cost'!$A$1:$F$43,6,FALSE)</f>
        <v>2.6</v>
      </c>
      <c r="M214" s="37">
        <f>IF($E214="Snakpak",(($J214*H214)+($K214*'Labor Cost'!$A$2)+L214)+2.25,($J214*H214)+($K214*'Labor Cost'!$A$2)+L214+1)</f>
        <v>23.05376712328767</v>
      </c>
      <c r="N214" s="38">
        <f t="shared" si="85"/>
        <v>28.817208904109588</v>
      </c>
      <c r="O214" s="38">
        <f t="shared" si="86"/>
        <v>29.969897260273971</v>
      </c>
      <c r="P214" s="38">
        <f t="shared" si="87"/>
        <v>31.122585616438357</v>
      </c>
      <c r="Q214" s="38">
        <f t="shared" si="88"/>
        <v>32.27527397260274</v>
      </c>
      <c r="R214" s="38">
        <f t="shared" si="89"/>
        <v>33.427962328767123</v>
      </c>
      <c r="S214" s="38">
        <f t="shared" si="92"/>
        <v>28.75</v>
      </c>
      <c r="T214" s="38">
        <f t="shared" si="93"/>
        <v>30</v>
      </c>
      <c r="U214" s="38">
        <f t="shared" si="94"/>
        <v>31</v>
      </c>
      <c r="V214" s="38">
        <f t="shared" si="98"/>
        <v>32.25</v>
      </c>
      <c r="W214" s="38">
        <f t="shared" si="98"/>
        <v>33.5</v>
      </c>
    </row>
    <row r="215" spans="1:23" ht="21" customHeight="1" x14ac:dyDescent="0.2">
      <c r="A215" s="19" t="s">
        <v>1069</v>
      </c>
      <c r="B215" s="19" t="s">
        <v>270</v>
      </c>
      <c r="C215" s="20" t="s">
        <v>1046</v>
      </c>
      <c r="D215" s="20" t="s">
        <v>393</v>
      </c>
      <c r="E215" s="20" t="s">
        <v>395</v>
      </c>
      <c r="F215" s="20" t="s">
        <v>411</v>
      </c>
      <c r="G215" s="33">
        <v>18.25</v>
      </c>
      <c r="H215" s="34">
        <f>VLOOKUP($C215,'Raw Cost'!$A$1:$B$483,2,FALSE)/G215</f>
        <v>0</v>
      </c>
      <c r="I215" s="34">
        <f t="shared" ref="I215" si="101">H215/16</f>
        <v>0</v>
      </c>
      <c r="J215" s="35">
        <v>6.25</v>
      </c>
      <c r="K215" s="35">
        <v>0.25</v>
      </c>
      <c r="L215" s="36">
        <f>VLOOKUP($F215,'Packaging Cost'!$A$1:$F$43,6,FALSE)</f>
        <v>2.6</v>
      </c>
      <c r="M215" s="37">
        <f>IF($E215="Snakpak",(($J215*H215)+($K215*'Labor Cost'!$A$2)+L215)+2.25,($J215*H215)+($K215*'Labor Cost'!$A$2)+L215+1)</f>
        <v>10.725</v>
      </c>
      <c r="N215" s="38">
        <f t="shared" si="85"/>
        <v>13.40625</v>
      </c>
      <c r="O215" s="38">
        <f t="shared" si="86"/>
        <v>13.942500000000001</v>
      </c>
      <c r="P215" s="38">
        <f t="shared" si="87"/>
        <v>14.47875</v>
      </c>
      <c r="Q215" s="38">
        <f t="shared" si="88"/>
        <v>15.014999999999999</v>
      </c>
      <c r="R215" s="38">
        <f t="shared" si="89"/>
        <v>15.55125</v>
      </c>
      <c r="S215" s="38">
        <f t="shared" si="92"/>
        <v>13.5</v>
      </c>
      <c r="T215" s="38">
        <f t="shared" si="93"/>
        <v>14</v>
      </c>
      <c r="U215" s="38">
        <f t="shared" si="94"/>
        <v>14.5</v>
      </c>
      <c r="V215" s="38">
        <f t="shared" ref="V215" si="102">MROUND(Q215,0.25)</f>
        <v>15</v>
      </c>
      <c r="W215" s="38">
        <f t="shared" si="98"/>
        <v>15.5</v>
      </c>
    </row>
    <row r="216" spans="1:23" ht="21" customHeight="1" x14ac:dyDescent="0.2">
      <c r="A216" s="19" t="s">
        <v>435</v>
      </c>
      <c r="B216" s="19" t="s">
        <v>433</v>
      </c>
      <c r="C216" s="32" t="s">
        <v>448</v>
      </c>
      <c r="D216" s="32" t="s">
        <v>393</v>
      </c>
      <c r="E216" s="20" t="s">
        <v>395</v>
      </c>
      <c r="F216" s="20" t="s">
        <v>411</v>
      </c>
      <c r="G216" s="33">
        <v>9</v>
      </c>
      <c r="H216" s="34">
        <f>VLOOKUP($C216,'Raw Cost'!$A$1:$B$483,2,FALSE)/G216</f>
        <v>9.4444444444444446</v>
      </c>
      <c r="I216" s="34">
        <f t="shared" si="97"/>
        <v>0.59027777777777779</v>
      </c>
      <c r="J216" s="35">
        <v>6.25</v>
      </c>
      <c r="K216" s="35">
        <v>0.25</v>
      </c>
      <c r="L216" s="36">
        <f>VLOOKUP($F216,'Packaging Cost'!$A$1:$F$43,6,FALSE)</f>
        <v>2.6</v>
      </c>
      <c r="M216" s="37">
        <f>IF($E216="Snakpak",(($J216*H216)+($K216*'Labor Cost'!$A$2)+L216)+2.25,($J216*H216)+($K216*'Labor Cost'!$A$2)+L216+1)</f>
        <v>69.752777777777766</v>
      </c>
      <c r="N216" s="38">
        <f t="shared" si="85"/>
        <v>87.1909722222222</v>
      </c>
      <c r="O216" s="38">
        <f t="shared" si="86"/>
        <v>90.678611111111096</v>
      </c>
      <c r="P216" s="38">
        <f t="shared" si="87"/>
        <v>94.166249999999991</v>
      </c>
      <c r="Q216" s="38">
        <f t="shared" si="88"/>
        <v>97.653888888888872</v>
      </c>
      <c r="R216" s="38">
        <f t="shared" si="89"/>
        <v>101.14152777777775</v>
      </c>
      <c r="S216" s="38">
        <f t="shared" si="92"/>
        <v>87.25</v>
      </c>
      <c r="T216" s="38">
        <f t="shared" si="93"/>
        <v>90.75</v>
      </c>
      <c r="U216" s="38">
        <f t="shared" si="94"/>
        <v>94.25</v>
      </c>
      <c r="V216" s="38">
        <f t="shared" si="98"/>
        <v>97.75</v>
      </c>
      <c r="W216" s="38">
        <f t="shared" si="98"/>
        <v>101.25</v>
      </c>
    </row>
    <row r="217" spans="1:23" ht="21" customHeight="1" x14ac:dyDescent="0.2">
      <c r="A217" s="19" t="s">
        <v>491</v>
      </c>
      <c r="B217" s="19" t="s">
        <v>272</v>
      </c>
      <c r="C217" s="20" t="s">
        <v>25</v>
      </c>
      <c r="D217" s="20" t="s">
        <v>393</v>
      </c>
      <c r="E217" s="20" t="s">
        <v>395</v>
      </c>
      <c r="F217" s="20" t="s">
        <v>411</v>
      </c>
      <c r="G217" s="33">
        <v>4.5</v>
      </c>
      <c r="H217" s="34">
        <f>VLOOKUP($C217,'Raw Cost'!$A$1:$B$483,2,FALSE)/G217</f>
        <v>3.3333333333333335</v>
      </c>
      <c r="I217" s="34">
        <f t="shared" si="97"/>
        <v>0.20833333333333334</v>
      </c>
      <c r="J217" s="35">
        <v>6.25</v>
      </c>
      <c r="K217" s="35">
        <v>0.25</v>
      </c>
      <c r="L217" s="36">
        <f>VLOOKUP($F217,'Packaging Cost'!$A$1:$F$43,6,FALSE)</f>
        <v>2.6</v>
      </c>
      <c r="M217" s="37">
        <f>IF($E217="Snakpak",(($J217*H217)+($K217*'Labor Cost'!$A$2)+L217)+2.25,($J217*H217)+($K217*'Labor Cost'!$A$2)+L217+1)</f>
        <v>31.558333333333337</v>
      </c>
      <c r="N217" s="38">
        <f t="shared" si="85"/>
        <v>39.447916666666671</v>
      </c>
      <c r="O217" s="38">
        <f t="shared" si="86"/>
        <v>41.025833333333338</v>
      </c>
      <c r="P217" s="38">
        <f t="shared" si="87"/>
        <v>42.603750000000005</v>
      </c>
      <c r="Q217" s="38">
        <f t="shared" si="88"/>
        <v>44.181666666666672</v>
      </c>
      <c r="R217" s="38">
        <f t="shared" si="89"/>
        <v>45.759583333333339</v>
      </c>
      <c r="S217" s="38">
        <f t="shared" si="92"/>
        <v>39.5</v>
      </c>
      <c r="T217" s="38">
        <f t="shared" si="93"/>
        <v>41</v>
      </c>
      <c r="U217" s="38">
        <f t="shared" si="94"/>
        <v>42.5</v>
      </c>
      <c r="V217" s="38">
        <f t="shared" si="98"/>
        <v>44.25</v>
      </c>
      <c r="W217" s="38">
        <f t="shared" si="98"/>
        <v>45.75</v>
      </c>
    </row>
    <row r="218" spans="1:23" ht="21" customHeight="1" x14ac:dyDescent="0.2">
      <c r="A218" s="19" t="s">
        <v>116</v>
      </c>
      <c r="B218" s="19" t="s">
        <v>275</v>
      </c>
      <c r="C218" s="20" t="s">
        <v>31</v>
      </c>
      <c r="D218" s="20" t="s">
        <v>393</v>
      </c>
      <c r="E218" s="20" t="s">
        <v>395</v>
      </c>
      <c r="F218" s="20" t="s">
        <v>411</v>
      </c>
      <c r="G218" s="33">
        <v>33</v>
      </c>
      <c r="H218" s="34">
        <f>VLOOKUP($C218,'Raw Cost'!$A$1:$B$483,2,FALSE)/G218</f>
        <v>0.81818181818181823</v>
      </c>
      <c r="I218" s="34">
        <f t="shared" si="97"/>
        <v>5.113636363636364E-2</v>
      </c>
      <c r="J218" s="35">
        <v>14.7</v>
      </c>
      <c r="K218" s="35">
        <v>0.25</v>
      </c>
      <c r="L218" s="36">
        <f>VLOOKUP($F218,'Packaging Cost'!$A$1:$F$43,6,FALSE)</f>
        <v>2.6</v>
      </c>
      <c r="M218" s="37">
        <f>IF($E218="Snakpak",(($J218*H218)+($K218*'Labor Cost'!$A$2)+L218)+2.25,($J218*H218)+($K218*'Labor Cost'!$A$2)+L218+1)</f>
        <v>22.752272727272729</v>
      </c>
      <c r="N218" s="38">
        <f t="shared" si="85"/>
        <v>28.44034090909091</v>
      </c>
      <c r="O218" s="38">
        <f t="shared" si="86"/>
        <v>29.577954545454549</v>
      </c>
      <c r="P218" s="38">
        <f t="shared" si="87"/>
        <v>30.715568181818185</v>
      </c>
      <c r="Q218" s="38">
        <f t="shared" si="88"/>
        <v>31.853181818181817</v>
      </c>
      <c r="R218" s="38">
        <f t="shared" si="89"/>
        <v>32.990795454545456</v>
      </c>
      <c r="S218" s="38">
        <f t="shared" si="92"/>
        <v>28.5</v>
      </c>
      <c r="T218" s="38">
        <f t="shared" si="93"/>
        <v>29.5</v>
      </c>
      <c r="U218" s="38">
        <f t="shared" si="94"/>
        <v>30.75</v>
      </c>
      <c r="V218" s="38">
        <f t="shared" si="98"/>
        <v>31.75</v>
      </c>
      <c r="W218" s="38">
        <f t="shared" si="98"/>
        <v>33</v>
      </c>
    </row>
    <row r="219" spans="1:23" ht="21" customHeight="1" x14ac:dyDescent="0.2">
      <c r="A219" s="19" t="s">
        <v>117</v>
      </c>
      <c r="B219" s="19" t="s">
        <v>276</v>
      </c>
      <c r="C219" s="20" t="s">
        <v>414</v>
      </c>
      <c r="D219" s="20" t="s">
        <v>393</v>
      </c>
      <c r="E219" s="20" t="s">
        <v>395</v>
      </c>
      <c r="F219" s="20" t="s">
        <v>411</v>
      </c>
      <c r="G219" s="33">
        <v>20</v>
      </c>
      <c r="H219" s="34">
        <f>VLOOKUP($C219,'Raw Cost'!$A$1:$B$483,2,FALSE)/G219</f>
        <v>1.5125</v>
      </c>
      <c r="I219" s="34">
        <f t="shared" si="97"/>
        <v>9.4531249999999997E-2</v>
      </c>
      <c r="J219" s="35">
        <v>6.25</v>
      </c>
      <c r="K219" s="35">
        <v>0.25</v>
      </c>
      <c r="L219" s="36">
        <f>VLOOKUP($F219,'Packaging Cost'!$A$1:$F$43,6,FALSE)</f>
        <v>2.6</v>
      </c>
      <c r="M219" s="37">
        <f>IF($E219="Snakpak",(($J219*H219)+($K219*'Labor Cost'!$A$2)+L219)+2.25,($J219*H219)+($K219*'Labor Cost'!$A$2)+L219+1)</f>
        <v>20.178125000000001</v>
      </c>
      <c r="N219" s="38">
        <f t="shared" si="85"/>
        <v>25.22265625</v>
      </c>
      <c r="O219" s="38">
        <f t="shared" si="86"/>
        <v>26.231562500000003</v>
      </c>
      <c r="P219" s="38">
        <f t="shared" si="87"/>
        <v>27.240468750000005</v>
      </c>
      <c r="Q219" s="38">
        <f t="shared" si="88"/>
        <v>28.249375000000001</v>
      </c>
      <c r="R219" s="38">
        <f t="shared" si="89"/>
        <v>29.25828125</v>
      </c>
      <c r="S219" s="38">
        <f t="shared" si="92"/>
        <v>25.25</v>
      </c>
      <c r="T219" s="38">
        <f t="shared" si="93"/>
        <v>26.25</v>
      </c>
      <c r="U219" s="38">
        <f t="shared" si="94"/>
        <v>27.25</v>
      </c>
      <c r="V219" s="38">
        <f t="shared" si="98"/>
        <v>28.25</v>
      </c>
      <c r="W219" s="38">
        <f t="shared" si="98"/>
        <v>29.25</v>
      </c>
    </row>
    <row r="220" spans="1:23" ht="21" customHeight="1" x14ac:dyDescent="0.2">
      <c r="A220" s="19" t="s">
        <v>120</v>
      </c>
      <c r="B220" s="19" t="s">
        <v>281</v>
      </c>
      <c r="C220" s="20" t="s">
        <v>35</v>
      </c>
      <c r="D220" s="20" t="s">
        <v>393</v>
      </c>
      <c r="E220" s="20" t="s">
        <v>395</v>
      </c>
      <c r="F220" s="20" t="s">
        <v>637</v>
      </c>
      <c r="G220" s="33">
        <v>32</v>
      </c>
      <c r="H220" s="34">
        <f>VLOOKUP($C220,'Raw Cost'!$A$1:$B$483,2,FALSE)/G220</f>
        <v>1.65625</v>
      </c>
      <c r="I220" s="34">
        <f t="shared" si="97"/>
        <v>0.103515625</v>
      </c>
      <c r="J220" s="35">
        <v>12.5</v>
      </c>
      <c r="K220" s="35">
        <v>0.25</v>
      </c>
      <c r="L220" s="36">
        <f>VLOOKUP($F220,'Packaging Cost'!$A$1:$F$43,6,FALSE)</f>
        <v>7.35</v>
      </c>
      <c r="M220" s="37">
        <f>IF($E220="Snakpak",(($J220*H220)+($K220*'Labor Cost'!$A$2)+L220)+2.25,($J220*H220)+($K220*'Labor Cost'!$A$2)+L220+1)</f>
        <v>36.178125000000001</v>
      </c>
      <c r="N220" s="38">
        <f t="shared" si="85"/>
        <v>45.22265625</v>
      </c>
      <c r="O220" s="38">
        <f t="shared" si="86"/>
        <v>47.031562500000007</v>
      </c>
      <c r="P220" s="38">
        <f t="shared" si="87"/>
        <v>48.840468750000007</v>
      </c>
      <c r="Q220" s="38">
        <f t="shared" si="88"/>
        <v>50.649374999999999</v>
      </c>
      <c r="R220" s="38">
        <f t="shared" si="89"/>
        <v>52.458281249999999</v>
      </c>
      <c r="S220" s="38">
        <f t="shared" si="92"/>
        <v>45.25</v>
      </c>
      <c r="T220" s="38">
        <f t="shared" si="93"/>
        <v>47</v>
      </c>
      <c r="U220" s="38">
        <f t="shared" si="94"/>
        <v>48.75</v>
      </c>
      <c r="V220" s="38">
        <f t="shared" si="98"/>
        <v>50.75</v>
      </c>
      <c r="W220" s="38">
        <f t="shared" si="98"/>
        <v>52.5</v>
      </c>
    </row>
    <row r="221" spans="1:23" ht="21" customHeight="1" x14ac:dyDescent="0.2">
      <c r="A221" s="19" t="s">
        <v>121</v>
      </c>
      <c r="B221" s="19" t="s">
        <v>282</v>
      </c>
      <c r="C221" s="20" t="s">
        <v>35</v>
      </c>
      <c r="D221" s="20" t="s">
        <v>393</v>
      </c>
      <c r="E221" s="20" t="s">
        <v>395</v>
      </c>
      <c r="F221" s="20" t="s">
        <v>636</v>
      </c>
      <c r="G221" s="33">
        <v>32</v>
      </c>
      <c r="H221" s="34">
        <f>VLOOKUP($C221,'Raw Cost'!$A$1:$B$483,2,FALSE)/G221</f>
        <v>1.65625</v>
      </c>
      <c r="I221" s="34">
        <f t="shared" si="97"/>
        <v>0.103515625</v>
      </c>
      <c r="J221" s="35">
        <v>6.25</v>
      </c>
      <c r="K221" s="35">
        <v>0.27</v>
      </c>
      <c r="L221" s="36">
        <f>VLOOKUP($F221,'Packaging Cost'!$A$1:$F$43,6,FALSE)</f>
        <v>4.0999999999999996</v>
      </c>
      <c r="M221" s="37">
        <f>IF($E221="Snakpak",(($J221*H221)+($K221*'Labor Cost'!$A$2)+L221)+2.25,($J221*H221)+($K221*'Labor Cost'!$A$2)+L221+1)</f>
        <v>23.0465625</v>
      </c>
      <c r="N221" s="38">
        <f t="shared" si="85"/>
        <v>28.808203124999999</v>
      </c>
      <c r="O221" s="38">
        <f t="shared" si="86"/>
        <v>29.960531250000003</v>
      </c>
      <c r="P221" s="38">
        <f t="shared" si="87"/>
        <v>31.112859375000003</v>
      </c>
      <c r="Q221" s="38">
        <f t="shared" si="88"/>
        <v>32.265187499999996</v>
      </c>
      <c r="R221" s="38">
        <f t="shared" si="89"/>
        <v>33.417515625</v>
      </c>
      <c r="S221" s="38">
        <f t="shared" si="92"/>
        <v>28.75</v>
      </c>
      <c r="T221" s="38">
        <f t="shared" si="93"/>
        <v>30</v>
      </c>
      <c r="U221" s="38">
        <f t="shared" si="94"/>
        <v>31</v>
      </c>
      <c r="V221" s="38">
        <f t="shared" si="98"/>
        <v>32.25</v>
      </c>
      <c r="W221" s="38">
        <f t="shared" si="98"/>
        <v>33.5</v>
      </c>
    </row>
    <row r="222" spans="1:23" ht="21" customHeight="1" x14ac:dyDescent="0.2">
      <c r="A222" s="19" t="s">
        <v>135</v>
      </c>
      <c r="B222" s="19" t="s">
        <v>300</v>
      </c>
      <c r="C222" s="20" t="s">
        <v>604</v>
      </c>
      <c r="D222" s="20" t="s">
        <v>393</v>
      </c>
      <c r="E222" s="20" t="s">
        <v>395</v>
      </c>
      <c r="F222" s="20" t="s">
        <v>411</v>
      </c>
      <c r="G222" s="33">
        <v>15</v>
      </c>
      <c r="H222" s="34">
        <f>VLOOKUP($C222,'Raw Cost'!$A$1:$B$483,2,FALSE)/G222</f>
        <v>1.4117647058823528</v>
      </c>
      <c r="I222" s="34">
        <f t="shared" si="97"/>
        <v>8.8235294117647051E-2</v>
      </c>
      <c r="J222" s="35">
        <v>6.25</v>
      </c>
      <c r="K222" s="35">
        <v>0.3</v>
      </c>
      <c r="L222" s="36">
        <f>VLOOKUP($F222,'Packaging Cost'!$A$1:$F$43,6,FALSE)</f>
        <v>2.6</v>
      </c>
      <c r="M222" s="37">
        <f>IF($E222="Snakpak",(($J222*H222)+($K222*'Labor Cost'!$A$2)+L222)+2.25,($J222*H222)+($K222*'Labor Cost'!$A$2)+L222+1)</f>
        <v>20.723529411764705</v>
      </c>
      <c r="N222" s="38">
        <f t="shared" si="85"/>
        <v>25.90441176470588</v>
      </c>
      <c r="O222" s="38">
        <f t="shared" si="86"/>
        <v>26.940588235294118</v>
      </c>
      <c r="P222" s="38">
        <f t="shared" si="87"/>
        <v>27.976764705882353</v>
      </c>
      <c r="Q222" s="38">
        <f t="shared" si="88"/>
        <v>29.012941176470584</v>
      </c>
      <c r="R222" s="38">
        <f t="shared" si="89"/>
        <v>30.049117647058821</v>
      </c>
      <c r="S222" s="38">
        <f t="shared" si="92"/>
        <v>26</v>
      </c>
      <c r="T222" s="38">
        <f t="shared" si="93"/>
        <v>27</v>
      </c>
      <c r="U222" s="38">
        <f t="shared" si="94"/>
        <v>28</v>
      </c>
      <c r="V222" s="38">
        <f t="shared" si="98"/>
        <v>29</v>
      </c>
      <c r="W222" s="38">
        <f t="shared" si="98"/>
        <v>30</v>
      </c>
    </row>
    <row r="223" spans="1:23" ht="21" customHeight="1" x14ac:dyDescent="0.2">
      <c r="A223" s="19" t="s">
        <v>134</v>
      </c>
      <c r="B223" s="19" t="s">
        <v>299</v>
      </c>
      <c r="C223" s="20" t="s">
        <v>36</v>
      </c>
      <c r="D223" s="20" t="s">
        <v>393</v>
      </c>
      <c r="E223" s="20" t="s">
        <v>395</v>
      </c>
      <c r="F223" s="20" t="s">
        <v>411</v>
      </c>
      <c r="G223" s="33">
        <v>18</v>
      </c>
      <c r="H223" s="34">
        <f>VLOOKUP($C223,'Raw Cost'!$A$1:$B$483,2,FALSE)/G223</f>
        <v>1.1111111111111112</v>
      </c>
      <c r="I223" s="34">
        <f t="shared" si="97"/>
        <v>6.9444444444444448E-2</v>
      </c>
      <c r="J223" s="35">
        <v>12.5</v>
      </c>
      <c r="K223" s="35">
        <v>0.35</v>
      </c>
      <c r="L223" s="36">
        <f>VLOOKUP($F223,'Packaging Cost'!$A$1:$F$43,6,FALSE)</f>
        <v>2.6</v>
      </c>
      <c r="M223" s="37">
        <f>IF($E223="Snakpak",(($J223*H223)+($K223*'Labor Cost'!$A$2)+L223)+2.25,($J223*H223)+($K223*'Labor Cost'!$A$2)+L223+1)</f>
        <v>26.963888888888889</v>
      </c>
      <c r="N223" s="38">
        <f t="shared" si="85"/>
        <v>33.704861111111114</v>
      </c>
      <c r="O223" s="38">
        <f t="shared" si="86"/>
        <v>35.053055555555559</v>
      </c>
      <c r="P223" s="38">
        <f t="shared" si="87"/>
        <v>36.401250000000005</v>
      </c>
      <c r="Q223" s="38">
        <f t="shared" si="88"/>
        <v>37.749444444444443</v>
      </c>
      <c r="R223" s="38">
        <f t="shared" si="89"/>
        <v>39.097638888888888</v>
      </c>
      <c r="S223" s="38">
        <f t="shared" si="92"/>
        <v>33.75</v>
      </c>
      <c r="T223" s="38">
        <f t="shared" si="93"/>
        <v>35</v>
      </c>
      <c r="U223" s="38">
        <f t="shared" si="94"/>
        <v>36.5</v>
      </c>
      <c r="V223" s="38">
        <f t="shared" si="98"/>
        <v>37.75</v>
      </c>
      <c r="W223" s="38">
        <f t="shared" si="98"/>
        <v>39</v>
      </c>
    </row>
    <row r="224" spans="1:23" ht="21" customHeight="1" x14ac:dyDescent="0.2">
      <c r="A224" s="19" t="s">
        <v>500</v>
      </c>
      <c r="B224" s="19" t="s">
        <v>298</v>
      </c>
      <c r="C224" s="32" t="s">
        <v>39</v>
      </c>
      <c r="D224" s="32" t="s">
        <v>393</v>
      </c>
      <c r="E224" s="20" t="s">
        <v>395</v>
      </c>
      <c r="F224" s="20" t="s">
        <v>411</v>
      </c>
      <c r="G224" s="33">
        <v>8.5</v>
      </c>
      <c r="H224" s="34">
        <f>VLOOKUP($C224,'Raw Cost'!$A$1:$B$483,2,FALSE)/G224</f>
        <v>2.1176470588235294</v>
      </c>
      <c r="I224" s="34">
        <f t="shared" si="97"/>
        <v>0.13235294117647059</v>
      </c>
      <c r="J224" s="35">
        <v>7.18</v>
      </c>
      <c r="K224" s="35">
        <v>0.25</v>
      </c>
      <c r="L224" s="36">
        <f>VLOOKUP($F224,'Packaging Cost'!$A$1:$F$43,6,FALSE)</f>
        <v>2.6</v>
      </c>
      <c r="M224" s="37">
        <f>IF($E224="Snakpak",(($J224*H224)+($K224*'Labor Cost'!$A$2)+L224)+2.25,($J224*H224)+($K224*'Labor Cost'!$A$2)+L224+1)</f>
        <v>25.929705882352941</v>
      </c>
      <c r="N224" s="38">
        <f t="shared" si="85"/>
        <v>32.412132352941178</v>
      </c>
      <c r="O224" s="38">
        <f t="shared" si="86"/>
        <v>33.708617647058823</v>
      </c>
      <c r="P224" s="38">
        <f t="shared" si="87"/>
        <v>35.005102941176474</v>
      </c>
      <c r="Q224" s="38">
        <f t="shared" si="88"/>
        <v>36.301588235294112</v>
      </c>
      <c r="R224" s="38">
        <f t="shared" si="89"/>
        <v>37.598073529411764</v>
      </c>
      <c r="S224" s="38">
        <f t="shared" si="92"/>
        <v>32.5</v>
      </c>
      <c r="T224" s="38">
        <f t="shared" si="93"/>
        <v>33.75</v>
      </c>
      <c r="U224" s="38">
        <f t="shared" si="94"/>
        <v>35</v>
      </c>
      <c r="V224" s="38">
        <f t="shared" si="98"/>
        <v>36.25</v>
      </c>
      <c r="W224" s="38">
        <f t="shared" si="98"/>
        <v>37.5</v>
      </c>
    </row>
    <row r="225" spans="1:23" ht="21" customHeight="1" x14ac:dyDescent="0.2">
      <c r="A225" s="19" t="s">
        <v>1072</v>
      </c>
      <c r="B225" s="19" t="s">
        <v>298</v>
      </c>
      <c r="C225" s="32" t="s">
        <v>1061</v>
      </c>
      <c r="D225" s="32" t="s">
        <v>393</v>
      </c>
      <c r="E225" s="20" t="s">
        <v>395</v>
      </c>
      <c r="F225" s="20" t="s">
        <v>411</v>
      </c>
      <c r="G225" s="33">
        <v>8.5</v>
      </c>
      <c r="H225" s="34">
        <f>VLOOKUP($C225,'Raw Cost'!$A$1:$B$483,2,FALSE)/G225</f>
        <v>0</v>
      </c>
      <c r="I225" s="34">
        <f t="shared" ref="I225" si="103">H225/16</f>
        <v>0</v>
      </c>
      <c r="J225" s="35">
        <v>7.18</v>
      </c>
      <c r="K225" s="35">
        <v>0.25</v>
      </c>
      <c r="L225" s="36">
        <f>VLOOKUP($F225,'Packaging Cost'!$A$1:$F$43,6,FALSE)</f>
        <v>2.6</v>
      </c>
      <c r="M225" s="37">
        <f>IF($E225="Snakpak",(($J225*H225)+($K225*'Labor Cost'!$A$2)+L225)+2.25,($J225*H225)+($K225*'Labor Cost'!$A$2)+L225+1)</f>
        <v>10.725</v>
      </c>
      <c r="N225" s="38">
        <f t="shared" si="85"/>
        <v>13.40625</v>
      </c>
      <c r="O225" s="38">
        <f t="shared" si="86"/>
        <v>13.942500000000001</v>
      </c>
      <c r="P225" s="38">
        <f t="shared" si="87"/>
        <v>14.47875</v>
      </c>
      <c r="Q225" s="38">
        <f t="shared" si="88"/>
        <v>15.014999999999999</v>
      </c>
      <c r="R225" s="38">
        <f t="shared" si="89"/>
        <v>15.55125</v>
      </c>
      <c r="S225" s="38">
        <f t="shared" si="92"/>
        <v>13.5</v>
      </c>
      <c r="T225" s="38">
        <f t="shared" si="93"/>
        <v>14</v>
      </c>
      <c r="U225" s="38">
        <f t="shared" si="94"/>
        <v>14.5</v>
      </c>
      <c r="V225" s="38">
        <f t="shared" ref="V225" si="104">MROUND(Q225,0.25)</f>
        <v>15</v>
      </c>
      <c r="W225" s="38">
        <f t="shared" si="98"/>
        <v>15.5</v>
      </c>
    </row>
    <row r="226" spans="1:23" ht="21" customHeight="1" x14ac:dyDescent="0.2">
      <c r="A226" s="19" t="s">
        <v>136</v>
      </c>
      <c r="B226" s="19" t="s">
        <v>301</v>
      </c>
      <c r="C226" s="20" t="s">
        <v>48</v>
      </c>
      <c r="D226" s="20" t="s">
        <v>393</v>
      </c>
      <c r="E226" s="20" t="s">
        <v>395</v>
      </c>
      <c r="F226" s="20" t="s">
        <v>411</v>
      </c>
      <c r="G226" s="33">
        <v>39</v>
      </c>
      <c r="H226" s="34">
        <f>VLOOKUP($C226,'Raw Cost'!$A$1:$B$483,2,FALSE)/G226</f>
        <v>0.5641025641025641</v>
      </c>
      <c r="I226" s="34">
        <f t="shared" si="97"/>
        <v>3.5256410256410256E-2</v>
      </c>
      <c r="J226" s="35">
        <v>6.25</v>
      </c>
      <c r="K226" s="35">
        <v>0.27</v>
      </c>
      <c r="L226" s="36">
        <f>VLOOKUP($F226,'Packaging Cost'!$A$1:$F$43,6,FALSE)</f>
        <v>2.6</v>
      </c>
      <c r="M226" s="37">
        <f>IF($E226="Snakpak",(($J226*H226)+($K226*'Labor Cost'!$A$2)+L226)+2.25,($J226*H226)+($K226*'Labor Cost'!$A$2)+L226+1)</f>
        <v>14.720641025641026</v>
      </c>
      <c r="N226" s="38">
        <f t="shared" si="85"/>
        <v>18.400801282051283</v>
      </c>
      <c r="O226" s="38">
        <f t="shared" si="86"/>
        <v>19.136833333333335</v>
      </c>
      <c r="P226" s="38">
        <f t="shared" si="87"/>
        <v>19.872865384615388</v>
      </c>
      <c r="Q226" s="38">
        <f t="shared" si="88"/>
        <v>20.608897435897436</v>
      </c>
      <c r="R226" s="38">
        <f t="shared" si="89"/>
        <v>21.344929487179488</v>
      </c>
      <c r="S226" s="38">
        <f t="shared" si="92"/>
        <v>18.5</v>
      </c>
      <c r="T226" s="38">
        <f t="shared" si="93"/>
        <v>19.25</v>
      </c>
      <c r="U226" s="38">
        <f t="shared" si="94"/>
        <v>19.75</v>
      </c>
      <c r="V226" s="38">
        <f t="shared" si="98"/>
        <v>20.5</v>
      </c>
      <c r="W226" s="38">
        <f t="shared" si="98"/>
        <v>21.25</v>
      </c>
    </row>
    <row r="227" spans="1:23" ht="21" customHeight="1" x14ac:dyDescent="0.2">
      <c r="A227" s="19" t="s">
        <v>137</v>
      </c>
      <c r="B227" s="19" t="s">
        <v>302</v>
      </c>
      <c r="C227" s="20" t="s">
        <v>48</v>
      </c>
      <c r="D227" s="20" t="s">
        <v>394</v>
      </c>
      <c r="E227" s="20" t="s">
        <v>395</v>
      </c>
      <c r="F227" s="20" t="s">
        <v>411</v>
      </c>
      <c r="G227" s="33">
        <v>39</v>
      </c>
      <c r="H227" s="34">
        <f>VLOOKUP($C227,'Raw Cost'!$A$1:$B$483,2,FALSE)/G227</f>
        <v>0.5641025641025641</v>
      </c>
      <c r="I227" s="34">
        <f t="shared" si="97"/>
        <v>3.5256410256410256E-2</v>
      </c>
      <c r="J227" s="35">
        <v>6.25</v>
      </c>
      <c r="K227" s="35">
        <v>0.25</v>
      </c>
      <c r="L227" s="36">
        <f>VLOOKUP($F227,'Packaging Cost'!$A$1:$F$43,6,FALSE)</f>
        <v>2.6</v>
      </c>
      <c r="M227" s="37">
        <f>IF($E227="Snakpak",(($J227*H227)+($K227*'Labor Cost'!$A$2)+L227)+2.25,($J227*H227)+($K227*'Labor Cost'!$A$2)+L227+1)</f>
        <v>14.250641025641025</v>
      </c>
      <c r="N227" s="38">
        <f t="shared" si="85"/>
        <v>32.813301282051285</v>
      </c>
      <c r="O227" s="38">
        <f t="shared" si="86"/>
        <v>33.525833333333338</v>
      </c>
      <c r="P227" s="38">
        <f t="shared" si="87"/>
        <v>34.238365384615385</v>
      </c>
      <c r="Q227" s="38">
        <f t="shared" si="88"/>
        <v>34.950897435897431</v>
      </c>
      <c r="R227" s="38">
        <f t="shared" si="89"/>
        <v>35.663429487179485</v>
      </c>
      <c r="S227" s="38">
        <f t="shared" si="92"/>
        <v>32.75</v>
      </c>
      <c r="T227" s="38">
        <f t="shared" si="93"/>
        <v>33.5</v>
      </c>
      <c r="U227" s="38">
        <f t="shared" si="94"/>
        <v>34.25</v>
      </c>
      <c r="V227" s="38">
        <f t="shared" si="98"/>
        <v>35</v>
      </c>
      <c r="W227" s="38">
        <f t="shared" si="98"/>
        <v>35.75</v>
      </c>
    </row>
    <row r="228" spans="1:23" ht="21" customHeight="1" x14ac:dyDescent="0.2">
      <c r="A228" s="19" t="s">
        <v>158</v>
      </c>
      <c r="B228" s="19" t="s">
        <v>334</v>
      </c>
      <c r="C228" s="20" t="s">
        <v>54</v>
      </c>
      <c r="D228" s="20" t="s">
        <v>394</v>
      </c>
      <c r="E228" s="20" t="s">
        <v>395</v>
      </c>
      <c r="F228" s="20" t="s">
        <v>411</v>
      </c>
      <c r="G228" s="33">
        <v>35</v>
      </c>
      <c r="H228" s="34">
        <f>VLOOKUP($C228,'Raw Cost'!$A$1:$B$483,2,FALSE)/G228</f>
        <v>0.45714285714285713</v>
      </c>
      <c r="I228" s="34">
        <f t="shared" si="97"/>
        <v>2.8571428571428571E-2</v>
      </c>
      <c r="J228" s="35">
        <v>6.25</v>
      </c>
      <c r="K228" s="35">
        <v>0.3</v>
      </c>
      <c r="L228" s="36">
        <f>VLOOKUP($F228,'Packaging Cost'!$A$1:$F$43,6,FALSE)</f>
        <v>2.6</v>
      </c>
      <c r="M228" s="37">
        <f>IF($E228="Snakpak",(($J228*H228)+($K228*'Labor Cost'!$A$2)+L228)+2.25,($J228*H228)+($K228*'Labor Cost'!$A$2)+L228+1)</f>
        <v>14.757142857142856</v>
      </c>
      <c r="N228" s="38">
        <f t="shared" si="85"/>
        <v>33.446428571428569</v>
      </c>
      <c r="O228" s="38">
        <f t="shared" si="86"/>
        <v>34.184285714285714</v>
      </c>
      <c r="P228" s="38">
        <f t="shared" si="87"/>
        <v>34.922142857142859</v>
      </c>
      <c r="Q228" s="38">
        <f t="shared" si="88"/>
        <v>35.659999999999997</v>
      </c>
      <c r="R228" s="38">
        <f t="shared" si="89"/>
        <v>36.397857142857141</v>
      </c>
      <c r="S228" s="38">
        <f t="shared" si="92"/>
        <v>33.5</v>
      </c>
      <c r="T228" s="38">
        <f t="shared" si="93"/>
        <v>34.25</v>
      </c>
      <c r="U228" s="38">
        <f t="shared" si="94"/>
        <v>35</v>
      </c>
      <c r="V228" s="38">
        <f t="shared" si="98"/>
        <v>35.75</v>
      </c>
      <c r="W228" s="38">
        <f t="shared" si="98"/>
        <v>36.5</v>
      </c>
    </row>
    <row r="229" spans="1:23" ht="21" customHeight="1" x14ac:dyDescent="0.2">
      <c r="A229" s="19" t="s">
        <v>157</v>
      </c>
      <c r="B229" s="19" t="s">
        <v>333</v>
      </c>
      <c r="C229" s="20" t="s">
        <v>54</v>
      </c>
      <c r="D229" s="20" t="s">
        <v>393</v>
      </c>
      <c r="E229" s="20" t="s">
        <v>395</v>
      </c>
      <c r="F229" s="20" t="s">
        <v>411</v>
      </c>
      <c r="G229" s="33">
        <v>35</v>
      </c>
      <c r="H229" s="34">
        <f>VLOOKUP($C229,'Raw Cost'!$A$1:$B$483,2,FALSE)/G229</f>
        <v>0.45714285714285713</v>
      </c>
      <c r="I229" s="34">
        <f t="shared" si="97"/>
        <v>2.8571428571428571E-2</v>
      </c>
      <c r="J229" s="35">
        <v>6.25</v>
      </c>
      <c r="K229" s="35">
        <v>0.25</v>
      </c>
      <c r="L229" s="36">
        <f>VLOOKUP($F229,'Packaging Cost'!$A$1:$F$43,6,FALSE)</f>
        <v>2.6</v>
      </c>
      <c r="M229" s="37">
        <f>IF($E229="Snakpak",(($J229*H229)+($K229*'Labor Cost'!$A$2)+L229)+2.25,($J229*H229)+($K229*'Labor Cost'!$A$2)+L229+1)</f>
        <v>13.582142857142857</v>
      </c>
      <c r="N229" s="38">
        <f t="shared" si="85"/>
        <v>16.977678571428573</v>
      </c>
      <c r="O229" s="38">
        <f t="shared" si="86"/>
        <v>17.656785714285714</v>
      </c>
      <c r="P229" s="38">
        <f t="shared" si="87"/>
        <v>18.335892857142859</v>
      </c>
      <c r="Q229" s="38">
        <f t="shared" si="88"/>
        <v>19.015000000000001</v>
      </c>
      <c r="R229" s="38">
        <f t="shared" si="89"/>
        <v>19.694107142857142</v>
      </c>
      <c r="S229" s="38">
        <f t="shared" si="92"/>
        <v>17</v>
      </c>
      <c r="T229" s="38">
        <f t="shared" si="93"/>
        <v>17.75</v>
      </c>
      <c r="U229" s="38">
        <f t="shared" si="94"/>
        <v>18.25</v>
      </c>
      <c r="V229" s="38">
        <f t="shared" si="98"/>
        <v>19</v>
      </c>
      <c r="W229" s="38">
        <f t="shared" si="98"/>
        <v>19.75</v>
      </c>
    </row>
    <row r="230" spans="1:23" ht="21" customHeight="1" x14ac:dyDescent="0.2">
      <c r="A230" s="19" t="s">
        <v>61</v>
      </c>
      <c r="B230" s="19" t="s">
        <v>341</v>
      </c>
      <c r="C230" s="32" t="s">
        <v>58</v>
      </c>
      <c r="D230" s="32" t="s">
        <v>393</v>
      </c>
      <c r="E230" s="20" t="s">
        <v>395</v>
      </c>
      <c r="F230" s="20" t="s">
        <v>411</v>
      </c>
      <c r="G230" s="33">
        <v>8</v>
      </c>
      <c r="H230" s="34">
        <f>VLOOKUP($C230,'Raw Cost'!$A$1:$B$483,2,FALSE)/G230</f>
        <v>2.75</v>
      </c>
      <c r="I230" s="34">
        <f t="shared" si="97"/>
        <v>0.171875</v>
      </c>
      <c r="J230" s="35">
        <v>6.25</v>
      </c>
      <c r="K230" s="35">
        <v>0.25</v>
      </c>
      <c r="L230" s="36">
        <f>VLOOKUP($F230,'Packaging Cost'!$A$1:$F$43,6,FALSE)</f>
        <v>2.6</v>
      </c>
      <c r="M230" s="37">
        <f>IF($E230="Snakpak",(($J230*H230)+($K230*'Labor Cost'!$A$2)+L230)+2.25,($J230*H230)+($K230*'Labor Cost'!$A$2)+L230+1)</f>
        <v>27.912500000000001</v>
      </c>
      <c r="N230" s="38">
        <f t="shared" si="85"/>
        <v>34.890625</v>
      </c>
      <c r="O230" s="38">
        <f t="shared" si="86"/>
        <v>36.286250000000003</v>
      </c>
      <c r="P230" s="38">
        <f t="shared" si="87"/>
        <v>37.681875000000005</v>
      </c>
      <c r="Q230" s="38">
        <f t="shared" si="88"/>
        <v>39.077500000000001</v>
      </c>
      <c r="R230" s="38">
        <f t="shared" si="89"/>
        <v>40.473125000000003</v>
      </c>
      <c r="S230" s="38">
        <f t="shared" si="92"/>
        <v>35</v>
      </c>
      <c r="T230" s="38">
        <f t="shared" si="93"/>
        <v>36.25</v>
      </c>
      <c r="U230" s="38">
        <f t="shared" si="94"/>
        <v>37.75</v>
      </c>
      <c r="V230" s="38">
        <f t="shared" si="98"/>
        <v>39</v>
      </c>
      <c r="W230" s="38">
        <f t="shared" si="98"/>
        <v>40.5</v>
      </c>
    </row>
    <row r="231" spans="1:23" ht="21" customHeight="1" x14ac:dyDescent="0.2">
      <c r="A231" s="19" t="s">
        <v>579</v>
      </c>
      <c r="B231" s="19" t="s">
        <v>580</v>
      </c>
      <c r="C231" s="32" t="s">
        <v>581</v>
      </c>
      <c r="D231" s="32" t="s">
        <v>393</v>
      </c>
      <c r="E231" s="20" t="s">
        <v>395</v>
      </c>
      <c r="F231" s="20" t="s">
        <v>411</v>
      </c>
      <c r="G231" s="33">
        <v>3.75</v>
      </c>
      <c r="H231" s="34">
        <f>VLOOKUP($C231,'Raw Cost'!$A$1:$B$483,2,FALSE)/G231</f>
        <v>6.4</v>
      </c>
      <c r="I231" s="34">
        <f t="shared" ref="I231" si="105">H231/16</f>
        <v>0.4</v>
      </c>
      <c r="J231" s="35">
        <v>6.25</v>
      </c>
      <c r="K231" s="35">
        <v>0.25</v>
      </c>
      <c r="L231" s="36">
        <f>VLOOKUP($F231,'Packaging Cost'!$A$1:$F$43,6,FALSE)</f>
        <v>2.6</v>
      </c>
      <c r="M231" s="37">
        <f>IF($E231="Snakpak",(($J231*H231)+($K231*'Labor Cost'!$A$2)+L231)+2.25,($J231*H231)+($K231*'Labor Cost'!$A$2)+L231+1)</f>
        <v>50.725000000000001</v>
      </c>
      <c r="N231" s="38">
        <f t="shared" si="85"/>
        <v>63.40625</v>
      </c>
      <c r="O231" s="38">
        <f t="shared" si="86"/>
        <v>65.94250000000001</v>
      </c>
      <c r="P231" s="38">
        <f t="shared" si="87"/>
        <v>68.478750000000005</v>
      </c>
      <c r="Q231" s="38">
        <f t="shared" si="88"/>
        <v>71.015000000000001</v>
      </c>
      <c r="R231" s="38">
        <f t="shared" si="89"/>
        <v>73.551249999999996</v>
      </c>
      <c r="S231" s="38">
        <f t="shared" si="92"/>
        <v>63.5</v>
      </c>
      <c r="T231" s="38">
        <f t="shared" si="93"/>
        <v>66</v>
      </c>
      <c r="U231" s="38">
        <f t="shared" si="94"/>
        <v>68.5</v>
      </c>
      <c r="V231" s="38">
        <f t="shared" ref="V231" si="106">MROUND(Q231,0.25)</f>
        <v>71</v>
      </c>
      <c r="W231" s="38">
        <f t="shared" si="98"/>
        <v>73.5</v>
      </c>
    </row>
    <row r="232" spans="1:23" ht="21" customHeight="1" x14ac:dyDescent="0.2">
      <c r="A232" s="19" t="s">
        <v>147</v>
      </c>
      <c r="B232" s="19" t="s">
        <v>318</v>
      </c>
      <c r="C232" s="20" t="s">
        <v>57</v>
      </c>
      <c r="D232" s="20" t="s">
        <v>393</v>
      </c>
      <c r="E232" s="20" t="s">
        <v>395</v>
      </c>
      <c r="F232" s="20" t="s">
        <v>411</v>
      </c>
      <c r="G232" s="33">
        <v>9</v>
      </c>
      <c r="H232" s="34">
        <f>VLOOKUP($C232,'Raw Cost'!$A$1:$B$483,2,FALSE)/G232</f>
        <v>2.7777777777777777</v>
      </c>
      <c r="I232" s="34">
        <f t="shared" si="97"/>
        <v>0.1736111111111111</v>
      </c>
      <c r="J232" s="35">
        <v>6.25</v>
      </c>
      <c r="K232" s="35">
        <v>0.25</v>
      </c>
      <c r="L232" s="36">
        <f>VLOOKUP($F232,'Packaging Cost'!$A$1:$F$43,6,FALSE)</f>
        <v>2.6</v>
      </c>
      <c r="M232" s="37">
        <f>IF($E232="Snakpak",(($J232*H232)+($K232*'Labor Cost'!$A$2)+L232)+2.25,($J232*H232)+($K232*'Labor Cost'!$A$2)+L232+1)</f>
        <v>28.086111111111112</v>
      </c>
      <c r="N232" s="38">
        <f t="shared" si="85"/>
        <v>35.107638888888893</v>
      </c>
      <c r="O232" s="38">
        <f t="shared" si="86"/>
        <v>36.511944444444445</v>
      </c>
      <c r="P232" s="38">
        <f t="shared" si="87"/>
        <v>37.916250000000005</v>
      </c>
      <c r="Q232" s="38">
        <f t="shared" si="88"/>
        <v>39.320555555555558</v>
      </c>
      <c r="R232" s="38">
        <f t="shared" si="89"/>
        <v>40.72486111111111</v>
      </c>
      <c r="S232" s="38">
        <f t="shared" si="92"/>
        <v>35</v>
      </c>
      <c r="T232" s="38">
        <f t="shared" si="93"/>
        <v>36.5</v>
      </c>
      <c r="U232" s="38">
        <f t="shared" si="94"/>
        <v>38</v>
      </c>
      <c r="V232" s="38">
        <f t="shared" si="98"/>
        <v>39.25</v>
      </c>
      <c r="W232" s="38">
        <f t="shared" si="98"/>
        <v>40.75</v>
      </c>
    </row>
    <row r="233" spans="1:23" ht="21" customHeight="1" x14ac:dyDescent="0.2">
      <c r="A233" s="19" t="s">
        <v>599</v>
      </c>
      <c r="B233" s="19" t="s">
        <v>318</v>
      </c>
      <c r="C233" s="20" t="s">
        <v>57</v>
      </c>
      <c r="D233" s="20" t="s">
        <v>393</v>
      </c>
      <c r="E233" s="20" t="s">
        <v>395</v>
      </c>
      <c r="F233" s="20" t="s">
        <v>411</v>
      </c>
      <c r="G233" s="33">
        <v>9</v>
      </c>
      <c r="H233" s="34">
        <f>VLOOKUP($C233,'Raw Cost'!$A$1:$B$483,2,FALSE)/G233</f>
        <v>2.7777777777777777</v>
      </c>
      <c r="I233" s="34">
        <f t="shared" ref="I233" si="107">H233/16</f>
        <v>0.1736111111111111</v>
      </c>
      <c r="J233" s="35">
        <v>12.5</v>
      </c>
      <c r="K233" s="35">
        <v>0.25</v>
      </c>
      <c r="L233" s="36">
        <f>VLOOKUP($F233,'Packaging Cost'!$A$1:$F$43,6,FALSE)</f>
        <v>2.6</v>
      </c>
      <c r="M233" s="37">
        <f>IF($E233="Snakpak",(($J233*H233)+($K233*'Labor Cost'!$A$2)+L233)+2.25,($J233*H233)+($K233*'Labor Cost'!$A$2)+L233+1)</f>
        <v>45.447222222222223</v>
      </c>
      <c r="N233" s="38">
        <f t="shared" si="85"/>
        <v>56.809027777777779</v>
      </c>
      <c r="O233" s="38">
        <f t="shared" si="86"/>
        <v>59.081388888888888</v>
      </c>
      <c r="P233" s="38">
        <f t="shared" si="87"/>
        <v>61.353750000000005</v>
      </c>
      <c r="Q233" s="38">
        <f t="shared" si="88"/>
        <v>63.626111111111108</v>
      </c>
      <c r="R233" s="38">
        <f t="shared" si="89"/>
        <v>65.898472222222225</v>
      </c>
      <c r="S233" s="38">
        <f t="shared" ref="S233:S253" si="108">MROUND(N233,0.25)</f>
        <v>56.75</v>
      </c>
      <c r="T233" s="38">
        <f t="shared" ref="T233:T253" si="109">MROUND(O233,0.25)</f>
        <v>59</v>
      </c>
      <c r="U233" s="38">
        <f t="shared" ref="U233:U253" si="110">MROUND(P233,0.25)</f>
        <v>61.25</v>
      </c>
      <c r="V233" s="38">
        <f t="shared" ref="V233" si="111">MROUND(Q233,0.25)</f>
        <v>63.75</v>
      </c>
      <c r="W233" s="38">
        <f t="shared" si="98"/>
        <v>66</v>
      </c>
    </row>
    <row r="234" spans="1:23" ht="21" customHeight="1" x14ac:dyDescent="0.2">
      <c r="A234" s="19" t="s">
        <v>148</v>
      </c>
      <c r="B234" s="19" t="s">
        <v>319</v>
      </c>
      <c r="C234" s="20" t="s">
        <v>57</v>
      </c>
      <c r="D234" s="20" t="s">
        <v>394</v>
      </c>
      <c r="E234" s="20" t="s">
        <v>395</v>
      </c>
      <c r="F234" s="20" t="s">
        <v>411</v>
      </c>
      <c r="G234" s="33">
        <v>9</v>
      </c>
      <c r="H234" s="34">
        <f>VLOOKUP($C234,'Raw Cost'!$A$1:$B$483,2,FALSE)/G234</f>
        <v>2.7777777777777777</v>
      </c>
      <c r="I234" s="34">
        <f t="shared" si="97"/>
        <v>0.1736111111111111</v>
      </c>
      <c r="J234" s="35">
        <v>6.25</v>
      </c>
      <c r="K234" s="35">
        <v>0.25</v>
      </c>
      <c r="L234" s="36">
        <f>VLOOKUP($F234,'Packaging Cost'!$A$1:$F$43,6,FALSE)</f>
        <v>2.6</v>
      </c>
      <c r="M234" s="37">
        <f>IF($E234="Snakpak",(($J234*H234)+($K234*'Labor Cost'!$A$2)+L234)+2.25,($J234*H234)+($K234*'Labor Cost'!$A$2)+L234+1)</f>
        <v>28.086111111111112</v>
      </c>
      <c r="N234" s="38">
        <f t="shared" si="85"/>
        <v>50.107638888888893</v>
      </c>
      <c r="O234" s="38">
        <f t="shared" si="86"/>
        <v>51.511944444444445</v>
      </c>
      <c r="P234" s="38">
        <f t="shared" si="87"/>
        <v>52.916250000000005</v>
      </c>
      <c r="Q234" s="38">
        <f t="shared" si="88"/>
        <v>54.320555555555558</v>
      </c>
      <c r="R234" s="38">
        <f t="shared" si="89"/>
        <v>55.72486111111111</v>
      </c>
      <c r="S234" s="38">
        <f t="shared" si="108"/>
        <v>50</v>
      </c>
      <c r="T234" s="38">
        <f t="shared" si="109"/>
        <v>51.5</v>
      </c>
      <c r="U234" s="38">
        <f t="shared" si="110"/>
        <v>53</v>
      </c>
      <c r="V234" s="38">
        <f t="shared" si="98"/>
        <v>54.25</v>
      </c>
      <c r="W234" s="38">
        <f t="shared" si="98"/>
        <v>55.75</v>
      </c>
    </row>
    <row r="235" spans="1:23" ht="21" customHeight="1" x14ac:dyDescent="0.2">
      <c r="A235" s="19" t="s">
        <v>163</v>
      </c>
      <c r="B235" s="19" t="s">
        <v>343</v>
      </c>
      <c r="C235" s="32" t="s">
        <v>42</v>
      </c>
      <c r="D235" s="32" t="s">
        <v>393</v>
      </c>
      <c r="E235" s="20" t="s">
        <v>395</v>
      </c>
      <c r="F235" s="20" t="s">
        <v>412</v>
      </c>
      <c r="G235" s="33">
        <v>38</v>
      </c>
      <c r="H235" s="34">
        <f>VLOOKUP($C235,'Raw Cost'!$A$1:$B$483,2,FALSE)/G235</f>
        <v>0.47368421052631576</v>
      </c>
      <c r="I235" s="34">
        <f t="shared" si="97"/>
        <v>2.9605263157894735E-2</v>
      </c>
      <c r="J235" s="35">
        <v>12.5</v>
      </c>
      <c r="K235" s="35">
        <v>0.3</v>
      </c>
      <c r="L235" s="36">
        <f>VLOOKUP($F235,'Packaging Cost'!$A$1:$F$43,6,FALSE)</f>
        <v>4.3499999999999996</v>
      </c>
      <c r="M235" s="37">
        <f>IF($E235="Snakpak",(($J235*H235)+($K235*'Labor Cost'!$A$2)+L235)+2.25,($J235*H235)+($K235*'Labor Cost'!$A$2)+L235+1)</f>
        <v>19.571052631578944</v>
      </c>
      <c r="N235" s="38">
        <f t="shared" si="85"/>
        <v>24.463815789473678</v>
      </c>
      <c r="O235" s="38">
        <f t="shared" si="86"/>
        <v>25.442368421052628</v>
      </c>
      <c r="P235" s="38">
        <f t="shared" si="87"/>
        <v>26.420921052631577</v>
      </c>
      <c r="Q235" s="38">
        <f t="shared" si="88"/>
        <v>27.39947368421052</v>
      </c>
      <c r="R235" s="38">
        <f t="shared" si="89"/>
        <v>28.378026315789466</v>
      </c>
      <c r="S235" s="38">
        <f t="shared" si="108"/>
        <v>24.5</v>
      </c>
      <c r="T235" s="38">
        <f t="shared" si="109"/>
        <v>25.5</v>
      </c>
      <c r="U235" s="38">
        <f t="shared" si="110"/>
        <v>26.5</v>
      </c>
      <c r="V235" s="38">
        <f t="shared" si="98"/>
        <v>27.5</v>
      </c>
      <c r="W235" s="38">
        <f t="shared" si="98"/>
        <v>28.5</v>
      </c>
    </row>
    <row r="236" spans="1:23" ht="21" customHeight="1" x14ac:dyDescent="0.2">
      <c r="A236" s="19" t="s">
        <v>164</v>
      </c>
      <c r="B236" s="19" t="s">
        <v>344</v>
      </c>
      <c r="C236" s="32" t="s">
        <v>42</v>
      </c>
      <c r="D236" s="32" t="s">
        <v>393</v>
      </c>
      <c r="E236" s="20" t="s">
        <v>395</v>
      </c>
      <c r="F236" s="20" t="s">
        <v>411</v>
      </c>
      <c r="G236" s="33">
        <v>38</v>
      </c>
      <c r="H236" s="34">
        <f>VLOOKUP($C236,'Raw Cost'!$A$1:$B$483,2,FALSE)/G236</f>
        <v>0.47368421052631576</v>
      </c>
      <c r="I236" s="34">
        <f t="shared" si="97"/>
        <v>2.9605263157894735E-2</v>
      </c>
      <c r="J236" s="35">
        <v>6.25</v>
      </c>
      <c r="K236" s="35">
        <v>0.25</v>
      </c>
      <c r="L236" s="36">
        <f>VLOOKUP($F236,'Packaging Cost'!$A$1:$F$43,6,FALSE)</f>
        <v>2.6</v>
      </c>
      <c r="M236" s="37">
        <f>IF($E236="Snakpak",(($J236*H236)+($K236*'Labor Cost'!$A$2)+L236)+2.25,($J236*H236)+($K236*'Labor Cost'!$A$2)+L236+1)</f>
        <v>13.685526315789472</v>
      </c>
      <c r="N236" s="38">
        <f t="shared" si="85"/>
        <v>17.106907894736839</v>
      </c>
      <c r="O236" s="38">
        <f t="shared" si="86"/>
        <v>17.791184210526314</v>
      </c>
      <c r="P236" s="38">
        <f t="shared" si="87"/>
        <v>18.475460526315789</v>
      </c>
      <c r="Q236" s="38">
        <f t="shared" si="88"/>
        <v>19.159736842105261</v>
      </c>
      <c r="R236" s="38">
        <f t="shared" si="89"/>
        <v>19.844013157894736</v>
      </c>
      <c r="S236" s="38">
        <f t="shared" si="108"/>
        <v>17</v>
      </c>
      <c r="T236" s="38">
        <f t="shared" si="109"/>
        <v>17.75</v>
      </c>
      <c r="U236" s="38">
        <f t="shared" si="110"/>
        <v>18.5</v>
      </c>
      <c r="V236" s="38">
        <f t="shared" si="98"/>
        <v>19.25</v>
      </c>
      <c r="W236" s="38">
        <f t="shared" si="98"/>
        <v>19.75</v>
      </c>
    </row>
    <row r="237" spans="1:23" ht="21" customHeight="1" x14ac:dyDescent="0.2">
      <c r="A237" s="19" t="s">
        <v>165</v>
      </c>
      <c r="B237" s="19" t="s">
        <v>345</v>
      </c>
      <c r="C237" s="20" t="s">
        <v>42</v>
      </c>
      <c r="D237" s="20" t="s">
        <v>394</v>
      </c>
      <c r="E237" s="20" t="s">
        <v>395</v>
      </c>
      <c r="F237" s="20" t="s">
        <v>411</v>
      </c>
      <c r="G237" s="33">
        <v>38</v>
      </c>
      <c r="H237" s="34">
        <f>VLOOKUP($C237,'Raw Cost'!$A$1:$B$483,2,FALSE)/G237</f>
        <v>0.47368421052631576</v>
      </c>
      <c r="I237" s="34">
        <f t="shared" si="97"/>
        <v>2.9605263157894735E-2</v>
      </c>
      <c r="J237" s="35">
        <v>6.25</v>
      </c>
      <c r="K237" s="35">
        <v>0.5</v>
      </c>
      <c r="L237" s="36">
        <f>VLOOKUP($F237,'Packaging Cost'!$A$1:$F$43,6,FALSE)</f>
        <v>2.6</v>
      </c>
      <c r="M237" s="37">
        <f>IF($E237="Snakpak",(($J237*H237)+($K237*'Labor Cost'!$A$2)+L237)+2.25,($J237*H237)+($K237*'Labor Cost'!$A$2)+L237+1)</f>
        <v>19.560526315789474</v>
      </c>
      <c r="N237" s="38">
        <f t="shared" si="85"/>
        <v>39.450657894736842</v>
      </c>
      <c r="O237" s="38">
        <f t="shared" si="86"/>
        <v>40.428684210526313</v>
      </c>
      <c r="P237" s="38">
        <f t="shared" si="87"/>
        <v>41.406710526315791</v>
      </c>
      <c r="Q237" s="38">
        <f t="shared" si="88"/>
        <v>42.384736842105262</v>
      </c>
      <c r="R237" s="38">
        <f t="shared" si="89"/>
        <v>43.362763157894733</v>
      </c>
      <c r="S237" s="38">
        <f t="shared" si="108"/>
        <v>39.5</v>
      </c>
      <c r="T237" s="38">
        <f t="shared" si="109"/>
        <v>40.5</v>
      </c>
      <c r="U237" s="38">
        <f t="shared" si="110"/>
        <v>41.5</v>
      </c>
      <c r="V237" s="38">
        <f t="shared" si="98"/>
        <v>42.5</v>
      </c>
      <c r="W237" s="38">
        <f t="shared" si="98"/>
        <v>43.25</v>
      </c>
    </row>
    <row r="238" spans="1:23" ht="21" customHeight="1" x14ac:dyDescent="0.2">
      <c r="A238" s="19" t="s">
        <v>575</v>
      </c>
      <c r="B238" s="19" t="s">
        <v>577</v>
      </c>
      <c r="C238" s="32" t="s">
        <v>574</v>
      </c>
      <c r="D238" s="32" t="s">
        <v>393</v>
      </c>
      <c r="E238" s="20" t="s">
        <v>395</v>
      </c>
      <c r="F238" s="20" t="s">
        <v>411</v>
      </c>
      <c r="G238" s="33">
        <v>38</v>
      </c>
      <c r="H238" s="34">
        <f>VLOOKUP($C238,'Raw Cost'!$A$1:$B$483,2,FALSE)/G238</f>
        <v>0.76315789473684215</v>
      </c>
      <c r="I238" s="34">
        <f t="shared" ref="I238:I239" si="112">H238/16</f>
        <v>4.7697368421052634E-2</v>
      </c>
      <c r="J238" s="35">
        <v>6.25</v>
      </c>
      <c r="K238" s="35">
        <v>0.25</v>
      </c>
      <c r="L238" s="36">
        <f>VLOOKUP($F238,'Packaging Cost'!$A$1:$F$43,6,FALSE)</f>
        <v>2.6</v>
      </c>
      <c r="M238" s="37">
        <f>IF($E238="Snakpak",(($J238*H238)+($K238*'Labor Cost'!$A$2)+L238)+2.25,($J238*H238)+($K238*'Labor Cost'!$A$2)+L238+1)</f>
        <v>15.494736842105263</v>
      </c>
      <c r="N238" s="38">
        <f t="shared" si="85"/>
        <v>19.368421052631579</v>
      </c>
      <c r="O238" s="38">
        <f t="shared" si="86"/>
        <v>20.143157894736841</v>
      </c>
      <c r="P238" s="38">
        <f t="shared" si="87"/>
        <v>20.917894736842108</v>
      </c>
      <c r="Q238" s="38">
        <f t="shared" si="88"/>
        <v>21.692631578947367</v>
      </c>
      <c r="R238" s="38">
        <f t="shared" si="89"/>
        <v>22.46736842105263</v>
      </c>
      <c r="S238" s="38">
        <f t="shared" si="108"/>
        <v>19.25</v>
      </c>
      <c r="T238" s="38">
        <f t="shared" si="109"/>
        <v>20.25</v>
      </c>
      <c r="U238" s="38">
        <f t="shared" si="110"/>
        <v>21</v>
      </c>
      <c r="V238" s="38">
        <f t="shared" ref="V238:V239" si="113">MROUND(Q238,0.25)</f>
        <v>21.75</v>
      </c>
      <c r="W238" s="38">
        <f t="shared" si="98"/>
        <v>22.5</v>
      </c>
    </row>
    <row r="239" spans="1:23" ht="21" customHeight="1" x14ac:dyDescent="0.2">
      <c r="A239" s="19" t="s">
        <v>576</v>
      </c>
      <c r="B239" s="19" t="s">
        <v>578</v>
      </c>
      <c r="C239" s="20" t="s">
        <v>574</v>
      </c>
      <c r="D239" s="20" t="s">
        <v>394</v>
      </c>
      <c r="E239" s="20" t="s">
        <v>395</v>
      </c>
      <c r="F239" s="20" t="s">
        <v>411</v>
      </c>
      <c r="G239" s="33">
        <v>38</v>
      </c>
      <c r="H239" s="34">
        <f>VLOOKUP($C239,'Raw Cost'!$A$1:$B$483,2,FALSE)/G239</f>
        <v>0.76315789473684215</v>
      </c>
      <c r="I239" s="34">
        <f t="shared" si="112"/>
        <v>4.7697368421052634E-2</v>
      </c>
      <c r="J239" s="35">
        <v>6.25</v>
      </c>
      <c r="K239" s="35">
        <v>0.25</v>
      </c>
      <c r="L239" s="36">
        <f>VLOOKUP($F239,'Packaging Cost'!$A$1:$F$43,6,FALSE)</f>
        <v>2.6</v>
      </c>
      <c r="M239" s="37">
        <f>IF($E239="Snakpak",(($J239*H239)+($K239*'Labor Cost'!$A$2)+L239)+2.25,($J239*H239)+($K239*'Labor Cost'!$A$2)+L239+1)</f>
        <v>15.494736842105263</v>
      </c>
      <c r="N239" s="38">
        <f t="shared" si="85"/>
        <v>34.368421052631575</v>
      </c>
      <c r="O239" s="38">
        <f t="shared" si="86"/>
        <v>35.143157894736845</v>
      </c>
      <c r="P239" s="38">
        <f t="shared" si="87"/>
        <v>35.917894736842108</v>
      </c>
      <c r="Q239" s="38">
        <f t="shared" si="88"/>
        <v>36.69263157894737</v>
      </c>
      <c r="R239" s="38">
        <f t="shared" si="89"/>
        <v>37.467368421052626</v>
      </c>
      <c r="S239" s="38">
        <f t="shared" si="108"/>
        <v>34.25</v>
      </c>
      <c r="T239" s="38">
        <f t="shared" si="109"/>
        <v>35.25</v>
      </c>
      <c r="U239" s="38">
        <f t="shared" si="110"/>
        <v>36</v>
      </c>
      <c r="V239" s="38">
        <f t="shared" si="113"/>
        <v>36.75</v>
      </c>
      <c r="W239" s="38">
        <f t="shared" si="98"/>
        <v>37.5</v>
      </c>
    </row>
    <row r="240" spans="1:23" ht="21" customHeight="1" x14ac:dyDescent="0.2">
      <c r="A240" s="19" t="s">
        <v>166</v>
      </c>
      <c r="B240" s="19" t="s">
        <v>346</v>
      </c>
      <c r="C240" s="20" t="s">
        <v>415</v>
      </c>
      <c r="D240" s="20" t="s">
        <v>393</v>
      </c>
      <c r="E240" s="20" t="s">
        <v>395</v>
      </c>
      <c r="F240" s="20" t="s">
        <v>411</v>
      </c>
      <c r="G240" s="33">
        <v>38</v>
      </c>
      <c r="H240" s="34">
        <f>VLOOKUP($C240,'Raw Cost'!$A$1:$B$483,2,FALSE)/G240</f>
        <v>0.73684210526315785</v>
      </c>
      <c r="I240" s="34">
        <f t="shared" si="97"/>
        <v>4.6052631578947366E-2</v>
      </c>
      <c r="J240" s="35">
        <v>10.94</v>
      </c>
      <c r="K240" s="35">
        <v>0.25</v>
      </c>
      <c r="L240" s="36">
        <f>VLOOKUP($F240,'Packaging Cost'!$A$1:$F$43,6,FALSE)</f>
        <v>2.6</v>
      </c>
      <c r="M240" s="37">
        <f>IF($E240="Snakpak",(($J240*H240)+($K240*'Labor Cost'!$A$2)+L240)+2.25,($J240*H240)+($K240*'Labor Cost'!$A$2)+L240+1)</f>
        <v>18.786052631578947</v>
      </c>
      <c r="N240" s="38">
        <f t="shared" si="85"/>
        <v>23.482565789473682</v>
      </c>
      <c r="O240" s="38">
        <f t="shared" si="86"/>
        <v>24.421868421052633</v>
      </c>
      <c r="P240" s="38">
        <f t="shared" si="87"/>
        <v>25.36117105263158</v>
      </c>
      <c r="Q240" s="38">
        <f t="shared" si="88"/>
        <v>26.300473684210523</v>
      </c>
      <c r="R240" s="38">
        <f t="shared" si="89"/>
        <v>27.239776315789474</v>
      </c>
      <c r="S240" s="38">
        <f t="shared" si="108"/>
        <v>23.5</v>
      </c>
      <c r="T240" s="38">
        <f t="shared" si="109"/>
        <v>24.5</v>
      </c>
      <c r="U240" s="38">
        <f t="shared" si="110"/>
        <v>25.25</v>
      </c>
      <c r="V240" s="38">
        <f t="shared" si="98"/>
        <v>26.25</v>
      </c>
      <c r="W240" s="38">
        <f t="shared" si="98"/>
        <v>27.25</v>
      </c>
    </row>
    <row r="241" spans="1:23" ht="21" customHeight="1" x14ac:dyDescent="0.2">
      <c r="A241" s="19" t="s">
        <v>502</v>
      </c>
      <c r="B241" s="19" t="s">
        <v>348</v>
      </c>
      <c r="C241" s="32" t="s">
        <v>47</v>
      </c>
      <c r="D241" s="20" t="s">
        <v>393</v>
      </c>
      <c r="E241" s="20" t="s">
        <v>395</v>
      </c>
      <c r="F241" s="20" t="s">
        <v>411</v>
      </c>
      <c r="G241" s="33">
        <v>20</v>
      </c>
      <c r="H241" s="34">
        <f>VLOOKUP($C241,'Raw Cost'!$A$1:$B$483,2,FALSE)/G241</f>
        <v>0.9</v>
      </c>
      <c r="I241" s="34">
        <f t="shared" si="97"/>
        <v>5.6250000000000001E-2</v>
      </c>
      <c r="J241" s="35">
        <v>6.25</v>
      </c>
      <c r="K241" s="35">
        <v>0.27</v>
      </c>
      <c r="L241" s="36">
        <f>VLOOKUP($F241,'Packaging Cost'!$A$1:$F$43,6,FALSE)</f>
        <v>2.6</v>
      </c>
      <c r="M241" s="37">
        <f>IF($E241="Snakpak",(($J241*H241)+($K241*'Labor Cost'!$A$2)+L241)+2.25,($J241*H241)+($K241*'Labor Cost'!$A$2)+L241+1)</f>
        <v>16.82</v>
      </c>
      <c r="N241" s="38">
        <f t="shared" si="85"/>
        <v>21.024999999999999</v>
      </c>
      <c r="O241" s="38">
        <f t="shared" si="86"/>
        <v>21.866</v>
      </c>
      <c r="P241" s="38">
        <f t="shared" si="87"/>
        <v>22.707000000000001</v>
      </c>
      <c r="Q241" s="38">
        <f t="shared" si="88"/>
        <v>23.547999999999998</v>
      </c>
      <c r="R241" s="38">
        <f t="shared" si="89"/>
        <v>24.388999999999999</v>
      </c>
      <c r="S241" s="38">
        <f t="shared" si="108"/>
        <v>21</v>
      </c>
      <c r="T241" s="38">
        <f t="shared" si="109"/>
        <v>21.75</v>
      </c>
      <c r="U241" s="38">
        <f t="shared" si="110"/>
        <v>22.75</v>
      </c>
      <c r="V241" s="38">
        <f t="shared" si="98"/>
        <v>23.5</v>
      </c>
      <c r="W241" s="38">
        <f t="shared" si="98"/>
        <v>24.5</v>
      </c>
    </row>
    <row r="242" spans="1:23" ht="21" customHeight="1" x14ac:dyDescent="0.2">
      <c r="A242" s="19" t="s">
        <v>168</v>
      </c>
      <c r="B242" s="19" t="s">
        <v>349</v>
      </c>
      <c r="C242" s="32" t="s">
        <v>47</v>
      </c>
      <c r="D242" s="32" t="s">
        <v>394</v>
      </c>
      <c r="E242" s="20" t="s">
        <v>395</v>
      </c>
      <c r="F242" s="20" t="s">
        <v>411</v>
      </c>
      <c r="G242" s="33">
        <v>20</v>
      </c>
      <c r="H242" s="34">
        <f>VLOOKUP($C242,'Raw Cost'!$A$1:$B$483,2,FALSE)/G242</f>
        <v>0.9</v>
      </c>
      <c r="I242" s="34">
        <f t="shared" si="97"/>
        <v>5.6250000000000001E-2</v>
      </c>
      <c r="J242" s="35">
        <v>6.25</v>
      </c>
      <c r="K242" s="35">
        <v>0.4</v>
      </c>
      <c r="L242" s="36">
        <f>VLOOKUP($F242,'Packaging Cost'!$A$1:$F$43,6,FALSE)</f>
        <v>2.6</v>
      </c>
      <c r="M242" s="37">
        <f>IF($E242="Snakpak",(($J242*H242)+($K242*'Labor Cost'!$A$2)+L242)+2.25,($J242*H242)+($K242*'Labor Cost'!$A$2)+L242+1)</f>
        <v>19.875</v>
      </c>
      <c r="N242" s="38">
        <f t="shared" si="85"/>
        <v>39.84375</v>
      </c>
      <c r="O242" s="38">
        <f t="shared" si="86"/>
        <v>40.837500000000006</v>
      </c>
      <c r="P242" s="38">
        <f t="shared" si="87"/>
        <v>41.831249999999997</v>
      </c>
      <c r="Q242" s="38">
        <f t="shared" si="88"/>
        <v>42.825000000000003</v>
      </c>
      <c r="R242" s="38">
        <f t="shared" si="89"/>
        <v>43.818749999999994</v>
      </c>
      <c r="S242" s="38">
        <f t="shared" si="108"/>
        <v>39.75</v>
      </c>
      <c r="T242" s="38">
        <f t="shared" si="109"/>
        <v>40.75</v>
      </c>
      <c r="U242" s="38">
        <f t="shared" si="110"/>
        <v>41.75</v>
      </c>
      <c r="V242" s="38">
        <f t="shared" si="98"/>
        <v>42.75</v>
      </c>
      <c r="W242" s="38">
        <f t="shared" si="98"/>
        <v>43.75</v>
      </c>
    </row>
    <row r="243" spans="1:23" ht="21" customHeight="1" x14ac:dyDescent="0.2">
      <c r="A243" s="19" t="s">
        <v>437</v>
      </c>
      <c r="B243" s="19" t="s">
        <v>438</v>
      </c>
      <c r="C243" s="20" t="s">
        <v>436</v>
      </c>
      <c r="D243" s="20" t="s">
        <v>393</v>
      </c>
      <c r="E243" s="20" t="s">
        <v>395</v>
      </c>
      <c r="F243" s="20" t="s">
        <v>411</v>
      </c>
      <c r="G243" s="33">
        <v>23</v>
      </c>
      <c r="H243" s="34">
        <f>VLOOKUP($C243,'Raw Cost'!$A$1:$B$483,2,FALSE)/G243</f>
        <v>0</v>
      </c>
      <c r="I243" s="34">
        <f t="shared" si="97"/>
        <v>0</v>
      </c>
      <c r="J243" s="35">
        <v>11</v>
      </c>
      <c r="K243" s="35">
        <v>0.25</v>
      </c>
      <c r="L243" s="36">
        <f>VLOOKUP($F243,'Packaging Cost'!$A$1:$F$43,6,FALSE)</f>
        <v>2.6</v>
      </c>
      <c r="M243" s="37">
        <f>IF($E243="Snakpak",(($J243*H243)+($K243*'Labor Cost'!$A$2)+L243)+2.25,($J243*H243)+($K243*'Labor Cost'!$A$2)+L243+1)</f>
        <v>10.725</v>
      </c>
      <c r="N243" s="38">
        <f t="shared" si="85"/>
        <v>13.40625</v>
      </c>
      <c r="O243" s="38">
        <f t="shared" si="86"/>
        <v>13.942500000000001</v>
      </c>
      <c r="P243" s="38">
        <f t="shared" si="87"/>
        <v>14.47875</v>
      </c>
      <c r="Q243" s="38">
        <f t="shared" si="88"/>
        <v>15.014999999999999</v>
      </c>
      <c r="R243" s="38">
        <f t="shared" si="89"/>
        <v>15.55125</v>
      </c>
      <c r="S243" s="38">
        <f t="shared" si="108"/>
        <v>13.5</v>
      </c>
      <c r="T243" s="38">
        <f t="shared" si="109"/>
        <v>14</v>
      </c>
      <c r="U243" s="38">
        <f t="shared" si="110"/>
        <v>14.5</v>
      </c>
      <c r="V243" s="38">
        <f t="shared" si="98"/>
        <v>15</v>
      </c>
      <c r="W243" s="38">
        <f t="shared" si="98"/>
        <v>15.5</v>
      </c>
    </row>
    <row r="244" spans="1:23" ht="21" customHeight="1" x14ac:dyDescent="0.2">
      <c r="A244" s="19" t="s">
        <v>1085</v>
      </c>
      <c r="B244" s="19" t="s">
        <v>353</v>
      </c>
      <c r="C244" s="20" t="s">
        <v>1086</v>
      </c>
      <c r="D244" s="20" t="s">
        <v>393</v>
      </c>
      <c r="E244" s="20" t="s">
        <v>395</v>
      </c>
      <c r="F244" s="20" t="s">
        <v>411</v>
      </c>
      <c r="G244" s="33">
        <v>15</v>
      </c>
      <c r="H244" s="34">
        <f>VLOOKUP($C244,'Raw Cost'!$A$1:$B$483,2,FALSE)/G244</f>
        <v>3</v>
      </c>
      <c r="I244" s="34">
        <f t="shared" ref="I244:I246" si="114">H244/16</f>
        <v>0.1875</v>
      </c>
      <c r="J244" s="35">
        <v>6.25</v>
      </c>
      <c r="K244" s="35">
        <v>0.25</v>
      </c>
      <c r="L244" s="36">
        <f>VLOOKUP($F244,'Packaging Cost'!$A$1:$F$43,6,FALSE)</f>
        <v>2.6</v>
      </c>
      <c r="M244" s="37">
        <f>IF($E244="Snakpak",(($J244*H244)+($K244*'Labor Cost'!$A$2)+L244)+2.25,($J244*H244)+($K244*'Labor Cost'!$A$2)+L244+1)</f>
        <v>29.475000000000001</v>
      </c>
      <c r="N244" s="38">
        <f t="shared" si="85"/>
        <v>36.84375</v>
      </c>
      <c r="O244" s="38">
        <f t="shared" si="86"/>
        <v>38.317500000000003</v>
      </c>
      <c r="P244" s="38">
        <f t="shared" si="87"/>
        <v>39.791250000000005</v>
      </c>
      <c r="Q244" s="38">
        <f t="shared" si="88"/>
        <v>41.265000000000001</v>
      </c>
      <c r="R244" s="38">
        <f t="shared" si="89"/>
        <v>42.738750000000003</v>
      </c>
      <c r="S244" s="38">
        <f t="shared" si="108"/>
        <v>36.75</v>
      </c>
      <c r="T244" s="38">
        <f t="shared" si="109"/>
        <v>38.25</v>
      </c>
      <c r="U244" s="38">
        <f t="shared" si="110"/>
        <v>39.75</v>
      </c>
      <c r="V244" s="38">
        <f t="shared" si="98"/>
        <v>41.25</v>
      </c>
      <c r="W244" s="38">
        <f t="shared" si="98"/>
        <v>42.75</v>
      </c>
    </row>
    <row r="245" spans="1:23" ht="21" customHeight="1" x14ac:dyDescent="0.2">
      <c r="A245" s="19" t="s">
        <v>170</v>
      </c>
      <c r="B245" s="19" t="s">
        <v>351</v>
      </c>
      <c r="C245" s="32" t="s">
        <v>59</v>
      </c>
      <c r="D245" s="20" t="s">
        <v>393</v>
      </c>
      <c r="E245" s="20" t="s">
        <v>395</v>
      </c>
      <c r="F245" s="20" t="s">
        <v>411</v>
      </c>
      <c r="G245" s="33">
        <v>7</v>
      </c>
      <c r="H245" s="34">
        <f>VLOOKUP($C245,'Raw Cost'!$A$1:$B$483,2,FALSE)/G245</f>
        <v>1.4285714285714286</v>
      </c>
      <c r="I245" s="34">
        <f t="shared" si="114"/>
        <v>8.9285714285714288E-2</v>
      </c>
      <c r="J245" s="35">
        <v>6.25</v>
      </c>
      <c r="K245" s="35">
        <v>0.25</v>
      </c>
      <c r="L245" s="36">
        <f>VLOOKUP($F245,'Packaging Cost'!$A$1:$F$43,6,FALSE)</f>
        <v>2.6</v>
      </c>
      <c r="M245" s="37">
        <f>IF($E245="Snakpak",(($J245*H245)+($K245*'Labor Cost'!$A$2)+L245)+2.25,($J245*H245)+($K245*'Labor Cost'!$A$2)+L245+1)</f>
        <v>19.653571428571428</v>
      </c>
      <c r="N245" s="38">
        <f t="shared" si="85"/>
        <v>24.566964285714285</v>
      </c>
      <c r="O245" s="38">
        <f t="shared" si="86"/>
        <v>25.549642857142857</v>
      </c>
      <c r="P245" s="38">
        <f t="shared" si="87"/>
        <v>26.532321428571429</v>
      </c>
      <c r="Q245" s="38">
        <f t="shared" si="88"/>
        <v>27.514999999999997</v>
      </c>
      <c r="R245" s="38">
        <f t="shared" si="89"/>
        <v>28.497678571428569</v>
      </c>
      <c r="S245" s="38">
        <f t="shared" si="108"/>
        <v>24.5</v>
      </c>
      <c r="T245" s="38">
        <f t="shared" si="109"/>
        <v>25.5</v>
      </c>
      <c r="U245" s="38">
        <f t="shared" si="110"/>
        <v>26.5</v>
      </c>
      <c r="V245" s="38">
        <f t="shared" si="98"/>
        <v>27.5</v>
      </c>
      <c r="W245" s="38">
        <f t="shared" si="98"/>
        <v>28.5</v>
      </c>
    </row>
    <row r="246" spans="1:23" ht="21" customHeight="1" x14ac:dyDescent="0.2">
      <c r="A246" s="19" t="s">
        <v>177</v>
      </c>
      <c r="B246" s="19" t="s">
        <v>363</v>
      </c>
      <c r="C246" s="20" t="s">
        <v>55</v>
      </c>
      <c r="D246" s="20" t="s">
        <v>394</v>
      </c>
      <c r="E246" s="20" t="s">
        <v>395</v>
      </c>
      <c r="F246" s="20" t="s">
        <v>411</v>
      </c>
      <c r="G246" s="33">
        <v>17</v>
      </c>
      <c r="H246" s="34">
        <f>VLOOKUP($C246,'Raw Cost'!$A$1:$B$483,2,FALSE)/G246</f>
        <v>0.82352941176470584</v>
      </c>
      <c r="I246" s="34">
        <f t="shared" si="114"/>
        <v>5.1470588235294115E-2</v>
      </c>
      <c r="J246" s="35">
        <v>6.25</v>
      </c>
      <c r="K246" s="35">
        <v>0.3</v>
      </c>
      <c r="L246" s="36">
        <f>VLOOKUP($F246,'Packaging Cost'!$A$1:$F$43,6,FALSE)</f>
        <v>2.6</v>
      </c>
      <c r="M246" s="37">
        <f>IF($E246="Snakpak",(($J246*H246)+($K246*'Labor Cost'!$A$2)+L246)+2.25,($J246*H246)+($K246*'Labor Cost'!$A$2)+L246+1)</f>
        <v>17.047058823529412</v>
      </c>
      <c r="N246" s="38">
        <f t="shared" si="85"/>
        <v>36.308823529411768</v>
      </c>
      <c r="O246" s="38">
        <f t="shared" si="86"/>
        <v>37.161176470588231</v>
      </c>
      <c r="P246" s="38">
        <f t="shared" si="87"/>
        <v>38.013529411764708</v>
      </c>
      <c r="Q246" s="38">
        <f t="shared" si="88"/>
        <v>38.865882352941171</v>
      </c>
      <c r="R246" s="38">
        <f t="shared" si="89"/>
        <v>39.718235294117648</v>
      </c>
      <c r="S246" s="38">
        <f t="shared" si="108"/>
        <v>36.25</v>
      </c>
      <c r="T246" s="38">
        <f t="shared" si="109"/>
        <v>37.25</v>
      </c>
      <c r="U246" s="38">
        <f t="shared" si="110"/>
        <v>38</v>
      </c>
      <c r="V246" s="38">
        <f t="shared" si="98"/>
        <v>38.75</v>
      </c>
      <c r="W246" s="38">
        <f t="shared" si="98"/>
        <v>39.75</v>
      </c>
    </row>
    <row r="247" spans="1:23" ht="21" customHeight="1" x14ac:dyDescent="0.2">
      <c r="A247" s="19" t="s">
        <v>176</v>
      </c>
      <c r="B247" s="19" t="s">
        <v>362</v>
      </c>
      <c r="C247" s="20" t="s">
        <v>55</v>
      </c>
      <c r="D247" s="20" t="s">
        <v>393</v>
      </c>
      <c r="E247" s="20" t="s">
        <v>395</v>
      </c>
      <c r="F247" s="20" t="s">
        <v>411</v>
      </c>
      <c r="G247" s="33">
        <v>17</v>
      </c>
      <c r="H247" s="34">
        <f>VLOOKUP($C247,'Raw Cost'!$A$1:$B$483,2,FALSE)/G247</f>
        <v>0.82352941176470584</v>
      </c>
      <c r="I247" s="34">
        <f t="shared" ref="I247:I248" si="115">H247/16</f>
        <v>5.1470588235294115E-2</v>
      </c>
      <c r="J247" s="35">
        <v>6.25</v>
      </c>
      <c r="K247" s="35">
        <v>0.3</v>
      </c>
      <c r="L247" s="36">
        <f>VLOOKUP($F247,'Packaging Cost'!$A$1:$F$43,6,FALSE)</f>
        <v>2.6</v>
      </c>
      <c r="M247" s="37">
        <f>IF($E247="Snakpak",(($J247*H247)+($K247*'Labor Cost'!$A$2)+L247)+2.25,($J247*H247)+($K247*'Labor Cost'!$A$2)+L247+1)</f>
        <v>17.047058823529412</v>
      </c>
      <c r="N247" s="38">
        <f t="shared" si="85"/>
        <v>21.308823529411764</v>
      </c>
      <c r="O247" s="38">
        <f t="shared" si="86"/>
        <v>22.161176470588234</v>
      </c>
      <c r="P247" s="38">
        <f t="shared" si="87"/>
        <v>23.013529411764708</v>
      </c>
      <c r="Q247" s="38">
        <f t="shared" si="88"/>
        <v>23.865882352941174</v>
      </c>
      <c r="R247" s="38">
        <f t="shared" si="89"/>
        <v>24.718235294117648</v>
      </c>
      <c r="S247" s="38">
        <f t="shared" si="108"/>
        <v>21.25</v>
      </c>
      <c r="T247" s="38">
        <f t="shared" si="109"/>
        <v>22.25</v>
      </c>
      <c r="U247" s="38">
        <f t="shared" si="110"/>
        <v>23</v>
      </c>
      <c r="V247" s="38">
        <f t="shared" ref="V247:W253" si="116">MROUND(Q247,0.25)</f>
        <v>23.75</v>
      </c>
      <c r="W247" s="38">
        <f t="shared" si="116"/>
        <v>24.75</v>
      </c>
    </row>
    <row r="248" spans="1:23" ht="21" customHeight="1" x14ac:dyDescent="0.2">
      <c r="A248" s="19" t="s">
        <v>1036</v>
      </c>
      <c r="B248" s="19" t="s">
        <v>348</v>
      </c>
      <c r="C248" s="32" t="s">
        <v>52</v>
      </c>
      <c r="D248" s="20" t="s">
        <v>393</v>
      </c>
      <c r="E248" s="20" t="s">
        <v>395</v>
      </c>
      <c r="F248" s="20" t="s">
        <v>411</v>
      </c>
      <c r="G248" s="33">
        <v>30</v>
      </c>
      <c r="H248" s="34">
        <f>VLOOKUP($C248,'Raw Cost'!$A$1:$B$483,2,FALSE)/G248</f>
        <v>1.0666666666666667</v>
      </c>
      <c r="I248" s="34">
        <f t="shared" si="115"/>
        <v>6.6666666666666666E-2</v>
      </c>
      <c r="J248" s="35">
        <v>6.25</v>
      </c>
      <c r="K248" s="35">
        <v>0.27</v>
      </c>
      <c r="L248" s="36">
        <f>VLOOKUP($F248,'Packaging Cost'!$A$1:$F$43,6,FALSE)</f>
        <v>2.6</v>
      </c>
      <c r="M248" s="37">
        <f>IF($E248="Snakpak",(($J248*H248)+($K248*'Labor Cost'!$A$2)+L248)+2.25,($J248*H248)+($K248*'Labor Cost'!$A$2)+L248+1)</f>
        <v>17.861666666666665</v>
      </c>
      <c r="N248" s="38">
        <f t="shared" si="85"/>
        <v>22.327083333333331</v>
      </c>
      <c r="O248" s="38">
        <f t="shared" si="86"/>
        <v>23.220166666666664</v>
      </c>
      <c r="P248" s="38">
        <f t="shared" si="87"/>
        <v>24.113249999999997</v>
      </c>
      <c r="Q248" s="38">
        <f t="shared" si="88"/>
        <v>25.00633333333333</v>
      </c>
      <c r="R248" s="38">
        <f t="shared" si="89"/>
        <v>25.899416666666664</v>
      </c>
      <c r="S248" s="38">
        <f t="shared" si="108"/>
        <v>22.25</v>
      </c>
      <c r="T248" s="38">
        <f t="shared" si="109"/>
        <v>23.25</v>
      </c>
      <c r="U248" s="38">
        <f t="shared" si="110"/>
        <v>24</v>
      </c>
      <c r="V248" s="38">
        <f t="shared" si="116"/>
        <v>25</v>
      </c>
      <c r="W248" s="38">
        <f t="shared" si="116"/>
        <v>26</v>
      </c>
    </row>
    <row r="249" spans="1:23" ht="21" customHeight="1" x14ac:dyDescent="0.2">
      <c r="A249" s="19" t="s">
        <v>1037</v>
      </c>
      <c r="B249" s="19" t="s">
        <v>348</v>
      </c>
      <c r="C249" s="32" t="s">
        <v>1055</v>
      </c>
      <c r="D249" s="20" t="s">
        <v>393</v>
      </c>
      <c r="E249" s="20" t="s">
        <v>395</v>
      </c>
      <c r="F249" s="20" t="s">
        <v>411</v>
      </c>
      <c r="G249" s="33">
        <v>9</v>
      </c>
      <c r="H249" s="34">
        <f>VLOOKUP($C249,'Raw Cost'!$A$1:$B$483,2,FALSE)/G249</f>
        <v>2.6666666666666665</v>
      </c>
      <c r="I249" s="34">
        <f t="shared" ref="I249:I251" si="117">H249/16</f>
        <v>0.16666666666666666</v>
      </c>
      <c r="J249" s="35">
        <v>6.25</v>
      </c>
      <c r="K249" s="35">
        <v>0.25</v>
      </c>
      <c r="L249" s="36">
        <f>VLOOKUP($F249,'Packaging Cost'!$A$1:$F$43,6,FALSE)</f>
        <v>2.6</v>
      </c>
      <c r="M249" s="37">
        <f>IF($E249="Snakpak",(($J249*H249)+($K249*'Labor Cost'!$A$2)+L249)+2.25,($J249*H249)+($K249*'Labor Cost'!$A$2)+L249+1)</f>
        <v>27.391666666666666</v>
      </c>
      <c r="N249" s="38">
        <f t="shared" si="85"/>
        <v>34.239583333333329</v>
      </c>
      <c r="O249" s="38">
        <f t="shared" si="86"/>
        <v>35.609166666666667</v>
      </c>
      <c r="P249" s="38">
        <f t="shared" si="87"/>
        <v>36.978749999999998</v>
      </c>
      <c r="Q249" s="38">
        <f t="shared" si="88"/>
        <v>38.348333333333329</v>
      </c>
      <c r="R249" s="38">
        <f t="shared" si="89"/>
        <v>39.717916666666667</v>
      </c>
      <c r="S249" s="38">
        <f t="shared" si="108"/>
        <v>34.25</v>
      </c>
      <c r="T249" s="38">
        <f t="shared" si="109"/>
        <v>35.5</v>
      </c>
      <c r="U249" s="38">
        <f t="shared" si="110"/>
        <v>37</v>
      </c>
      <c r="V249" s="38">
        <f t="shared" ref="V249:V255" si="118">MROUND(Q249,0.25)</f>
        <v>38.25</v>
      </c>
      <c r="W249" s="38">
        <f t="shared" si="116"/>
        <v>39.75</v>
      </c>
    </row>
    <row r="250" spans="1:23" ht="21" customHeight="1" x14ac:dyDescent="0.2">
      <c r="A250" s="19" t="s">
        <v>1038</v>
      </c>
      <c r="B250" s="19" t="s">
        <v>299</v>
      </c>
      <c r="C250" s="20" t="s">
        <v>1053</v>
      </c>
      <c r="D250" s="20" t="s">
        <v>393</v>
      </c>
      <c r="E250" s="20" t="s">
        <v>395</v>
      </c>
      <c r="F250" s="20" t="s">
        <v>411</v>
      </c>
      <c r="G250" s="33">
        <v>5</v>
      </c>
      <c r="H250" s="34">
        <f>VLOOKUP($C250,'Raw Cost'!$A$1:$B$483,2,FALSE)/G250</f>
        <v>10</v>
      </c>
      <c r="I250" s="34">
        <f t="shared" si="117"/>
        <v>0.625</v>
      </c>
      <c r="J250" s="35">
        <v>6.25</v>
      </c>
      <c r="K250" s="35">
        <v>0.35</v>
      </c>
      <c r="L250" s="36">
        <f>VLOOKUP($F250,'Packaging Cost'!$A$1:$F$43,6,FALSE)</f>
        <v>2.6</v>
      </c>
      <c r="M250" s="37">
        <f>IF($E250="Snakpak",(($J250*H250)+($K250*'Labor Cost'!$A$2)+L250)+2.25,($J250*H250)+($K250*'Labor Cost'!$A$2)+L250+1)</f>
        <v>75.574999999999989</v>
      </c>
      <c r="N250" s="38">
        <f t="shared" si="85"/>
        <v>94.468749999999986</v>
      </c>
      <c r="O250" s="38">
        <f t="shared" si="86"/>
        <v>98.247499999999988</v>
      </c>
      <c r="P250" s="38">
        <f t="shared" si="87"/>
        <v>102.02624999999999</v>
      </c>
      <c r="Q250" s="38">
        <f t="shared" si="88"/>
        <v>105.80499999999998</v>
      </c>
      <c r="R250" s="38">
        <f t="shared" si="89"/>
        <v>109.58374999999998</v>
      </c>
      <c r="S250" s="38">
        <f t="shared" si="108"/>
        <v>94.5</v>
      </c>
      <c r="T250" s="38">
        <f t="shared" si="109"/>
        <v>98.25</v>
      </c>
      <c r="U250" s="38">
        <f t="shared" si="110"/>
        <v>102</v>
      </c>
      <c r="V250" s="38">
        <f t="shared" si="118"/>
        <v>105.75</v>
      </c>
      <c r="W250" s="38">
        <f t="shared" si="116"/>
        <v>109.5</v>
      </c>
    </row>
    <row r="251" spans="1:23" ht="21" customHeight="1" x14ac:dyDescent="0.2">
      <c r="A251" s="19" t="s">
        <v>1039</v>
      </c>
      <c r="B251" s="19" t="s">
        <v>253</v>
      </c>
      <c r="C251" s="32" t="s">
        <v>1054</v>
      </c>
      <c r="D251" s="32" t="s">
        <v>393</v>
      </c>
      <c r="E251" s="20" t="s">
        <v>395</v>
      </c>
      <c r="F251" s="20" t="s">
        <v>411</v>
      </c>
      <c r="G251" s="33">
        <v>9</v>
      </c>
      <c r="H251" s="34">
        <f>VLOOKUP($C251,'Raw Cost'!$A$1:$B$483,2,FALSE)/G251</f>
        <v>2.7777777777777777</v>
      </c>
      <c r="I251" s="34">
        <f t="shared" si="117"/>
        <v>0.1736111111111111</v>
      </c>
      <c r="J251" s="35">
        <v>6.25</v>
      </c>
      <c r="K251" s="35">
        <v>0.25</v>
      </c>
      <c r="L251" s="36">
        <f>VLOOKUP($F251,'Packaging Cost'!$A$1:$F$43,6,FALSE)</f>
        <v>2.6</v>
      </c>
      <c r="M251" s="37">
        <f>IF($E251="Snakpak",(($J251*H251)+($K251*'Labor Cost'!$A$2)+L251)+2.25,($J251*H251)+($K251*'Labor Cost'!$A$2)+L251+1)</f>
        <v>28.086111111111112</v>
      </c>
      <c r="N251" s="38">
        <f t="shared" si="85"/>
        <v>35.107638888888893</v>
      </c>
      <c r="O251" s="38">
        <f t="shared" si="86"/>
        <v>36.511944444444445</v>
      </c>
      <c r="P251" s="38">
        <f t="shared" si="87"/>
        <v>37.916250000000005</v>
      </c>
      <c r="Q251" s="38">
        <f t="shared" si="88"/>
        <v>39.320555555555558</v>
      </c>
      <c r="R251" s="38">
        <f t="shared" si="89"/>
        <v>40.72486111111111</v>
      </c>
      <c r="S251" s="38">
        <f t="shared" si="108"/>
        <v>35</v>
      </c>
      <c r="T251" s="38">
        <f t="shared" si="109"/>
        <v>36.5</v>
      </c>
      <c r="U251" s="38">
        <f t="shared" si="110"/>
        <v>38</v>
      </c>
      <c r="V251" s="38">
        <f t="shared" si="118"/>
        <v>39.25</v>
      </c>
      <c r="W251" s="38">
        <f t="shared" si="116"/>
        <v>40.75</v>
      </c>
    </row>
    <row r="252" spans="1:23" ht="21" customHeight="1" x14ac:dyDescent="0.2">
      <c r="A252" s="19" t="s">
        <v>1040</v>
      </c>
      <c r="B252" s="19" t="s">
        <v>251</v>
      </c>
      <c r="C252" s="32" t="s">
        <v>19</v>
      </c>
      <c r="D252" s="32" t="s">
        <v>393</v>
      </c>
      <c r="E252" s="20" t="s">
        <v>397</v>
      </c>
      <c r="F252" s="20" t="s">
        <v>409</v>
      </c>
      <c r="G252" s="33">
        <v>18</v>
      </c>
      <c r="H252" s="34">
        <f>VLOOKUP($C252,'Raw Cost'!$A$1:$B$483,2,FALSE)/G252</f>
        <v>1.8888888888888888</v>
      </c>
      <c r="I252" s="34">
        <f>H252/16</f>
        <v>0.11805555555555555</v>
      </c>
      <c r="J252" s="35">
        <v>5</v>
      </c>
      <c r="K252" s="35">
        <v>0.25</v>
      </c>
      <c r="L252" s="36">
        <f>VLOOKUP($F252,'Packaging Cost'!$A$1:$F$43,6,FALSE)</f>
        <v>1.7600000000000002</v>
      </c>
      <c r="M252" s="37">
        <f>IF($E252="Snakpak",(($J252*H252)+($K252*'Labor Cost'!$A$2)+L252)+2.25,($J252*H252)+($K252*'Labor Cost'!$A$2)+L252+1)</f>
        <v>18.079444444444444</v>
      </c>
      <c r="N252" s="38">
        <f t="shared" si="85"/>
        <v>22.599305555555556</v>
      </c>
      <c r="O252" s="38">
        <f t="shared" si="86"/>
        <v>23.503277777777779</v>
      </c>
      <c r="P252" s="38">
        <f t="shared" si="87"/>
        <v>24.407250000000001</v>
      </c>
      <c r="Q252" s="38">
        <f t="shared" si="88"/>
        <v>25.31122222222222</v>
      </c>
      <c r="R252" s="38">
        <f t="shared" si="89"/>
        <v>26.215194444444442</v>
      </c>
      <c r="S252" s="38">
        <f t="shared" si="108"/>
        <v>22.5</v>
      </c>
      <c r="T252" s="38">
        <f t="shared" si="109"/>
        <v>23.5</v>
      </c>
      <c r="U252" s="38">
        <f t="shared" si="110"/>
        <v>24.5</v>
      </c>
      <c r="V252" s="38">
        <f t="shared" si="118"/>
        <v>25.25</v>
      </c>
      <c r="W252" s="38">
        <f t="shared" si="116"/>
        <v>26.25</v>
      </c>
    </row>
    <row r="253" spans="1:23" ht="21" customHeight="1" x14ac:dyDescent="0.2">
      <c r="A253" s="19" t="s">
        <v>1041</v>
      </c>
      <c r="B253" s="19" t="s">
        <v>274</v>
      </c>
      <c r="C253" s="20" t="s">
        <v>1056</v>
      </c>
      <c r="D253" s="20" t="s">
        <v>393</v>
      </c>
      <c r="E253" s="20" t="s">
        <v>397</v>
      </c>
      <c r="F253" s="20" t="s">
        <v>409</v>
      </c>
      <c r="G253" s="33">
        <v>20</v>
      </c>
      <c r="H253" s="34">
        <f>VLOOKUP($C253,'Raw Cost'!$A$1:$B$483,2,FALSE)/G253</f>
        <v>1.6</v>
      </c>
      <c r="I253" s="34">
        <f t="shared" ref="I253:I255" si="119">H253/16</f>
        <v>0.1</v>
      </c>
      <c r="J253" s="35">
        <v>5</v>
      </c>
      <c r="K253" s="35">
        <v>0.25</v>
      </c>
      <c r="L253" s="36">
        <f>VLOOKUP($F253,'Packaging Cost'!$A$1:$F$43,6,FALSE)</f>
        <v>1.7600000000000002</v>
      </c>
      <c r="M253" s="37">
        <f>IF($E253="Snakpak",(($J253*H253)+($K253*'Labor Cost'!$A$2)+L253)+2.25,($J253*H253)+($K253*'Labor Cost'!$A$2)+L253+1)</f>
        <v>16.634999999999998</v>
      </c>
      <c r="N253" s="38">
        <f t="shared" si="85"/>
        <v>20.793749999999996</v>
      </c>
      <c r="O253" s="38">
        <f t="shared" si="86"/>
        <v>21.625499999999999</v>
      </c>
      <c r="P253" s="38">
        <f t="shared" si="87"/>
        <v>22.457249999999998</v>
      </c>
      <c r="Q253" s="38">
        <f t="shared" si="88"/>
        <v>23.288999999999994</v>
      </c>
      <c r="R253" s="38">
        <f t="shared" si="89"/>
        <v>24.120749999999997</v>
      </c>
      <c r="S253" s="38">
        <f t="shared" si="108"/>
        <v>20.75</v>
      </c>
      <c r="T253" s="38">
        <f t="shared" si="109"/>
        <v>21.75</v>
      </c>
      <c r="U253" s="38">
        <f t="shared" si="110"/>
        <v>22.5</v>
      </c>
      <c r="V253" s="38">
        <f t="shared" si="118"/>
        <v>23.25</v>
      </c>
      <c r="W253" s="38">
        <f t="shared" si="116"/>
        <v>24</v>
      </c>
    </row>
    <row r="254" spans="1:23" ht="21" customHeight="1" x14ac:dyDescent="0.2">
      <c r="A254" s="19" t="s">
        <v>1088</v>
      </c>
      <c r="B254" s="19" t="s">
        <v>1089</v>
      </c>
      <c r="C254" s="20" t="s">
        <v>24</v>
      </c>
      <c r="D254" s="20" t="s">
        <v>1090</v>
      </c>
      <c r="E254" s="20" t="s">
        <v>395</v>
      </c>
      <c r="F254" s="20" t="s">
        <v>411</v>
      </c>
      <c r="G254" s="33">
        <v>38</v>
      </c>
      <c r="H254" s="34">
        <f>VLOOKUP($C254,'Raw Cost'!$A$1:$B$483,2,FALSE)/G254</f>
        <v>0.73684210526315785</v>
      </c>
      <c r="I254" s="34">
        <f t="shared" ref="I254" si="120">H254/16</f>
        <v>4.6052631578947366E-2</v>
      </c>
      <c r="J254" s="35">
        <v>7.1</v>
      </c>
      <c r="K254" s="35">
        <v>0.25</v>
      </c>
      <c r="L254" s="36">
        <f>VLOOKUP($F254,'Packaging Cost'!$A$1:$F$43,6,FALSE)</f>
        <v>2.6</v>
      </c>
      <c r="M254" s="37">
        <f>IF($E254="Snakpak",(($J254*H254)+($K254*'Labor Cost'!$A$2)+L254)+2.25,($J254*H254)+($K254*'Labor Cost'!$A$2)+L254+1)</f>
        <v>15.956578947368421</v>
      </c>
      <c r="N254" s="38">
        <f t="shared" si="85"/>
        <v>19.945723684210527</v>
      </c>
      <c r="O254" s="38">
        <f t="shared" si="86"/>
        <v>20.743552631578947</v>
      </c>
      <c r="P254" s="38">
        <f t="shared" si="87"/>
        <v>21.541381578947369</v>
      </c>
      <c r="Q254" s="38">
        <f t="shared" si="88"/>
        <v>22.339210526315789</v>
      </c>
      <c r="R254" s="38">
        <f t="shared" si="89"/>
        <v>23.137039473684208</v>
      </c>
      <c r="S254" s="38">
        <f t="shared" ref="S254" si="121">MROUND(N254,0.25)</f>
        <v>20</v>
      </c>
      <c r="T254" s="38">
        <f t="shared" ref="T254" si="122">MROUND(O254,0.25)</f>
        <v>20.75</v>
      </c>
      <c r="U254" s="38">
        <f t="shared" ref="U254" si="123">MROUND(P254,0.25)</f>
        <v>21.5</v>
      </c>
      <c r="V254" s="38">
        <f t="shared" ref="V254" si="124">MROUND(Q254,0.25)</f>
        <v>22.25</v>
      </c>
      <c r="W254" s="38">
        <f t="shared" ref="W254" si="125">MROUND(R254,0.25)</f>
        <v>23.25</v>
      </c>
    </row>
    <row r="255" spans="1:23" ht="21" customHeight="1" x14ac:dyDescent="0.2">
      <c r="A255" s="19" t="s">
        <v>1083</v>
      </c>
      <c r="B255" s="19" t="s">
        <v>1084</v>
      </c>
      <c r="C255" s="32" t="s">
        <v>33</v>
      </c>
      <c r="D255" s="20" t="s">
        <v>393</v>
      </c>
      <c r="E255" s="20" t="s">
        <v>395</v>
      </c>
      <c r="F255" s="20" t="s">
        <v>411</v>
      </c>
      <c r="G255" s="33">
        <v>18</v>
      </c>
      <c r="H255" s="34">
        <f>VLOOKUP($C255,'Raw Cost'!$A$1:$B$483,2,FALSE)/G255</f>
        <v>2.1111111111111112</v>
      </c>
      <c r="I255" s="34">
        <f t="shared" si="119"/>
        <v>0.13194444444444445</v>
      </c>
      <c r="J255" s="35">
        <v>6.25</v>
      </c>
      <c r="K255" s="35">
        <v>0.25</v>
      </c>
      <c r="L255" s="36">
        <f>VLOOKUP($F255,'Packaging Cost'!$A$1:$F$43,6,FALSE)</f>
        <v>2.6</v>
      </c>
      <c r="M255" s="37">
        <f>IF($E255="Snakpak",(($J255*H255)+($K255*'Labor Cost'!$A$2)+L255)+2.25,($J255*H255)+($K255*'Labor Cost'!$A$2)+L255+1)</f>
        <v>23.919444444444444</v>
      </c>
      <c r="N255" s="38">
        <f t="shared" si="85"/>
        <v>29.899305555555557</v>
      </c>
      <c r="O255" s="38">
        <f t="shared" si="86"/>
        <v>31.095277777777778</v>
      </c>
      <c r="P255" s="38">
        <f t="shared" si="87"/>
        <v>32.291250000000005</v>
      </c>
      <c r="Q255" s="38">
        <f t="shared" si="88"/>
        <v>33.487222222222222</v>
      </c>
      <c r="R255" s="38">
        <f t="shared" si="89"/>
        <v>34.683194444444446</v>
      </c>
      <c r="S255" s="38">
        <f t="shared" ref="S255" si="126">MROUND(N255,0.25)</f>
        <v>30</v>
      </c>
      <c r="T255" s="38">
        <f t="shared" ref="T255" si="127">MROUND(O255,0.25)</f>
        <v>31</v>
      </c>
      <c r="U255" s="38">
        <f t="shared" ref="U255" si="128">MROUND(P255,0.25)</f>
        <v>32.25</v>
      </c>
      <c r="V255" s="38">
        <f t="shared" si="118"/>
        <v>33.5</v>
      </c>
      <c r="W255" s="38">
        <f t="shared" ref="W255" si="129">MROUND(R255,0.25)</f>
        <v>34.75</v>
      </c>
    </row>
    <row r="256" spans="1:23" ht="21" customHeight="1" x14ac:dyDescent="0.2">
      <c r="A256" s="40"/>
      <c r="B256" s="40"/>
      <c r="C256" s="40"/>
      <c r="D256" s="40"/>
      <c r="E256" s="40"/>
      <c r="F256" s="40"/>
      <c r="G256" s="41"/>
      <c r="H256" s="42"/>
      <c r="I256" s="42"/>
      <c r="J256" s="43"/>
      <c r="K256" s="43"/>
      <c r="L256" s="44"/>
      <c r="M256" s="41"/>
      <c r="N256" s="86"/>
      <c r="O256" s="86"/>
      <c r="P256" s="86"/>
      <c r="Q256" s="86"/>
      <c r="R256" s="86"/>
      <c r="S256" s="43"/>
      <c r="T256" s="43"/>
      <c r="U256" s="43"/>
    </row>
    <row r="257" spans="1:22" ht="21" customHeight="1" x14ac:dyDescent="0.2">
      <c r="A257" s="45" t="s">
        <v>644</v>
      </c>
      <c r="B257" s="40"/>
      <c r="C257" s="40"/>
      <c r="D257" s="40"/>
      <c r="E257" s="40"/>
      <c r="F257" s="40"/>
      <c r="G257" s="41"/>
      <c r="H257" s="42"/>
      <c r="I257" s="42"/>
      <c r="J257" s="43"/>
      <c r="K257" s="43"/>
      <c r="L257" s="44"/>
      <c r="M257" s="41"/>
      <c r="N257" s="86"/>
      <c r="O257" s="86"/>
      <c r="P257" s="86"/>
      <c r="Q257" s="86"/>
      <c r="R257" s="86"/>
      <c r="S257" s="43"/>
      <c r="T257" s="43"/>
      <c r="U257" s="43"/>
    </row>
    <row r="258" spans="1:22" ht="21" customHeight="1" x14ac:dyDescent="0.2">
      <c r="A258" s="19" t="s">
        <v>523</v>
      </c>
      <c r="B258" s="19" t="s">
        <v>192</v>
      </c>
      <c r="C258" s="32" t="s">
        <v>3</v>
      </c>
      <c r="D258" s="20" t="s">
        <v>393</v>
      </c>
      <c r="E258" s="20" t="s">
        <v>397</v>
      </c>
      <c r="F258" s="20" t="s">
        <v>1094</v>
      </c>
      <c r="G258" s="33">
        <v>10</v>
      </c>
      <c r="H258" s="34">
        <f>VLOOKUP($C258,'Raw Cost'!$A$1:$B$483,2,FALSE)/G258</f>
        <v>2</v>
      </c>
      <c r="I258" s="34">
        <f t="shared" ref="I258:I261" si="130">H258/16</f>
        <v>0.125</v>
      </c>
      <c r="J258" s="35">
        <v>4</v>
      </c>
      <c r="K258" s="35">
        <v>0.25</v>
      </c>
      <c r="L258" s="36">
        <f>VLOOKUP($F258,'Packaging Cost'!$A$1:$F$43,6,FALSE)</f>
        <v>0.67999999999999994</v>
      </c>
      <c r="M258" s="37">
        <f>IF($E258="Snakpak",(($J258*H258)+($K258*'Labor Cost'!$A$2)+L258)+2.25,($J258*H258)+($K258*'Labor Cost'!$A$2)+L258)</f>
        <v>14.555</v>
      </c>
      <c r="N258" s="38">
        <f t="shared" si="85"/>
        <v>18.193750000000001</v>
      </c>
      <c r="O258" s="38">
        <f t="shared" si="86"/>
        <v>18.921500000000002</v>
      </c>
      <c r="P258" s="38">
        <f t="shared" si="87"/>
        <v>19.649250000000002</v>
      </c>
      <c r="Q258" s="38">
        <f t="shared" si="88"/>
        <v>20.376999999999999</v>
      </c>
      <c r="R258" s="38">
        <f t="shared" si="89"/>
        <v>21.104749999999999</v>
      </c>
      <c r="S258" s="38">
        <f t="shared" ref="S258:U261" si="131">MROUND(N258,0.25)</f>
        <v>18.25</v>
      </c>
      <c r="T258" s="38">
        <f t="shared" si="131"/>
        <v>19</v>
      </c>
      <c r="U258" s="38">
        <f t="shared" si="131"/>
        <v>19.75</v>
      </c>
      <c r="V258" s="38">
        <f t="shared" ref="V258:V261" si="132">MROUND(Q258,0.25)</f>
        <v>20.5</v>
      </c>
    </row>
    <row r="259" spans="1:22" ht="21" customHeight="1" x14ac:dyDescent="0.2">
      <c r="A259" s="19" t="s">
        <v>544</v>
      </c>
      <c r="B259" s="19" t="s">
        <v>221</v>
      </c>
      <c r="C259" s="32" t="s">
        <v>15</v>
      </c>
      <c r="D259" s="32" t="s">
        <v>393</v>
      </c>
      <c r="E259" s="20" t="s">
        <v>397</v>
      </c>
      <c r="F259" s="20" t="s">
        <v>1094</v>
      </c>
      <c r="G259" s="33">
        <v>32</v>
      </c>
      <c r="H259" s="34">
        <f>VLOOKUP($C259,'Raw Cost'!$A$1:$B$483,2,FALSE)/G259</f>
        <v>0.75</v>
      </c>
      <c r="I259" s="34">
        <f t="shared" si="130"/>
        <v>4.6875E-2</v>
      </c>
      <c r="J259" s="35">
        <v>4</v>
      </c>
      <c r="K259" s="35">
        <v>0.25</v>
      </c>
      <c r="L259" s="36">
        <f>VLOOKUP($F259,'Packaging Cost'!$A$1:$F$43,6,FALSE)</f>
        <v>0.67999999999999994</v>
      </c>
      <c r="M259" s="37">
        <f>IF($E259="Snakpak",(($J259*H259)+($K259*'Labor Cost'!$A$2)+L259)+2.25,($J259*H259)+($K259*'Labor Cost'!$A$2)+L259)</f>
        <v>9.5549999999999997</v>
      </c>
      <c r="N259" s="38">
        <f t="shared" si="85"/>
        <v>11.94375</v>
      </c>
      <c r="O259" s="38">
        <f t="shared" si="86"/>
        <v>12.4215</v>
      </c>
      <c r="P259" s="38">
        <f t="shared" si="87"/>
        <v>12.89925</v>
      </c>
      <c r="Q259" s="38">
        <f t="shared" si="88"/>
        <v>13.376999999999999</v>
      </c>
      <c r="R259" s="38">
        <f t="shared" si="89"/>
        <v>13.854749999999999</v>
      </c>
      <c r="S259" s="38">
        <f t="shared" si="131"/>
        <v>12</v>
      </c>
      <c r="T259" s="38">
        <f t="shared" si="131"/>
        <v>12.5</v>
      </c>
      <c r="U259" s="38">
        <f t="shared" si="131"/>
        <v>13</v>
      </c>
      <c r="V259" s="38">
        <f t="shared" si="132"/>
        <v>13.5</v>
      </c>
    </row>
    <row r="260" spans="1:22" ht="21" customHeight="1" x14ac:dyDescent="0.2">
      <c r="A260" s="19" t="s">
        <v>418</v>
      </c>
      <c r="B260" s="19" t="s">
        <v>204</v>
      </c>
      <c r="C260" s="32" t="s">
        <v>11</v>
      </c>
      <c r="D260" s="32" t="s">
        <v>393</v>
      </c>
      <c r="E260" s="20" t="s">
        <v>397</v>
      </c>
      <c r="F260" s="20" t="s">
        <v>1094</v>
      </c>
      <c r="G260" s="33">
        <v>32</v>
      </c>
      <c r="H260" s="34">
        <f>VLOOKUP($C260,'Raw Cost'!$A$1:$B$483,2,FALSE)/G260</f>
        <v>0.59375</v>
      </c>
      <c r="I260" s="34">
        <f t="shared" si="130"/>
        <v>3.7109375E-2</v>
      </c>
      <c r="J260" s="35">
        <v>4</v>
      </c>
      <c r="K260" s="35">
        <v>0.25</v>
      </c>
      <c r="L260" s="36">
        <f>VLOOKUP($F260,'Packaging Cost'!$A$1:$F$43,6,FALSE)</f>
        <v>0.67999999999999994</v>
      </c>
      <c r="M260" s="37">
        <f>IF($E260="Snakpak",(($J260*H260)+($K260*'Labor Cost'!$A$2)+L260)+2.25,($J260*H260)+($K260*'Labor Cost'!$A$2)+L260)</f>
        <v>8.93</v>
      </c>
      <c r="N260" s="38">
        <f t="shared" ref="N260:N279" si="133">IF($D260="No",$M260*1.25,($M260*1.25)+15)</f>
        <v>11.1625</v>
      </c>
      <c r="O260" s="38">
        <f t="shared" ref="O260:O279" si="134">IF($D260="No",$M260*1.3,($M260*1.3)+15)</f>
        <v>11.609</v>
      </c>
      <c r="P260" s="38">
        <f t="shared" ref="P260:P279" si="135">IF($D260="No",$M260*1.35,($M260*1.35)+15)</f>
        <v>12.0555</v>
      </c>
      <c r="Q260" s="38">
        <f t="shared" ref="Q260:Q279" si="136">IF($D260="No",$M260*1.4,($M260*1.4)+15)</f>
        <v>12.501999999999999</v>
      </c>
      <c r="R260" s="38">
        <f t="shared" ref="R260:R279" si="137">IF($D260="No",$M260*1.45,($M260*1.45)+15)</f>
        <v>12.948499999999999</v>
      </c>
      <c r="S260" s="38">
        <f t="shared" si="131"/>
        <v>11.25</v>
      </c>
      <c r="T260" s="38">
        <f t="shared" si="131"/>
        <v>11.5</v>
      </c>
      <c r="U260" s="38">
        <f t="shared" si="131"/>
        <v>12</v>
      </c>
      <c r="V260" s="38">
        <f t="shared" si="132"/>
        <v>12.5</v>
      </c>
    </row>
    <row r="261" spans="1:22" ht="21" customHeight="1" x14ac:dyDescent="0.2">
      <c r="A261" s="19" t="s">
        <v>543</v>
      </c>
      <c r="B261" s="19" t="s">
        <v>223</v>
      </c>
      <c r="C261" s="32" t="s">
        <v>14</v>
      </c>
      <c r="D261" s="32" t="s">
        <v>393</v>
      </c>
      <c r="E261" s="20" t="s">
        <v>397</v>
      </c>
      <c r="F261" s="20" t="s">
        <v>1094</v>
      </c>
      <c r="G261" s="33">
        <v>16</v>
      </c>
      <c r="H261" s="34">
        <f>VLOOKUP($C261,'Raw Cost'!$A$1:$B$483,2,FALSE)/G261</f>
        <v>1.5</v>
      </c>
      <c r="I261" s="34">
        <f t="shared" si="130"/>
        <v>9.375E-2</v>
      </c>
      <c r="J261" s="35">
        <v>4</v>
      </c>
      <c r="K261" s="35">
        <v>0.25</v>
      </c>
      <c r="L261" s="36">
        <f>VLOOKUP($F261,'Packaging Cost'!$A$1:$F$43,6,FALSE)</f>
        <v>0.67999999999999994</v>
      </c>
      <c r="M261" s="37">
        <f>IF($E261="Snakpak",(($J261*H261)+($K261*'Labor Cost'!$A$2)+L261)+2.25,($J261*H261)+($K261*'Labor Cost'!$A$2)+L261)</f>
        <v>12.555</v>
      </c>
      <c r="N261" s="38">
        <f t="shared" si="133"/>
        <v>15.69375</v>
      </c>
      <c r="O261" s="38">
        <f t="shared" si="134"/>
        <v>16.3215</v>
      </c>
      <c r="P261" s="38">
        <f t="shared" si="135"/>
        <v>16.949249999999999</v>
      </c>
      <c r="Q261" s="38">
        <f t="shared" si="136"/>
        <v>17.576999999999998</v>
      </c>
      <c r="R261" s="38">
        <f t="shared" si="137"/>
        <v>18.204750000000001</v>
      </c>
      <c r="S261" s="38">
        <f t="shared" si="131"/>
        <v>15.75</v>
      </c>
      <c r="T261" s="38">
        <f t="shared" si="131"/>
        <v>16.25</v>
      </c>
      <c r="U261" s="38">
        <f t="shared" si="131"/>
        <v>17</v>
      </c>
      <c r="V261" s="38">
        <f t="shared" si="132"/>
        <v>17.5</v>
      </c>
    </row>
    <row r="262" spans="1:22" ht="21" customHeight="1" x14ac:dyDescent="0.2">
      <c r="A262" s="19"/>
      <c r="B262" s="19"/>
      <c r="C262" s="32"/>
      <c r="D262" s="32"/>
      <c r="E262" s="20"/>
      <c r="F262" s="20"/>
      <c r="G262" s="33"/>
      <c r="H262" s="34"/>
      <c r="I262" s="34"/>
      <c r="J262" s="35"/>
      <c r="K262" s="35"/>
      <c r="L262" s="36"/>
      <c r="M262" s="37"/>
      <c r="N262" s="38">
        <f t="shared" si="133"/>
        <v>15</v>
      </c>
      <c r="O262" s="38">
        <f t="shared" si="134"/>
        <v>15</v>
      </c>
      <c r="P262" s="38">
        <f t="shared" si="135"/>
        <v>15</v>
      </c>
      <c r="Q262" s="38">
        <f t="shared" si="136"/>
        <v>15</v>
      </c>
      <c r="R262" s="38">
        <f t="shared" si="137"/>
        <v>15</v>
      </c>
      <c r="S262" s="38"/>
      <c r="T262" s="38"/>
      <c r="U262" s="38"/>
      <c r="V262" s="66"/>
    </row>
    <row r="263" spans="1:22" ht="21" customHeight="1" x14ac:dyDescent="0.2">
      <c r="A263" s="45" t="s">
        <v>1112</v>
      </c>
      <c r="B263" s="40"/>
      <c r="C263" s="40"/>
      <c r="D263" s="40"/>
      <c r="E263" s="40"/>
      <c r="F263" s="40"/>
      <c r="G263" s="41"/>
      <c r="H263" s="42"/>
      <c r="I263" s="42"/>
      <c r="J263" s="43"/>
      <c r="K263" s="43"/>
      <c r="L263" s="44"/>
      <c r="M263" s="41"/>
      <c r="N263" s="86"/>
      <c r="O263" s="86"/>
      <c r="P263" s="86"/>
      <c r="Q263" s="86"/>
      <c r="R263" s="86"/>
      <c r="S263" s="43"/>
      <c r="T263" s="43"/>
      <c r="U263" s="43"/>
    </row>
    <row r="264" spans="1:22" ht="21" customHeight="1" x14ac:dyDescent="0.2">
      <c r="A264" s="19" t="s">
        <v>1097</v>
      </c>
      <c r="B264" s="19" t="s">
        <v>255</v>
      </c>
      <c r="C264" s="20" t="s">
        <v>1</v>
      </c>
      <c r="D264" s="20" t="s">
        <v>393</v>
      </c>
      <c r="E264" s="20" t="s">
        <v>397</v>
      </c>
      <c r="F264" s="20" t="s">
        <v>429</v>
      </c>
      <c r="G264" s="33">
        <v>29</v>
      </c>
      <c r="H264" s="34">
        <f>VLOOKUP($C264,'Raw Cost'!$A$1:$B$483,2,FALSE)/G264</f>
        <v>1.1379310344827587</v>
      </c>
      <c r="I264" s="34">
        <f t="shared" ref="I264:I273" si="138">H264/16</f>
        <v>7.1120689655172417E-2</v>
      </c>
      <c r="J264" s="35">
        <v>4</v>
      </c>
      <c r="K264" s="35">
        <v>0.2</v>
      </c>
      <c r="L264" s="36">
        <f>VLOOKUP($F264,'Packaging Cost'!$A$1:$F$43,6,FALSE)</f>
        <v>3.0100000000000002</v>
      </c>
      <c r="M264" s="37">
        <f>IF($E264="Snakpak",(($J264*H264)+($K264*'Labor Cost'!$A$2)+L264),($J264*H264)+($K264*'Labor Cost'!$A$2)+L264)</f>
        <v>12.261724137931035</v>
      </c>
      <c r="N264" s="38">
        <f t="shared" si="133"/>
        <v>15.327155172413793</v>
      </c>
      <c r="O264" s="38">
        <f t="shared" si="134"/>
        <v>15.940241379310345</v>
      </c>
      <c r="P264" s="38">
        <f t="shared" si="135"/>
        <v>16.553327586206898</v>
      </c>
      <c r="Q264" s="38">
        <f t="shared" si="136"/>
        <v>17.166413793103448</v>
      </c>
      <c r="R264" s="38">
        <f t="shared" si="137"/>
        <v>17.779499999999999</v>
      </c>
      <c r="S264" s="38">
        <f t="shared" ref="S264:S278" si="139">MROUND(N264,0.25)</f>
        <v>15.25</v>
      </c>
      <c r="T264" s="38">
        <f t="shared" ref="T264:T278" si="140">MROUND(O264,0.25)</f>
        <v>16</v>
      </c>
      <c r="U264" s="38">
        <f t="shared" ref="U264:U278" si="141">MROUND(P264,0.25)</f>
        <v>16.5</v>
      </c>
      <c r="V264" s="38">
        <f t="shared" ref="V264:V273" si="142">MROUND(Q264,0.25)</f>
        <v>17.25</v>
      </c>
    </row>
    <row r="265" spans="1:22" ht="21" customHeight="1" x14ac:dyDescent="0.2">
      <c r="A265" s="19" t="s">
        <v>1098</v>
      </c>
      <c r="B265" s="19" t="s">
        <v>252</v>
      </c>
      <c r="C265" s="20" t="s">
        <v>0</v>
      </c>
      <c r="D265" s="20" t="s">
        <v>393</v>
      </c>
      <c r="E265" s="20" t="s">
        <v>397</v>
      </c>
      <c r="F265" s="20" t="s">
        <v>429</v>
      </c>
      <c r="G265" s="33">
        <v>29</v>
      </c>
      <c r="H265" s="34">
        <f>VLOOKUP($C265,'Raw Cost'!$A$1:$B$483,2,FALSE)/G265</f>
        <v>0.89655172413793105</v>
      </c>
      <c r="I265" s="34">
        <f t="shared" si="138"/>
        <v>5.6034482758620691E-2</v>
      </c>
      <c r="J265" s="35">
        <v>4</v>
      </c>
      <c r="K265" s="35">
        <v>0.2</v>
      </c>
      <c r="L265" s="36">
        <f>VLOOKUP($F265,'Packaging Cost'!$A$1:$F$43,6,FALSE)</f>
        <v>3.0100000000000002</v>
      </c>
      <c r="M265" s="37">
        <f>IF($E265="Snakpak",(($J265*H265)+($K265*'Labor Cost'!$A$2)+L265),($J265*H265)+($K265*'Labor Cost'!$A$2)+L265)</f>
        <v>11.296206896551725</v>
      </c>
      <c r="N265" s="38">
        <f t="shared" si="133"/>
        <v>14.120258620689656</v>
      </c>
      <c r="O265" s="38">
        <f t="shared" si="134"/>
        <v>14.685068965517242</v>
      </c>
      <c r="P265" s="38">
        <f t="shared" si="135"/>
        <v>15.249879310344831</v>
      </c>
      <c r="Q265" s="38">
        <f t="shared" si="136"/>
        <v>15.814689655172414</v>
      </c>
      <c r="R265" s="38">
        <f t="shared" si="137"/>
        <v>16.3795</v>
      </c>
      <c r="S265" s="38">
        <f t="shared" si="139"/>
        <v>14</v>
      </c>
      <c r="T265" s="38">
        <f t="shared" si="140"/>
        <v>14.75</v>
      </c>
      <c r="U265" s="38">
        <f t="shared" si="141"/>
        <v>15.25</v>
      </c>
      <c r="V265" s="38">
        <f t="shared" si="142"/>
        <v>15.75</v>
      </c>
    </row>
    <row r="266" spans="1:22" ht="21" customHeight="1" x14ac:dyDescent="0.2">
      <c r="A266" s="19" t="s">
        <v>1099</v>
      </c>
      <c r="B266" s="19" t="s">
        <v>187</v>
      </c>
      <c r="C266" s="20" t="s">
        <v>406</v>
      </c>
      <c r="D266" s="20" t="s">
        <v>393</v>
      </c>
      <c r="E266" s="20" t="s">
        <v>397</v>
      </c>
      <c r="F266" s="20" t="s">
        <v>429</v>
      </c>
      <c r="G266" s="33">
        <v>9</v>
      </c>
      <c r="H266" s="34">
        <f>VLOOKUP($C266,'Raw Cost'!$A$1:$B$483,2,FALSE)/G266</f>
        <v>5.333333333333333</v>
      </c>
      <c r="I266" s="34">
        <f t="shared" si="138"/>
        <v>0.33333333333333331</v>
      </c>
      <c r="J266" s="35">
        <v>4</v>
      </c>
      <c r="K266" s="35">
        <v>0.2</v>
      </c>
      <c r="L266" s="36">
        <f>VLOOKUP($F266,'Packaging Cost'!$A$1:$F$43,6,FALSE)</f>
        <v>3.0100000000000002</v>
      </c>
      <c r="M266" s="37">
        <f>IF($E266="Snakpak",(($J266*H266)+($K266*'Labor Cost'!$A$2)+L266),($J266*H266)+($K266*'Labor Cost'!$A$2)+L266)</f>
        <v>29.043333333333333</v>
      </c>
      <c r="N266" s="38">
        <f t="shared" si="133"/>
        <v>36.304166666666667</v>
      </c>
      <c r="O266" s="38">
        <f t="shared" si="134"/>
        <v>37.756333333333338</v>
      </c>
      <c r="P266" s="38">
        <f t="shared" si="135"/>
        <v>39.208500000000001</v>
      </c>
      <c r="Q266" s="38">
        <f t="shared" si="136"/>
        <v>40.660666666666664</v>
      </c>
      <c r="R266" s="38">
        <f t="shared" si="137"/>
        <v>42.112833333333334</v>
      </c>
      <c r="S266" s="38">
        <f t="shared" si="139"/>
        <v>36.25</v>
      </c>
      <c r="T266" s="38">
        <f t="shared" si="140"/>
        <v>37.75</v>
      </c>
      <c r="U266" s="38">
        <f t="shared" si="141"/>
        <v>39.25</v>
      </c>
      <c r="V266" s="38">
        <f t="shared" si="142"/>
        <v>40.75</v>
      </c>
    </row>
    <row r="267" spans="1:22" ht="21" customHeight="1" x14ac:dyDescent="0.2">
      <c r="A267" s="19" t="s">
        <v>1100</v>
      </c>
      <c r="B267" s="19" t="s">
        <v>199</v>
      </c>
      <c r="C267" s="20" t="s">
        <v>10</v>
      </c>
      <c r="D267" s="20" t="s">
        <v>393</v>
      </c>
      <c r="E267" s="20" t="s">
        <v>397</v>
      </c>
      <c r="F267" s="20" t="s">
        <v>429</v>
      </c>
      <c r="G267" s="33">
        <v>18</v>
      </c>
      <c r="H267" s="34">
        <f>VLOOKUP($C267,'Raw Cost'!$A$1:$B$483,2,FALSE)/G267</f>
        <v>1.2222222222222223</v>
      </c>
      <c r="I267" s="34">
        <f t="shared" si="138"/>
        <v>7.6388888888888895E-2</v>
      </c>
      <c r="J267" s="35">
        <v>4</v>
      </c>
      <c r="K267" s="35">
        <v>0.2</v>
      </c>
      <c r="L267" s="36">
        <f>VLOOKUP($F267,'Packaging Cost'!$A$1:$F$43,6,FALSE)</f>
        <v>3.0100000000000002</v>
      </c>
      <c r="M267" s="37">
        <f>IF($E267="Snakpak",(($J267*H267)+($K267*'Labor Cost'!$A$2)+L267),($J267*H267)+($K267*'Labor Cost'!$A$2)+L267)</f>
        <v>12.598888888888888</v>
      </c>
      <c r="N267" s="38">
        <f t="shared" si="133"/>
        <v>15.74861111111111</v>
      </c>
      <c r="O267" s="38">
        <f t="shared" si="134"/>
        <v>16.378555555555554</v>
      </c>
      <c r="P267" s="38">
        <f t="shared" si="135"/>
        <v>17.008500000000002</v>
      </c>
      <c r="Q267" s="38">
        <f t="shared" si="136"/>
        <v>17.638444444444442</v>
      </c>
      <c r="R267" s="38">
        <f t="shared" si="137"/>
        <v>18.268388888888886</v>
      </c>
      <c r="S267" s="38">
        <f t="shared" si="139"/>
        <v>15.75</v>
      </c>
      <c r="T267" s="38">
        <f t="shared" si="140"/>
        <v>16.5</v>
      </c>
      <c r="U267" s="38">
        <f t="shared" si="141"/>
        <v>17</v>
      </c>
      <c r="V267" s="38">
        <f t="shared" si="142"/>
        <v>17.75</v>
      </c>
    </row>
    <row r="268" spans="1:22" ht="21" customHeight="1" x14ac:dyDescent="0.2">
      <c r="A268" s="19" t="s">
        <v>1101</v>
      </c>
      <c r="B268" s="19" t="s">
        <v>251</v>
      </c>
      <c r="C268" s="20" t="s">
        <v>18</v>
      </c>
      <c r="D268" s="20" t="s">
        <v>393</v>
      </c>
      <c r="E268" s="20" t="s">
        <v>397</v>
      </c>
      <c r="F268" s="20" t="s">
        <v>429</v>
      </c>
      <c r="G268" s="33">
        <v>18</v>
      </c>
      <c r="H268" s="34">
        <f>VLOOKUP($C268,'Raw Cost'!$A$1:$B$483,2,FALSE)/G268</f>
        <v>1.8888888888888888</v>
      </c>
      <c r="I268" s="34">
        <f t="shared" si="138"/>
        <v>0.11805555555555555</v>
      </c>
      <c r="J268" s="35">
        <v>4</v>
      </c>
      <c r="K268" s="35">
        <v>0.2</v>
      </c>
      <c r="L268" s="36">
        <f>VLOOKUP($F268,'Packaging Cost'!$A$1:$F$43,6,FALSE)</f>
        <v>3.0100000000000002</v>
      </c>
      <c r="M268" s="37">
        <f>IF($E268="Snakpak",(($J268*H268)+($K268*'Labor Cost'!$A$2)+L268)+2.25,($J268*H268)+($K268*'Labor Cost'!$A$2)+L268)</f>
        <v>15.265555555555556</v>
      </c>
      <c r="N268" s="38">
        <f t="shared" si="133"/>
        <v>19.081944444444446</v>
      </c>
      <c r="O268" s="38">
        <f t="shared" si="134"/>
        <v>19.845222222222223</v>
      </c>
      <c r="P268" s="38">
        <f t="shared" si="135"/>
        <v>20.608500000000003</v>
      </c>
      <c r="Q268" s="38">
        <f t="shared" si="136"/>
        <v>21.371777777777776</v>
      </c>
      <c r="R268" s="38">
        <f t="shared" si="137"/>
        <v>22.135055555555557</v>
      </c>
      <c r="S268" s="38">
        <f t="shared" si="139"/>
        <v>19</v>
      </c>
      <c r="T268" s="38">
        <f t="shared" si="140"/>
        <v>19.75</v>
      </c>
      <c r="U268" s="38">
        <f t="shared" si="141"/>
        <v>20.5</v>
      </c>
      <c r="V268" s="38">
        <f t="shared" si="142"/>
        <v>21.25</v>
      </c>
    </row>
    <row r="269" spans="1:22" ht="21" customHeight="1" x14ac:dyDescent="0.2">
      <c r="A269" s="19" t="s">
        <v>1102</v>
      </c>
      <c r="B269" s="19" t="s">
        <v>1134</v>
      </c>
      <c r="C269" s="20" t="s">
        <v>19</v>
      </c>
      <c r="D269" s="20" t="s">
        <v>393</v>
      </c>
      <c r="E269" s="20" t="s">
        <v>397</v>
      </c>
      <c r="F269" s="20" t="s">
        <v>429</v>
      </c>
      <c r="G269" s="33">
        <v>18</v>
      </c>
      <c r="H269" s="34">
        <f>VLOOKUP($C269,'Raw Cost'!$A$1:$B$483,2,FALSE)/G269</f>
        <v>1.8888888888888888</v>
      </c>
      <c r="I269" s="34">
        <f t="shared" si="138"/>
        <v>0.11805555555555555</v>
      </c>
      <c r="J269" s="35">
        <v>4</v>
      </c>
      <c r="K269" s="35">
        <v>0.2</v>
      </c>
      <c r="L269" s="36">
        <f>VLOOKUP($F269,'Packaging Cost'!$A$1:$F$43,6,FALSE)</f>
        <v>3.0100000000000002</v>
      </c>
      <c r="M269" s="37">
        <f>IF($E269="Snakpak",(($J269*H269)+($K269*'Labor Cost'!$A$2)+L269)+2.25,($J269*H269)+($K269*'Labor Cost'!$A$2)+L269)</f>
        <v>15.265555555555556</v>
      </c>
      <c r="N269" s="38">
        <f t="shared" si="133"/>
        <v>19.081944444444446</v>
      </c>
      <c r="O269" s="38">
        <f t="shared" si="134"/>
        <v>19.845222222222223</v>
      </c>
      <c r="P269" s="38">
        <f t="shared" si="135"/>
        <v>20.608500000000003</v>
      </c>
      <c r="Q269" s="38">
        <f t="shared" si="136"/>
        <v>21.371777777777776</v>
      </c>
      <c r="R269" s="38">
        <f t="shared" si="137"/>
        <v>22.135055555555557</v>
      </c>
      <c r="S269" s="38">
        <f t="shared" si="139"/>
        <v>19</v>
      </c>
      <c r="T269" s="38">
        <f t="shared" si="140"/>
        <v>19.75</v>
      </c>
      <c r="U269" s="38">
        <f t="shared" si="141"/>
        <v>20.5</v>
      </c>
      <c r="V269" s="38">
        <f t="shared" si="142"/>
        <v>21.25</v>
      </c>
    </row>
    <row r="270" spans="1:22" ht="21" customHeight="1" x14ac:dyDescent="0.2">
      <c r="A270" s="19" t="s">
        <v>1103</v>
      </c>
      <c r="B270" s="19" t="s">
        <v>258</v>
      </c>
      <c r="C270" s="20" t="s">
        <v>20</v>
      </c>
      <c r="D270" s="20" t="s">
        <v>393</v>
      </c>
      <c r="E270" s="20" t="s">
        <v>397</v>
      </c>
      <c r="F270" s="20" t="s">
        <v>429</v>
      </c>
      <c r="G270" s="33">
        <v>15</v>
      </c>
      <c r="H270" s="34">
        <f>VLOOKUP($C270,'Raw Cost'!$A$1:$B$483,2,FALSE)/G270</f>
        <v>1.2</v>
      </c>
      <c r="I270" s="34">
        <f t="shared" si="138"/>
        <v>7.4999999999999997E-2</v>
      </c>
      <c r="J270" s="35">
        <v>4</v>
      </c>
      <c r="K270" s="35">
        <v>0.2</v>
      </c>
      <c r="L270" s="36">
        <f>VLOOKUP($F270,'Packaging Cost'!$A$1:$F$43,6,FALSE)</f>
        <v>3.0100000000000002</v>
      </c>
      <c r="M270" s="37">
        <f>IF($E270="Snakpak",(($J270*H270)+($K270*'Labor Cost'!$A$2)+L270)+2.25,($J270*H270)+($K270*'Labor Cost'!$A$2)+L270)</f>
        <v>12.51</v>
      </c>
      <c r="N270" s="38">
        <f t="shared" si="133"/>
        <v>15.637499999999999</v>
      </c>
      <c r="O270" s="38">
        <f t="shared" si="134"/>
        <v>16.263000000000002</v>
      </c>
      <c r="P270" s="38">
        <f t="shared" si="135"/>
        <v>16.888500000000001</v>
      </c>
      <c r="Q270" s="38">
        <f t="shared" si="136"/>
        <v>17.513999999999999</v>
      </c>
      <c r="R270" s="38">
        <f t="shared" si="137"/>
        <v>18.139499999999998</v>
      </c>
      <c r="S270" s="38">
        <f t="shared" si="139"/>
        <v>15.75</v>
      </c>
      <c r="T270" s="38">
        <f t="shared" si="140"/>
        <v>16.25</v>
      </c>
      <c r="U270" s="38">
        <f t="shared" si="141"/>
        <v>17</v>
      </c>
      <c r="V270" s="38">
        <f t="shared" si="142"/>
        <v>17.5</v>
      </c>
    </row>
    <row r="271" spans="1:22" ht="21" customHeight="1" x14ac:dyDescent="0.2">
      <c r="A271" s="19" t="s">
        <v>1104</v>
      </c>
      <c r="B271" s="19" t="s">
        <v>1135</v>
      </c>
      <c r="C271" s="20" t="s">
        <v>23</v>
      </c>
      <c r="D271" s="20" t="s">
        <v>393</v>
      </c>
      <c r="E271" s="20" t="s">
        <v>397</v>
      </c>
      <c r="F271" s="20" t="s">
        <v>429</v>
      </c>
      <c r="G271" s="33">
        <v>19</v>
      </c>
      <c r="H271" s="34">
        <f>VLOOKUP($C271,'Raw Cost'!$A$1:$B$483,2,FALSE)/G271</f>
        <v>1.8947368421052631</v>
      </c>
      <c r="I271" s="34">
        <f t="shared" si="138"/>
        <v>0.11842105263157894</v>
      </c>
      <c r="J271" s="35">
        <v>4</v>
      </c>
      <c r="K271" s="35">
        <v>0.2</v>
      </c>
      <c r="L271" s="36">
        <f>VLOOKUP($F271,'Packaging Cost'!$A$1:$F$43,6,FALSE)</f>
        <v>3.0100000000000002</v>
      </c>
      <c r="M271" s="37">
        <f>IF($E271="Snakpak",(($J271*H271)+($K271*'Labor Cost'!$A$2)+L271)+2.25,($J271*H271)+($K271*'Labor Cost'!$A$2)+L271)</f>
        <v>15.288947368421052</v>
      </c>
      <c r="N271" s="38">
        <f t="shared" si="133"/>
        <v>19.111184210526314</v>
      </c>
      <c r="O271" s="38">
        <f t="shared" si="134"/>
        <v>19.875631578947367</v>
      </c>
      <c r="P271" s="38">
        <f t="shared" si="135"/>
        <v>20.640078947368423</v>
      </c>
      <c r="Q271" s="38">
        <f t="shared" si="136"/>
        <v>21.404526315789472</v>
      </c>
      <c r="R271" s="38">
        <f t="shared" si="137"/>
        <v>22.168973684210524</v>
      </c>
      <c r="S271" s="38">
        <f t="shared" si="139"/>
        <v>19</v>
      </c>
      <c r="T271" s="38">
        <f t="shared" si="140"/>
        <v>20</v>
      </c>
      <c r="U271" s="38">
        <f t="shared" si="141"/>
        <v>20.75</v>
      </c>
      <c r="V271" s="38">
        <f t="shared" si="142"/>
        <v>21.5</v>
      </c>
    </row>
    <row r="272" spans="1:22" ht="21" customHeight="1" x14ac:dyDescent="0.2">
      <c r="A272" s="19" t="s">
        <v>1105</v>
      </c>
      <c r="B272" s="19" t="s">
        <v>272</v>
      </c>
      <c r="C272" s="20" t="s">
        <v>25</v>
      </c>
      <c r="D272" s="20" t="s">
        <v>393</v>
      </c>
      <c r="E272" s="20" t="s">
        <v>397</v>
      </c>
      <c r="F272" s="20" t="s">
        <v>429</v>
      </c>
      <c r="G272" s="33">
        <v>6</v>
      </c>
      <c r="H272" s="34">
        <f>VLOOKUP($C272,'Raw Cost'!$A$1:$B$483,2,FALSE)/G272</f>
        <v>2.5</v>
      </c>
      <c r="I272" s="34">
        <f t="shared" si="138"/>
        <v>0.15625</v>
      </c>
      <c r="J272" s="35">
        <v>4</v>
      </c>
      <c r="K272" s="35">
        <v>0.2</v>
      </c>
      <c r="L272" s="36">
        <f>VLOOKUP($F272,'Packaging Cost'!$A$1:$F$43,6,FALSE)</f>
        <v>3.0100000000000002</v>
      </c>
      <c r="M272" s="37">
        <f>IF($E272="Snakpak",(($J272*H272)+($K272*'Labor Cost'!$A$2)+L272)+2.25,($J272*H272)+($K272*'Labor Cost'!$A$2)+L272)</f>
        <v>17.71</v>
      </c>
      <c r="N272" s="38">
        <f t="shared" si="133"/>
        <v>22.137500000000003</v>
      </c>
      <c r="O272" s="38">
        <f t="shared" si="134"/>
        <v>23.023000000000003</v>
      </c>
      <c r="P272" s="38">
        <f t="shared" si="135"/>
        <v>23.908500000000004</v>
      </c>
      <c r="Q272" s="38">
        <f t="shared" si="136"/>
        <v>24.794</v>
      </c>
      <c r="R272" s="38">
        <f t="shared" si="137"/>
        <v>25.679500000000001</v>
      </c>
      <c r="S272" s="38">
        <f t="shared" si="139"/>
        <v>22.25</v>
      </c>
      <c r="T272" s="38">
        <f t="shared" si="140"/>
        <v>23</v>
      </c>
      <c r="U272" s="38">
        <f t="shared" si="141"/>
        <v>24</v>
      </c>
      <c r="V272" s="38">
        <f t="shared" si="142"/>
        <v>24.75</v>
      </c>
    </row>
    <row r="273" spans="1:22" ht="21" customHeight="1" x14ac:dyDescent="0.2">
      <c r="A273" s="19" t="s">
        <v>1106</v>
      </c>
      <c r="B273" s="19" t="s">
        <v>274</v>
      </c>
      <c r="C273" s="20" t="s">
        <v>31</v>
      </c>
      <c r="D273" s="20" t="s">
        <v>393</v>
      </c>
      <c r="E273" s="20" t="s">
        <v>397</v>
      </c>
      <c r="F273" s="20" t="s">
        <v>429</v>
      </c>
      <c r="G273" s="33">
        <v>40</v>
      </c>
      <c r="H273" s="34">
        <f>VLOOKUP($C273,'Raw Cost'!$A$1:$B$483,2,FALSE)/G273</f>
        <v>0.67500000000000004</v>
      </c>
      <c r="I273" s="34">
        <f t="shared" si="138"/>
        <v>4.2187500000000003E-2</v>
      </c>
      <c r="J273" s="35">
        <v>4</v>
      </c>
      <c r="K273" s="35">
        <v>0.2</v>
      </c>
      <c r="L273" s="36">
        <f>VLOOKUP($F273,'Packaging Cost'!$A$1:$F$43,6,FALSE)</f>
        <v>3.0100000000000002</v>
      </c>
      <c r="M273" s="37">
        <f>IF($E273="Snakpak",(($J273*H273)+($K273*'Labor Cost'!$A$2)+L273)+2.25,($J273*H273)+($K273*'Labor Cost'!$A$2)+L273)</f>
        <v>10.41</v>
      </c>
      <c r="N273" s="38">
        <f t="shared" si="133"/>
        <v>13.012499999999999</v>
      </c>
      <c r="O273" s="38">
        <f t="shared" si="134"/>
        <v>13.533000000000001</v>
      </c>
      <c r="P273" s="38">
        <f t="shared" si="135"/>
        <v>14.053500000000001</v>
      </c>
      <c r="Q273" s="38">
        <f t="shared" si="136"/>
        <v>14.574</v>
      </c>
      <c r="R273" s="38">
        <f t="shared" si="137"/>
        <v>15.0945</v>
      </c>
      <c r="S273" s="38">
        <f t="shared" si="139"/>
        <v>13</v>
      </c>
      <c r="T273" s="38">
        <f t="shared" si="140"/>
        <v>13.5</v>
      </c>
      <c r="U273" s="38">
        <f t="shared" si="141"/>
        <v>14</v>
      </c>
      <c r="V273" s="38">
        <f t="shared" si="142"/>
        <v>14.5</v>
      </c>
    </row>
    <row r="274" spans="1:22" ht="21" customHeight="1" x14ac:dyDescent="0.2">
      <c r="A274" s="19" t="s">
        <v>1107</v>
      </c>
      <c r="B274" s="19" t="s">
        <v>282</v>
      </c>
      <c r="C274" s="20" t="s">
        <v>35</v>
      </c>
      <c r="D274" s="20" t="s">
        <v>393</v>
      </c>
      <c r="E274" s="20" t="s">
        <v>397</v>
      </c>
      <c r="F274" s="20" t="s">
        <v>429</v>
      </c>
      <c r="G274" s="33">
        <v>29</v>
      </c>
      <c r="H274" s="34">
        <f>VLOOKUP($C274,'Raw Cost'!$A$1:$B$483,2,FALSE)/G274</f>
        <v>1.8275862068965518</v>
      </c>
      <c r="I274" s="34">
        <f t="shared" ref="I274:I277" si="143">H274/16</f>
        <v>0.11422413793103449</v>
      </c>
      <c r="J274" s="35">
        <v>4</v>
      </c>
      <c r="K274" s="35">
        <v>0.2</v>
      </c>
      <c r="L274" s="36">
        <f>VLOOKUP($F274,'Packaging Cost'!$A$1:$F$43,6,FALSE)</f>
        <v>3.0100000000000002</v>
      </c>
      <c r="M274" s="37">
        <f>IF($E274="Snakpak",(($J274*H274)+($K274*'Labor Cost'!$A$2)+L274)+2.25,($J274*H274)+($K274*'Labor Cost'!$A$2)+L274)</f>
        <v>15.020344827586207</v>
      </c>
      <c r="N274" s="38">
        <f t="shared" si="133"/>
        <v>18.775431034482757</v>
      </c>
      <c r="O274" s="38">
        <f t="shared" si="134"/>
        <v>19.526448275862069</v>
      </c>
      <c r="P274" s="38">
        <f t="shared" si="135"/>
        <v>20.277465517241382</v>
      </c>
      <c r="Q274" s="38">
        <f t="shared" si="136"/>
        <v>21.02848275862069</v>
      </c>
      <c r="R274" s="38">
        <f t="shared" si="137"/>
        <v>21.779499999999999</v>
      </c>
      <c r="S274" s="38">
        <f t="shared" si="139"/>
        <v>18.75</v>
      </c>
      <c r="T274" s="38">
        <f t="shared" si="140"/>
        <v>19.5</v>
      </c>
      <c r="U274" s="38">
        <f t="shared" si="141"/>
        <v>20.25</v>
      </c>
      <c r="V274" s="38">
        <f t="shared" ref="V274:V277" si="144">MROUND(Q274,0.25)</f>
        <v>21</v>
      </c>
    </row>
    <row r="275" spans="1:22" ht="21" customHeight="1" x14ac:dyDescent="0.2">
      <c r="A275" s="19" t="s">
        <v>1108</v>
      </c>
      <c r="B275" s="19" t="s">
        <v>284</v>
      </c>
      <c r="C275" s="20" t="s">
        <v>39</v>
      </c>
      <c r="D275" s="20" t="s">
        <v>393</v>
      </c>
      <c r="E275" s="20" t="s">
        <v>397</v>
      </c>
      <c r="F275" s="20" t="s">
        <v>429</v>
      </c>
      <c r="G275" s="33">
        <v>8.5</v>
      </c>
      <c r="H275" s="34">
        <f>VLOOKUP($C275,'Raw Cost'!$A$1:$B$483,2,FALSE)/G275</f>
        <v>2.1176470588235294</v>
      </c>
      <c r="I275" s="34">
        <f t="shared" si="143"/>
        <v>0.13235294117647059</v>
      </c>
      <c r="J275" s="35">
        <v>4</v>
      </c>
      <c r="K275" s="35">
        <v>0.2</v>
      </c>
      <c r="L275" s="36">
        <f>VLOOKUP($F275,'Packaging Cost'!$A$1:$F$43,6,FALSE)</f>
        <v>3.0100000000000002</v>
      </c>
      <c r="M275" s="37">
        <f>IF($E275="Snakpak",(($J275*H275)+($K275*'Labor Cost'!$A$2)+L275)+2.25,($J275*H275)+($K275*'Labor Cost'!$A$2)+L275)</f>
        <v>16.18058823529412</v>
      </c>
      <c r="N275" s="38">
        <f t="shared" si="133"/>
        <v>20.225735294117651</v>
      </c>
      <c r="O275" s="38">
        <f t="shared" si="134"/>
        <v>21.034764705882356</v>
      </c>
      <c r="P275" s="38">
        <f t="shared" si="135"/>
        <v>21.843794117647064</v>
      </c>
      <c r="Q275" s="38">
        <f t="shared" si="136"/>
        <v>22.652823529411766</v>
      </c>
      <c r="R275" s="38">
        <f t="shared" si="137"/>
        <v>23.461852941176474</v>
      </c>
      <c r="S275" s="38">
        <f t="shared" si="139"/>
        <v>20.25</v>
      </c>
      <c r="T275" s="38">
        <f t="shared" si="140"/>
        <v>21</v>
      </c>
      <c r="U275" s="38">
        <f t="shared" si="141"/>
        <v>21.75</v>
      </c>
      <c r="V275" s="38">
        <f t="shared" si="144"/>
        <v>22.75</v>
      </c>
    </row>
    <row r="276" spans="1:22" ht="21" customHeight="1" x14ac:dyDescent="0.2">
      <c r="A276" s="19" t="s">
        <v>1109</v>
      </c>
      <c r="B276" s="19" t="s">
        <v>340</v>
      </c>
      <c r="C276" s="20" t="s">
        <v>58</v>
      </c>
      <c r="D276" s="20" t="s">
        <v>393</v>
      </c>
      <c r="E276" s="20" t="s">
        <v>397</v>
      </c>
      <c r="F276" s="20" t="s">
        <v>429</v>
      </c>
      <c r="G276" s="33">
        <v>7.5</v>
      </c>
      <c r="H276" s="34">
        <f>VLOOKUP($C276,'Raw Cost'!$A$1:$B$483,2,FALSE)/G276</f>
        <v>2.9333333333333331</v>
      </c>
      <c r="I276" s="34">
        <f t="shared" si="143"/>
        <v>0.18333333333333332</v>
      </c>
      <c r="J276" s="35">
        <v>4</v>
      </c>
      <c r="K276" s="35">
        <v>0.2</v>
      </c>
      <c r="L276" s="36">
        <f>VLOOKUP($F276,'Packaging Cost'!$A$1:$F$43,6,FALSE)</f>
        <v>3.0100000000000002</v>
      </c>
      <c r="M276" s="37">
        <f>IF($E276="Snakpak",(($J276*H276)+($K276*'Labor Cost'!$A$2)+L276)+2.25,($J276*H276)+($K276*'Labor Cost'!$A$2)+L276)</f>
        <v>19.443333333333335</v>
      </c>
      <c r="N276" s="38">
        <f t="shared" si="133"/>
        <v>24.304166666666667</v>
      </c>
      <c r="O276" s="38">
        <f t="shared" si="134"/>
        <v>25.276333333333337</v>
      </c>
      <c r="P276" s="38">
        <f t="shared" si="135"/>
        <v>26.248500000000003</v>
      </c>
      <c r="Q276" s="38">
        <f t="shared" si="136"/>
        <v>27.220666666666666</v>
      </c>
      <c r="R276" s="38">
        <f t="shared" si="137"/>
        <v>28.192833333333336</v>
      </c>
      <c r="S276" s="38">
        <f t="shared" si="139"/>
        <v>24.25</v>
      </c>
      <c r="T276" s="38">
        <f t="shared" si="140"/>
        <v>25.25</v>
      </c>
      <c r="U276" s="38">
        <f t="shared" si="141"/>
        <v>26.25</v>
      </c>
      <c r="V276" s="38">
        <f t="shared" si="144"/>
        <v>27.25</v>
      </c>
    </row>
    <row r="277" spans="1:22" ht="21" customHeight="1" x14ac:dyDescent="0.2">
      <c r="A277" s="19" t="s">
        <v>1110</v>
      </c>
      <c r="B277" s="19" t="s">
        <v>352</v>
      </c>
      <c r="C277" s="20" t="s">
        <v>59</v>
      </c>
      <c r="D277" s="20" t="s">
        <v>393</v>
      </c>
      <c r="E277" s="20" t="s">
        <v>397</v>
      </c>
      <c r="F277" s="20" t="s">
        <v>429</v>
      </c>
      <c r="G277" s="33">
        <v>8</v>
      </c>
      <c r="H277" s="34">
        <f>VLOOKUP($C277,'Raw Cost'!$A$1:$B$483,2,FALSE)/G277</f>
        <v>1.25</v>
      </c>
      <c r="I277" s="34">
        <f t="shared" si="143"/>
        <v>7.8125E-2</v>
      </c>
      <c r="J277" s="35">
        <v>4</v>
      </c>
      <c r="K277" s="35">
        <v>0.2</v>
      </c>
      <c r="L277" s="36">
        <f>VLOOKUP($F277,'Packaging Cost'!$A$1:$F$43,6,FALSE)</f>
        <v>3.0100000000000002</v>
      </c>
      <c r="M277" s="37">
        <f>IF($E277="Snakpak",(($J277*H277)+($K277*'Labor Cost'!$A$2)+L277)+2.25,($J277*H277)+($K277*'Labor Cost'!$A$2)+L277)</f>
        <v>12.709999999999999</v>
      </c>
      <c r="N277" s="38">
        <f t="shared" si="133"/>
        <v>15.887499999999999</v>
      </c>
      <c r="O277" s="38">
        <f t="shared" si="134"/>
        <v>16.523</v>
      </c>
      <c r="P277" s="38">
        <f t="shared" si="135"/>
        <v>17.1585</v>
      </c>
      <c r="Q277" s="38">
        <f t="shared" si="136"/>
        <v>17.793999999999997</v>
      </c>
      <c r="R277" s="38">
        <f t="shared" si="137"/>
        <v>18.429499999999997</v>
      </c>
      <c r="S277" s="38">
        <f t="shared" si="139"/>
        <v>16</v>
      </c>
      <c r="T277" s="38">
        <f t="shared" si="140"/>
        <v>16.5</v>
      </c>
      <c r="U277" s="38">
        <f t="shared" si="141"/>
        <v>17.25</v>
      </c>
      <c r="V277" s="38">
        <f t="shared" si="144"/>
        <v>17.75</v>
      </c>
    </row>
    <row r="278" spans="1:22" ht="21" customHeight="1" x14ac:dyDescent="0.2">
      <c r="A278" s="19" t="s">
        <v>1111</v>
      </c>
      <c r="B278" s="19" t="s">
        <v>245</v>
      </c>
      <c r="C278" s="20" t="s">
        <v>595</v>
      </c>
      <c r="D278" s="20" t="s">
        <v>393</v>
      </c>
      <c r="E278" s="20" t="s">
        <v>397</v>
      </c>
      <c r="F278" s="20" t="s">
        <v>429</v>
      </c>
      <c r="G278" s="33">
        <v>4</v>
      </c>
      <c r="H278" s="34">
        <f>VLOOKUP($C278,'Raw Cost'!$A$1:$B$483,2,FALSE)/G278</f>
        <v>1.6453839869281044</v>
      </c>
      <c r="I278" s="34">
        <f t="shared" ref="I278" si="145">H278/16</f>
        <v>0.10283649918300652</v>
      </c>
      <c r="J278" s="35">
        <v>4</v>
      </c>
      <c r="K278" s="35">
        <v>0.2</v>
      </c>
      <c r="L278" s="36">
        <f>VLOOKUP($F278,'Packaging Cost'!$A$1:$F$43,6,FALSE)</f>
        <v>3.0100000000000002</v>
      </c>
      <c r="M278" s="37">
        <f>IF($E278="Snakpak",(($J278*H278)+($K278*'Labor Cost'!$A$2)+L278)+2.25,($J278*H278)+($K278*'Labor Cost'!$A$2)+L278)</f>
        <v>14.291535947712417</v>
      </c>
      <c r="N278" s="38">
        <f t="shared" si="133"/>
        <v>17.864419934640519</v>
      </c>
      <c r="O278" s="38">
        <f t="shared" si="134"/>
        <v>18.578996732026141</v>
      </c>
      <c r="P278" s="38">
        <f t="shared" si="135"/>
        <v>19.293573529411763</v>
      </c>
      <c r="Q278" s="38">
        <f t="shared" si="136"/>
        <v>20.008150326797381</v>
      </c>
      <c r="R278" s="38">
        <f t="shared" si="137"/>
        <v>20.722727124183002</v>
      </c>
      <c r="S278" s="38">
        <f t="shared" si="139"/>
        <v>17.75</v>
      </c>
      <c r="T278" s="38">
        <f t="shared" si="140"/>
        <v>18.5</v>
      </c>
      <c r="U278" s="38">
        <f t="shared" si="141"/>
        <v>19.25</v>
      </c>
      <c r="V278" s="38">
        <f t="shared" ref="V278" si="146">MROUND(Q278,0.25)</f>
        <v>20</v>
      </c>
    </row>
    <row r="279" spans="1:22" ht="21" customHeight="1" x14ac:dyDescent="0.2">
      <c r="A279" s="19" t="s">
        <v>1130</v>
      </c>
      <c r="B279" s="19" t="s">
        <v>1131</v>
      </c>
      <c r="C279" s="20" t="s">
        <v>1133</v>
      </c>
      <c r="D279" s="20" t="s">
        <v>393</v>
      </c>
      <c r="E279" s="20" t="s">
        <v>397</v>
      </c>
      <c r="F279" s="20" t="s">
        <v>429</v>
      </c>
      <c r="G279" s="33">
        <v>3</v>
      </c>
      <c r="H279" s="34">
        <f>VLOOKUP($C279,'Raw Cost'!$A$1:$B$483,2,FALSE)/G279</f>
        <v>2.1191399286987522</v>
      </c>
      <c r="I279" s="34">
        <f t="shared" ref="I279" si="147">H279/16</f>
        <v>0.13244624554367201</v>
      </c>
      <c r="J279" s="35">
        <v>4</v>
      </c>
      <c r="K279" s="35">
        <v>0.2</v>
      </c>
      <c r="L279" s="36">
        <f>VLOOKUP($F279,'Packaging Cost'!$A$1:$F$43,6,FALSE)</f>
        <v>3.0100000000000002</v>
      </c>
      <c r="M279" s="37">
        <f>IF($E279="Snakpak",(($J279*H279)+($K279*'Labor Cost'!$A$2)+L279)+2.25,($J279*H279)+($K279*'Labor Cost'!$A$2)+L279)</f>
        <v>16.18655971479501</v>
      </c>
      <c r="N279" s="38">
        <f t="shared" si="133"/>
        <v>20.233199643493762</v>
      </c>
      <c r="O279" s="38">
        <f t="shared" si="134"/>
        <v>21.042527629233515</v>
      </c>
      <c r="P279" s="38">
        <f t="shared" si="135"/>
        <v>21.851855614973264</v>
      </c>
      <c r="Q279" s="38">
        <f t="shared" si="136"/>
        <v>22.661183600713013</v>
      </c>
      <c r="R279" s="38">
        <f t="shared" si="137"/>
        <v>23.470511586452762</v>
      </c>
      <c r="S279" s="38">
        <f t="shared" ref="S279" si="148">MROUND(N279,0.25)</f>
        <v>20.25</v>
      </c>
      <c r="T279" s="38">
        <f t="shared" ref="T279" si="149">MROUND(O279,0.25)</f>
        <v>21</v>
      </c>
      <c r="U279" s="38">
        <f t="shared" ref="U279" si="150">MROUND(P279,0.25)</f>
        <v>21.75</v>
      </c>
      <c r="V279" s="38">
        <f t="shared" ref="V279" si="151">MROUND(Q279,0.25)</f>
        <v>22.75</v>
      </c>
    </row>
    <row r="280" spans="1:22" ht="21" customHeight="1" x14ac:dyDescent="0.2">
      <c r="A280" s="40"/>
      <c r="B280" s="40"/>
      <c r="C280" s="40"/>
      <c r="D280" s="40"/>
      <c r="E280" s="40"/>
      <c r="F280" s="40"/>
      <c r="G280" s="41"/>
      <c r="H280" s="42"/>
      <c r="I280" s="42"/>
      <c r="J280" s="43"/>
      <c r="K280" s="43"/>
      <c r="L280" s="44"/>
      <c r="M280" s="41"/>
      <c r="N280" s="43"/>
      <c r="O280" s="43"/>
      <c r="P280" s="43"/>
      <c r="Q280" s="43"/>
      <c r="R280" s="43"/>
      <c r="S280" s="43"/>
      <c r="T280" s="43"/>
      <c r="U280" s="43"/>
    </row>
    <row r="281" spans="1:22" ht="21" customHeight="1" x14ac:dyDescent="0.2">
      <c r="A281" s="45" t="s">
        <v>1113</v>
      </c>
      <c r="B281" s="40"/>
      <c r="C281" s="40"/>
      <c r="D281" s="40"/>
      <c r="E281" s="40"/>
      <c r="F281" s="40"/>
      <c r="G281" s="41"/>
      <c r="H281" s="42"/>
      <c r="I281" s="42"/>
      <c r="J281" s="43"/>
      <c r="K281" s="43"/>
      <c r="L281" s="44"/>
      <c r="M281" s="41"/>
      <c r="N281" s="43"/>
      <c r="O281" s="43"/>
      <c r="P281" s="43"/>
      <c r="Q281" s="43"/>
      <c r="R281" s="43"/>
      <c r="S281" s="43"/>
      <c r="T281" s="43"/>
      <c r="U281" s="43"/>
    </row>
    <row r="282" spans="1:22" ht="21" customHeight="1" x14ac:dyDescent="0.2">
      <c r="A282" s="19" t="s">
        <v>1114</v>
      </c>
      <c r="B282" s="19" t="s">
        <v>245</v>
      </c>
      <c r="C282" s="20" t="s">
        <v>1</v>
      </c>
      <c r="D282" s="20" t="s">
        <v>393</v>
      </c>
      <c r="E282" s="20" t="s">
        <v>397</v>
      </c>
      <c r="F282" s="20" t="s">
        <v>429</v>
      </c>
      <c r="G282" s="33">
        <v>29</v>
      </c>
      <c r="H282" s="34">
        <f>VLOOKUP($C282,'Raw Cost'!$A$1:$B$483,2,FALSE)/G282</f>
        <v>1.1379310344827587</v>
      </c>
      <c r="I282" s="34">
        <f t="shared" ref="I282:I297" si="152">H282/16</f>
        <v>7.1120689655172417E-2</v>
      </c>
      <c r="J282" s="35">
        <v>6</v>
      </c>
      <c r="K282" s="35">
        <v>0.2</v>
      </c>
      <c r="L282" s="36">
        <f>VLOOKUP($F282,'Packaging Cost'!$A$1:$F$43,6,FALSE)</f>
        <v>3.0100000000000002</v>
      </c>
      <c r="M282" s="37">
        <f>IF($E282="Snakpak",(($J282*H282)+($K282*'Labor Cost'!$A$2)+L282),($J282*H282)+($K282*'Labor Cost'!$A$2)+L282)</f>
        <v>14.537586206896551</v>
      </c>
      <c r="N282" s="38">
        <f t="shared" ref="N282:N297" si="153">IF($D282="No",$M282*1.25,($M282*1.25)+15)</f>
        <v>18.17198275862069</v>
      </c>
      <c r="O282" s="38">
        <f t="shared" ref="O282:O297" si="154">IF($D282="No",$M282*1.3,($M282*1.3)+15)</f>
        <v>18.898862068965517</v>
      </c>
      <c r="P282" s="38">
        <f t="shared" ref="P282:P297" si="155">IF($D282="No",$M282*1.35,($M282*1.35)+15)</f>
        <v>19.625741379310345</v>
      </c>
      <c r="Q282" s="38">
        <f t="shared" ref="Q282:Q297" si="156">IF($D282="No",$M282*1.4,($M282*1.4)+15)</f>
        <v>20.352620689655168</v>
      </c>
      <c r="R282" s="38">
        <f t="shared" ref="R282:R297" si="157">IF($D282="No",$M282*1.45,($M282*1.45)+15)</f>
        <v>21.079499999999999</v>
      </c>
      <c r="S282" s="38">
        <f t="shared" ref="S282:S297" si="158">MROUND(N282,0.25)</f>
        <v>18.25</v>
      </c>
      <c r="T282" s="38">
        <f t="shared" ref="T282:T297" si="159">MROUND(O282,0.25)</f>
        <v>19</v>
      </c>
      <c r="U282" s="38">
        <f t="shared" ref="U282:U297" si="160">MROUND(P282,0.25)</f>
        <v>19.75</v>
      </c>
      <c r="V282" s="38">
        <f t="shared" ref="V282:V297" si="161">MROUND(Q282,0.25)</f>
        <v>20.25</v>
      </c>
    </row>
    <row r="283" spans="1:22" ht="21" customHeight="1" x14ac:dyDescent="0.2">
      <c r="A283" s="19" t="s">
        <v>1115</v>
      </c>
      <c r="B283" s="19" t="s">
        <v>245</v>
      </c>
      <c r="C283" s="20" t="s">
        <v>0</v>
      </c>
      <c r="D283" s="20" t="s">
        <v>393</v>
      </c>
      <c r="E283" s="20" t="s">
        <v>397</v>
      </c>
      <c r="F283" s="20" t="s">
        <v>429</v>
      </c>
      <c r="G283" s="33">
        <v>29</v>
      </c>
      <c r="H283" s="34">
        <f>VLOOKUP($C283,'Raw Cost'!$A$1:$B$483,2,FALSE)/G283</f>
        <v>0.89655172413793105</v>
      </c>
      <c r="I283" s="34">
        <f t="shared" si="152"/>
        <v>5.6034482758620691E-2</v>
      </c>
      <c r="J283" s="35">
        <v>6</v>
      </c>
      <c r="K283" s="35">
        <v>0.2</v>
      </c>
      <c r="L283" s="36">
        <f>VLOOKUP($F283,'Packaging Cost'!$A$1:$F$43,6,FALSE)</f>
        <v>3.0100000000000002</v>
      </c>
      <c r="M283" s="37">
        <f>IF($E283="Snakpak",(($J283*H283)+($K283*'Labor Cost'!$A$2)+L283),($J283*H283)+($K283*'Labor Cost'!$A$2)+L283)</f>
        <v>13.089310344827586</v>
      </c>
      <c r="N283" s="38">
        <f t="shared" si="153"/>
        <v>16.361637931034483</v>
      </c>
      <c r="O283" s="38">
        <f t="shared" si="154"/>
        <v>17.016103448275864</v>
      </c>
      <c r="P283" s="38">
        <f t="shared" si="155"/>
        <v>17.670568965517244</v>
      </c>
      <c r="Q283" s="38">
        <f t="shared" si="156"/>
        <v>18.325034482758621</v>
      </c>
      <c r="R283" s="38">
        <f t="shared" si="157"/>
        <v>18.979499999999998</v>
      </c>
      <c r="S283" s="38">
        <f t="shared" si="158"/>
        <v>16.25</v>
      </c>
      <c r="T283" s="38">
        <f t="shared" si="159"/>
        <v>17</v>
      </c>
      <c r="U283" s="38">
        <f t="shared" si="160"/>
        <v>17.75</v>
      </c>
      <c r="V283" s="38">
        <f t="shared" si="161"/>
        <v>18.25</v>
      </c>
    </row>
    <row r="284" spans="1:22" ht="21" customHeight="1" x14ac:dyDescent="0.2">
      <c r="A284" s="19" t="s">
        <v>1116</v>
      </c>
      <c r="B284" s="19" t="s">
        <v>245</v>
      </c>
      <c r="C284" s="20" t="s">
        <v>406</v>
      </c>
      <c r="D284" s="20" t="s">
        <v>393</v>
      </c>
      <c r="E284" s="20" t="s">
        <v>397</v>
      </c>
      <c r="F284" s="20" t="s">
        <v>429</v>
      </c>
      <c r="G284" s="33">
        <v>9</v>
      </c>
      <c r="H284" s="34">
        <f>VLOOKUP($C284,'Raw Cost'!$A$1:$B$483,2,FALSE)/G284</f>
        <v>5.333333333333333</v>
      </c>
      <c r="I284" s="34">
        <f t="shared" si="152"/>
        <v>0.33333333333333331</v>
      </c>
      <c r="J284" s="35">
        <v>6</v>
      </c>
      <c r="K284" s="35">
        <v>0.2</v>
      </c>
      <c r="L284" s="36">
        <f>VLOOKUP($F284,'Packaging Cost'!$A$1:$F$43,6,FALSE)</f>
        <v>3.0100000000000002</v>
      </c>
      <c r="M284" s="37">
        <f>IF($E284="Snakpak",(($J284*H284)+($K284*'Labor Cost'!$A$2)+L284),($J284*H284)+($K284*'Labor Cost'!$A$2)+L284)</f>
        <v>39.71</v>
      </c>
      <c r="N284" s="38">
        <f t="shared" si="153"/>
        <v>49.637500000000003</v>
      </c>
      <c r="O284" s="38">
        <f t="shared" si="154"/>
        <v>51.623000000000005</v>
      </c>
      <c r="P284" s="38">
        <f t="shared" si="155"/>
        <v>53.608500000000006</v>
      </c>
      <c r="Q284" s="38">
        <f t="shared" si="156"/>
        <v>55.594000000000001</v>
      </c>
      <c r="R284" s="38">
        <f t="shared" si="157"/>
        <v>57.579500000000003</v>
      </c>
      <c r="S284" s="38">
        <f t="shared" si="158"/>
        <v>49.75</v>
      </c>
      <c r="T284" s="38">
        <f t="shared" si="159"/>
        <v>51.5</v>
      </c>
      <c r="U284" s="38">
        <f t="shared" si="160"/>
        <v>53.5</v>
      </c>
      <c r="V284" s="38">
        <f t="shared" si="161"/>
        <v>55.5</v>
      </c>
    </row>
    <row r="285" spans="1:22" ht="21" customHeight="1" x14ac:dyDescent="0.2">
      <c r="A285" s="19" t="s">
        <v>1117</v>
      </c>
      <c r="B285" s="19" t="s">
        <v>245</v>
      </c>
      <c r="C285" s="20" t="s">
        <v>10</v>
      </c>
      <c r="D285" s="20" t="s">
        <v>393</v>
      </c>
      <c r="E285" s="20" t="s">
        <v>397</v>
      </c>
      <c r="F285" s="20" t="s">
        <v>429</v>
      </c>
      <c r="G285" s="33">
        <v>18</v>
      </c>
      <c r="H285" s="34">
        <f>VLOOKUP($C285,'Raw Cost'!$A$1:$B$483,2,FALSE)/G285</f>
        <v>1.2222222222222223</v>
      </c>
      <c r="I285" s="34">
        <f t="shared" si="152"/>
        <v>7.6388888888888895E-2</v>
      </c>
      <c r="J285" s="35">
        <v>6</v>
      </c>
      <c r="K285" s="35">
        <v>0.2</v>
      </c>
      <c r="L285" s="36">
        <f>VLOOKUP($F285,'Packaging Cost'!$A$1:$F$43,6,FALSE)</f>
        <v>3.0100000000000002</v>
      </c>
      <c r="M285" s="37">
        <f>IF($E285="Snakpak",(($J285*H285)+($K285*'Labor Cost'!$A$2)+L285),($J285*H285)+($K285*'Labor Cost'!$A$2)+L285)</f>
        <v>15.043333333333335</v>
      </c>
      <c r="N285" s="38">
        <f t="shared" si="153"/>
        <v>18.804166666666667</v>
      </c>
      <c r="O285" s="38">
        <f t="shared" si="154"/>
        <v>19.556333333333335</v>
      </c>
      <c r="P285" s="38">
        <f t="shared" si="155"/>
        <v>20.308500000000002</v>
      </c>
      <c r="Q285" s="38">
        <f t="shared" si="156"/>
        <v>21.060666666666666</v>
      </c>
      <c r="R285" s="38">
        <f t="shared" si="157"/>
        <v>21.812833333333334</v>
      </c>
      <c r="S285" s="38">
        <f t="shared" si="158"/>
        <v>18.75</v>
      </c>
      <c r="T285" s="38">
        <f t="shared" si="159"/>
        <v>19.5</v>
      </c>
      <c r="U285" s="38">
        <f t="shared" si="160"/>
        <v>20.25</v>
      </c>
      <c r="V285" s="38">
        <f t="shared" si="161"/>
        <v>21</v>
      </c>
    </row>
    <row r="286" spans="1:22" ht="21" customHeight="1" x14ac:dyDescent="0.2">
      <c r="A286" s="19" t="s">
        <v>1118</v>
      </c>
      <c r="B286" s="19" t="s">
        <v>245</v>
      </c>
      <c r="C286" s="20" t="s">
        <v>18</v>
      </c>
      <c r="D286" s="20" t="s">
        <v>393</v>
      </c>
      <c r="E286" s="20" t="s">
        <v>397</v>
      </c>
      <c r="F286" s="20" t="s">
        <v>429</v>
      </c>
      <c r="G286" s="33">
        <v>18</v>
      </c>
      <c r="H286" s="34">
        <f>VLOOKUP($C286,'Raw Cost'!$A$1:$B$483,2,FALSE)/G286</f>
        <v>1.8888888888888888</v>
      </c>
      <c r="I286" s="34">
        <f t="shared" si="152"/>
        <v>0.11805555555555555</v>
      </c>
      <c r="J286" s="35">
        <v>6</v>
      </c>
      <c r="K286" s="35">
        <v>0.2</v>
      </c>
      <c r="L286" s="36">
        <f>VLOOKUP($F286,'Packaging Cost'!$A$1:$F$43,6,FALSE)</f>
        <v>3.0100000000000002</v>
      </c>
      <c r="M286" s="37">
        <f>IF($E286="Snakpak",(($J286*H286)+($K286*'Labor Cost'!$A$2)+L286)+2.25,($J286*H286)+($K286*'Labor Cost'!$A$2)+L286)</f>
        <v>19.043333333333333</v>
      </c>
      <c r="N286" s="38">
        <f t="shared" si="153"/>
        <v>23.804166666666667</v>
      </c>
      <c r="O286" s="38">
        <f t="shared" si="154"/>
        <v>24.756333333333334</v>
      </c>
      <c r="P286" s="38">
        <f t="shared" si="155"/>
        <v>25.708500000000001</v>
      </c>
      <c r="Q286" s="38">
        <f t="shared" si="156"/>
        <v>26.660666666666664</v>
      </c>
      <c r="R286" s="38">
        <f t="shared" si="157"/>
        <v>27.612833333333331</v>
      </c>
      <c r="S286" s="38">
        <f t="shared" si="158"/>
        <v>23.75</v>
      </c>
      <c r="T286" s="38">
        <f t="shared" si="159"/>
        <v>24.75</v>
      </c>
      <c r="U286" s="38">
        <f t="shared" si="160"/>
        <v>25.75</v>
      </c>
      <c r="V286" s="38">
        <f t="shared" si="161"/>
        <v>26.75</v>
      </c>
    </row>
    <row r="287" spans="1:22" ht="21" customHeight="1" x14ac:dyDescent="0.2">
      <c r="A287" s="19" t="s">
        <v>1119</v>
      </c>
      <c r="B287" s="19" t="s">
        <v>245</v>
      </c>
      <c r="C287" s="20" t="s">
        <v>19</v>
      </c>
      <c r="D287" s="20" t="s">
        <v>393</v>
      </c>
      <c r="E287" s="20" t="s">
        <v>397</v>
      </c>
      <c r="F287" s="20" t="s">
        <v>429</v>
      </c>
      <c r="G287" s="33">
        <v>18</v>
      </c>
      <c r="H287" s="34">
        <f>VLOOKUP($C287,'Raw Cost'!$A$1:$B$483,2,FALSE)/G287</f>
        <v>1.8888888888888888</v>
      </c>
      <c r="I287" s="34">
        <f t="shared" si="152"/>
        <v>0.11805555555555555</v>
      </c>
      <c r="J287" s="35">
        <v>6</v>
      </c>
      <c r="K287" s="35">
        <v>0.2</v>
      </c>
      <c r="L287" s="36">
        <f>VLOOKUP($F287,'Packaging Cost'!$A$1:$F$43,6,FALSE)</f>
        <v>3.0100000000000002</v>
      </c>
      <c r="M287" s="37">
        <f>IF($E287="Snakpak",(($J287*H287)+($K287*'Labor Cost'!$A$2)+L287)+2.25,($J287*H287)+($K287*'Labor Cost'!$A$2)+L287)</f>
        <v>19.043333333333333</v>
      </c>
      <c r="N287" s="38">
        <f t="shared" si="153"/>
        <v>23.804166666666667</v>
      </c>
      <c r="O287" s="38">
        <f t="shared" si="154"/>
        <v>24.756333333333334</v>
      </c>
      <c r="P287" s="38">
        <f t="shared" si="155"/>
        <v>25.708500000000001</v>
      </c>
      <c r="Q287" s="38">
        <f t="shared" si="156"/>
        <v>26.660666666666664</v>
      </c>
      <c r="R287" s="38">
        <f t="shared" si="157"/>
        <v>27.612833333333331</v>
      </c>
      <c r="S287" s="38">
        <f t="shared" si="158"/>
        <v>23.75</v>
      </c>
      <c r="T287" s="38">
        <f t="shared" si="159"/>
        <v>24.75</v>
      </c>
      <c r="U287" s="38">
        <f t="shared" si="160"/>
        <v>25.75</v>
      </c>
      <c r="V287" s="38">
        <f t="shared" si="161"/>
        <v>26.75</v>
      </c>
    </row>
    <row r="288" spans="1:22" ht="21" customHeight="1" x14ac:dyDescent="0.2">
      <c r="A288" s="19" t="s">
        <v>1120</v>
      </c>
      <c r="B288" s="19" t="s">
        <v>245</v>
      </c>
      <c r="C288" s="20" t="s">
        <v>20</v>
      </c>
      <c r="D288" s="20" t="s">
        <v>393</v>
      </c>
      <c r="E288" s="20" t="s">
        <v>397</v>
      </c>
      <c r="F288" s="20" t="s">
        <v>429</v>
      </c>
      <c r="G288" s="33">
        <v>15</v>
      </c>
      <c r="H288" s="34">
        <f>VLOOKUP($C288,'Raw Cost'!$A$1:$B$483,2,FALSE)/G288</f>
        <v>1.2</v>
      </c>
      <c r="I288" s="34">
        <f t="shared" si="152"/>
        <v>7.4999999999999997E-2</v>
      </c>
      <c r="J288" s="35">
        <v>6</v>
      </c>
      <c r="K288" s="35">
        <v>0.2</v>
      </c>
      <c r="L288" s="36">
        <f>VLOOKUP($F288,'Packaging Cost'!$A$1:$F$43,6,FALSE)</f>
        <v>3.0100000000000002</v>
      </c>
      <c r="M288" s="37">
        <f>IF($E288="Snakpak",(($J288*H288)+($K288*'Labor Cost'!$A$2)+L288)+2.25,($J288*H288)+($K288*'Labor Cost'!$A$2)+L288)</f>
        <v>14.909999999999998</v>
      </c>
      <c r="N288" s="38">
        <f t="shared" si="153"/>
        <v>18.637499999999999</v>
      </c>
      <c r="O288" s="38">
        <f t="shared" si="154"/>
        <v>19.382999999999999</v>
      </c>
      <c r="P288" s="38">
        <f t="shared" si="155"/>
        <v>20.128499999999999</v>
      </c>
      <c r="Q288" s="38">
        <f t="shared" si="156"/>
        <v>20.873999999999995</v>
      </c>
      <c r="R288" s="38">
        <f t="shared" si="157"/>
        <v>21.619499999999999</v>
      </c>
      <c r="S288" s="38">
        <f t="shared" si="158"/>
        <v>18.75</v>
      </c>
      <c r="T288" s="38">
        <f t="shared" si="159"/>
        <v>19.5</v>
      </c>
      <c r="U288" s="38">
        <f t="shared" si="160"/>
        <v>20.25</v>
      </c>
      <c r="V288" s="38">
        <f t="shared" si="161"/>
        <v>20.75</v>
      </c>
    </row>
    <row r="289" spans="1:22" ht="21" customHeight="1" x14ac:dyDescent="0.2">
      <c r="A289" s="19" t="s">
        <v>1121</v>
      </c>
      <c r="B289" s="19" t="s">
        <v>245</v>
      </c>
      <c r="C289" s="20" t="s">
        <v>23</v>
      </c>
      <c r="D289" s="20" t="s">
        <v>393</v>
      </c>
      <c r="E289" s="20" t="s">
        <v>397</v>
      </c>
      <c r="F289" s="20" t="s">
        <v>429</v>
      </c>
      <c r="G289" s="33">
        <v>19</v>
      </c>
      <c r="H289" s="34">
        <f>VLOOKUP($C289,'Raw Cost'!$A$1:$B$483,2,FALSE)/G289</f>
        <v>1.8947368421052631</v>
      </c>
      <c r="I289" s="34">
        <f t="shared" si="152"/>
        <v>0.11842105263157894</v>
      </c>
      <c r="J289" s="35">
        <v>6</v>
      </c>
      <c r="K289" s="35">
        <v>0.2</v>
      </c>
      <c r="L289" s="36">
        <f>VLOOKUP($F289,'Packaging Cost'!$A$1:$F$43,6,FALSE)</f>
        <v>3.0100000000000002</v>
      </c>
      <c r="M289" s="37">
        <f>IF($E289="Snakpak",(($J289*H289)+($K289*'Labor Cost'!$A$2)+L289)+2.25,($J289*H289)+($K289*'Labor Cost'!$A$2)+L289)</f>
        <v>19.07842105263158</v>
      </c>
      <c r="N289" s="38">
        <f t="shared" si="153"/>
        <v>23.848026315789475</v>
      </c>
      <c r="O289" s="38">
        <f t="shared" si="154"/>
        <v>24.801947368421054</v>
      </c>
      <c r="P289" s="38">
        <f t="shared" si="155"/>
        <v>25.755868421052636</v>
      </c>
      <c r="Q289" s="38">
        <f t="shared" si="156"/>
        <v>26.709789473684211</v>
      </c>
      <c r="R289" s="38">
        <f t="shared" si="157"/>
        <v>27.663710526315789</v>
      </c>
      <c r="S289" s="38">
        <f t="shared" si="158"/>
        <v>23.75</v>
      </c>
      <c r="T289" s="38">
        <f t="shared" si="159"/>
        <v>24.75</v>
      </c>
      <c r="U289" s="38">
        <f t="shared" si="160"/>
        <v>25.75</v>
      </c>
      <c r="V289" s="38">
        <f t="shared" si="161"/>
        <v>26.75</v>
      </c>
    </row>
    <row r="290" spans="1:22" ht="21" customHeight="1" x14ac:dyDescent="0.2">
      <c r="A290" s="19" t="s">
        <v>1122</v>
      </c>
      <c r="B290" s="19" t="s">
        <v>245</v>
      </c>
      <c r="C290" s="20" t="s">
        <v>25</v>
      </c>
      <c r="D290" s="20" t="s">
        <v>393</v>
      </c>
      <c r="E290" s="20" t="s">
        <v>397</v>
      </c>
      <c r="F290" s="20" t="s">
        <v>429</v>
      </c>
      <c r="G290" s="33">
        <v>6</v>
      </c>
      <c r="H290" s="34">
        <f>VLOOKUP($C290,'Raw Cost'!$A$1:$B$483,2,FALSE)/G290</f>
        <v>2.5</v>
      </c>
      <c r="I290" s="34">
        <f t="shared" si="152"/>
        <v>0.15625</v>
      </c>
      <c r="J290" s="35">
        <v>6</v>
      </c>
      <c r="K290" s="35">
        <v>0.2</v>
      </c>
      <c r="L290" s="36">
        <f>VLOOKUP($F290,'Packaging Cost'!$A$1:$F$43,6,FALSE)</f>
        <v>3.0100000000000002</v>
      </c>
      <c r="M290" s="37">
        <f>IF($E290="Snakpak",(($J290*H290)+($K290*'Labor Cost'!$A$2)+L290)+2.25,($J290*H290)+($K290*'Labor Cost'!$A$2)+L290)</f>
        <v>22.71</v>
      </c>
      <c r="N290" s="38">
        <f t="shared" si="153"/>
        <v>28.387500000000003</v>
      </c>
      <c r="O290" s="38">
        <f t="shared" si="154"/>
        <v>29.523000000000003</v>
      </c>
      <c r="P290" s="38">
        <f t="shared" si="155"/>
        <v>30.658500000000004</v>
      </c>
      <c r="Q290" s="38">
        <f t="shared" si="156"/>
        <v>31.794</v>
      </c>
      <c r="R290" s="38">
        <f t="shared" si="157"/>
        <v>32.929499999999997</v>
      </c>
      <c r="S290" s="38">
        <f t="shared" si="158"/>
        <v>28.5</v>
      </c>
      <c r="T290" s="38">
        <f t="shared" si="159"/>
        <v>29.5</v>
      </c>
      <c r="U290" s="38">
        <f t="shared" si="160"/>
        <v>30.75</v>
      </c>
      <c r="V290" s="38">
        <f t="shared" si="161"/>
        <v>31.75</v>
      </c>
    </row>
    <row r="291" spans="1:22" ht="21" customHeight="1" x14ac:dyDescent="0.2">
      <c r="A291" s="19" t="s">
        <v>1123</v>
      </c>
      <c r="B291" s="19" t="s">
        <v>245</v>
      </c>
      <c r="C291" s="20" t="s">
        <v>31</v>
      </c>
      <c r="D291" s="20" t="s">
        <v>393</v>
      </c>
      <c r="E291" s="20" t="s">
        <v>397</v>
      </c>
      <c r="F291" s="20" t="s">
        <v>429</v>
      </c>
      <c r="G291" s="33">
        <v>40</v>
      </c>
      <c r="H291" s="34">
        <f>VLOOKUP($C291,'Raw Cost'!$A$1:$B$483,2,FALSE)/G291</f>
        <v>0.67500000000000004</v>
      </c>
      <c r="I291" s="34">
        <f t="shared" si="152"/>
        <v>4.2187500000000003E-2</v>
      </c>
      <c r="J291" s="35">
        <v>6</v>
      </c>
      <c r="K291" s="35">
        <v>0.2</v>
      </c>
      <c r="L291" s="36">
        <f>VLOOKUP($F291,'Packaging Cost'!$A$1:$F$43,6,FALSE)</f>
        <v>3.0100000000000002</v>
      </c>
      <c r="M291" s="37">
        <f>IF($E291="Snakpak",(($J291*H291)+($K291*'Labor Cost'!$A$2)+L291)+2.25,($J291*H291)+($K291*'Labor Cost'!$A$2)+L291)</f>
        <v>11.76</v>
      </c>
      <c r="N291" s="38">
        <f t="shared" si="153"/>
        <v>14.7</v>
      </c>
      <c r="O291" s="38">
        <f t="shared" si="154"/>
        <v>15.288</v>
      </c>
      <c r="P291" s="38">
        <f t="shared" si="155"/>
        <v>15.876000000000001</v>
      </c>
      <c r="Q291" s="38">
        <f t="shared" si="156"/>
        <v>16.463999999999999</v>
      </c>
      <c r="R291" s="38">
        <f t="shared" si="157"/>
        <v>17.052</v>
      </c>
      <c r="S291" s="38">
        <f t="shared" si="158"/>
        <v>14.75</v>
      </c>
      <c r="T291" s="38">
        <f t="shared" si="159"/>
        <v>15.25</v>
      </c>
      <c r="U291" s="38">
        <f t="shared" si="160"/>
        <v>16</v>
      </c>
      <c r="V291" s="38">
        <f t="shared" si="161"/>
        <v>16.5</v>
      </c>
    </row>
    <row r="292" spans="1:22" ht="21" customHeight="1" x14ac:dyDescent="0.2">
      <c r="A292" s="19" t="s">
        <v>1124</v>
      </c>
      <c r="B292" s="19" t="s">
        <v>245</v>
      </c>
      <c r="C292" s="20" t="s">
        <v>35</v>
      </c>
      <c r="D292" s="20" t="s">
        <v>393</v>
      </c>
      <c r="E292" s="20" t="s">
        <v>397</v>
      </c>
      <c r="F292" s="20" t="s">
        <v>429</v>
      </c>
      <c r="G292" s="33">
        <v>29</v>
      </c>
      <c r="H292" s="34">
        <f>VLOOKUP($C292,'Raw Cost'!$A$1:$B$483,2,FALSE)/G292</f>
        <v>1.8275862068965518</v>
      </c>
      <c r="I292" s="34">
        <f t="shared" si="152"/>
        <v>0.11422413793103449</v>
      </c>
      <c r="J292" s="35">
        <v>6</v>
      </c>
      <c r="K292" s="35">
        <v>0.2</v>
      </c>
      <c r="L292" s="36">
        <f>VLOOKUP($F292,'Packaging Cost'!$A$1:$F$43,6,FALSE)</f>
        <v>3.0100000000000002</v>
      </c>
      <c r="M292" s="37">
        <f>IF($E292="Snakpak",(($J292*H292)+($K292*'Labor Cost'!$A$2)+L292)+2.25,($J292*H292)+($K292*'Labor Cost'!$A$2)+L292)</f>
        <v>18.675517241379314</v>
      </c>
      <c r="N292" s="38">
        <f t="shared" si="153"/>
        <v>23.344396551724142</v>
      </c>
      <c r="O292" s="38">
        <f t="shared" si="154"/>
        <v>24.278172413793108</v>
      </c>
      <c r="P292" s="38">
        <f t="shared" si="155"/>
        <v>25.211948275862074</v>
      </c>
      <c r="Q292" s="38">
        <f t="shared" si="156"/>
        <v>26.145724137931037</v>
      </c>
      <c r="R292" s="38">
        <f t="shared" si="157"/>
        <v>27.079500000000003</v>
      </c>
      <c r="S292" s="38">
        <f t="shared" si="158"/>
        <v>23.25</v>
      </c>
      <c r="T292" s="38">
        <f t="shared" si="159"/>
        <v>24.25</v>
      </c>
      <c r="U292" s="38">
        <f t="shared" si="160"/>
        <v>25.25</v>
      </c>
      <c r="V292" s="38">
        <f t="shared" si="161"/>
        <v>26.25</v>
      </c>
    </row>
    <row r="293" spans="1:22" ht="21" customHeight="1" x14ac:dyDescent="0.2">
      <c r="A293" s="19" t="s">
        <v>1125</v>
      </c>
      <c r="B293" s="19" t="s">
        <v>245</v>
      </c>
      <c r="C293" s="20" t="s">
        <v>39</v>
      </c>
      <c r="D293" s="20" t="s">
        <v>393</v>
      </c>
      <c r="E293" s="20" t="s">
        <v>397</v>
      </c>
      <c r="F293" s="20" t="s">
        <v>429</v>
      </c>
      <c r="G293" s="33">
        <v>8.5</v>
      </c>
      <c r="H293" s="34">
        <f>VLOOKUP($C293,'Raw Cost'!$A$1:$B$483,2,FALSE)/G293</f>
        <v>2.1176470588235294</v>
      </c>
      <c r="I293" s="34">
        <f t="shared" si="152"/>
        <v>0.13235294117647059</v>
      </c>
      <c r="J293" s="35">
        <v>6</v>
      </c>
      <c r="K293" s="35">
        <v>0.2</v>
      </c>
      <c r="L293" s="36">
        <f>VLOOKUP($F293,'Packaging Cost'!$A$1:$F$43,6,FALSE)</f>
        <v>3.0100000000000002</v>
      </c>
      <c r="M293" s="37">
        <f>IF($E293="Snakpak",(($J293*H293)+($K293*'Labor Cost'!$A$2)+L293)+2.25,($J293*H293)+($K293*'Labor Cost'!$A$2)+L293)</f>
        <v>20.415882352941178</v>
      </c>
      <c r="N293" s="38">
        <f t="shared" si="153"/>
        <v>25.519852941176474</v>
      </c>
      <c r="O293" s="38">
        <f t="shared" si="154"/>
        <v>26.540647058823534</v>
      </c>
      <c r="P293" s="38">
        <f t="shared" si="155"/>
        <v>27.561441176470591</v>
      </c>
      <c r="Q293" s="38">
        <f t="shared" si="156"/>
        <v>28.582235294117648</v>
      </c>
      <c r="R293" s="38">
        <f t="shared" si="157"/>
        <v>29.603029411764709</v>
      </c>
      <c r="S293" s="38">
        <f t="shared" si="158"/>
        <v>25.5</v>
      </c>
      <c r="T293" s="38">
        <f t="shared" si="159"/>
        <v>26.5</v>
      </c>
      <c r="U293" s="38">
        <f t="shared" si="160"/>
        <v>27.5</v>
      </c>
      <c r="V293" s="38">
        <f t="shared" si="161"/>
        <v>28.5</v>
      </c>
    </row>
    <row r="294" spans="1:22" ht="21" customHeight="1" x14ac:dyDescent="0.2">
      <c r="A294" s="19" t="s">
        <v>1126</v>
      </c>
      <c r="B294" s="19" t="s">
        <v>245</v>
      </c>
      <c r="C294" s="20" t="s">
        <v>58</v>
      </c>
      <c r="D294" s="20" t="s">
        <v>393</v>
      </c>
      <c r="E294" s="20" t="s">
        <v>397</v>
      </c>
      <c r="F294" s="20" t="s">
        <v>429</v>
      </c>
      <c r="G294" s="33">
        <v>7.5</v>
      </c>
      <c r="H294" s="34">
        <f>VLOOKUP($C294,'Raw Cost'!$A$1:$B$483,2,FALSE)/G294</f>
        <v>2.9333333333333331</v>
      </c>
      <c r="I294" s="34">
        <f t="shared" si="152"/>
        <v>0.18333333333333332</v>
      </c>
      <c r="J294" s="35">
        <v>6</v>
      </c>
      <c r="K294" s="35">
        <v>0.2</v>
      </c>
      <c r="L294" s="36">
        <f>VLOOKUP($F294,'Packaging Cost'!$A$1:$F$43,6,FALSE)</f>
        <v>3.0100000000000002</v>
      </c>
      <c r="M294" s="37">
        <f>IF($E294="Snakpak",(($J294*H294)+($K294*'Labor Cost'!$A$2)+L294)+2.25,($J294*H294)+($K294*'Labor Cost'!$A$2)+L294)</f>
        <v>25.31</v>
      </c>
      <c r="N294" s="38">
        <f t="shared" si="153"/>
        <v>31.637499999999999</v>
      </c>
      <c r="O294" s="38">
        <f t="shared" si="154"/>
        <v>32.902999999999999</v>
      </c>
      <c r="P294" s="38">
        <f t="shared" si="155"/>
        <v>34.168500000000002</v>
      </c>
      <c r="Q294" s="38">
        <f t="shared" si="156"/>
        <v>35.433999999999997</v>
      </c>
      <c r="R294" s="38">
        <f t="shared" si="157"/>
        <v>36.6995</v>
      </c>
      <c r="S294" s="38">
        <f t="shared" si="158"/>
        <v>31.75</v>
      </c>
      <c r="T294" s="38">
        <f t="shared" si="159"/>
        <v>33</v>
      </c>
      <c r="U294" s="38">
        <f t="shared" si="160"/>
        <v>34.25</v>
      </c>
      <c r="V294" s="38">
        <f t="shared" si="161"/>
        <v>35.5</v>
      </c>
    </row>
    <row r="295" spans="1:22" ht="21" customHeight="1" x14ac:dyDescent="0.2">
      <c r="A295" s="19" t="s">
        <v>1127</v>
      </c>
      <c r="B295" s="19" t="s">
        <v>245</v>
      </c>
      <c r="C295" s="20" t="s">
        <v>59</v>
      </c>
      <c r="D295" s="20" t="s">
        <v>393</v>
      </c>
      <c r="E295" s="20" t="s">
        <v>397</v>
      </c>
      <c r="F295" s="20" t="s">
        <v>429</v>
      </c>
      <c r="G295" s="33">
        <v>8</v>
      </c>
      <c r="H295" s="34">
        <f>VLOOKUP($C295,'Raw Cost'!$A$1:$B$483,2,FALSE)/G295</f>
        <v>1.25</v>
      </c>
      <c r="I295" s="34">
        <f t="shared" si="152"/>
        <v>7.8125E-2</v>
      </c>
      <c r="J295" s="35">
        <v>6</v>
      </c>
      <c r="K295" s="35">
        <v>0.2</v>
      </c>
      <c r="L295" s="36">
        <f>VLOOKUP($F295,'Packaging Cost'!$A$1:$F$43,6,FALSE)</f>
        <v>3.0100000000000002</v>
      </c>
      <c r="M295" s="37">
        <f>IF($E295="Snakpak",(($J295*H295)+($K295*'Labor Cost'!$A$2)+L295)+2.25,($J295*H295)+($K295*'Labor Cost'!$A$2)+L295)</f>
        <v>15.209999999999999</v>
      </c>
      <c r="N295" s="38">
        <f t="shared" si="153"/>
        <v>19.012499999999999</v>
      </c>
      <c r="O295" s="38">
        <f t="shared" si="154"/>
        <v>19.773</v>
      </c>
      <c r="P295" s="38">
        <f t="shared" si="155"/>
        <v>20.5335</v>
      </c>
      <c r="Q295" s="38">
        <f t="shared" si="156"/>
        <v>21.293999999999997</v>
      </c>
      <c r="R295" s="38">
        <f t="shared" si="157"/>
        <v>22.054499999999997</v>
      </c>
      <c r="S295" s="38">
        <f t="shared" si="158"/>
        <v>19</v>
      </c>
      <c r="T295" s="38">
        <f t="shared" si="159"/>
        <v>19.75</v>
      </c>
      <c r="U295" s="38">
        <f t="shared" si="160"/>
        <v>20.5</v>
      </c>
      <c r="V295" s="38">
        <f t="shared" si="161"/>
        <v>21.25</v>
      </c>
    </row>
    <row r="296" spans="1:22" ht="21" customHeight="1" x14ac:dyDescent="0.2">
      <c r="A296" s="19" t="s">
        <v>1128</v>
      </c>
      <c r="B296" s="19" t="s">
        <v>245</v>
      </c>
      <c r="C296" s="20" t="s">
        <v>595</v>
      </c>
      <c r="D296" s="20" t="s">
        <v>393</v>
      </c>
      <c r="E296" s="20" t="s">
        <v>397</v>
      </c>
      <c r="F296" s="20" t="s">
        <v>429</v>
      </c>
      <c r="G296" s="33">
        <v>4</v>
      </c>
      <c r="H296" s="34">
        <f>VLOOKUP($C296,'Raw Cost'!$A$1:$B$483,2,FALSE)/G296</f>
        <v>1.6453839869281044</v>
      </c>
      <c r="I296" s="34">
        <f t="shared" si="152"/>
        <v>0.10283649918300652</v>
      </c>
      <c r="J296" s="35">
        <v>6</v>
      </c>
      <c r="K296" s="35">
        <v>0.2</v>
      </c>
      <c r="L296" s="36">
        <f>VLOOKUP($F296,'Packaging Cost'!$A$1:$F$43,6,FALSE)</f>
        <v>3.0100000000000002</v>
      </c>
      <c r="M296" s="37">
        <f>IF($E296="Snakpak",(($J296*H296)+($K296*'Labor Cost'!$A$2)+L296)+2.25,($J296*H296)+($K296*'Labor Cost'!$A$2)+L296)</f>
        <v>17.582303921568627</v>
      </c>
      <c r="N296" s="38">
        <f t="shared" si="153"/>
        <v>21.977879901960783</v>
      </c>
      <c r="O296" s="38">
        <f t="shared" si="154"/>
        <v>22.856995098039217</v>
      </c>
      <c r="P296" s="38">
        <f t="shared" si="155"/>
        <v>23.736110294117648</v>
      </c>
      <c r="Q296" s="38">
        <f t="shared" si="156"/>
        <v>24.615225490196078</v>
      </c>
      <c r="R296" s="38">
        <f t="shared" si="157"/>
        <v>25.494340686274509</v>
      </c>
      <c r="S296" s="38">
        <f t="shared" si="158"/>
        <v>22</v>
      </c>
      <c r="T296" s="38">
        <f t="shared" si="159"/>
        <v>22.75</v>
      </c>
      <c r="U296" s="38">
        <f t="shared" si="160"/>
        <v>23.75</v>
      </c>
      <c r="V296" s="38">
        <f t="shared" si="161"/>
        <v>24.5</v>
      </c>
    </row>
    <row r="297" spans="1:22" ht="21" customHeight="1" x14ac:dyDescent="0.2">
      <c r="A297" s="19" t="s">
        <v>1136</v>
      </c>
      <c r="B297" s="19" t="s">
        <v>1131</v>
      </c>
      <c r="C297" s="20" t="s">
        <v>1133</v>
      </c>
      <c r="D297" s="20" t="s">
        <v>393</v>
      </c>
      <c r="E297" s="20" t="s">
        <v>397</v>
      </c>
      <c r="F297" s="20" t="s">
        <v>429</v>
      </c>
      <c r="G297" s="33">
        <v>3</v>
      </c>
      <c r="H297" s="34">
        <f>VLOOKUP($C297,'Raw Cost'!$A$1:$B$483,2,FALSE)/G297</f>
        <v>2.1191399286987522</v>
      </c>
      <c r="I297" s="34">
        <f t="shared" si="152"/>
        <v>0.13244624554367201</v>
      </c>
      <c r="J297" s="35">
        <v>6</v>
      </c>
      <c r="K297" s="35">
        <v>0.2</v>
      </c>
      <c r="L297" s="36">
        <f>VLOOKUP($F297,'Packaging Cost'!$A$1:$F$43,6,FALSE)</f>
        <v>3.0100000000000002</v>
      </c>
      <c r="M297" s="37">
        <f>IF($E297="Snakpak",(($J297*H297)+($K297*'Labor Cost'!$A$2)+L297)+2.25,($J297*H297)+($K297*'Labor Cost'!$A$2)+L297)</f>
        <v>20.424839572192514</v>
      </c>
      <c r="N297" s="38">
        <f t="shared" si="153"/>
        <v>25.531049465240642</v>
      </c>
      <c r="O297" s="38">
        <f t="shared" si="154"/>
        <v>26.552291443850269</v>
      </c>
      <c r="P297" s="38">
        <f t="shared" si="155"/>
        <v>27.573533422459896</v>
      </c>
      <c r="Q297" s="38">
        <f t="shared" si="156"/>
        <v>28.594775401069519</v>
      </c>
      <c r="R297" s="38">
        <f t="shared" si="157"/>
        <v>29.616017379679146</v>
      </c>
      <c r="S297" s="38">
        <f t="shared" si="158"/>
        <v>25.5</v>
      </c>
      <c r="T297" s="38">
        <f t="shared" si="159"/>
        <v>26.5</v>
      </c>
      <c r="U297" s="38">
        <f t="shared" si="160"/>
        <v>27.5</v>
      </c>
      <c r="V297" s="38">
        <f t="shared" si="161"/>
        <v>28.5</v>
      </c>
    </row>
    <row r="298" spans="1:22" ht="21" customHeight="1" x14ac:dyDescent="0.2">
      <c r="A298" s="40"/>
      <c r="B298" s="40"/>
      <c r="C298" s="40"/>
      <c r="D298" s="40"/>
      <c r="E298" s="40"/>
      <c r="F298" s="40"/>
      <c r="G298" s="41"/>
      <c r="H298" s="42"/>
      <c r="I298" s="42"/>
      <c r="J298" s="43"/>
      <c r="K298" s="43"/>
      <c r="L298" s="44"/>
      <c r="M298" s="41"/>
      <c r="N298" s="43"/>
      <c r="O298" s="43"/>
      <c r="P298" s="43"/>
      <c r="Q298" s="43"/>
      <c r="R298" s="43"/>
      <c r="S298" s="43"/>
      <c r="T298" s="43"/>
      <c r="U298" s="43"/>
    </row>
    <row r="299" spans="1:22" ht="21" customHeight="1" x14ac:dyDescent="0.2">
      <c r="A299" s="45" t="s">
        <v>1139</v>
      </c>
      <c r="B299" s="40"/>
      <c r="C299" s="40"/>
      <c r="D299" s="40"/>
      <c r="E299" s="40"/>
      <c r="F299" s="40"/>
      <c r="G299" s="41"/>
      <c r="H299" s="42"/>
      <c r="I299" s="42"/>
      <c r="J299" s="43"/>
      <c r="K299" s="43"/>
      <c r="L299" s="44"/>
      <c r="M299" s="41"/>
      <c r="N299" s="43"/>
      <c r="O299" s="43"/>
      <c r="P299" s="43"/>
      <c r="Q299" s="43"/>
      <c r="R299" s="43"/>
      <c r="S299" s="43"/>
      <c r="T299" s="43"/>
      <c r="U299" s="43"/>
    </row>
    <row r="300" spans="1:22" ht="21" customHeight="1" x14ac:dyDescent="0.2">
      <c r="A300" s="19" t="s">
        <v>1140</v>
      </c>
      <c r="B300" s="19" t="s">
        <v>245</v>
      </c>
      <c r="C300" s="20" t="s">
        <v>1</v>
      </c>
      <c r="D300" s="20" t="s">
        <v>393</v>
      </c>
      <c r="E300" s="20" t="s">
        <v>397</v>
      </c>
      <c r="F300" s="20" t="s">
        <v>429</v>
      </c>
      <c r="G300" s="33">
        <v>29</v>
      </c>
      <c r="H300" s="34">
        <f>VLOOKUP($C300,'Raw Cost'!$A$1:$B$483,2,FALSE)/G300</f>
        <v>1.1379310344827587</v>
      </c>
      <c r="I300" s="34">
        <f t="shared" ref="I300:I315" si="162">H300/16</f>
        <v>7.1120689655172417E-2</v>
      </c>
      <c r="J300" s="35">
        <v>3</v>
      </c>
      <c r="K300" s="35">
        <v>0.2</v>
      </c>
      <c r="L300" s="36">
        <f>VLOOKUP($F300,'Packaging Cost'!$A$1:$F$43,6,FALSE)</f>
        <v>3.0100000000000002</v>
      </c>
      <c r="M300" s="37">
        <f>IF($E300="Snakpak",(($J300*H300)+($K300*'Labor Cost'!$A$2)+L300),($J300*H300)+($K300*'Labor Cost'!$A$2)+L300)</f>
        <v>11.123793103448277</v>
      </c>
      <c r="N300" s="38">
        <f t="shared" ref="N300:N315" si="163">IF($D300="No",$M300*1.25,($M300*1.25)+15)</f>
        <v>13.904741379310346</v>
      </c>
      <c r="O300" s="38">
        <f t="shared" ref="O300:O315" si="164">IF($D300="No",$M300*1.3,($M300*1.3)+15)</f>
        <v>14.46093103448276</v>
      </c>
      <c r="P300" s="38">
        <f t="shared" ref="P300:P315" si="165">IF($D300="No",$M300*1.35,($M300*1.35)+15)</f>
        <v>15.017120689655174</v>
      </c>
      <c r="Q300" s="38">
        <f t="shared" ref="Q300:Q315" si="166">IF($D300="No",$M300*1.4,($M300*1.4)+15)</f>
        <v>15.573310344827586</v>
      </c>
      <c r="R300" s="38">
        <f t="shared" ref="R300:R315" si="167">IF($D300="No",$M300*1.45,($M300*1.45)+15)</f>
        <v>16.1295</v>
      </c>
      <c r="S300" s="38">
        <f t="shared" ref="S300:S315" si="168">MROUND(N300,0.25)</f>
        <v>14</v>
      </c>
      <c r="T300" s="38">
        <f t="shared" ref="T300:T315" si="169">MROUND(O300,0.25)</f>
        <v>14.5</v>
      </c>
      <c r="U300" s="38">
        <f t="shared" ref="U300:U315" si="170">MROUND(P300,0.25)</f>
        <v>15</v>
      </c>
      <c r="V300" s="38">
        <f t="shared" ref="V300:V315" si="171">MROUND(Q300,0.25)</f>
        <v>15.5</v>
      </c>
    </row>
    <row r="301" spans="1:22" ht="21" customHeight="1" x14ac:dyDescent="0.2">
      <c r="A301" s="19" t="s">
        <v>1141</v>
      </c>
      <c r="B301" s="19" t="s">
        <v>245</v>
      </c>
      <c r="C301" s="20" t="s">
        <v>0</v>
      </c>
      <c r="D301" s="20" t="s">
        <v>393</v>
      </c>
      <c r="E301" s="20" t="s">
        <v>397</v>
      </c>
      <c r="F301" s="20" t="s">
        <v>429</v>
      </c>
      <c r="G301" s="33">
        <v>29</v>
      </c>
      <c r="H301" s="34">
        <f>VLOOKUP($C301,'Raw Cost'!$A$1:$B$483,2,FALSE)/G301</f>
        <v>0.89655172413793105</v>
      </c>
      <c r="I301" s="34">
        <f t="shared" si="162"/>
        <v>5.6034482758620691E-2</v>
      </c>
      <c r="J301" s="35">
        <v>3</v>
      </c>
      <c r="K301" s="35">
        <v>0.2</v>
      </c>
      <c r="L301" s="36">
        <f>VLOOKUP($F301,'Packaging Cost'!$A$1:$F$43,6,FALSE)</f>
        <v>3.0100000000000002</v>
      </c>
      <c r="M301" s="37">
        <f>IF($E301="Snakpak",(($J301*H301)+($K301*'Labor Cost'!$A$2)+L301),($J301*H301)+($K301*'Labor Cost'!$A$2)+L301)</f>
        <v>10.399655172413793</v>
      </c>
      <c r="N301" s="38">
        <f t="shared" si="163"/>
        <v>12.999568965517241</v>
      </c>
      <c r="O301" s="38">
        <f t="shared" si="164"/>
        <v>13.519551724137932</v>
      </c>
      <c r="P301" s="38">
        <f t="shared" si="165"/>
        <v>14.03953448275862</v>
      </c>
      <c r="Q301" s="38">
        <f t="shared" si="166"/>
        <v>14.559517241379309</v>
      </c>
      <c r="R301" s="38">
        <f t="shared" si="167"/>
        <v>15.079499999999999</v>
      </c>
      <c r="S301" s="38">
        <f t="shared" si="168"/>
        <v>13</v>
      </c>
      <c r="T301" s="38">
        <f t="shared" si="169"/>
        <v>13.5</v>
      </c>
      <c r="U301" s="38">
        <f t="shared" si="170"/>
        <v>14</v>
      </c>
      <c r="V301" s="38">
        <f t="shared" si="171"/>
        <v>14.5</v>
      </c>
    </row>
    <row r="302" spans="1:22" ht="21" customHeight="1" x14ac:dyDescent="0.2">
      <c r="A302" s="19" t="s">
        <v>1142</v>
      </c>
      <c r="B302" s="19" t="s">
        <v>245</v>
      </c>
      <c r="C302" s="20" t="s">
        <v>406</v>
      </c>
      <c r="D302" s="20" t="s">
        <v>393</v>
      </c>
      <c r="E302" s="20" t="s">
        <v>397</v>
      </c>
      <c r="F302" s="20" t="s">
        <v>429</v>
      </c>
      <c r="G302" s="33">
        <v>9</v>
      </c>
      <c r="H302" s="34">
        <f>VLOOKUP($C302,'Raw Cost'!$A$1:$B$483,2,FALSE)/G302</f>
        <v>5.333333333333333</v>
      </c>
      <c r="I302" s="34">
        <f t="shared" si="162"/>
        <v>0.33333333333333331</v>
      </c>
      <c r="J302" s="35">
        <v>3</v>
      </c>
      <c r="K302" s="35">
        <v>0.2</v>
      </c>
      <c r="L302" s="36">
        <f>VLOOKUP($F302,'Packaging Cost'!$A$1:$F$43,6,FALSE)</f>
        <v>3.0100000000000002</v>
      </c>
      <c r="M302" s="37">
        <f>IF($E302="Snakpak",(($J302*H302)+($K302*'Labor Cost'!$A$2)+L302),($J302*H302)+($K302*'Labor Cost'!$A$2)+L302)</f>
        <v>23.71</v>
      </c>
      <c r="N302" s="38">
        <f t="shared" si="163"/>
        <v>29.637500000000003</v>
      </c>
      <c r="O302" s="38">
        <f t="shared" si="164"/>
        <v>30.823</v>
      </c>
      <c r="P302" s="38">
        <f t="shared" si="165"/>
        <v>32.008500000000005</v>
      </c>
      <c r="Q302" s="38">
        <f t="shared" si="166"/>
        <v>33.194000000000003</v>
      </c>
      <c r="R302" s="38">
        <f t="shared" si="167"/>
        <v>34.3795</v>
      </c>
      <c r="S302" s="38">
        <f t="shared" si="168"/>
        <v>29.75</v>
      </c>
      <c r="T302" s="38">
        <f t="shared" si="169"/>
        <v>30.75</v>
      </c>
      <c r="U302" s="38">
        <f t="shared" si="170"/>
        <v>32</v>
      </c>
      <c r="V302" s="38">
        <f t="shared" si="171"/>
        <v>33.25</v>
      </c>
    </row>
    <row r="303" spans="1:22" ht="21" customHeight="1" x14ac:dyDescent="0.2">
      <c r="A303" s="19" t="s">
        <v>1143</v>
      </c>
      <c r="B303" s="19" t="s">
        <v>245</v>
      </c>
      <c r="C303" s="20" t="s">
        <v>10</v>
      </c>
      <c r="D303" s="20" t="s">
        <v>393</v>
      </c>
      <c r="E303" s="20" t="s">
        <v>397</v>
      </c>
      <c r="F303" s="20" t="s">
        <v>429</v>
      </c>
      <c r="G303" s="33">
        <v>18</v>
      </c>
      <c r="H303" s="34">
        <f>VLOOKUP($C303,'Raw Cost'!$A$1:$B$483,2,FALSE)/G303</f>
        <v>1.2222222222222223</v>
      </c>
      <c r="I303" s="34">
        <f t="shared" si="162"/>
        <v>7.6388888888888895E-2</v>
      </c>
      <c r="J303" s="35">
        <v>3</v>
      </c>
      <c r="K303" s="35">
        <v>0.2</v>
      </c>
      <c r="L303" s="36">
        <f>VLOOKUP($F303,'Packaging Cost'!$A$1:$F$43,6,FALSE)</f>
        <v>3.0100000000000002</v>
      </c>
      <c r="M303" s="37">
        <f>IF($E303="Snakpak",(($J303*H303)+($K303*'Labor Cost'!$A$2)+L303),($J303*H303)+($K303*'Labor Cost'!$A$2)+L303)</f>
        <v>11.376666666666667</v>
      </c>
      <c r="N303" s="38">
        <f t="shared" si="163"/>
        <v>14.220833333333333</v>
      </c>
      <c r="O303" s="38">
        <f t="shared" si="164"/>
        <v>14.789666666666667</v>
      </c>
      <c r="P303" s="38">
        <f t="shared" si="165"/>
        <v>15.358500000000001</v>
      </c>
      <c r="Q303" s="38">
        <f t="shared" si="166"/>
        <v>15.927333333333333</v>
      </c>
      <c r="R303" s="38">
        <f t="shared" si="167"/>
        <v>16.496166666666667</v>
      </c>
      <c r="S303" s="38">
        <f t="shared" si="168"/>
        <v>14.25</v>
      </c>
      <c r="T303" s="38">
        <f t="shared" si="169"/>
        <v>14.75</v>
      </c>
      <c r="U303" s="38">
        <f t="shared" si="170"/>
        <v>15.25</v>
      </c>
      <c r="V303" s="38">
        <f t="shared" si="171"/>
        <v>16</v>
      </c>
    </row>
    <row r="304" spans="1:22" ht="21" customHeight="1" x14ac:dyDescent="0.2">
      <c r="A304" s="19" t="s">
        <v>1144</v>
      </c>
      <c r="B304" s="19" t="s">
        <v>245</v>
      </c>
      <c r="C304" s="20" t="s">
        <v>18</v>
      </c>
      <c r="D304" s="20" t="s">
        <v>393</v>
      </c>
      <c r="E304" s="20" t="s">
        <v>397</v>
      </c>
      <c r="F304" s="20" t="s">
        <v>429</v>
      </c>
      <c r="G304" s="33">
        <v>18</v>
      </c>
      <c r="H304" s="34">
        <f>VLOOKUP($C304,'Raw Cost'!$A$1:$B$483,2,FALSE)/G304</f>
        <v>1.8888888888888888</v>
      </c>
      <c r="I304" s="34">
        <f t="shared" si="162"/>
        <v>0.11805555555555555</v>
      </c>
      <c r="J304" s="35">
        <v>3</v>
      </c>
      <c r="K304" s="35">
        <v>0.2</v>
      </c>
      <c r="L304" s="36">
        <f>VLOOKUP($F304,'Packaging Cost'!$A$1:$F$43,6,FALSE)</f>
        <v>3.0100000000000002</v>
      </c>
      <c r="M304" s="37">
        <f>IF($E304="Snakpak",(($J304*H304)+($K304*'Labor Cost'!$A$2)+L304)+2.25,($J304*H304)+($K304*'Labor Cost'!$A$2)+L304)</f>
        <v>13.376666666666667</v>
      </c>
      <c r="N304" s="38">
        <f t="shared" si="163"/>
        <v>16.720833333333335</v>
      </c>
      <c r="O304" s="38">
        <f t="shared" si="164"/>
        <v>17.389666666666667</v>
      </c>
      <c r="P304" s="38">
        <f t="shared" si="165"/>
        <v>18.058500000000002</v>
      </c>
      <c r="Q304" s="38">
        <f t="shared" si="166"/>
        <v>18.727333333333334</v>
      </c>
      <c r="R304" s="38">
        <f t="shared" si="167"/>
        <v>19.396166666666666</v>
      </c>
      <c r="S304" s="38">
        <f t="shared" si="168"/>
        <v>16.75</v>
      </c>
      <c r="T304" s="38">
        <f t="shared" si="169"/>
        <v>17.5</v>
      </c>
      <c r="U304" s="38">
        <f t="shared" si="170"/>
        <v>18</v>
      </c>
      <c r="V304" s="38">
        <f t="shared" si="171"/>
        <v>18.75</v>
      </c>
    </row>
    <row r="305" spans="1:22" ht="21" customHeight="1" x14ac:dyDescent="0.2">
      <c r="A305" s="19" t="s">
        <v>1145</v>
      </c>
      <c r="B305" s="19" t="s">
        <v>245</v>
      </c>
      <c r="C305" s="20" t="s">
        <v>19</v>
      </c>
      <c r="D305" s="20" t="s">
        <v>393</v>
      </c>
      <c r="E305" s="20" t="s">
        <v>397</v>
      </c>
      <c r="F305" s="20" t="s">
        <v>429</v>
      </c>
      <c r="G305" s="33">
        <v>18</v>
      </c>
      <c r="H305" s="34">
        <f>VLOOKUP($C305,'Raw Cost'!$A$1:$B$483,2,FALSE)/G305</f>
        <v>1.8888888888888888</v>
      </c>
      <c r="I305" s="34">
        <f t="shared" si="162"/>
        <v>0.11805555555555555</v>
      </c>
      <c r="J305" s="35">
        <v>3</v>
      </c>
      <c r="K305" s="35">
        <v>0.2</v>
      </c>
      <c r="L305" s="36">
        <f>VLOOKUP($F305,'Packaging Cost'!$A$1:$F$43,6,FALSE)</f>
        <v>3.0100000000000002</v>
      </c>
      <c r="M305" s="37">
        <f>IF($E305="Snakpak",(($J305*H305)+($K305*'Labor Cost'!$A$2)+L305)+2.25,($J305*H305)+($K305*'Labor Cost'!$A$2)+L305)</f>
        <v>13.376666666666667</v>
      </c>
      <c r="N305" s="38">
        <f t="shared" si="163"/>
        <v>16.720833333333335</v>
      </c>
      <c r="O305" s="38">
        <f t="shared" si="164"/>
        <v>17.389666666666667</v>
      </c>
      <c r="P305" s="38">
        <f t="shared" si="165"/>
        <v>18.058500000000002</v>
      </c>
      <c r="Q305" s="38">
        <f t="shared" si="166"/>
        <v>18.727333333333334</v>
      </c>
      <c r="R305" s="38">
        <f t="shared" si="167"/>
        <v>19.396166666666666</v>
      </c>
      <c r="S305" s="38">
        <f t="shared" si="168"/>
        <v>16.75</v>
      </c>
      <c r="T305" s="38">
        <f t="shared" si="169"/>
        <v>17.5</v>
      </c>
      <c r="U305" s="38">
        <f t="shared" si="170"/>
        <v>18</v>
      </c>
      <c r="V305" s="38">
        <f t="shared" si="171"/>
        <v>18.75</v>
      </c>
    </row>
    <row r="306" spans="1:22" ht="21" customHeight="1" x14ac:dyDescent="0.2">
      <c r="A306" s="19" t="s">
        <v>1146</v>
      </c>
      <c r="B306" s="19" t="s">
        <v>245</v>
      </c>
      <c r="C306" s="20" t="s">
        <v>20</v>
      </c>
      <c r="D306" s="20" t="s">
        <v>393</v>
      </c>
      <c r="E306" s="20" t="s">
        <v>397</v>
      </c>
      <c r="F306" s="20" t="s">
        <v>429</v>
      </c>
      <c r="G306" s="33">
        <v>15</v>
      </c>
      <c r="H306" s="34">
        <f>VLOOKUP($C306,'Raw Cost'!$A$1:$B$483,2,FALSE)/G306</f>
        <v>1.2</v>
      </c>
      <c r="I306" s="34">
        <f t="shared" si="162"/>
        <v>7.4999999999999997E-2</v>
      </c>
      <c r="J306" s="35">
        <v>3</v>
      </c>
      <c r="K306" s="35">
        <v>0.2</v>
      </c>
      <c r="L306" s="36">
        <f>VLOOKUP($F306,'Packaging Cost'!$A$1:$F$43,6,FALSE)</f>
        <v>3.0100000000000002</v>
      </c>
      <c r="M306" s="37">
        <f>IF($E306="Snakpak",(($J306*H306)+($K306*'Labor Cost'!$A$2)+L306)+2.25,($J306*H306)+($K306*'Labor Cost'!$A$2)+L306)</f>
        <v>11.31</v>
      </c>
      <c r="N306" s="38">
        <f t="shared" si="163"/>
        <v>14.137500000000001</v>
      </c>
      <c r="O306" s="38">
        <f t="shared" si="164"/>
        <v>14.703000000000001</v>
      </c>
      <c r="P306" s="38">
        <f t="shared" si="165"/>
        <v>15.268500000000001</v>
      </c>
      <c r="Q306" s="38">
        <f t="shared" si="166"/>
        <v>15.834</v>
      </c>
      <c r="R306" s="38">
        <f t="shared" si="167"/>
        <v>16.3995</v>
      </c>
      <c r="S306" s="38">
        <f t="shared" si="168"/>
        <v>14.25</v>
      </c>
      <c r="T306" s="38">
        <f t="shared" si="169"/>
        <v>14.75</v>
      </c>
      <c r="U306" s="38">
        <f t="shared" si="170"/>
        <v>15.25</v>
      </c>
      <c r="V306" s="38">
        <f t="shared" si="171"/>
        <v>15.75</v>
      </c>
    </row>
    <row r="307" spans="1:22" ht="21" customHeight="1" x14ac:dyDescent="0.2">
      <c r="A307" s="19" t="s">
        <v>1147</v>
      </c>
      <c r="B307" s="19" t="s">
        <v>245</v>
      </c>
      <c r="C307" s="20" t="s">
        <v>23</v>
      </c>
      <c r="D307" s="20" t="s">
        <v>393</v>
      </c>
      <c r="E307" s="20" t="s">
        <v>397</v>
      </c>
      <c r="F307" s="20" t="s">
        <v>429</v>
      </c>
      <c r="G307" s="33">
        <v>19</v>
      </c>
      <c r="H307" s="34">
        <f>VLOOKUP($C307,'Raw Cost'!$A$1:$B$483,2,FALSE)/G307</f>
        <v>1.8947368421052631</v>
      </c>
      <c r="I307" s="34">
        <f t="shared" si="162"/>
        <v>0.11842105263157894</v>
      </c>
      <c r="J307" s="35">
        <v>3</v>
      </c>
      <c r="K307" s="35">
        <v>0.2</v>
      </c>
      <c r="L307" s="36">
        <f>VLOOKUP($F307,'Packaging Cost'!$A$1:$F$43,6,FALSE)</f>
        <v>3.0100000000000002</v>
      </c>
      <c r="M307" s="37">
        <f>IF($E307="Snakpak",(($J307*H307)+($K307*'Labor Cost'!$A$2)+L307)+2.25,($J307*H307)+($K307*'Labor Cost'!$A$2)+L307)</f>
        <v>13.39421052631579</v>
      </c>
      <c r="N307" s="38">
        <f t="shared" si="163"/>
        <v>16.742763157894739</v>
      </c>
      <c r="O307" s="38">
        <f t="shared" si="164"/>
        <v>17.412473684210529</v>
      </c>
      <c r="P307" s="38">
        <f t="shared" si="165"/>
        <v>18.082184210526318</v>
      </c>
      <c r="Q307" s="38">
        <f t="shared" si="166"/>
        <v>18.751894736842104</v>
      </c>
      <c r="R307" s="38">
        <f t="shared" si="167"/>
        <v>19.421605263157897</v>
      </c>
      <c r="S307" s="38">
        <f t="shared" si="168"/>
        <v>16.75</v>
      </c>
      <c r="T307" s="38">
        <f t="shared" si="169"/>
        <v>17.5</v>
      </c>
      <c r="U307" s="38">
        <f t="shared" si="170"/>
        <v>18</v>
      </c>
      <c r="V307" s="38">
        <f t="shared" si="171"/>
        <v>18.75</v>
      </c>
    </row>
    <row r="308" spans="1:22" ht="21" customHeight="1" x14ac:dyDescent="0.2">
      <c r="A308" s="19" t="s">
        <v>1148</v>
      </c>
      <c r="B308" s="19" t="s">
        <v>245</v>
      </c>
      <c r="C308" s="20" t="s">
        <v>25</v>
      </c>
      <c r="D308" s="20" t="s">
        <v>393</v>
      </c>
      <c r="E308" s="20" t="s">
        <v>397</v>
      </c>
      <c r="F308" s="20" t="s">
        <v>429</v>
      </c>
      <c r="G308" s="33">
        <v>6</v>
      </c>
      <c r="H308" s="34">
        <f>VLOOKUP($C308,'Raw Cost'!$A$1:$B$483,2,FALSE)/G308</f>
        <v>2.5</v>
      </c>
      <c r="I308" s="34">
        <f t="shared" si="162"/>
        <v>0.15625</v>
      </c>
      <c r="J308" s="35">
        <v>3</v>
      </c>
      <c r="K308" s="35">
        <v>0.2</v>
      </c>
      <c r="L308" s="36">
        <f>VLOOKUP($F308,'Packaging Cost'!$A$1:$F$43,6,FALSE)</f>
        <v>3.0100000000000002</v>
      </c>
      <c r="M308" s="37">
        <f>IF($E308="Snakpak",(($J308*H308)+($K308*'Labor Cost'!$A$2)+L308)+2.25,($J308*H308)+($K308*'Labor Cost'!$A$2)+L308)</f>
        <v>15.209999999999999</v>
      </c>
      <c r="N308" s="38">
        <f t="shared" si="163"/>
        <v>19.012499999999999</v>
      </c>
      <c r="O308" s="38">
        <f t="shared" si="164"/>
        <v>19.773</v>
      </c>
      <c r="P308" s="38">
        <f t="shared" si="165"/>
        <v>20.5335</v>
      </c>
      <c r="Q308" s="38">
        <f t="shared" si="166"/>
        <v>21.293999999999997</v>
      </c>
      <c r="R308" s="38">
        <f t="shared" si="167"/>
        <v>22.054499999999997</v>
      </c>
      <c r="S308" s="38">
        <f t="shared" si="168"/>
        <v>19</v>
      </c>
      <c r="T308" s="38">
        <f t="shared" si="169"/>
        <v>19.75</v>
      </c>
      <c r="U308" s="38">
        <f t="shared" si="170"/>
        <v>20.5</v>
      </c>
      <c r="V308" s="38">
        <f t="shared" si="171"/>
        <v>21.25</v>
      </c>
    </row>
    <row r="309" spans="1:22" ht="21" customHeight="1" x14ac:dyDescent="0.2">
      <c r="A309" s="19" t="s">
        <v>1149</v>
      </c>
      <c r="B309" s="19" t="s">
        <v>245</v>
      </c>
      <c r="C309" s="20" t="s">
        <v>31</v>
      </c>
      <c r="D309" s="20" t="s">
        <v>393</v>
      </c>
      <c r="E309" s="20" t="s">
        <v>397</v>
      </c>
      <c r="F309" s="20" t="s">
        <v>429</v>
      </c>
      <c r="G309" s="33">
        <v>40</v>
      </c>
      <c r="H309" s="34">
        <f>VLOOKUP($C309,'Raw Cost'!$A$1:$B$483,2,FALSE)/G309</f>
        <v>0.67500000000000004</v>
      </c>
      <c r="I309" s="34">
        <f t="shared" si="162"/>
        <v>4.2187500000000003E-2</v>
      </c>
      <c r="J309" s="35">
        <v>3</v>
      </c>
      <c r="K309" s="35">
        <v>0.2</v>
      </c>
      <c r="L309" s="36">
        <f>VLOOKUP($F309,'Packaging Cost'!$A$1:$F$43,6,FALSE)</f>
        <v>3.0100000000000002</v>
      </c>
      <c r="M309" s="37">
        <f>IF($E309="Snakpak",(($J309*H309)+($K309*'Labor Cost'!$A$2)+L309)+2.25,($J309*H309)+($K309*'Labor Cost'!$A$2)+L309)</f>
        <v>9.7350000000000012</v>
      </c>
      <c r="N309" s="38">
        <f t="shared" si="163"/>
        <v>12.168750000000001</v>
      </c>
      <c r="O309" s="38">
        <f t="shared" si="164"/>
        <v>12.655500000000002</v>
      </c>
      <c r="P309" s="38">
        <f t="shared" si="165"/>
        <v>13.142250000000002</v>
      </c>
      <c r="Q309" s="38">
        <f t="shared" si="166"/>
        <v>13.629000000000001</v>
      </c>
      <c r="R309" s="38">
        <f t="shared" si="167"/>
        <v>14.115750000000002</v>
      </c>
      <c r="S309" s="38">
        <f t="shared" si="168"/>
        <v>12.25</v>
      </c>
      <c r="T309" s="38">
        <f t="shared" si="169"/>
        <v>12.75</v>
      </c>
      <c r="U309" s="38">
        <f t="shared" si="170"/>
        <v>13.25</v>
      </c>
      <c r="V309" s="38">
        <f t="shared" si="171"/>
        <v>13.75</v>
      </c>
    </row>
    <row r="310" spans="1:22" ht="21" customHeight="1" x14ac:dyDescent="0.2">
      <c r="A310" s="19" t="s">
        <v>1150</v>
      </c>
      <c r="B310" s="19" t="s">
        <v>245</v>
      </c>
      <c r="C310" s="20" t="s">
        <v>35</v>
      </c>
      <c r="D310" s="20" t="s">
        <v>393</v>
      </c>
      <c r="E310" s="20" t="s">
        <v>397</v>
      </c>
      <c r="F310" s="20" t="s">
        <v>429</v>
      </c>
      <c r="G310" s="33">
        <v>29</v>
      </c>
      <c r="H310" s="34">
        <f>VLOOKUP($C310,'Raw Cost'!$A$1:$B$483,2,FALSE)/G310</f>
        <v>1.8275862068965518</v>
      </c>
      <c r="I310" s="34">
        <f t="shared" si="162"/>
        <v>0.11422413793103449</v>
      </c>
      <c r="J310" s="35">
        <v>3</v>
      </c>
      <c r="K310" s="35">
        <v>0.2</v>
      </c>
      <c r="L310" s="36">
        <f>VLOOKUP($F310,'Packaging Cost'!$A$1:$F$43,6,FALSE)</f>
        <v>3.0100000000000002</v>
      </c>
      <c r="M310" s="37">
        <f>IF($E310="Snakpak",(($J310*H310)+($K310*'Labor Cost'!$A$2)+L310)+2.25,($J310*H310)+($K310*'Labor Cost'!$A$2)+L310)</f>
        <v>13.192758620689656</v>
      </c>
      <c r="N310" s="38">
        <f t="shared" si="163"/>
        <v>16.49094827586207</v>
      </c>
      <c r="O310" s="38">
        <f t="shared" si="164"/>
        <v>17.150586206896552</v>
      </c>
      <c r="P310" s="38">
        <f t="shared" si="165"/>
        <v>17.810224137931037</v>
      </c>
      <c r="Q310" s="38">
        <f t="shared" si="166"/>
        <v>18.469862068965515</v>
      </c>
      <c r="R310" s="38">
        <f t="shared" si="167"/>
        <v>19.1295</v>
      </c>
      <c r="S310" s="38">
        <f t="shared" si="168"/>
        <v>16.5</v>
      </c>
      <c r="T310" s="38">
        <f t="shared" si="169"/>
        <v>17.25</v>
      </c>
      <c r="U310" s="38">
        <f t="shared" si="170"/>
        <v>17.75</v>
      </c>
      <c r="V310" s="38">
        <f t="shared" si="171"/>
        <v>18.5</v>
      </c>
    </row>
    <row r="311" spans="1:22" ht="21" customHeight="1" x14ac:dyDescent="0.2">
      <c r="A311" s="19" t="s">
        <v>1151</v>
      </c>
      <c r="B311" s="19" t="s">
        <v>245</v>
      </c>
      <c r="C311" s="20" t="s">
        <v>39</v>
      </c>
      <c r="D311" s="20" t="s">
        <v>393</v>
      </c>
      <c r="E311" s="20" t="s">
        <v>397</v>
      </c>
      <c r="F311" s="20" t="s">
        <v>429</v>
      </c>
      <c r="G311" s="33">
        <v>8.5</v>
      </c>
      <c r="H311" s="34">
        <f>VLOOKUP($C311,'Raw Cost'!$A$1:$B$483,2,FALSE)/G311</f>
        <v>2.1176470588235294</v>
      </c>
      <c r="I311" s="34">
        <f t="shared" si="162"/>
        <v>0.13235294117647059</v>
      </c>
      <c r="J311" s="35">
        <v>3</v>
      </c>
      <c r="K311" s="35">
        <v>0.2</v>
      </c>
      <c r="L311" s="36">
        <f>VLOOKUP($F311,'Packaging Cost'!$A$1:$F$43,6,FALSE)</f>
        <v>3.0100000000000002</v>
      </c>
      <c r="M311" s="37">
        <f>IF($E311="Snakpak",(($J311*H311)+($K311*'Labor Cost'!$A$2)+L311)+2.25,($J311*H311)+($K311*'Labor Cost'!$A$2)+L311)</f>
        <v>14.06294117647059</v>
      </c>
      <c r="N311" s="38">
        <f t="shared" si="163"/>
        <v>17.578676470588238</v>
      </c>
      <c r="O311" s="38">
        <f t="shared" si="164"/>
        <v>18.281823529411767</v>
      </c>
      <c r="P311" s="38">
        <f t="shared" si="165"/>
        <v>18.984970588235296</v>
      </c>
      <c r="Q311" s="38">
        <f t="shared" si="166"/>
        <v>19.688117647058824</v>
      </c>
      <c r="R311" s="38">
        <f t="shared" si="167"/>
        <v>20.391264705882353</v>
      </c>
      <c r="S311" s="38">
        <f t="shared" si="168"/>
        <v>17.5</v>
      </c>
      <c r="T311" s="38">
        <f t="shared" si="169"/>
        <v>18.25</v>
      </c>
      <c r="U311" s="38">
        <f t="shared" si="170"/>
        <v>19</v>
      </c>
      <c r="V311" s="38">
        <f t="shared" si="171"/>
        <v>19.75</v>
      </c>
    </row>
    <row r="312" spans="1:22" ht="21" customHeight="1" x14ac:dyDescent="0.2">
      <c r="A312" s="19" t="s">
        <v>1152</v>
      </c>
      <c r="B312" s="19" t="s">
        <v>245</v>
      </c>
      <c r="C312" s="20" t="s">
        <v>58</v>
      </c>
      <c r="D312" s="20" t="s">
        <v>393</v>
      </c>
      <c r="E312" s="20" t="s">
        <v>397</v>
      </c>
      <c r="F312" s="20" t="s">
        <v>429</v>
      </c>
      <c r="G312" s="33">
        <v>7.5</v>
      </c>
      <c r="H312" s="34">
        <f>VLOOKUP($C312,'Raw Cost'!$A$1:$B$483,2,FALSE)/G312</f>
        <v>2.9333333333333331</v>
      </c>
      <c r="I312" s="34">
        <f t="shared" si="162"/>
        <v>0.18333333333333332</v>
      </c>
      <c r="J312" s="35">
        <v>3</v>
      </c>
      <c r="K312" s="35">
        <v>0.2</v>
      </c>
      <c r="L312" s="36">
        <f>VLOOKUP($F312,'Packaging Cost'!$A$1:$F$43,6,FALSE)</f>
        <v>3.0100000000000002</v>
      </c>
      <c r="M312" s="37">
        <f>IF($E312="Snakpak",(($J312*H312)+($K312*'Labor Cost'!$A$2)+L312)+2.25,($J312*H312)+($K312*'Labor Cost'!$A$2)+L312)</f>
        <v>16.510000000000002</v>
      </c>
      <c r="N312" s="38">
        <f t="shared" si="163"/>
        <v>20.637500000000003</v>
      </c>
      <c r="O312" s="38">
        <f t="shared" si="164"/>
        <v>21.463000000000005</v>
      </c>
      <c r="P312" s="38">
        <f t="shared" si="165"/>
        <v>22.288500000000003</v>
      </c>
      <c r="Q312" s="38">
        <f t="shared" si="166"/>
        <v>23.114000000000001</v>
      </c>
      <c r="R312" s="38">
        <f t="shared" si="167"/>
        <v>23.939500000000002</v>
      </c>
      <c r="S312" s="38">
        <f t="shared" si="168"/>
        <v>20.75</v>
      </c>
      <c r="T312" s="38">
        <f t="shared" si="169"/>
        <v>21.5</v>
      </c>
      <c r="U312" s="38">
        <f t="shared" si="170"/>
        <v>22.25</v>
      </c>
      <c r="V312" s="38">
        <f t="shared" si="171"/>
        <v>23</v>
      </c>
    </row>
    <row r="313" spans="1:22" ht="21" customHeight="1" x14ac:dyDescent="0.2">
      <c r="A313" s="19" t="s">
        <v>1153</v>
      </c>
      <c r="B313" s="19" t="s">
        <v>245</v>
      </c>
      <c r="C313" s="20" t="s">
        <v>59</v>
      </c>
      <c r="D313" s="20" t="s">
        <v>393</v>
      </c>
      <c r="E313" s="20" t="s">
        <v>397</v>
      </c>
      <c r="F313" s="20" t="s">
        <v>429</v>
      </c>
      <c r="G313" s="33">
        <v>8</v>
      </c>
      <c r="H313" s="34">
        <f>VLOOKUP($C313,'Raw Cost'!$A$1:$B$483,2,FALSE)/G313</f>
        <v>1.25</v>
      </c>
      <c r="I313" s="34">
        <f t="shared" si="162"/>
        <v>7.8125E-2</v>
      </c>
      <c r="J313" s="35">
        <v>3</v>
      </c>
      <c r="K313" s="35">
        <v>0.2</v>
      </c>
      <c r="L313" s="36">
        <f>VLOOKUP($F313,'Packaging Cost'!$A$1:$F$43,6,FALSE)</f>
        <v>3.0100000000000002</v>
      </c>
      <c r="M313" s="37">
        <f>IF($E313="Snakpak",(($J313*H313)+($K313*'Labor Cost'!$A$2)+L313)+2.25,($J313*H313)+($K313*'Labor Cost'!$A$2)+L313)</f>
        <v>11.459999999999999</v>
      </c>
      <c r="N313" s="38">
        <f t="shared" si="163"/>
        <v>14.324999999999999</v>
      </c>
      <c r="O313" s="38">
        <f t="shared" si="164"/>
        <v>14.898</v>
      </c>
      <c r="P313" s="38">
        <f t="shared" si="165"/>
        <v>15.471</v>
      </c>
      <c r="Q313" s="38">
        <f t="shared" si="166"/>
        <v>16.043999999999997</v>
      </c>
      <c r="R313" s="38">
        <f t="shared" si="167"/>
        <v>16.616999999999997</v>
      </c>
      <c r="S313" s="38">
        <f t="shared" si="168"/>
        <v>14.25</v>
      </c>
      <c r="T313" s="38">
        <f t="shared" si="169"/>
        <v>15</v>
      </c>
      <c r="U313" s="38">
        <f t="shared" si="170"/>
        <v>15.5</v>
      </c>
      <c r="V313" s="38">
        <f t="shared" si="171"/>
        <v>16</v>
      </c>
    </row>
    <row r="314" spans="1:22" ht="21" customHeight="1" x14ac:dyDescent="0.2">
      <c r="A314" s="19" t="s">
        <v>1154</v>
      </c>
      <c r="B314" s="19" t="s">
        <v>245</v>
      </c>
      <c r="C314" s="20" t="s">
        <v>595</v>
      </c>
      <c r="D314" s="20" t="s">
        <v>393</v>
      </c>
      <c r="E314" s="20" t="s">
        <v>397</v>
      </c>
      <c r="F314" s="20" t="s">
        <v>429</v>
      </c>
      <c r="G314" s="33">
        <v>4</v>
      </c>
      <c r="H314" s="34">
        <f>VLOOKUP($C314,'Raw Cost'!$A$1:$B$483,2,FALSE)/G314</f>
        <v>1.6453839869281044</v>
      </c>
      <c r="I314" s="34">
        <f t="shared" si="162"/>
        <v>0.10283649918300652</v>
      </c>
      <c r="J314" s="35">
        <v>3</v>
      </c>
      <c r="K314" s="35">
        <v>0.2</v>
      </c>
      <c r="L314" s="36">
        <f>VLOOKUP($F314,'Packaging Cost'!$A$1:$F$43,6,FALSE)</f>
        <v>3.0100000000000002</v>
      </c>
      <c r="M314" s="37">
        <f>IF($E314="Snakpak",(($J314*H314)+($K314*'Labor Cost'!$A$2)+L314)+2.25,($J314*H314)+($K314*'Labor Cost'!$A$2)+L314)</f>
        <v>12.646151960784314</v>
      </c>
      <c r="N314" s="38">
        <f t="shared" si="163"/>
        <v>15.807689950980393</v>
      </c>
      <c r="O314" s="38">
        <f t="shared" si="164"/>
        <v>16.439997549019608</v>
      </c>
      <c r="P314" s="38">
        <f t="shared" si="165"/>
        <v>17.072305147058824</v>
      </c>
      <c r="Q314" s="38">
        <f t="shared" si="166"/>
        <v>17.704612745098039</v>
      </c>
      <c r="R314" s="38">
        <f t="shared" si="167"/>
        <v>18.336920343137255</v>
      </c>
      <c r="S314" s="38">
        <f t="shared" si="168"/>
        <v>15.75</v>
      </c>
      <c r="T314" s="38">
        <f t="shared" si="169"/>
        <v>16.5</v>
      </c>
      <c r="U314" s="38">
        <f t="shared" si="170"/>
        <v>17</v>
      </c>
      <c r="V314" s="38">
        <f t="shared" si="171"/>
        <v>17.75</v>
      </c>
    </row>
    <row r="315" spans="1:22" ht="21" customHeight="1" x14ac:dyDescent="0.2">
      <c r="A315" s="19" t="s">
        <v>1155</v>
      </c>
      <c r="B315" s="19" t="s">
        <v>1131</v>
      </c>
      <c r="C315" s="20" t="s">
        <v>1133</v>
      </c>
      <c r="D315" s="20" t="s">
        <v>393</v>
      </c>
      <c r="E315" s="20" t="s">
        <v>397</v>
      </c>
      <c r="F315" s="20" t="s">
        <v>429</v>
      </c>
      <c r="G315" s="33">
        <v>3</v>
      </c>
      <c r="H315" s="34">
        <f>VLOOKUP($C315,'Raw Cost'!$A$1:$B$483,2,FALSE)/G315</f>
        <v>2.1191399286987522</v>
      </c>
      <c r="I315" s="34">
        <f t="shared" si="162"/>
        <v>0.13244624554367201</v>
      </c>
      <c r="J315" s="35">
        <v>3</v>
      </c>
      <c r="K315" s="35">
        <v>0.2</v>
      </c>
      <c r="L315" s="36">
        <f>VLOOKUP($F315,'Packaging Cost'!$A$1:$F$43,6,FALSE)</f>
        <v>3.0100000000000002</v>
      </c>
      <c r="M315" s="37">
        <f>IF($E315="Snakpak",(($J315*H315)+($K315*'Labor Cost'!$A$2)+L315)+2.25,($J315*H315)+($K315*'Labor Cost'!$A$2)+L315)</f>
        <v>14.067419786096258</v>
      </c>
      <c r="N315" s="38">
        <f t="shared" si="163"/>
        <v>17.584274732620322</v>
      </c>
      <c r="O315" s="38">
        <f t="shared" si="164"/>
        <v>18.287645721925134</v>
      </c>
      <c r="P315" s="38">
        <f t="shared" si="165"/>
        <v>18.99101671122995</v>
      </c>
      <c r="Q315" s="38">
        <f t="shared" si="166"/>
        <v>19.694387700534758</v>
      </c>
      <c r="R315" s="38">
        <f t="shared" si="167"/>
        <v>20.397758689839574</v>
      </c>
      <c r="S315" s="38">
        <f t="shared" si="168"/>
        <v>17.5</v>
      </c>
      <c r="T315" s="38">
        <f t="shared" si="169"/>
        <v>18.25</v>
      </c>
      <c r="U315" s="38">
        <f t="shared" si="170"/>
        <v>19</v>
      </c>
      <c r="V315" s="38">
        <f t="shared" si="171"/>
        <v>19.75</v>
      </c>
    </row>
    <row r="316" spans="1:22" ht="21" customHeight="1" x14ac:dyDescent="0.2">
      <c r="A316" s="40"/>
      <c r="B316" s="40"/>
      <c r="C316" s="40"/>
      <c r="D316" s="40"/>
      <c r="E316" s="40"/>
      <c r="F316" s="40"/>
      <c r="G316" s="41"/>
      <c r="H316" s="42"/>
      <c r="I316" s="42"/>
      <c r="J316" s="43"/>
      <c r="K316" s="43"/>
      <c r="L316" s="44"/>
      <c r="M316" s="41"/>
      <c r="N316" s="43"/>
      <c r="O316" s="43"/>
      <c r="P316" s="43"/>
      <c r="Q316" s="43"/>
      <c r="R316" s="43"/>
      <c r="S316" s="43"/>
      <c r="T316" s="43"/>
      <c r="U316" s="43"/>
    </row>
    <row r="317" spans="1:22" ht="21" customHeight="1" x14ac:dyDescent="0.2">
      <c r="A317" s="40"/>
      <c r="B317" s="40"/>
      <c r="C317" s="40"/>
      <c r="D317" s="40"/>
      <c r="E317" s="40"/>
      <c r="F317" s="40"/>
      <c r="G317" s="41"/>
      <c r="H317" s="42"/>
      <c r="I317" s="42"/>
      <c r="J317" s="43"/>
      <c r="K317" s="43"/>
      <c r="L317" s="44"/>
      <c r="M317" s="41"/>
      <c r="N317" s="43"/>
      <c r="O317" s="43"/>
      <c r="P317" s="43"/>
      <c r="Q317" s="43"/>
      <c r="R317" s="43"/>
      <c r="S317" s="43"/>
      <c r="T317" s="43"/>
      <c r="U317" s="43"/>
    </row>
    <row r="318" spans="1:22" ht="21" customHeight="1" x14ac:dyDescent="0.2">
      <c r="A318" s="40"/>
      <c r="B318" s="40"/>
      <c r="C318" s="40"/>
      <c r="D318" s="40"/>
      <c r="E318" s="40"/>
      <c r="F318" s="40"/>
      <c r="G318" s="41"/>
      <c r="H318" s="42"/>
      <c r="I318" s="42"/>
      <c r="J318" s="43"/>
      <c r="K318" s="43"/>
      <c r="L318" s="44"/>
      <c r="M318" s="41"/>
      <c r="N318" s="43"/>
      <c r="O318" s="43"/>
      <c r="P318" s="43"/>
      <c r="Q318" s="43"/>
      <c r="R318" s="43"/>
      <c r="S318" s="43"/>
      <c r="T318" s="43"/>
      <c r="U318" s="43"/>
    </row>
    <row r="319" spans="1:22" ht="21" customHeight="1" x14ac:dyDescent="0.2">
      <c r="A319" s="40"/>
      <c r="B319" s="40"/>
      <c r="C319" s="40"/>
      <c r="D319" s="40"/>
      <c r="E319" s="40"/>
      <c r="F319" s="40"/>
      <c r="G319" s="41"/>
      <c r="H319" s="42"/>
      <c r="I319" s="42"/>
      <c r="J319" s="43"/>
      <c r="K319" s="43"/>
      <c r="L319" s="44"/>
      <c r="M319" s="41"/>
      <c r="N319" s="43"/>
      <c r="O319" s="43"/>
      <c r="P319" s="43"/>
      <c r="Q319" s="43"/>
      <c r="R319" s="43"/>
      <c r="S319" s="43"/>
      <c r="T319" s="43"/>
      <c r="U319" s="43"/>
    </row>
    <row r="320" spans="1:22" ht="21" customHeight="1" x14ac:dyDescent="0.2">
      <c r="A320" s="40"/>
      <c r="B320" s="40"/>
      <c r="C320" s="40"/>
      <c r="D320" s="40"/>
      <c r="E320" s="40"/>
      <c r="F320" s="40"/>
      <c r="G320" s="41"/>
      <c r="H320" s="42"/>
      <c r="I320" s="42"/>
      <c r="J320" s="43"/>
      <c r="K320" s="43"/>
      <c r="L320" s="44"/>
      <c r="M320" s="41"/>
      <c r="N320" s="43"/>
      <c r="O320" s="43"/>
      <c r="P320" s="43"/>
      <c r="Q320" s="43"/>
      <c r="R320" s="43"/>
      <c r="S320" s="43"/>
      <c r="T320" s="43"/>
      <c r="U320" s="43"/>
    </row>
    <row r="321" spans="1:21" ht="21" customHeight="1" x14ac:dyDescent="0.2">
      <c r="A321" s="40"/>
      <c r="B321" s="40"/>
      <c r="C321" s="40"/>
      <c r="D321" s="40"/>
      <c r="E321" s="40"/>
      <c r="F321" s="40"/>
      <c r="G321" s="41"/>
      <c r="H321" s="42"/>
      <c r="I321" s="42"/>
      <c r="J321" s="43"/>
      <c r="K321" s="43"/>
      <c r="L321" s="44"/>
      <c r="M321" s="41"/>
      <c r="N321" s="43"/>
      <c r="O321" s="43"/>
      <c r="P321" s="43"/>
      <c r="Q321" s="43"/>
      <c r="R321" s="43"/>
      <c r="S321" s="43"/>
      <c r="T321" s="43"/>
      <c r="U321" s="43"/>
    </row>
    <row r="322" spans="1:21" ht="21" customHeight="1" x14ac:dyDescent="0.2">
      <c r="A322" s="40"/>
      <c r="B322" s="40"/>
      <c r="C322" s="40"/>
      <c r="D322" s="40"/>
      <c r="E322" s="40"/>
      <c r="F322" s="40"/>
      <c r="G322" s="41"/>
      <c r="H322" s="42"/>
      <c r="I322" s="42"/>
      <c r="J322" s="43"/>
      <c r="K322" s="43"/>
      <c r="L322" s="44"/>
      <c r="M322" s="41"/>
      <c r="N322" s="43"/>
      <c r="O322" s="43"/>
      <c r="P322" s="43"/>
      <c r="Q322" s="43"/>
      <c r="R322" s="43"/>
      <c r="S322" s="43"/>
      <c r="T322" s="43"/>
      <c r="U322" s="43"/>
    </row>
    <row r="323" spans="1:21" ht="21" customHeight="1" x14ac:dyDescent="0.2">
      <c r="A323" s="40"/>
      <c r="B323" s="40"/>
      <c r="C323" s="40"/>
      <c r="D323" s="40"/>
      <c r="E323" s="40"/>
      <c r="F323" s="40"/>
      <c r="G323" s="41"/>
      <c r="H323" s="42"/>
      <c r="I323" s="42"/>
      <c r="J323" s="43"/>
      <c r="K323" s="43"/>
      <c r="L323" s="44"/>
      <c r="M323" s="41"/>
      <c r="N323" s="43"/>
      <c r="O323" s="43"/>
      <c r="P323" s="43"/>
      <c r="Q323" s="43"/>
      <c r="R323" s="43"/>
      <c r="S323" s="43"/>
      <c r="T323" s="43"/>
      <c r="U323" s="43"/>
    </row>
    <row r="324" spans="1:21" ht="21" customHeight="1" x14ac:dyDescent="0.2">
      <c r="A324" s="40"/>
      <c r="B324" s="40"/>
      <c r="C324" s="40"/>
      <c r="D324" s="40"/>
      <c r="E324" s="40"/>
      <c r="F324" s="40"/>
      <c r="G324" s="41"/>
      <c r="H324" s="42"/>
      <c r="I324" s="42"/>
      <c r="J324" s="43"/>
      <c r="K324" s="43"/>
      <c r="L324" s="44"/>
      <c r="M324" s="41"/>
      <c r="N324" s="43"/>
      <c r="O324" s="43"/>
      <c r="P324" s="43"/>
      <c r="Q324" s="43"/>
      <c r="R324" s="43"/>
      <c r="S324" s="43"/>
      <c r="T324" s="43"/>
      <c r="U324" s="43"/>
    </row>
    <row r="325" spans="1:21" ht="21" customHeight="1" x14ac:dyDescent="0.2">
      <c r="A325" s="40"/>
      <c r="B325" s="40"/>
      <c r="C325" s="40"/>
      <c r="D325" s="40"/>
      <c r="E325" s="40"/>
      <c r="F325" s="40"/>
      <c r="G325" s="41"/>
      <c r="H325" s="42"/>
      <c r="I325" s="42"/>
      <c r="J325" s="43"/>
      <c r="K325" s="43"/>
      <c r="L325" s="44"/>
      <c r="M325" s="41"/>
      <c r="N325" s="43"/>
      <c r="O325" s="43"/>
      <c r="P325" s="43"/>
      <c r="Q325" s="43"/>
      <c r="R325" s="43"/>
      <c r="S325" s="43"/>
      <c r="T325" s="43"/>
      <c r="U325" s="43"/>
    </row>
    <row r="326" spans="1:21" ht="21" customHeight="1" x14ac:dyDescent="0.2">
      <c r="A326" s="40"/>
      <c r="B326" s="40"/>
      <c r="C326" s="40"/>
      <c r="D326" s="40"/>
      <c r="E326" s="40"/>
      <c r="F326" s="40"/>
      <c r="G326" s="41"/>
      <c r="H326" s="42"/>
      <c r="I326" s="42"/>
      <c r="J326" s="43"/>
      <c r="K326" s="43"/>
      <c r="L326" s="44"/>
      <c r="M326" s="41"/>
      <c r="N326" s="43"/>
      <c r="O326" s="43"/>
      <c r="P326" s="43"/>
      <c r="Q326" s="43"/>
      <c r="R326" s="43"/>
      <c r="S326" s="43"/>
      <c r="T326" s="43"/>
      <c r="U326" s="43"/>
    </row>
    <row r="327" spans="1:21" ht="21" customHeight="1" x14ac:dyDescent="0.2">
      <c r="A327" s="40"/>
      <c r="B327" s="40"/>
      <c r="C327" s="40"/>
      <c r="D327" s="40"/>
      <c r="E327" s="40"/>
      <c r="F327" s="40"/>
      <c r="G327" s="41"/>
      <c r="H327" s="42"/>
      <c r="I327" s="42"/>
      <c r="J327" s="43"/>
      <c r="K327" s="43"/>
      <c r="L327" s="44"/>
      <c r="M327" s="41"/>
      <c r="N327" s="43"/>
      <c r="O327" s="43"/>
      <c r="P327" s="43"/>
      <c r="Q327" s="43"/>
      <c r="R327" s="43"/>
      <c r="S327" s="43"/>
      <c r="T327" s="43"/>
      <c r="U327" s="43"/>
    </row>
    <row r="328" spans="1:21" ht="21" customHeight="1" x14ac:dyDescent="0.2">
      <c r="A328" s="40"/>
      <c r="B328" s="40"/>
      <c r="C328" s="40"/>
      <c r="D328" s="40"/>
      <c r="E328" s="40"/>
      <c r="F328" s="40"/>
      <c r="G328" s="41"/>
      <c r="H328" s="42"/>
      <c r="I328" s="42"/>
      <c r="J328" s="43"/>
      <c r="K328" s="43"/>
      <c r="L328" s="44"/>
      <c r="M328" s="41"/>
      <c r="N328" s="43"/>
      <c r="O328" s="43"/>
      <c r="P328" s="43"/>
      <c r="Q328" s="43"/>
      <c r="R328" s="43"/>
      <c r="S328" s="43"/>
      <c r="T328" s="43"/>
      <c r="U328" s="43"/>
    </row>
    <row r="329" spans="1:21" ht="21" customHeight="1" x14ac:dyDescent="0.2">
      <c r="A329" s="40"/>
      <c r="B329" s="40"/>
      <c r="C329" s="40"/>
      <c r="D329" s="40"/>
      <c r="E329" s="40"/>
      <c r="F329" s="40"/>
      <c r="G329" s="41"/>
      <c r="H329" s="42"/>
      <c r="I329" s="42"/>
      <c r="J329" s="43"/>
      <c r="K329" s="43"/>
      <c r="L329" s="44"/>
      <c r="M329" s="41"/>
      <c r="N329" s="43"/>
      <c r="O329" s="43"/>
      <c r="P329" s="43"/>
      <c r="Q329" s="43"/>
      <c r="R329" s="43"/>
      <c r="S329" s="43"/>
      <c r="T329" s="43"/>
      <c r="U329" s="43"/>
    </row>
    <row r="330" spans="1:21" ht="21" customHeight="1" x14ac:dyDescent="0.2">
      <c r="A330" s="40"/>
      <c r="B330" s="40"/>
      <c r="C330" s="40"/>
      <c r="D330" s="40"/>
      <c r="E330" s="40"/>
      <c r="F330" s="40"/>
      <c r="G330" s="41"/>
      <c r="H330" s="42"/>
      <c r="I330" s="42"/>
      <c r="J330" s="43"/>
      <c r="K330" s="43"/>
      <c r="L330" s="44"/>
      <c r="M330" s="41"/>
      <c r="N330" s="43"/>
      <c r="O330" s="43"/>
      <c r="P330" s="43"/>
      <c r="Q330" s="43"/>
      <c r="R330" s="43"/>
      <c r="S330" s="43"/>
      <c r="T330" s="43"/>
      <c r="U330" s="43"/>
    </row>
    <row r="331" spans="1:21" ht="21" customHeight="1" x14ac:dyDescent="0.2">
      <c r="A331" s="40"/>
      <c r="B331" s="40"/>
      <c r="C331" s="40"/>
      <c r="D331" s="40"/>
      <c r="E331" s="40"/>
      <c r="F331" s="40"/>
      <c r="G331" s="41"/>
      <c r="H331" s="42"/>
      <c r="I331" s="42"/>
      <c r="J331" s="43"/>
      <c r="K331" s="43"/>
      <c r="L331" s="44"/>
      <c r="M331" s="41"/>
      <c r="N331" s="43"/>
      <c r="O331" s="43"/>
      <c r="P331" s="43"/>
      <c r="Q331" s="43"/>
      <c r="R331" s="43"/>
      <c r="S331" s="43"/>
      <c r="T331" s="43"/>
      <c r="U331" s="43"/>
    </row>
    <row r="332" spans="1:21" ht="21" customHeight="1" x14ac:dyDescent="0.2">
      <c r="A332" s="40"/>
      <c r="B332" s="40"/>
      <c r="C332" s="40"/>
      <c r="D332" s="40"/>
      <c r="E332" s="40"/>
      <c r="F332" s="40"/>
      <c r="G332" s="41"/>
      <c r="H332" s="42"/>
      <c r="I332" s="42"/>
      <c r="J332" s="43"/>
      <c r="K332" s="43"/>
      <c r="L332" s="44"/>
      <c r="M332" s="41"/>
      <c r="N332" s="43"/>
      <c r="O332" s="43"/>
      <c r="P332" s="43"/>
      <c r="Q332" s="43"/>
      <c r="R332" s="43"/>
      <c r="S332" s="43"/>
      <c r="T332" s="43"/>
      <c r="U332" s="43"/>
    </row>
    <row r="333" spans="1:21" ht="21" customHeight="1" x14ac:dyDescent="0.2">
      <c r="A333" s="40"/>
      <c r="B333" s="40"/>
      <c r="C333" s="40"/>
      <c r="D333" s="40"/>
      <c r="E333" s="40"/>
      <c r="F333" s="40"/>
      <c r="G333" s="41"/>
      <c r="H333" s="42"/>
      <c r="I333" s="42"/>
      <c r="J333" s="43"/>
      <c r="K333" s="43"/>
      <c r="L333" s="44"/>
      <c r="M333" s="41"/>
      <c r="N333" s="43"/>
      <c r="O333" s="43"/>
      <c r="P333" s="43"/>
      <c r="Q333" s="43"/>
      <c r="R333" s="43"/>
      <c r="S333" s="43"/>
      <c r="T333" s="43"/>
      <c r="U333" s="43"/>
    </row>
    <row r="334" spans="1:21" ht="21" customHeight="1" x14ac:dyDescent="0.2">
      <c r="A334" s="40"/>
      <c r="B334" s="40"/>
      <c r="C334" s="40"/>
      <c r="D334" s="40"/>
      <c r="E334" s="40"/>
      <c r="F334" s="40"/>
      <c r="G334" s="41"/>
      <c r="H334" s="42"/>
      <c r="I334" s="42"/>
      <c r="J334" s="43"/>
      <c r="K334" s="43"/>
      <c r="L334" s="44"/>
      <c r="M334" s="41"/>
      <c r="N334" s="43"/>
      <c r="O334" s="43"/>
      <c r="P334" s="43"/>
      <c r="Q334" s="43"/>
      <c r="R334" s="43"/>
      <c r="S334" s="43"/>
      <c r="T334" s="43"/>
      <c r="U334" s="43"/>
    </row>
    <row r="335" spans="1:21" ht="21" customHeight="1" x14ac:dyDescent="0.2">
      <c r="A335" s="40"/>
      <c r="B335" s="40"/>
      <c r="C335" s="40"/>
      <c r="D335" s="40"/>
      <c r="E335" s="40"/>
      <c r="F335" s="40"/>
      <c r="G335" s="41"/>
      <c r="H335" s="42"/>
      <c r="I335" s="42"/>
      <c r="J335" s="43"/>
      <c r="K335" s="43"/>
      <c r="L335" s="44"/>
      <c r="M335" s="41"/>
      <c r="N335" s="43"/>
      <c r="O335" s="43"/>
      <c r="P335" s="43"/>
      <c r="Q335" s="43"/>
      <c r="R335" s="43"/>
      <c r="S335" s="43"/>
      <c r="T335" s="43"/>
      <c r="U335" s="43"/>
    </row>
    <row r="336" spans="1:21" ht="21" customHeight="1" x14ac:dyDescent="0.2">
      <c r="A336" s="40"/>
      <c r="B336" s="40"/>
      <c r="C336" s="40"/>
      <c r="D336" s="40"/>
      <c r="E336" s="40"/>
      <c r="F336" s="40"/>
      <c r="G336" s="41"/>
      <c r="H336" s="42"/>
      <c r="I336" s="42"/>
      <c r="J336" s="43"/>
      <c r="K336" s="43"/>
      <c r="L336" s="44"/>
      <c r="M336" s="41"/>
      <c r="N336" s="43"/>
      <c r="O336" s="43"/>
      <c r="P336" s="43"/>
      <c r="Q336" s="43"/>
      <c r="R336" s="43"/>
      <c r="S336" s="43"/>
      <c r="T336" s="43"/>
      <c r="U336" s="43"/>
    </row>
    <row r="337" spans="1:21" ht="21" customHeight="1" x14ac:dyDescent="0.2">
      <c r="A337" s="40"/>
      <c r="B337" s="40"/>
      <c r="C337" s="40"/>
      <c r="D337" s="40"/>
      <c r="E337" s="40"/>
      <c r="F337" s="40"/>
      <c r="G337" s="41"/>
      <c r="H337" s="42"/>
      <c r="I337" s="42"/>
      <c r="J337" s="43"/>
      <c r="K337" s="43"/>
      <c r="L337" s="44"/>
      <c r="M337" s="41"/>
      <c r="N337" s="43"/>
      <c r="O337" s="43"/>
      <c r="P337" s="43"/>
      <c r="Q337" s="43"/>
      <c r="R337" s="43"/>
      <c r="S337" s="43"/>
      <c r="T337" s="43"/>
      <c r="U337" s="43"/>
    </row>
    <row r="338" spans="1:21" ht="21" customHeight="1" x14ac:dyDescent="0.2">
      <c r="A338" s="40"/>
      <c r="B338" s="40"/>
      <c r="C338" s="40"/>
      <c r="D338" s="40"/>
      <c r="E338" s="40"/>
      <c r="F338" s="40"/>
      <c r="G338" s="41"/>
      <c r="H338" s="42"/>
      <c r="I338" s="42"/>
      <c r="J338" s="43"/>
      <c r="K338" s="43"/>
      <c r="L338" s="44"/>
      <c r="M338" s="41"/>
      <c r="N338" s="43"/>
      <c r="O338" s="43"/>
      <c r="P338" s="43"/>
      <c r="Q338" s="43"/>
      <c r="R338" s="43"/>
      <c r="S338" s="43"/>
      <c r="T338" s="43"/>
      <c r="U338" s="43"/>
    </row>
    <row r="339" spans="1:21" ht="21" customHeight="1" x14ac:dyDescent="0.2">
      <c r="A339" s="40"/>
      <c r="B339" s="40"/>
      <c r="C339" s="40"/>
      <c r="D339" s="40"/>
      <c r="E339" s="40"/>
      <c r="F339" s="40"/>
      <c r="G339" s="41"/>
      <c r="H339" s="42"/>
      <c r="I339" s="42"/>
      <c r="J339" s="43"/>
      <c r="K339" s="43"/>
      <c r="L339" s="44"/>
      <c r="M339" s="41"/>
      <c r="N339" s="43"/>
      <c r="O339" s="43"/>
      <c r="P339" s="43"/>
      <c r="Q339" s="43"/>
      <c r="R339" s="43"/>
      <c r="S339" s="43"/>
      <c r="T339" s="43"/>
      <c r="U339" s="43"/>
    </row>
    <row r="340" spans="1:21" ht="21" customHeight="1" x14ac:dyDescent="0.2">
      <c r="A340" s="40"/>
      <c r="B340" s="40"/>
      <c r="C340" s="40"/>
      <c r="D340" s="40"/>
      <c r="E340" s="40"/>
      <c r="F340" s="40"/>
      <c r="G340" s="41"/>
      <c r="H340" s="42"/>
      <c r="I340" s="42"/>
      <c r="J340" s="43"/>
      <c r="K340" s="43"/>
      <c r="L340" s="44"/>
      <c r="M340" s="41"/>
      <c r="N340" s="43"/>
      <c r="O340" s="43"/>
      <c r="P340" s="43"/>
      <c r="Q340" s="43"/>
      <c r="R340" s="43"/>
      <c r="S340" s="43"/>
      <c r="T340" s="43"/>
      <c r="U340" s="43"/>
    </row>
    <row r="341" spans="1:21" ht="21" customHeight="1" x14ac:dyDescent="0.2">
      <c r="A341" s="40"/>
      <c r="B341" s="40"/>
      <c r="C341" s="40"/>
      <c r="D341" s="40"/>
      <c r="E341" s="40"/>
      <c r="F341" s="40"/>
      <c r="G341" s="41"/>
      <c r="H341" s="42"/>
      <c r="I341" s="42"/>
      <c r="J341" s="43"/>
      <c r="K341" s="43"/>
      <c r="L341" s="44"/>
      <c r="M341" s="41"/>
      <c r="N341" s="43"/>
      <c r="O341" s="43"/>
      <c r="P341" s="43"/>
      <c r="Q341" s="43"/>
      <c r="R341" s="43"/>
      <c r="S341" s="43"/>
      <c r="T341" s="43"/>
      <c r="U341" s="43"/>
    </row>
    <row r="342" spans="1:21" ht="21" customHeight="1" x14ac:dyDescent="0.2">
      <c r="A342" s="40"/>
      <c r="B342" s="40"/>
      <c r="C342" s="40"/>
      <c r="D342" s="40"/>
      <c r="E342" s="40"/>
      <c r="F342" s="40"/>
      <c r="G342" s="41"/>
      <c r="H342" s="42"/>
      <c r="I342" s="42"/>
      <c r="J342" s="43"/>
      <c r="K342" s="43"/>
      <c r="L342" s="44"/>
      <c r="M342" s="41"/>
      <c r="N342" s="43"/>
      <c r="O342" s="43"/>
      <c r="P342" s="43"/>
      <c r="Q342" s="43"/>
      <c r="R342" s="43"/>
      <c r="S342" s="43"/>
      <c r="T342" s="43"/>
      <c r="U342" s="43"/>
    </row>
    <row r="343" spans="1:21" ht="21" customHeight="1" x14ac:dyDescent="0.2">
      <c r="A343" s="40"/>
      <c r="B343" s="40"/>
      <c r="C343" s="40"/>
      <c r="D343" s="40"/>
      <c r="E343" s="40"/>
      <c r="F343" s="40"/>
      <c r="G343" s="41"/>
      <c r="H343" s="42"/>
      <c r="I343" s="42"/>
      <c r="J343" s="43"/>
      <c r="K343" s="43"/>
      <c r="L343" s="44"/>
      <c r="M343" s="41"/>
      <c r="N343" s="43"/>
      <c r="O343" s="43"/>
      <c r="P343" s="43"/>
      <c r="Q343" s="43"/>
      <c r="R343" s="43"/>
      <c r="S343" s="43"/>
      <c r="T343" s="43"/>
      <c r="U343" s="43"/>
    </row>
    <row r="344" spans="1:21" ht="21" customHeight="1" x14ac:dyDescent="0.2">
      <c r="A344" s="40"/>
      <c r="B344" s="40"/>
      <c r="C344" s="40"/>
      <c r="D344" s="40"/>
      <c r="E344" s="40"/>
      <c r="F344" s="40"/>
      <c r="G344" s="41"/>
      <c r="H344" s="42"/>
      <c r="I344" s="42"/>
      <c r="J344" s="43"/>
      <c r="K344" s="43"/>
      <c r="L344" s="44"/>
      <c r="M344" s="41"/>
      <c r="N344" s="43"/>
      <c r="O344" s="43"/>
      <c r="P344" s="43"/>
      <c r="Q344" s="43"/>
      <c r="R344" s="43"/>
      <c r="S344" s="43"/>
      <c r="T344" s="43"/>
      <c r="U344" s="43"/>
    </row>
    <row r="345" spans="1:21" ht="21" customHeight="1" x14ac:dyDescent="0.2">
      <c r="A345" s="40"/>
      <c r="B345" s="40"/>
      <c r="C345" s="40"/>
      <c r="D345" s="40"/>
      <c r="E345" s="40"/>
      <c r="F345" s="40"/>
      <c r="G345" s="41"/>
      <c r="H345" s="42"/>
      <c r="I345" s="42"/>
      <c r="J345" s="43"/>
      <c r="K345" s="43"/>
      <c r="L345" s="44"/>
      <c r="M345" s="41"/>
      <c r="N345" s="43"/>
      <c r="O345" s="43"/>
      <c r="P345" s="43"/>
      <c r="Q345" s="43"/>
      <c r="R345" s="43"/>
      <c r="S345" s="43"/>
      <c r="T345" s="43"/>
      <c r="U345" s="43"/>
    </row>
    <row r="346" spans="1:21" ht="21" customHeight="1" x14ac:dyDescent="0.2">
      <c r="A346" s="40"/>
      <c r="B346" s="40"/>
      <c r="C346" s="40"/>
      <c r="D346" s="40"/>
      <c r="E346" s="40"/>
      <c r="F346" s="40"/>
      <c r="G346" s="41"/>
      <c r="H346" s="42"/>
      <c r="I346" s="42"/>
      <c r="J346" s="43"/>
      <c r="K346" s="43"/>
      <c r="L346" s="44"/>
      <c r="M346" s="41"/>
      <c r="N346" s="43"/>
      <c r="O346" s="43"/>
      <c r="P346" s="43"/>
      <c r="Q346" s="43"/>
      <c r="R346" s="43"/>
      <c r="S346" s="43"/>
      <c r="T346" s="43"/>
      <c r="U346" s="43"/>
    </row>
    <row r="347" spans="1:21" ht="21" customHeight="1" x14ac:dyDescent="0.2">
      <c r="A347" s="40"/>
      <c r="B347" s="40"/>
      <c r="C347" s="40"/>
      <c r="D347" s="40"/>
      <c r="E347" s="40"/>
      <c r="F347" s="40"/>
      <c r="G347" s="41"/>
      <c r="H347" s="42"/>
      <c r="I347" s="42"/>
      <c r="J347" s="43"/>
      <c r="K347" s="43"/>
      <c r="L347" s="44"/>
      <c r="M347" s="41"/>
      <c r="N347" s="43"/>
      <c r="O347" s="43"/>
      <c r="P347" s="43"/>
      <c r="Q347" s="43"/>
      <c r="R347" s="43"/>
      <c r="S347" s="43"/>
      <c r="T347" s="43"/>
      <c r="U347" s="43"/>
    </row>
    <row r="348" spans="1:21" ht="21" customHeight="1" x14ac:dyDescent="0.2">
      <c r="A348" s="40"/>
      <c r="B348" s="40"/>
      <c r="C348" s="40"/>
      <c r="D348" s="40"/>
      <c r="E348" s="40"/>
      <c r="F348" s="40"/>
      <c r="G348" s="41"/>
      <c r="H348" s="42"/>
      <c r="I348" s="42"/>
      <c r="J348" s="43"/>
      <c r="K348" s="43"/>
      <c r="L348" s="44"/>
      <c r="M348" s="41"/>
      <c r="N348" s="43"/>
      <c r="O348" s="43"/>
      <c r="P348" s="43"/>
      <c r="Q348" s="43"/>
      <c r="R348" s="43"/>
      <c r="S348" s="43"/>
      <c r="T348" s="43"/>
      <c r="U348" s="43"/>
    </row>
    <row r="349" spans="1:21" ht="21" customHeight="1" x14ac:dyDescent="0.2">
      <c r="A349" s="40"/>
      <c r="B349" s="40"/>
      <c r="C349" s="40"/>
      <c r="D349" s="40"/>
      <c r="E349" s="40"/>
      <c r="F349" s="40"/>
      <c r="G349" s="41"/>
      <c r="H349" s="42"/>
      <c r="I349" s="42"/>
      <c r="J349" s="43"/>
      <c r="K349" s="43"/>
      <c r="L349" s="44"/>
      <c r="M349" s="41"/>
      <c r="N349" s="43"/>
      <c r="O349" s="43"/>
      <c r="P349" s="43"/>
      <c r="Q349" s="43"/>
      <c r="R349" s="43"/>
      <c r="S349" s="43"/>
      <c r="T349" s="43"/>
      <c r="U349" s="43"/>
    </row>
    <row r="350" spans="1:21" ht="21" customHeight="1" x14ac:dyDescent="0.2">
      <c r="A350" s="40"/>
      <c r="B350" s="40"/>
      <c r="C350" s="40"/>
      <c r="D350" s="40"/>
      <c r="E350" s="40"/>
      <c r="F350" s="40"/>
      <c r="G350" s="41"/>
      <c r="H350" s="42"/>
      <c r="I350" s="42"/>
      <c r="J350" s="43"/>
      <c r="K350" s="43"/>
      <c r="L350" s="44"/>
      <c r="M350" s="41"/>
      <c r="N350" s="43"/>
      <c r="O350" s="43"/>
      <c r="P350" s="43"/>
      <c r="Q350" s="43"/>
      <c r="R350" s="43"/>
      <c r="S350" s="43"/>
      <c r="T350" s="43"/>
      <c r="U350" s="43"/>
    </row>
    <row r="351" spans="1:21" ht="21" customHeight="1" x14ac:dyDescent="0.2">
      <c r="A351" s="40"/>
      <c r="B351" s="40"/>
      <c r="C351" s="40"/>
      <c r="D351" s="40"/>
      <c r="E351" s="40"/>
      <c r="F351" s="40"/>
      <c r="G351" s="41"/>
      <c r="H351" s="42"/>
      <c r="I351" s="42"/>
      <c r="J351" s="43"/>
      <c r="K351" s="43"/>
      <c r="L351" s="44"/>
      <c r="M351" s="41"/>
      <c r="N351" s="43"/>
      <c r="O351" s="43"/>
      <c r="P351" s="43"/>
      <c r="Q351" s="43"/>
      <c r="R351" s="43"/>
      <c r="S351" s="43"/>
      <c r="T351" s="43"/>
      <c r="U351" s="43"/>
    </row>
    <row r="352" spans="1:21" ht="21" customHeight="1" x14ac:dyDescent="0.2">
      <c r="A352" s="40"/>
      <c r="B352" s="40"/>
      <c r="C352" s="40"/>
      <c r="D352" s="40"/>
      <c r="E352" s="40"/>
      <c r="F352" s="40"/>
      <c r="G352" s="41"/>
      <c r="H352" s="42"/>
      <c r="I352" s="42"/>
      <c r="J352" s="43"/>
      <c r="K352" s="43"/>
      <c r="L352" s="44"/>
      <c r="M352" s="41"/>
      <c r="N352" s="43"/>
      <c r="O352" s="43"/>
      <c r="P352" s="43"/>
      <c r="Q352" s="43"/>
      <c r="R352" s="43"/>
      <c r="S352" s="43"/>
      <c r="T352" s="43"/>
      <c r="U352" s="43"/>
    </row>
    <row r="353" spans="1:21" ht="21" customHeight="1" x14ac:dyDescent="0.2">
      <c r="A353" s="40"/>
      <c r="B353" s="40"/>
      <c r="C353" s="40"/>
      <c r="D353" s="40"/>
      <c r="E353" s="40"/>
      <c r="F353" s="40"/>
      <c r="G353" s="41"/>
      <c r="H353" s="42"/>
      <c r="I353" s="42"/>
      <c r="J353" s="43"/>
      <c r="K353" s="43"/>
      <c r="L353" s="44"/>
      <c r="M353" s="41"/>
      <c r="N353" s="43"/>
      <c r="O353" s="43"/>
      <c r="P353" s="43"/>
      <c r="Q353" s="43"/>
      <c r="R353" s="43"/>
      <c r="S353" s="43"/>
      <c r="T353" s="43"/>
      <c r="U353" s="43"/>
    </row>
    <row r="354" spans="1:21" ht="21" customHeight="1" x14ac:dyDescent="0.2">
      <c r="A354" s="40"/>
      <c r="B354" s="40"/>
      <c r="C354" s="40"/>
      <c r="D354" s="40"/>
      <c r="E354" s="40"/>
      <c r="F354" s="40"/>
      <c r="G354" s="41"/>
      <c r="H354" s="42"/>
      <c r="I354" s="42"/>
      <c r="J354" s="43"/>
      <c r="K354" s="43"/>
      <c r="L354" s="44"/>
      <c r="M354" s="41"/>
      <c r="N354" s="43"/>
      <c r="O354" s="43"/>
      <c r="P354" s="43"/>
      <c r="Q354" s="43"/>
      <c r="R354" s="43"/>
      <c r="S354" s="43"/>
      <c r="T354" s="43"/>
      <c r="U354" s="43"/>
    </row>
    <row r="355" spans="1:21" ht="21" customHeight="1" x14ac:dyDescent="0.2">
      <c r="A355" s="40"/>
      <c r="B355" s="40"/>
      <c r="C355" s="40"/>
      <c r="D355" s="40"/>
      <c r="E355" s="40"/>
      <c r="F355" s="40"/>
      <c r="G355" s="41"/>
      <c r="H355" s="42"/>
      <c r="I355" s="42"/>
      <c r="J355" s="43"/>
      <c r="K355" s="43"/>
      <c r="L355" s="44"/>
      <c r="M355" s="41"/>
      <c r="N355" s="43"/>
      <c r="O355" s="43"/>
      <c r="P355" s="43"/>
      <c r="Q355" s="43"/>
      <c r="R355" s="43"/>
      <c r="S355" s="43"/>
      <c r="T355" s="43"/>
      <c r="U355" s="43"/>
    </row>
    <row r="356" spans="1:21" ht="21" customHeight="1" x14ac:dyDescent="0.2">
      <c r="A356" s="40"/>
      <c r="B356" s="40"/>
      <c r="C356" s="40"/>
      <c r="D356" s="40"/>
      <c r="E356" s="40"/>
      <c r="F356" s="40"/>
      <c r="G356" s="41"/>
      <c r="H356" s="42"/>
      <c r="I356" s="42"/>
      <c r="J356" s="43"/>
      <c r="K356" s="43"/>
      <c r="L356" s="44"/>
      <c r="M356" s="41"/>
      <c r="N356" s="43"/>
      <c r="O356" s="43"/>
      <c r="P356" s="43"/>
      <c r="Q356" s="43"/>
      <c r="R356" s="43"/>
      <c r="S356" s="43"/>
      <c r="T356" s="43"/>
      <c r="U356" s="43"/>
    </row>
    <row r="357" spans="1:21" ht="21" customHeight="1" x14ac:dyDescent="0.2">
      <c r="A357" s="40"/>
      <c r="B357" s="40"/>
      <c r="C357" s="40"/>
      <c r="D357" s="40"/>
      <c r="E357" s="40"/>
      <c r="F357" s="40"/>
      <c r="G357" s="41"/>
      <c r="H357" s="42"/>
      <c r="I357" s="42"/>
      <c r="J357" s="43"/>
      <c r="K357" s="43"/>
      <c r="L357" s="44"/>
      <c r="M357" s="41"/>
      <c r="N357" s="43"/>
      <c r="O357" s="43"/>
      <c r="P357" s="43"/>
      <c r="Q357" s="43"/>
      <c r="R357" s="43"/>
      <c r="S357" s="43"/>
      <c r="T357" s="43"/>
      <c r="U357" s="43"/>
    </row>
    <row r="358" spans="1:21" ht="21" customHeight="1" x14ac:dyDescent="0.2">
      <c r="A358" s="40"/>
      <c r="B358" s="40"/>
      <c r="C358" s="40"/>
      <c r="D358" s="40"/>
      <c r="E358" s="40"/>
      <c r="F358" s="40"/>
      <c r="G358" s="41"/>
      <c r="H358" s="42"/>
      <c r="I358" s="42"/>
      <c r="J358" s="43"/>
      <c r="K358" s="43"/>
      <c r="L358" s="44"/>
      <c r="M358" s="41"/>
      <c r="N358" s="43"/>
      <c r="O358" s="43"/>
      <c r="P358" s="43"/>
      <c r="Q358" s="43"/>
      <c r="R358" s="43"/>
      <c r="S358" s="43"/>
      <c r="T358" s="43"/>
      <c r="U358" s="43"/>
    </row>
    <row r="359" spans="1:21" ht="21" customHeight="1" x14ac:dyDescent="0.2">
      <c r="A359" s="40"/>
      <c r="B359" s="40"/>
      <c r="C359" s="40"/>
      <c r="D359" s="40"/>
      <c r="E359" s="40"/>
      <c r="F359" s="40"/>
      <c r="G359" s="41"/>
      <c r="H359" s="42"/>
      <c r="I359" s="42"/>
      <c r="J359" s="43"/>
      <c r="K359" s="43"/>
      <c r="L359" s="44"/>
      <c r="M359" s="41"/>
      <c r="N359" s="43"/>
      <c r="O359" s="43"/>
      <c r="P359" s="43"/>
      <c r="Q359" s="43"/>
      <c r="R359" s="43"/>
      <c r="S359" s="43"/>
      <c r="T359" s="43"/>
      <c r="U359" s="43"/>
    </row>
    <row r="360" spans="1:21" ht="21" customHeight="1" x14ac:dyDescent="0.2">
      <c r="A360" s="40"/>
      <c r="B360" s="40"/>
      <c r="C360" s="40"/>
      <c r="D360" s="40"/>
      <c r="E360" s="40"/>
      <c r="F360" s="40"/>
      <c r="G360" s="41"/>
      <c r="H360" s="42"/>
      <c r="I360" s="42"/>
      <c r="J360" s="43"/>
      <c r="K360" s="43"/>
      <c r="L360" s="44"/>
      <c r="M360" s="41"/>
      <c r="N360" s="43"/>
      <c r="O360" s="43"/>
      <c r="P360" s="43"/>
      <c r="Q360" s="43"/>
      <c r="R360" s="43"/>
      <c r="S360" s="43"/>
      <c r="T360" s="43"/>
      <c r="U360" s="43"/>
    </row>
    <row r="361" spans="1:21" ht="21" customHeight="1" x14ac:dyDescent="0.2">
      <c r="A361" s="40"/>
      <c r="B361" s="40"/>
      <c r="C361" s="40"/>
      <c r="D361" s="40"/>
      <c r="E361" s="40"/>
      <c r="F361" s="40"/>
      <c r="G361" s="41"/>
      <c r="H361" s="42"/>
      <c r="I361" s="42"/>
      <c r="J361" s="43"/>
      <c r="K361" s="43"/>
      <c r="L361" s="44"/>
      <c r="M361" s="41"/>
      <c r="N361" s="43"/>
      <c r="O361" s="43"/>
      <c r="P361" s="43"/>
      <c r="Q361" s="43"/>
      <c r="R361" s="43"/>
      <c r="S361" s="43"/>
      <c r="T361" s="43"/>
      <c r="U361" s="43"/>
    </row>
    <row r="362" spans="1:21" ht="21" customHeight="1" x14ac:dyDescent="0.2">
      <c r="A362" s="40"/>
      <c r="B362" s="40"/>
      <c r="C362" s="40"/>
      <c r="D362" s="40"/>
      <c r="E362" s="40"/>
      <c r="F362" s="40"/>
      <c r="G362" s="41"/>
      <c r="H362" s="42"/>
      <c r="I362" s="42"/>
      <c r="J362" s="43"/>
      <c r="K362" s="43"/>
      <c r="L362" s="44"/>
      <c r="M362" s="41"/>
      <c r="N362" s="43"/>
      <c r="O362" s="43"/>
      <c r="P362" s="43"/>
      <c r="Q362" s="43"/>
      <c r="R362" s="43"/>
      <c r="S362" s="43"/>
      <c r="T362" s="43"/>
      <c r="U362" s="43"/>
    </row>
    <row r="363" spans="1:21" ht="21" customHeight="1" x14ac:dyDescent="0.2">
      <c r="A363" s="40"/>
      <c r="B363" s="40"/>
      <c r="C363" s="40"/>
      <c r="D363" s="40"/>
      <c r="E363" s="40"/>
      <c r="F363" s="40"/>
      <c r="G363" s="41"/>
      <c r="H363" s="42"/>
      <c r="I363" s="42"/>
      <c r="J363" s="43"/>
      <c r="K363" s="43"/>
      <c r="L363" s="44"/>
      <c r="M363" s="41"/>
      <c r="N363" s="43"/>
      <c r="O363" s="43"/>
      <c r="P363" s="43"/>
      <c r="Q363" s="43"/>
      <c r="R363" s="43"/>
      <c r="S363" s="43"/>
      <c r="T363" s="43"/>
      <c r="U363" s="43"/>
    </row>
    <row r="364" spans="1:21" ht="21" customHeight="1" x14ac:dyDescent="0.2">
      <c r="A364" s="40"/>
      <c r="B364" s="40"/>
      <c r="C364" s="40"/>
      <c r="D364" s="40"/>
      <c r="E364" s="40"/>
      <c r="F364" s="40"/>
      <c r="G364" s="41"/>
      <c r="H364" s="42"/>
      <c r="I364" s="42"/>
      <c r="J364" s="43"/>
      <c r="K364" s="43"/>
      <c r="L364" s="44"/>
      <c r="M364" s="41"/>
      <c r="N364" s="43"/>
      <c r="O364" s="43"/>
      <c r="P364" s="43"/>
      <c r="Q364" s="43"/>
      <c r="R364" s="43"/>
      <c r="S364" s="43"/>
      <c r="T364" s="43"/>
      <c r="U364" s="43"/>
    </row>
    <row r="365" spans="1:21" ht="21" customHeight="1" x14ac:dyDescent="0.2">
      <c r="A365" s="40"/>
      <c r="B365" s="40"/>
      <c r="C365" s="40"/>
      <c r="D365" s="40"/>
      <c r="E365" s="40"/>
      <c r="F365" s="40"/>
      <c r="G365" s="41"/>
      <c r="H365" s="42"/>
      <c r="I365" s="42"/>
      <c r="J365" s="43"/>
      <c r="K365" s="43"/>
      <c r="L365" s="44"/>
      <c r="M365" s="41"/>
      <c r="N365" s="43"/>
      <c r="O365" s="43"/>
      <c r="P365" s="43"/>
      <c r="Q365" s="43"/>
      <c r="R365" s="43"/>
      <c r="S365" s="43"/>
      <c r="T365" s="43"/>
      <c r="U365" s="43"/>
    </row>
    <row r="366" spans="1:21" ht="21" customHeight="1" x14ac:dyDescent="0.2">
      <c r="A366" s="40"/>
      <c r="B366" s="40"/>
      <c r="C366" s="40"/>
      <c r="D366" s="40"/>
      <c r="E366" s="40"/>
      <c r="F366" s="40"/>
      <c r="G366" s="41"/>
      <c r="H366" s="42"/>
      <c r="I366" s="42"/>
      <c r="J366" s="43"/>
      <c r="K366" s="43"/>
      <c r="L366" s="44"/>
      <c r="M366" s="41"/>
      <c r="N366" s="43"/>
      <c r="O366" s="43"/>
      <c r="P366" s="43"/>
      <c r="Q366" s="43"/>
      <c r="R366" s="43"/>
      <c r="S366" s="43"/>
      <c r="T366" s="43"/>
      <c r="U366" s="43"/>
    </row>
    <row r="367" spans="1:21" ht="21" customHeight="1" x14ac:dyDescent="0.2">
      <c r="A367" s="40"/>
      <c r="B367" s="40"/>
      <c r="C367" s="40"/>
      <c r="D367" s="40"/>
      <c r="E367" s="40"/>
      <c r="F367" s="40"/>
      <c r="G367" s="41"/>
      <c r="H367" s="42"/>
      <c r="I367" s="42"/>
      <c r="J367" s="43"/>
      <c r="K367" s="43"/>
      <c r="L367" s="44"/>
      <c r="M367" s="41"/>
      <c r="N367" s="43"/>
      <c r="O367" s="43"/>
      <c r="P367" s="43"/>
      <c r="Q367" s="43"/>
      <c r="R367" s="43"/>
      <c r="S367" s="43"/>
      <c r="T367" s="43"/>
      <c r="U367" s="43"/>
    </row>
    <row r="368" spans="1:21" ht="21" customHeight="1" x14ac:dyDescent="0.2">
      <c r="A368" s="40"/>
      <c r="B368" s="40"/>
      <c r="C368" s="40"/>
      <c r="D368" s="40"/>
      <c r="E368" s="40"/>
      <c r="F368" s="40"/>
      <c r="G368" s="41"/>
      <c r="H368" s="42"/>
      <c r="I368" s="42"/>
      <c r="J368" s="43"/>
      <c r="K368" s="43"/>
      <c r="L368" s="44"/>
      <c r="M368" s="41"/>
      <c r="N368" s="43"/>
      <c r="O368" s="43"/>
      <c r="P368" s="43"/>
      <c r="Q368" s="43"/>
      <c r="R368" s="43"/>
      <c r="S368" s="43"/>
      <c r="T368" s="43"/>
      <c r="U368" s="43"/>
    </row>
    <row r="369" spans="1:21" ht="21" customHeight="1" x14ac:dyDescent="0.2">
      <c r="A369" s="40"/>
      <c r="B369" s="40"/>
      <c r="C369" s="40"/>
      <c r="D369" s="40"/>
      <c r="E369" s="40"/>
      <c r="F369" s="40"/>
      <c r="G369" s="41"/>
      <c r="H369" s="42"/>
      <c r="I369" s="42"/>
      <c r="J369" s="43"/>
      <c r="K369" s="43"/>
      <c r="L369" s="44"/>
      <c r="M369" s="41"/>
      <c r="N369" s="43"/>
      <c r="O369" s="43"/>
      <c r="P369" s="43"/>
      <c r="Q369" s="43"/>
      <c r="R369" s="43"/>
      <c r="S369" s="43"/>
      <c r="T369" s="43"/>
      <c r="U369" s="43"/>
    </row>
    <row r="370" spans="1:21" ht="21" customHeight="1" x14ac:dyDescent="0.2">
      <c r="A370" s="40"/>
      <c r="B370" s="40"/>
      <c r="C370" s="40"/>
      <c r="D370" s="40"/>
      <c r="E370" s="40"/>
      <c r="F370" s="40"/>
      <c r="G370" s="41"/>
      <c r="H370" s="42"/>
      <c r="I370" s="42"/>
      <c r="J370" s="43"/>
      <c r="K370" s="43"/>
      <c r="L370" s="44"/>
      <c r="M370" s="41"/>
      <c r="N370" s="43"/>
      <c r="O370" s="43"/>
      <c r="P370" s="43"/>
      <c r="Q370" s="43"/>
      <c r="R370" s="43"/>
      <c r="S370" s="43"/>
      <c r="T370" s="43"/>
      <c r="U370" s="43"/>
    </row>
    <row r="371" spans="1:21" ht="21" customHeight="1" x14ac:dyDescent="0.2">
      <c r="A371" s="40"/>
      <c r="B371" s="40"/>
      <c r="C371" s="40"/>
      <c r="D371" s="40"/>
      <c r="E371" s="40"/>
      <c r="F371" s="40"/>
      <c r="G371" s="41"/>
      <c r="H371" s="42"/>
      <c r="I371" s="42"/>
      <c r="J371" s="43"/>
      <c r="K371" s="43"/>
      <c r="L371" s="44"/>
      <c r="M371" s="41"/>
      <c r="N371" s="43"/>
      <c r="O371" s="43"/>
      <c r="P371" s="43"/>
      <c r="Q371" s="43"/>
      <c r="R371" s="43"/>
      <c r="S371" s="43"/>
      <c r="T371" s="43"/>
      <c r="U371" s="43"/>
    </row>
    <row r="372" spans="1:21" ht="21" customHeight="1" x14ac:dyDescent="0.2">
      <c r="A372" s="40"/>
      <c r="B372" s="40"/>
      <c r="C372" s="40"/>
      <c r="D372" s="40"/>
      <c r="E372" s="40"/>
      <c r="F372" s="40"/>
      <c r="G372" s="41"/>
      <c r="H372" s="42"/>
      <c r="I372" s="42"/>
      <c r="J372" s="43"/>
      <c r="K372" s="43"/>
      <c r="L372" s="44"/>
      <c r="M372" s="41"/>
      <c r="N372" s="43"/>
      <c r="O372" s="43"/>
      <c r="P372" s="43"/>
      <c r="Q372" s="43"/>
      <c r="R372" s="43"/>
      <c r="S372" s="43"/>
      <c r="T372" s="43"/>
      <c r="U372" s="43"/>
    </row>
    <row r="373" spans="1:21" ht="21" customHeight="1" x14ac:dyDescent="0.2">
      <c r="A373" s="40"/>
      <c r="B373" s="40"/>
      <c r="C373" s="40"/>
      <c r="D373" s="40"/>
      <c r="E373" s="40"/>
      <c r="F373" s="40"/>
      <c r="G373" s="41"/>
      <c r="H373" s="42"/>
      <c r="I373" s="42"/>
      <c r="J373" s="43"/>
      <c r="K373" s="43"/>
      <c r="L373" s="44"/>
      <c r="M373" s="41"/>
      <c r="N373" s="43"/>
      <c r="O373" s="43"/>
      <c r="P373" s="43"/>
      <c r="Q373" s="43"/>
      <c r="R373" s="43"/>
      <c r="S373" s="43"/>
      <c r="T373" s="43"/>
      <c r="U373" s="43"/>
    </row>
    <row r="374" spans="1:21" ht="21" customHeight="1" x14ac:dyDescent="0.2">
      <c r="A374" s="40"/>
      <c r="B374" s="40"/>
      <c r="C374" s="40"/>
      <c r="D374" s="40"/>
      <c r="E374" s="40"/>
      <c r="F374" s="40"/>
      <c r="G374" s="41"/>
      <c r="H374" s="42"/>
      <c r="I374" s="42"/>
      <c r="J374" s="43"/>
      <c r="K374" s="43"/>
      <c r="L374" s="44"/>
      <c r="M374" s="41"/>
      <c r="N374" s="43"/>
      <c r="O374" s="43"/>
      <c r="P374" s="43"/>
      <c r="Q374" s="43"/>
      <c r="R374" s="43"/>
      <c r="S374" s="43"/>
      <c r="T374" s="43"/>
      <c r="U374" s="43"/>
    </row>
    <row r="375" spans="1:21" ht="21" customHeight="1" x14ac:dyDescent="0.2">
      <c r="A375" s="40"/>
      <c r="B375" s="40"/>
      <c r="C375" s="40"/>
      <c r="D375" s="40"/>
      <c r="E375" s="40"/>
      <c r="F375" s="40"/>
      <c r="G375" s="41"/>
      <c r="H375" s="42"/>
      <c r="I375" s="42"/>
      <c r="J375" s="43"/>
      <c r="K375" s="43"/>
      <c r="L375" s="44"/>
      <c r="M375" s="41"/>
      <c r="N375" s="43"/>
      <c r="O375" s="43"/>
      <c r="P375" s="43"/>
      <c r="Q375" s="43"/>
      <c r="R375" s="43"/>
      <c r="S375" s="43"/>
      <c r="T375" s="43"/>
      <c r="U375" s="43"/>
    </row>
    <row r="376" spans="1:21" ht="21" customHeight="1" x14ac:dyDescent="0.2">
      <c r="A376" s="40"/>
      <c r="B376" s="40"/>
      <c r="C376" s="40"/>
      <c r="D376" s="40"/>
      <c r="E376" s="40"/>
      <c r="F376" s="40"/>
      <c r="G376" s="41"/>
      <c r="H376" s="42"/>
      <c r="I376" s="42"/>
      <c r="J376" s="43"/>
      <c r="K376" s="43"/>
      <c r="L376" s="44"/>
      <c r="M376" s="41"/>
      <c r="N376" s="43"/>
      <c r="O376" s="43"/>
      <c r="P376" s="43"/>
      <c r="Q376" s="43"/>
      <c r="R376" s="43"/>
      <c r="S376" s="43"/>
      <c r="T376" s="43"/>
      <c r="U376" s="43"/>
    </row>
    <row r="377" spans="1:21" ht="21" customHeight="1" x14ac:dyDescent="0.2">
      <c r="A377" s="40"/>
      <c r="B377" s="40"/>
      <c r="C377" s="40"/>
      <c r="D377" s="40"/>
      <c r="E377" s="40"/>
      <c r="F377" s="40"/>
      <c r="G377" s="41"/>
      <c r="H377" s="42"/>
      <c r="I377" s="42"/>
      <c r="J377" s="43"/>
      <c r="K377" s="43"/>
      <c r="L377" s="44"/>
      <c r="M377" s="41"/>
      <c r="N377" s="43"/>
      <c r="O377" s="43"/>
      <c r="P377" s="43"/>
      <c r="Q377" s="43"/>
      <c r="R377" s="43"/>
      <c r="S377" s="43"/>
      <c r="T377" s="43"/>
      <c r="U377" s="43"/>
    </row>
    <row r="378" spans="1:21" ht="21" customHeight="1" x14ac:dyDescent="0.2">
      <c r="A378" s="40"/>
      <c r="B378" s="40"/>
      <c r="C378" s="40"/>
      <c r="D378" s="40"/>
      <c r="E378" s="40"/>
      <c r="F378" s="40"/>
      <c r="G378" s="41"/>
      <c r="H378" s="42"/>
      <c r="I378" s="42"/>
      <c r="J378" s="43"/>
      <c r="K378" s="43"/>
      <c r="L378" s="44"/>
      <c r="M378" s="41"/>
      <c r="N378" s="43"/>
      <c r="O378" s="43"/>
      <c r="P378" s="43"/>
      <c r="Q378" s="43"/>
      <c r="R378" s="43"/>
      <c r="S378" s="43"/>
      <c r="T378" s="43"/>
      <c r="U378" s="43"/>
    </row>
    <row r="379" spans="1:21" ht="21" customHeight="1" x14ac:dyDescent="0.2">
      <c r="A379" s="40"/>
      <c r="B379" s="40"/>
      <c r="C379" s="40"/>
      <c r="D379" s="40"/>
      <c r="E379" s="40"/>
      <c r="F379" s="40"/>
      <c r="G379" s="41"/>
      <c r="H379" s="42"/>
      <c r="I379" s="42"/>
      <c r="J379" s="43"/>
      <c r="K379" s="43"/>
      <c r="L379" s="44"/>
      <c r="M379" s="41"/>
      <c r="N379" s="43"/>
      <c r="O379" s="43"/>
      <c r="P379" s="43"/>
      <c r="Q379" s="43"/>
      <c r="R379" s="43"/>
      <c r="S379" s="43"/>
      <c r="T379" s="43"/>
      <c r="U379" s="43"/>
    </row>
    <row r="380" spans="1:21" ht="21" customHeight="1" x14ac:dyDescent="0.2">
      <c r="A380" s="40"/>
      <c r="B380" s="40"/>
      <c r="C380" s="40"/>
      <c r="D380" s="40"/>
      <c r="E380" s="40"/>
      <c r="F380" s="40"/>
      <c r="G380" s="41"/>
      <c r="H380" s="42"/>
      <c r="I380" s="42"/>
      <c r="J380" s="43"/>
      <c r="K380" s="43"/>
      <c r="L380" s="44"/>
      <c r="M380" s="41"/>
      <c r="N380" s="43"/>
      <c r="O380" s="43"/>
      <c r="P380" s="43"/>
      <c r="Q380" s="43"/>
      <c r="R380" s="43"/>
      <c r="S380" s="43"/>
      <c r="T380" s="43"/>
      <c r="U380" s="43"/>
    </row>
    <row r="381" spans="1:21" ht="21" customHeight="1" x14ac:dyDescent="0.2">
      <c r="A381" s="40"/>
      <c r="B381" s="40"/>
      <c r="C381" s="40"/>
      <c r="D381" s="40"/>
      <c r="E381" s="40"/>
      <c r="F381" s="40"/>
      <c r="G381" s="41"/>
      <c r="H381" s="42"/>
      <c r="I381" s="42"/>
      <c r="J381" s="43"/>
      <c r="K381" s="43"/>
      <c r="L381" s="44"/>
      <c r="M381" s="41"/>
      <c r="N381" s="43"/>
      <c r="O381" s="43"/>
      <c r="P381" s="43"/>
      <c r="Q381" s="43"/>
      <c r="R381" s="43"/>
      <c r="S381" s="43"/>
      <c r="T381" s="43"/>
      <c r="U381" s="43"/>
    </row>
    <row r="382" spans="1:21" ht="21" customHeight="1" x14ac:dyDescent="0.2">
      <c r="A382" s="40"/>
      <c r="B382" s="40"/>
      <c r="C382" s="40"/>
      <c r="D382" s="40"/>
      <c r="E382" s="40"/>
      <c r="F382" s="40"/>
      <c r="G382" s="41"/>
      <c r="H382" s="42"/>
      <c r="I382" s="42"/>
      <c r="J382" s="43"/>
      <c r="K382" s="43"/>
      <c r="L382" s="44"/>
      <c r="M382" s="41"/>
      <c r="N382" s="43"/>
      <c r="O382" s="43"/>
      <c r="P382" s="43"/>
      <c r="Q382" s="43"/>
      <c r="R382" s="43"/>
      <c r="S382" s="43"/>
      <c r="T382" s="43"/>
      <c r="U382" s="43"/>
    </row>
    <row r="383" spans="1:21" ht="21" customHeight="1" x14ac:dyDescent="0.2">
      <c r="A383" s="40"/>
      <c r="B383" s="40"/>
      <c r="C383" s="40"/>
      <c r="D383" s="40"/>
      <c r="E383" s="40"/>
      <c r="F383" s="40"/>
      <c r="G383" s="41"/>
      <c r="H383" s="42"/>
      <c r="I383" s="42"/>
      <c r="J383" s="43"/>
      <c r="K383" s="43"/>
      <c r="L383" s="44"/>
      <c r="M383" s="41"/>
      <c r="N383" s="43"/>
      <c r="O383" s="43"/>
      <c r="P383" s="43"/>
      <c r="Q383" s="43"/>
      <c r="R383" s="43"/>
      <c r="S383" s="43"/>
      <c r="T383" s="43"/>
      <c r="U383" s="43"/>
    </row>
    <row r="384" spans="1:21" ht="21" customHeight="1" x14ac:dyDescent="0.2">
      <c r="A384" s="40"/>
      <c r="B384" s="40"/>
      <c r="C384" s="40"/>
      <c r="D384" s="40"/>
      <c r="E384" s="40"/>
      <c r="F384" s="40"/>
      <c r="G384" s="41"/>
      <c r="H384" s="42"/>
      <c r="I384" s="42"/>
      <c r="J384" s="43"/>
      <c r="K384" s="43"/>
      <c r="L384" s="44"/>
      <c r="M384" s="41"/>
      <c r="N384" s="43"/>
      <c r="O384" s="43"/>
      <c r="P384" s="43"/>
      <c r="Q384" s="43"/>
      <c r="R384" s="43"/>
      <c r="S384" s="43"/>
      <c r="T384" s="43"/>
      <c r="U384" s="43"/>
    </row>
    <row r="385" spans="1:21" ht="21" customHeight="1" x14ac:dyDescent="0.2">
      <c r="A385" s="40"/>
      <c r="B385" s="40"/>
      <c r="C385" s="40"/>
      <c r="D385" s="40"/>
      <c r="E385" s="40"/>
      <c r="F385" s="40"/>
      <c r="G385" s="41"/>
      <c r="H385" s="42"/>
      <c r="I385" s="42"/>
      <c r="J385" s="43"/>
      <c r="K385" s="43"/>
      <c r="L385" s="44"/>
      <c r="M385" s="41"/>
      <c r="N385" s="43"/>
      <c r="O385" s="43"/>
      <c r="P385" s="43"/>
      <c r="Q385" s="43"/>
      <c r="R385" s="43"/>
      <c r="S385" s="43"/>
      <c r="T385" s="43"/>
      <c r="U385" s="43"/>
    </row>
    <row r="386" spans="1:21" ht="21" customHeight="1" x14ac:dyDescent="0.2">
      <c r="A386" s="40"/>
      <c r="B386" s="40"/>
      <c r="C386" s="40"/>
      <c r="D386" s="40"/>
      <c r="E386" s="40"/>
      <c r="F386" s="40"/>
      <c r="G386" s="41"/>
      <c r="H386" s="42"/>
      <c r="I386" s="42"/>
      <c r="J386" s="43"/>
      <c r="K386" s="43"/>
      <c r="L386" s="44"/>
      <c r="M386" s="41"/>
      <c r="N386" s="43"/>
      <c r="O386" s="43"/>
      <c r="P386" s="43"/>
      <c r="Q386" s="43"/>
      <c r="R386" s="43"/>
      <c r="S386" s="43"/>
      <c r="T386" s="43"/>
      <c r="U386" s="43"/>
    </row>
    <row r="387" spans="1:21" ht="21" customHeight="1" x14ac:dyDescent="0.2">
      <c r="A387" s="40"/>
      <c r="B387" s="40"/>
      <c r="C387" s="40"/>
      <c r="D387" s="40"/>
      <c r="E387" s="40"/>
      <c r="F387" s="40"/>
      <c r="G387" s="41"/>
      <c r="H387" s="42"/>
      <c r="I387" s="42"/>
      <c r="J387" s="43"/>
      <c r="K387" s="43"/>
      <c r="L387" s="44"/>
      <c r="M387" s="41"/>
      <c r="N387" s="43"/>
      <c r="O387" s="43"/>
      <c r="P387" s="43"/>
      <c r="Q387" s="43"/>
      <c r="R387" s="43"/>
      <c r="S387" s="43"/>
      <c r="T387" s="43"/>
      <c r="U387" s="43"/>
    </row>
    <row r="388" spans="1:21" ht="21" customHeight="1" x14ac:dyDescent="0.2">
      <c r="A388" s="40"/>
      <c r="B388" s="40"/>
      <c r="C388" s="40"/>
      <c r="D388" s="40"/>
      <c r="E388" s="40"/>
      <c r="F388" s="40"/>
      <c r="G388" s="41"/>
      <c r="H388" s="42"/>
      <c r="I388" s="42"/>
      <c r="J388" s="43"/>
      <c r="K388" s="43"/>
      <c r="L388" s="44"/>
      <c r="M388" s="41"/>
      <c r="N388" s="43"/>
      <c r="O388" s="43"/>
      <c r="P388" s="43"/>
      <c r="Q388" s="43"/>
      <c r="R388" s="43"/>
      <c r="S388" s="43"/>
      <c r="T388" s="43"/>
      <c r="U388" s="43"/>
    </row>
    <row r="389" spans="1:21" ht="21" customHeight="1" x14ac:dyDescent="0.2">
      <c r="A389" s="40"/>
      <c r="B389" s="40"/>
      <c r="C389" s="40"/>
      <c r="D389" s="40"/>
      <c r="E389" s="40"/>
      <c r="F389" s="40"/>
      <c r="G389" s="41"/>
      <c r="H389" s="42"/>
      <c r="I389" s="42"/>
      <c r="J389" s="43"/>
      <c r="K389" s="43"/>
      <c r="L389" s="44"/>
      <c r="M389" s="41"/>
      <c r="N389" s="43"/>
      <c r="O389" s="43"/>
      <c r="P389" s="43"/>
      <c r="Q389" s="43"/>
      <c r="R389" s="43"/>
      <c r="S389" s="43"/>
      <c r="T389" s="43"/>
      <c r="U389" s="43"/>
    </row>
    <row r="390" spans="1:21" ht="21" customHeight="1" x14ac:dyDescent="0.2">
      <c r="A390" s="40"/>
      <c r="B390" s="40"/>
      <c r="C390" s="40"/>
      <c r="D390" s="40"/>
      <c r="E390" s="40"/>
      <c r="F390" s="40"/>
      <c r="G390" s="41"/>
      <c r="H390" s="42"/>
      <c r="I390" s="42"/>
      <c r="J390" s="43"/>
      <c r="K390" s="43"/>
      <c r="L390" s="44"/>
      <c r="M390" s="41"/>
      <c r="N390" s="43"/>
      <c r="O390" s="43"/>
      <c r="P390" s="43"/>
      <c r="Q390" s="43"/>
      <c r="R390" s="43"/>
      <c r="S390" s="43"/>
      <c r="T390" s="43"/>
      <c r="U390" s="43"/>
    </row>
    <row r="391" spans="1:21" ht="21" customHeight="1" x14ac:dyDescent="0.2">
      <c r="A391" s="40"/>
      <c r="B391" s="40"/>
      <c r="C391" s="40"/>
      <c r="D391" s="40"/>
      <c r="E391" s="40"/>
      <c r="F391" s="40"/>
      <c r="G391" s="41"/>
      <c r="H391" s="42"/>
      <c r="I391" s="42"/>
      <c r="J391" s="43"/>
      <c r="K391" s="43"/>
      <c r="L391" s="44"/>
      <c r="M391" s="41"/>
      <c r="N391" s="43"/>
      <c r="O391" s="43"/>
      <c r="P391" s="43"/>
      <c r="Q391" s="43"/>
      <c r="R391" s="43"/>
      <c r="S391" s="43"/>
      <c r="T391" s="43"/>
      <c r="U391" s="43"/>
    </row>
    <row r="392" spans="1:21" ht="21" customHeight="1" x14ac:dyDescent="0.2">
      <c r="A392" s="40"/>
      <c r="B392" s="40"/>
      <c r="C392" s="40"/>
      <c r="D392" s="40"/>
      <c r="E392" s="40"/>
      <c r="F392" s="40"/>
      <c r="G392" s="41"/>
      <c r="H392" s="42"/>
      <c r="I392" s="42"/>
      <c r="J392" s="43"/>
      <c r="K392" s="43"/>
      <c r="L392" s="44"/>
      <c r="M392" s="41"/>
      <c r="N392" s="43"/>
      <c r="O392" s="43"/>
      <c r="P392" s="43"/>
      <c r="Q392" s="43"/>
      <c r="R392" s="43"/>
      <c r="S392" s="43"/>
      <c r="T392" s="43"/>
      <c r="U392" s="43"/>
    </row>
    <row r="393" spans="1:21" ht="21" customHeight="1" x14ac:dyDescent="0.2">
      <c r="A393" s="40"/>
      <c r="B393" s="40"/>
      <c r="C393" s="40"/>
      <c r="D393" s="40"/>
      <c r="E393" s="40"/>
      <c r="F393" s="40"/>
      <c r="G393" s="41"/>
      <c r="H393" s="42"/>
      <c r="I393" s="42"/>
      <c r="J393" s="43"/>
      <c r="K393" s="43"/>
      <c r="L393" s="44"/>
      <c r="M393" s="41"/>
      <c r="N393" s="43"/>
      <c r="O393" s="43"/>
      <c r="P393" s="43"/>
      <c r="Q393" s="43"/>
      <c r="R393" s="43"/>
      <c r="S393" s="43"/>
      <c r="T393" s="43"/>
      <c r="U393" s="43"/>
    </row>
    <row r="394" spans="1:21" ht="21" customHeight="1" x14ac:dyDescent="0.2">
      <c r="A394" s="40"/>
      <c r="B394" s="40"/>
      <c r="C394" s="40"/>
      <c r="D394" s="40"/>
      <c r="E394" s="40"/>
      <c r="F394" s="40"/>
      <c r="G394" s="41"/>
      <c r="H394" s="42"/>
      <c r="I394" s="42"/>
      <c r="J394" s="43"/>
      <c r="K394" s="43"/>
      <c r="L394" s="44"/>
      <c r="M394" s="41"/>
      <c r="N394" s="43"/>
      <c r="O394" s="43"/>
      <c r="P394" s="43"/>
      <c r="Q394" s="43"/>
      <c r="R394" s="43"/>
      <c r="S394" s="43"/>
      <c r="T394" s="43"/>
      <c r="U394" s="43"/>
    </row>
    <row r="395" spans="1:21" ht="21" customHeight="1" x14ac:dyDescent="0.2">
      <c r="A395" s="40"/>
      <c r="B395" s="40"/>
      <c r="C395" s="40"/>
      <c r="D395" s="40"/>
      <c r="E395" s="40"/>
      <c r="F395" s="40"/>
      <c r="G395" s="41"/>
      <c r="H395" s="42"/>
      <c r="I395" s="42"/>
      <c r="J395" s="43"/>
      <c r="K395" s="43"/>
      <c r="L395" s="44"/>
      <c r="M395" s="41"/>
      <c r="N395" s="43"/>
      <c r="O395" s="43"/>
      <c r="P395" s="43"/>
      <c r="Q395" s="43"/>
      <c r="R395" s="43"/>
      <c r="S395" s="43"/>
      <c r="T395" s="43"/>
      <c r="U395" s="43"/>
    </row>
    <row r="396" spans="1:21" ht="21" customHeight="1" x14ac:dyDescent="0.2">
      <c r="A396" s="40"/>
      <c r="B396" s="40"/>
      <c r="C396" s="40"/>
      <c r="D396" s="40"/>
      <c r="E396" s="40"/>
      <c r="F396" s="40"/>
      <c r="G396" s="41"/>
      <c r="H396" s="42"/>
      <c r="I396" s="42"/>
      <c r="J396" s="43"/>
      <c r="K396" s="43"/>
      <c r="L396" s="44"/>
      <c r="M396" s="41"/>
      <c r="N396" s="43"/>
      <c r="O396" s="43"/>
      <c r="P396" s="43"/>
      <c r="Q396" s="43"/>
      <c r="R396" s="43"/>
      <c r="S396" s="43"/>
      <c r="T396" s="43"/>
      <c r="U396" s="43"/>
    </row>
    <row r="397" spans="1:21" ht="21" customHeight="1" x14ac:dyDescent="0.2">
      <c r="A397" s="40"/>
      <c r="B397" s="40"/>
      <c r="C397" s="40"/>
      <c r="D397" s="40"/>
      <c r="E397" s="40"/>
      <c r="F397" s="40"/>
      <c r="G397" s="41"/>
      <c r="H397" s="42"/>
      <c r="I397" s="42"/>
      <c r="J397" s="43"/>
      <c r="K397" s="43"/>
      <c r="L397" s="44"/>
      <c r="M397" s="41"/>
      <c r="N397" s="43"/>
      <c r="O397" s="43"/>
      <c r="P397" s="43"/>
      <c r="Q397" s="43"/>
      <c r="R397" s="43"/>
      <c r="S397" s="43"/>
      <c r="T397" s="43"/>
      <c r="U397" s="43"/>
    </row>
    <row r="398" spans="1:21" ht="21" customHeight="1" x14ac:dyDescent="0.2">
      <c r="A398" s="40"/>
      <c r="B398" s="40"/>
      <c r="C398" s="40"/>
      <c r="D398" s="40"/>
      <c r="E398" s="40"/>
      <c r="F398" s="40"/>
      <c r="G398" s="41"/>
      <c r="H398" s="42"/>
      <c r="I398" s="42"/>
      <c r="J398" s="43"/>
      <c r="K398" s="43"/>
      <c r="L398" s="44"/>
      <c r="M398" s="41"/>
      <c r="N398" s="43"/>
      <c r="O398" s="43"/>
      <c r="P398" s="43"/>
      <c r="Q398" s="43"/>
      <c r="R398" s="43"/>
      <c r="S398" s="43"/>
      <c r="T398" s="43"/>
      <c r="U398" s="43"/>
    </row>
    <row r="399" spans="1:21" ht="21" customHeight="1" x14ac:dyDescent="0.2">
      <c r="A399" s="40"/>
      <c r="B399" s="40"/>
      <c r="C399" s="40"/>
      <c r="D399" s="40"/>
      <c r="E399" s="40"/>
      <c r="F399" s="40"/>
      <c r="G399" s="41"/>
      <c r="H399" s="42"/>
      <c r="I399" s="42"/>
      <c r="J399" s="43"/>
      <c r="K399" s="43"/>
      <c r="L399" s="44"/>
      <c r="M399" s="41"/>
      <c r="N399" s="43"/>
      <c r="O399" s="43"/>
      <c r="P399" s="43"/>
      <c r="Q399" s="43"/>
      <c r="R399" s="43"/>
      <c r="S399" s="43"/>
      <c r="T399" s="43"/>
      <c r="U399" s="43"/>
    </row>
    <row r="400" spans="1:21" ht="21" customHeight="1" x14ac:dyDescent="0.2">
      <c r="A400" s="40"/>
      <c r="B400" s="40"/>
      <c r="C400" s="40"/>
      <c r="D400" s="40"/>
      <c r="E400" s="40"/>
      <c r="F400" s="40"/>
      <c r="G400" s="41"/>
      <c r="H400" s="42"/>
      <c r="I400" s="42"/>
      <c r="J400" s="43"/>
      <c r="K400" s="43"/>
      <c r="L400" s="44"/>
      <c r="M400" s="41"/>
      <c r="N400" s="43"/>
      <c r="O400" s="43"/>
      <c r="P400" s="43"/>
      <c r="Q400" s="43"/>
      <c r="R400" s="43"/>
      <c r="S400" s="43"/>
      <c r="T400" s="43"/>
      <c r="U400" s="43"/>
    </row>
    <row r="401" spans="1:21" ht="21" customHeight="1" x14ac:dyDescent="0.2">
      <c r="A401" s="40"/>
      <c r="B401" s="40"/>
      <c r="C401" s="40"/>
      <c r="D401" s="40"/>
      <c r="E401" s="40"/>
      <c r="F401" s="40"/>
      <c r="G401" s="41"/>
      <c r="H401" s="42"/>
      <c r="I401" s="42"/>
      <c r="J401" s="43"/>
      <c r="K401" s="43"/>
      <c r="L401" s="44"/>
      <c r="M401" s="41"/>
      <c r="N401" s="43"/>
      <c r="O401" s="43"/>
      <c r="P401" s="43"/>
      <c r="Q401" s="43"/>
      <c r="R401" s="43"/>
      <c r="S401" s="43"/>
      <c r="T401" s="43"/>
      <c r="U401" s="43"/>
    </row>
    <row r="402" spans="1:21" ht="21" customHeight="1" x14ac:dyDescent="0.2">
      <c r="A402" s="40"/>
      <c r="B402" s="40"/>
      <c r="C402" s="40"/>
      <c r="D402" s="40"/>
      <c r="E402" s="40"/>
      <c r="F402" s="40"/>
      <c r="G402" s="41"/>
      <c r="H402" s="42"/>
      <c r="I402" s="42"/>
      <c r="J402" s="43"/>
      <c r="K402" s="43"/>
      <c r="L402" s="44"/>
      <c r="M402" s="41"/>
      <c r="N402" s="43"/>
      <c r="O402" s="43"/>
      <c r="P402" s="43"/>
      <c r="Q402" s="43"/>
      <c r="R402" s="43"/>
      <c r="S402" s="43"/>
      <c r="T402" s="43"/>
      <c r="U402" s="43"/>
    </row>
    <row r="403" spans="1:21" ht="21" customHeight="1" x14ac:dyDescent="0.2">
      <c r="A403" s="40"/>
      <c r="B403" s="40"/>
      <c r="C403" s="40"/>
      <c r="D403" s="40"/>
      <c r="E403" s="40"/>
      <c r="F403" s="40"/>
      <c r="G403" s="41"/>
      <c r="H403" s="42"/>
      <c r="I403" s="42"/>
      <c r="J403" s="43"/>
      <c r="K403" s="43"/>
      <c r="L403" s="44"/>
      <c r="M403" s="41"/>
      <c r="N403" s="43"/>
      <c r="O403" s="43"/>
      <c r="P403" s="43"/>
      <c r="Q403" s="43"/>
      <c r="R403" s="43"/>
      <c r="S403" s="43"/>
      <c r="T403" s="43"/>
      <c r="U403" s="43"/>
    </row>
    <row r="404" spans="1:21" ht="21" customHeight="1" x14ac:dyDescent="0.2">
      <c r="A404" s="40"/>
      <c r="B404" s="40"/>
      <c r="C404" s="40"/>
      <c r="D404" s="40"/>
      <c r="E404" s="40"/>
      <c r="F404" s="40"/>
      <c r="G404" s="41"/>
      <c r="H404" s="42"/>
      <c r="I404" s="42"/>
      <c r="J404" s="43"/>
      <c r="K404" s="43"/>
      <c r="L404" s="44"/>
      <c r="M404" s="41"/>
      <c r="N404" s="43"/>
      <c r="O404" s="43"/>
      <c r="P404" s="43"/>
      <c r="Q404" s="43"/>
      <c r="R404" s="43"/>
      <c r="S404" s="43"/>
      <c r="T404" s="43"/>
      <c r="U404" s="43"/>
    </row>
    <row r="405" spans="1:21" ht="21" customHeight="1" x14ac:dyDescent="0.2">
      <c r="A405" s="40"/>
      <c r="B405" s="40"/>
      <c r="C405" s="40"/>
      <c r="D405" s="40"/>
      <c r="E405" s="40"/>
      <c r="F405" s="40"/>
      <c r="G405" s="41"/>
      <c r="H405" s="42"/>
      <c r="I405" s="42"/>
      <c r="J405" s="43"/>
      <c r="K405" s="43"/>
      <c r="L405" s="44"/>
      <c r="M405" s="41"/>
      <c r="N405" s="43"/>
      <c r="O405" s="43"/>
      <c r="P405" s="43"/>
      <c r="Q405" s="43"/>
      <c r="R405" s="43"/>
      <c r="S405" s="43"/>
      <c r="T405" s="43"/>
      <c r="U405" s="43"/>
    </row>
    <row r="406" spans="1:21" ht="21" customHeight="1" x14ac:dyDescent="0.2">
      <c r="A406" s="40"/>
      <c r="B406" s="40"/>
      <c r="C406" s="40"/>
      <c r="D406" s="40"/>
      <c r="E406" s="40"/>
      <c r="F406" s="40"/>
      <c r="G406" s="41"/>
      <c r="H406" s="42"/>
      <c r="I406" s="42"/>
      <c r="J406" s="43"/>
      <c r="K406" s="43"/>
      <c r="L406" s="44"/>
      <c r="M406" s="41"/>
      <c r="N406" s="43"/>
      <c r="O406" s="43"/>
      <c r="P406" s="43"/>
      <c r="Q406" s="43"/>
      <c r="R406" s="43"/>
      <c r="S406" s="43"/>
      <c r="T406" s="43"/>
      <c r="U406" s="43"/>
    </row>
    <row r="407" spans="1:21" ht="21" customHeight="1" x14ac:dyDescent="0.2">
      <c r="A407" s="40"/>
      <c r="B407" s="40"/>
      <c r="C407" s="40"/>
      <c r="D407" s="40"/>
      <c r="E407" s="40"/>
      <c r="F407" s="40"/>
      <c r="G407" s="41"/>
      <c r="H407" s="42"/>
      <c r="I407" s="42"/>
      <c r="J407" s="43"/>
      <c r="K407" s="43"/>
      <c r="L407" s="44"/>
      <c r="M407" s="41"/>
      <c r="N407" s="43"/>
      <c r="O407" s="43"/>
      <c r="P407" s="43"/>
      <c r="Q407" s="43"/>
      <c r="R407" s="43"/>
      <c r="S407" s="43"/>
      <c r="T407" s="43"/>
      <c r="U407" s="43"/>
    </row>
    <row r="408" spans="1:21" ht="21" customHeight="1" x14ac:dyDescent="0.2">
      <c r="A408" s="40"/>
      <c r="B408" s="40"/>
      <c r="C408" s="40"/>
      <c r="D408" s="40"/>
      <c r="E408" s="40"/>
      <c r="F408" s="40"/>
      <c r="G408" s="41"/>
      <c r="H408" s="42"/>
      <c r="I408" s="42"/>
      <c r="J408" s="43"/>
      <c r="K408" s="43"/>
      <c r="L408" s="44"/>
      <c r="M408" s="41"/>
      <c r="N408" s="43"/>
      <c r="O408" s="43"/>
      <c r="P408" s="43"/>
      <c r="Q408" s="43"/>
      <c r="R408" s="43"/>
      <c r="S408" s="43"/>
      <c r="T408" s="43"/>
      <c r="U408" s="43"/>
    </row>
    <row r="409" spans="1:21" ht="21" customHeight="1" x14ac:dyDescent="0.2">
      <c r="A409" s="40"/>
      <c r="B409" s="40"/>
      <c r="C409" s="40"/>
      <c r="D409" s="40"/>
      <c r="E409" s="40"/>
      <c r="F409" s="40"/>
      <c r="G409" s="41"/>
      <c r="H409" s="42"/>
      <c r="I409" s="42"/>
      <c r="J409" s="43"/>
      <c r="K409" s="43"/>
      <c r="L409" s="44"/>
      <c r="M409" s="41"/>
      <c r="N409" s="43"/>
      <c r="O409" s="43"/>
      <c r="P409" s="43"/>
      <c r="Q409" s="43"/>
      <c r="R409" s="43"/>
      <c r="S409" s="43"/>
      <c r="T409" s="43"/>
      <c r="U409" s="43"/>
    </row>
    <row r="410" spans="1:21" ht="21" customHeight="1" x14ac:dyDescent="0.2">
      <c r="A410" s="40"/>
      <c r="B410" s="40"/>
      <c r="C410" s="40"/>
      <c r="D410" s="40"/>
      <c r="E410" s="40"/>
      <c r="F410" s="40"/>
      <c r="G410" s="41"/>
      <c r="H410" s="42"/>
      <c r="I410" s="42"/>
      <c r="J410" s="43"/>
      <c r="K410" s="43"/>
      <c r="L410" s="44"/>
      <c r="M410" s="41"/>
      <c r="N410" s="43"/>
      <c r="O410" s="43"/>
      <c r="P410" s="43"/>
      <c r="Q410" s="43"/>
      <c r="R410" s="43"/>
      <c r="S410" s="43"/>
      <c r="T410" s="43"/>
      <c r="U410" s="43"/>
    </row>
    <row r="411" spans="1:21" ht="21" customHeight="1" x14ac:dyDescent="0.2">
      <c r="A411" s="40"/>
      <c r="B411" s="40"/>
      <c r="C411" s="40"/>
      <c r="D411" s="40"/>
      <c r="E411" s="40"/>
      <c r="F411" s="40"/>
      <c r="G411" s="41"/>
      <c r="H411" s="42"/>
      <c r="I411" s="42"/>
      <c r="J411" s="43"/>
      <c r="K411" s="43"/>
      <c r="L411" s="44"/>
      <c r="M411" s="41"/>
      <c r="N411" s="43"/>
      <c r="O411" s="43"/>
      <c r="P411" s="43"/>
      <c r="Q411" s="43"/>
      <c r="R411" s="43"/>
      <c r="S411" s="43"/>
      <c r="T411" s="43"/>
      <c r="U411" s="43"/>
    </row>
    <row r="412" spans="1:21" ht="21" customHeight="1" x14ac:dyDescent="0.2">
      <c r="A412" s="40"/>
      <c r="B412" s="40"/>
      <c r="C412" s="40"/>
      <c r="D412" s="40"/>
      <c r="E412" s="40"/>
      <c r="F412" s="40"/>
      <c r="G412" s="41"/>
      <c r="H412" s="42"/>
      <c r="I412" s="42"/>
      <c r="J412" s="43"/>
      <c r="K412" s="43"/>
      <c r="L412" s="44"/>
      <c r="M412" s="41"/>
      <c r="N412" s="43"/>
      <c r="O412" s="43"/>
      <c r="P412" s="43"/>
      <c r="Q412" s="43"/>
      <c r="R412" s="43"/>
      <c r="S412" s="43"/>
      <c r="T412" s="43"/>
      <c r="U412" s="43"/>
    </row>
    <row r="413" spans="1:21" ht="21" customHeight="1" x14ac:dyDescent="0.2">
      <c r="A413" s="40"/>
      <c r="B413" s="40"/>
      <c r="C413" s="40"/>
      <c r="D413" s="40"/>
      <c r="E413" s="40"/>
      <c r="F413" s="40"/>
      <c r="G413" s="41"/>
      <c r="H413" s="42"/>
      <c r="I413" s="42"/>
      <c r="J413" s="43"/>
      <c r="K413" s="43"/>
      <c r="L413" s="44"/>
      <c r="M413" s="41"/>
      <c r="N413" s="43"/>
      <c r="O413" s="43"/>
      <c r="P413" s="43"/>
      <c r="Q413" s="43"/>
      <c r="R413" s="43"/>
      <c r="S413" s="43"/>
      <c r="T413" s="43"/>
      <c r="U413" s="43"/>
    </row>
    <row r="414" spans="1:21" ht="21" customHeight="1" x14ac:dyDescent="0.2">
      <c r="A414" s="40"/>
      <c r="B414" s="40"/>
      <c r="C414" s="40"/>
      <c r="D414" s="40"/>
      <c r="E414" s="40"/>
      <c r="F414" s="40"/>
      <c r="G414" s="41"/>
      <c r="H414" s="42"/>
      <c r="I414" s="42"/>
      <c r="J414" s="43"/>
      <c r="K414" s="43"/>
      <c r="L414" s="44"/>
      <c r="M414" s="41"/>
      <c r="N414" s="43"/>
      <c r="O414" s="43"/>
      <c r="P414" s="43"/>
      <c r="Q414" s="43"/>
      <c r="R414" s="43"/>
      <c r="S414" s="43"/>
      <c r="T414" s="43"/>
      <c r="U414" s="43"/>
    </row>
    <row r="415" spans="1:21" ht="21" customHeight="1" x14ac:dyDescent="0.2">
      <c r="A415" s="40"/>
      <c r="B415" s="40"/>
      <c r="C415" s="40"/>
      <c r="D415" s="40"/>
      <c r="E415" s="40"/>
      <c r="F415" s="40"/>
      <c r="G415" s="41"/>
      <c r="H415" s="42"/>
      <c r="I415" s="42"/>
      <c r="J415" s="43"/>
      <c r="K415" s="43"/>
      <c r="L415" s="44"/>
      <c r="M415" s="41"/>
      <c r="N415" s="43"/>
      <c r="O415" s="43"/>
      <c r="P415" s="43"/>
      <c r="Q415" s="43"/>
      <c r="R415" s="43"/>
      <c r="S415" s="43"/>
      <c r="T415" s="43"/>
      <c r="U415" s="43"/>
    </row>
    <row r="416" spans="1:21" ht="21" customHeight="1" x14ac:dyDescent="0.2">
      <c r="A416" s="40"/>
      <c r="B416" s="40"/>
      <c r="C416" s="40"/>
      <c r="D416" s="40"/>
      <c r="E416" s="40"/>
      <c r="F416" s="40"/>
      <c r="G416" s="41"/>
      <c r="H416" s="42"/>
      <c r="I416" s="42"/>
      <c r="J416" s="43"/>
      <c r="K416" s="43"/>
      <c r="L416" s="44"/>
      <c r="M416" s="41"/>
      <c r="N416" s="43"/>
      <c r="O416" s="43"/>
      <c r="P416" s="43"/>
      <c r="Q416" s="43"/>
      <c r="R416" s="43"/>
      <c r="S416" s="43"/>
      <c r="T416" s="43"/>
      <c r="U416" s="43"/>
    </row>
    <row r="417" spans="1:21" ht="21" customHeight="1" x14ac:dyDescent="0.2">
      <c r="A417" s="40"/>
      <c r="B417" s="40"/>
      <c r="C417" s="40"/>
      <c r="D417" s="40"/>
      <c r="E417" s="40"/>
      <c r="F417" s="40"/>
      <c r="G417" s="41"/>
      <c r="H417" s="42"/>
      <c r="I417" s="42"/>
      <c r="J417" s="43"/>
      <c r="K417" s="43"/>
      <c r="L417" s="44"/>
      <c r="M417" s="41"/>
      <c r="N417" s="43"/>
      <c r="O417" s="43"/>
      <c r="P417" s="43"/>
      <c r="Q417" s="43"/>
      <c r="R417" s="43"/>
      <c r="S417" s="43"/>
      <c r="T417" s="43"/>
      <c r="U417" s="43"/>
    </row>
    <row r="418" spans="1:21" ht="21" customHeight="1" x14ac:dyDescent="0.2">
      <c r="A418" s="40"/>
      <c r="B418" s="40"/>
      <c r="C418" s="40"/>
      <c r="D418" s="40"/>
      <c r="E418" s="40"/>
      <c r="F418" s="40"/>
      <c r="G418" s="41"/>
      <c r="H418" s="42"/>
      <c r="I418" s="42"/>
      <c r="J418" s="43"/>
      <c r="K418" s="43"/>
      <c r="L418" s="44"/>
      <c r="M418" s="41"/>
      <c r="N418" s="43"/>
      <c r="O418" s="43"/>
      <c r="P418" s="43"/>
      <c r="Q418" s="43"/>
      <c r="R418" s="43"/>
      <c r="S418" s="43"/>
      <c r="T418" s="43"/>
      <c r="U418" s="43"/>
    </row>
    <row r="419" spans="1:21" ht="21" customHeight="1" x14ac:dyDescent="0.2">
      <c r="A419" s="40"/>
      <c r="B419" s="40"/>
      <c r="C419" s="40"/>
      <c r="D419" s="40"/>
      <c r="E419" s="40"/>
      <c r="F419" s="40"/>
      <c r="G419" s="41"/>
      <c r="H419" s="42"/>
      <c r="I419" s="42"/>
      <c r="J419" s="43"/>
      <c r="K419" s="43"/>
      <c r="L419" s="44"/>
      <c r="M419" s="41"/>
      <c r="N419" s="43"/>
      <c r="O419" s="43"/>
      <c r="P419" s="43"/>
      <c r="Q419" s="43"/>
      <c r="R419" s="43"/>
      <c r="S419" s="43"/>
      <c r="T419" s="43"/>
      <c r="U419" s="43"/>
    </row>
    <row r="420" spans="1:21" ht="21" customHeight="1" x14ac:dyDescent="0.2">
      <c r="A420" s="40"/>
      <c r="B420" s="40"/>
      <c r="C420" s="40"/>
      <c r="D420" s="40"/>
      <c r="E420" s="40"/>
      <c r="F420" s="40"/>
      <c r="G420" s="41"/>
      <c r="H420" s="42"/>
      <c r="I420" s="42"/>
      <c r="J420" s="43"/>
      <c r="K420" s="43"/>
      <c r="L420" s="44"/>
      <c r="M420" s="41"/>
      <c r="N420" s="43"/>
      <c r="O420" s="43"/>
      <c r="P420" s="43"/>
      <c r="Q420" s="43"/>
      <c r="R420" s="43"/>
      <c r="S420" s="43"/>
      <c r="T420" s="43"/>
      <c r="U420" s="43"/>
    </row>
    <row r="421" spans="1:21" ht="21" customHeight="1" x14ac:dyDescent="0.2">
      <c r="A421" s="40"/>
      <c r="B421" s="40"/>
      <c r="C421" s="40"/>
      <c r="D421" s="40"/>
      <c r="E421" s="40"/>
      <c r="F421" s="40"/>
      <c r="G421" s="41"/>
      <c r="H421" s="42"/>
      <c r="I421" s="42"/>
      <c r="J421" s="43"/>
      <c r="K421" s="43"/>
      <c r="L421" s="44"/>
      <c r="M421" s="41"/>
      <c r="N421" s="43"/>
      <c r="O421" s="43"/>
      <c r="P421" s="43"/>
      <c r="Q421" s="43"/>
      <c r="R421" s="43"/>
      <c r="S421" s="43"/>
      <c r="T421" s="43"/>
      <c r="U421" s="43"/>
    </row>
    <row r="422" spans="1:21" ht="21" customHeight="1" x14ac:dyDescent="0.2">
      <c r="A422" s="40"/>
      <c r="B422" s="40"/>
      <c r="C422" s="40"/>
      <c r="D422" s="40"/>
      <c r="E422" s="40"/>
      <c r="F422" s="40"/>
      <c r="G422" s="41"/>
      <c r="H422" s="42"/>
      <c r="I422" s="42"/>
      <c r="J422" s="43"/>
      <c r="K422" s="43"/>
      <c r="L422" s="44"/>
      <c r="M422" s="41"/>
      <c r="N422" s="43"/>
      <c r="O422" s="43"/>
      <c r="P422" s="43"/>
      <c r="Q422" s="43"/>
      <c r="R422" s="43"/>
      <c r="S422" s="43"/>
      <c r="T422" s="43"/>
      <c r="U422" s="43"/>
    </row>
    <row r="423" spans="1:21" ht="21" customHeight="1" x14ac:dyDescent="0.2">
      <c r="A423" s="40"/>
      <c r="B423" s="40"/>
      <c r="C423" s="40"/>
      <c r="D423" s="40"/>
      <c r="E423" s="40"/>
      <c r="F423" s="40"/>
      <c r="G423" s="41"/>
      <c r="H423" s="42"/>
      <c r="I423" s="42"/>
      <c r="J423" s="43"/>
      <c r="K423" s="43"/>
      <c r="L423" s="44"/>
      <c r="M423" s="41"/>
      <c r="N423" s="43"/>
      <c r="O423" s="43"/>
      <c r="P423" s="43"/>
      <c r="Q423" s="43"/>
      <c r="R423" s="43"/>
      <c r="S423" s="43"/>
      <c r="T423" s="43"/>
      <c r="U423" s="43"/>
    </row>
    <row r="424" spans="1:21" ht="21" customHeight="1" x14ac:dyDescent="0.2">
      <c r="A424" s="40"/>
      <c r="B424" s="40"/>
      <c r="C424" s="40"/>
      <c r="D424" s="40"/>
      <c r="E424" s="40"/>
      <c r="F424" s="40"/>
      <c r="G424" s="41"/>
      <c r="H424" s="42"/>
      <c r="I424" s="42"/>
      <c r="J424" s="43"/>
      <c r="K424" s="43"/>
      <c r="L424" s="44"/>
      <c r="M424" s="41"/>
      <c r="N424" s="43"/>
      <c r="O424" s="43"/>
      <c r="P424" s="43"/>
      <c r="Q424" s="43"/>
      <c r="R424" s="43"/>
      <c r="S424" s="43"/>
      <c r="T424" s="43"/>
      <c r="U424" s="43"/>
    </row>
    <row r="425" spans="1:21" ht="21" customHeight="1" x14ac:dyDescent="0.2">
      <c r="A425" s="40"/>
      <c r="B425" s="40"/>
      <c r="C425" s="40"/>
      <c r="D425" s="40"/>
      <c r="E425" s="40"/>
      <c r="F425" s="40"/>
      <c r="G425" s="41"/>
      <c r="H425" s="42"/>
      <c r="I425" s="42"/>
      <c r="J425" s="43"/>
      <c r="K425" s="43"/>
      <c r="L425" s="44"/>
      <c r="M425" s="41"/>
      <c r="N425" s="43"/>
      <c r="O425" s="43"/>
      <c r="P425" s="43"/>
      <c r="Q425" s="43"/>
      <c r="R425" s="43"/>
      <c r="S425" s="43"/>
      <c r="T425" s="43"/>
      <c r="U425" s="43"/>
    </row>
    <row r="426" spans="1:21" ht="21" customHeight="1" x14ac:dyDescent="0.2">
      <c r="A426" s="40"/>
      <c r="B426" s="40"/>
      <c r="C426" s="40"/>
      <c r="D426" s="40"/>
      <c r="E426" s="40"/>
      <c r="F426" s="40"/>
      <c r="G426" s="41"/>
      <c r="H426" s="42"/>
      <c r="I426" s="42"/>
      <c r="J426" s="43"/>
      <c r="K426" s="43"/>
      <c r="L426" s="44"/>
      <c r="M426" s="41"/>
      <c r="N426" s="43"/>
      <c r="O426" s="43"/>
      <c r="P426" s="43"/>
      <c r="Q426" s="43"/>
      <c r="R426" s="43"/>
      <c r="S426" s="43"/>
      <c r="T426" s="43"/>
      <c r="U426" s="43"/>
    </row>
    <row r="427" spans="1:21" ht="21" customHeight="1" x14ac:dyDescent="0.2">
      <c r="A427" s="40"/>
      <c r="B427" s="40"/>
      <c r="C427" s="40"/>
      <c r="D427" s="40"/>
      <c r="E427" s="40"/>
      <c r="F427" s="40"/>
      <c r="G427" s="41"/>
      <c r="H427" s="42"/>
      <c r="I427" s="42"/>
      <c r="J427" s="43"/>
      <c r="K427" s="43"/>
      <c r="L427" s="44"/>
      <c r="M427" s="41"/>
      <c r="N427" s="43"/>
      <c r="O427" s="43"/>
      <c r="P427" s="43"/>
      <c r="Q427" s="43"/>
      <c r="R427" s="43"/>
      <c r="S427" s="43"/>
      <c r="T427" s="43"/>
      <c r="U427" s="43"/>
    </row>
    <row r="428" spans="1:21" ht="21" customHeight="1" x14ac:dyDescent="0.2">
      <c r="A428" s="40"/>
      <c r="B428" s="40"/>
      <c r="C428" s="40"/>
      <c r="D428" s="40"/>
      <c r="E428" s="40"/>
      <c r="F428" s="40"/>
      <c r="G428" s="41"/>
      <c r="H428" s="42"/>
      <c r="I428" s="42"/>
      <c r="J428" s="43"/>
      <c r="K428" s="43"/>
      <c r="L428" s="44"/>
      <c r="M428" s="41"/>
      <c r="N428" s="43"/>
      <c r="O428" s="43"/>
      <c r="P428" s="43"/>
      <c r="Q428" s="43"/>
      <c r="R428" s="43"/>
      <c r="S428" s="43"/>
      <c r="T428" s="43"/>
      <c r="U428" s="43"/>
    </row>
    <row r="429" spans="1:21" ht="21" customHeight="1" x14ac:dyDescent="0.2">
      <c r="A429" s="40"/>
      <c r="B429" s="40"/>
      <c r="C429" s="40"/>
      <c r="D429" s="40"/>
      <c r="E429" s="40"/>
      <c r="F429" s="40"/>
      <c r="G429" s="41"/>
      <c r="H429" s="42"/>
      <c r="I429" s="42"/>
      <c r="J429" s="43"/>
      <c r="K429" s="43"/>
      <c r="L429" s="44"/>
      <c r="M429" s="41"/>
      <c r="N429" s="43"/>
      <c r="O429" s="43"/>
      <c r="P429" s="43"/>
      <c r="Q429" s="43"/>
      <c r="R429" s="43"/>
      <c r="S429" s="43"/>
      <c r="T429" s="43"/>
      <c r="U429" s="43"/>
    </row>
    <row r="430" spans="1:21" ht="21" customHeight="1" x14ac:dyDescent="0.2">
      <c r="A430" s="40"/>
      <c r="B430" s="40"/>
      <c r="C430" s="40"/>
      <c r="D430" s="40"/>
      <c r="E430" s="40"/>
      <c r="F430" s="40"/>
      <c r="G430" s="41"/>
      <c r="H430" s="42"/>
      <c r="I430" s="42"/>
      <c r="J430" s="43"/>
      <c r="K430" s="43"/>
      <c r="L430" s="44"/>
      <c r="M430" s="41"/>
      <c r="N430" s="43"/>
      <c r="O430" s="43"/>
      <c r="P430" s="43"/>
      <c r="Q430" s="43"/>
      <c r="R430" s="43"/>
      <c r="S430" s="43"/>
      <c r="T430" s="43"/>
      <c r="U430" s="43"/>
    </row>
    <row r="431" spans="1:21" ht="21" customHeight="1" x14ac:dyDescent="0.2">
      <c r="A431" s="40"/>
      <c r="B431" s="40"/>
      <c r="C431" s="40"/>
      <c r="D431" s="40"/>
      <c r="E431" s="40"/>
      <c r="F431" s="40"/>
      <c r="G431" s="41"/>
      <c r="H431" s="42"/>
      <c r="I431" s="42"/>
      <c r="J431" s="43"/>
      <c r="K431" s="43"/>
      <c r="L431" s="44"/>
      <c r="M431" s="41"/>
      <c r="N431" s="43"/>
      <c r="O431" s="43"/>
      <c r="P431" s="43"/>
      <c r="Q431" s="43"/>
      <c r="R431" s="43"/>
      <c r="S431" s="43"/>
      <c r="T431" s="43"/>
      <c r="U431" s="43"/>
    </row>
    <row r="432" spans="1:21" ht="21" customHeight="1" x14ac:dyDescent="0.2">
      <c r="A432" s="40"/>
      <c r="B432" s="40"/>
      <c r="C432" s="40"/>
      <c r="D432" s="40"/>
      <c r="E432" s="40"/>
      <c r="F432" s="40"/>
      <c r="G432" s="41"/>
      <c r="H432" s="42"/>
      <c r="I432" s="42"/>
      <c r="J432" s="43"/>
      <c r="K432" s="43"/>
      <c r="L432" s="44"/>
      <c r="M432" s="41"/>
      <c r="N432" s="43"/>
      <c r="O432" s="43"/>
      <c r="P432" s="43"/>
      <c r="Q432" s="43"/>
      <c r="R432" s="43"/>
      <c r="S432" s="43"/>
      <c r="T432" s="43"/>
      <c r="U432" s="43"/>
    </row>
    <row r="433" spans="1:21" ht="21" customHeight="1" x14ac:dyDescent="0.2">
      <c r="A433" s="40"/>
      <c r="B433" s="40"/>
      <c r="C433" s="40"/>
      <c r="D433" s="40"/>
      <c r="E433" s="40"/>
      <c r="F433" s="40"/>
      <c r="G433" s="41"/>
      <c r="H433" s="42"/>
      <c r="I433" s="42"/>
      <c r="J433" s="43"/>
      <c r="K433" s="43"/>
      <c r="L433" s="44"/>
      <c r="M433" s="41"/>
      <c r="N433" s="43"/>
      <c r="O433" s="43"/>
      <c r="P433" s="43"/>
      <c r="Q433" s="43"/>
      <c r="R433" s="43"/>
      <c r="S433" s="43"/>
      <c r="T433" s="43"/>
      <c r="U433" s="43"/>
    </row>
    <row r="434" spans="1:21" ht="21" customHeight="1" x14ac:dyDescent="0.2">
      <c r="A434" s="40"/>
      <c r="B434" s="40"/>
      <c r="C434" s="40"/>
      <c r="D434" s="40"/>
      <c r="E434" s="40"/>
      <c r="F434" s="40"/>
      <c r="G434" s="41"/>
      <c r="H434" s="42"/>
      <c r="I434" s="42"/>
      <c r="J434" s="43"/>
      <c r="K434" s="43"/>
      <c r="L434" s="44"/>
      <c r="M434" s="41"/>
      <c r="N434" s="43"/>
      <c r="O434" s="43"/>
      <c r="P434" s="43"/>
      <c r="Q434" s="43"/>
      <c r="R434" s="43"/>
      <c r="S434" s="43"/>
      <c r="T434" s="43"/>
      <c r="U434" s="43"/>
    </row>
    <row r="435" spans="1:21" ht="21" customHeight="1" x14ac:dyDescent="0.2">
      <c r="A435" s="40"/>
      <c r="B435" s="40"/>
      <c r="C435" s="40"/>
      <c r="D435" s="40"/>
      <c r="E435" s="40"/>
      <c r="F435" s="40"/>
      <c r="G435" s="41"/>
      <c r="H435" s="42"/>
      <c r="I435" s="42"/>
      <c r="J435" s="43"/>
      <c r="K435" s="43"/>
      <c r="L435" s="44"/>
      <c r="M435" s="41"/>
      <c r="N435" s="43"/>
      <c r="O435" s="43"/>
      <c r="P435" s="43"/>
      <c r="Q435" s="43"/>
      <c r="R435" s="43"/>
      <c r="S435" s="43"/>
      <c r="T435" s="43"/>
      <c r="U435" s="43"/>
    </row>
    <row r="436" spans="1:21" ht="21" customHeight="1" x14ac:dyDescent="0.2">
      <c r="A436" s="40"/>
      <c r="B436" s="40"/>
      <c r="C436" s="40"/>
      <c r="D436" s="40"/>
      <c r="E436" s="40"/>
      <c r="F436" s="40"/>
      <c r="G436" s="41"/>
      <c r="H436" s="42"/>
      <c r="I436" s="42"/>
      <c r="J436" s="43"/>
      <c r="K436" s="43"/>
      <c r="L436" s="44"/>
      <c r="M436" s="41"/>
      <c r="N436" s="43"/>
      <c r="O436" s="43"/>
      <c r="P436" s="43"/>
      <c r="Q436" s="43"/>
      <c r="R436" s="43"/>
      <c r="S436" s="43"/>
      <c r="T436" s="43"/>
      <c r="U436" s="43"/>
    </row>
    <row r="437" spans="1:21" ht="21" customHeight="1" x14ac:dyDescent="0.2">
      <c r="A437" s="40"/>
      <c r="B437" s="40"/>
      <c r="C437" s="40"/>
      <c r="D437" s="40"/>
      <c r="E437" s="40"/>
      <c r="F437" s="40"/>
      <c r="G437" s="41"/>
      <c r="H437" s="42"/>
      <c r="I437" s="42"/>
      <c r="J437" s="43"/>
      <c r="K437" s="43"/>
      <c r="L437" s="44"/>
      <c r="M437" s="41"/>
      <c r="N437" s="43"/>
      <c r="O437" s="43"/>
      <c r="P437" s="43"/>
      <c r="Q437" s="43"/>
      <c r="R437" s="43"/>
      <c r="S437" s="43"/>
      <c r="T437" s="43"/>
      <c r="U437" s="43"/>
    </row>
    <row r="438" spans="1:21" ht="21" customHeight="1" x14ac:dyDescent="0.2">
      <c r="A438" s="40"/>
      <c r="B438" s="40"/>
      <c r="C438" s="40"/>
      <c r="D438" s="40"/>
      <c r="E438" s="40"/>
      <c r="F438" s="40"/>
      <c r="G438" s="41"/>
      <c r="H438" s="42"/>
      <c r="I438" s="42"/>
      <c r="J438" s="43"/>
      <c r="K438" s="43"/>
      <c r="L438" s="44"/>
      <c r="M438" s="41"/>
      <c r="N438" s="43"/>
      <c r="O438" s="43"/>
      <c r="P438" s="43"/>
      <c r="Q438" s="43"/>
      <c r="R438" s="43"/>
      <c r="S438" s="43"/>
      <c r="T438" s="43"/>
      <c r="U438" s="43"/>
    </row>
    <row r="439" spans="1:21" ht="21" customHeight="1" x14ac:dyDescent="0.2">
      <c r="A439" s="40"/>
      <c r="B439" s="40"/>
      <c r="C439" s="40"/>
      <c r="D439" s="40"/>
      <c r="E439" s="40"/>
      <c r="F439" s="40"/>
      <c r="G439" s="41"/>
      <c r="H439" s="42"/>
      <c r="I439" s="42"/>
      <c r="J439" s="43"/>
      <c r="K439" s="43"/>
      <c r="L439" s="44"/>
      <c r="M439" s="41"/>
      <c r="N439" s="43"/>
      <c r="O439" s="43"/>
      <c r="P439" s="43"/>
      <c r="Q439" s="43"/>
      <c r="R439" s="43"/>
      <c r="S439" s="43"/>
      <c r="T439" s="43"/>
      <c r="U439" s="43"/>
    </row>
    <row r="440" spans="1:21" ht="21" customHeight="1" x14ac:dyDescent="0.2">
      <c r="A440" s="40"/>
      <c r="B440" s="40"/>
      <c r="C440" s="40"/>
      <c r="D440" s="40"/>
      <c r="E440" s="40"/>
      <c r="F440" s="40"/>
      <c r="G440" s="41"/>
      <c r="H440" s="42"/>
      <c r="I440" s="42"/>
      <c r="J440" s="43"/>
      <c r="K440" s="43"/>
      <c r="L440" s="44"/>
      <c r="M440" s="41"/>
      <c r="N440" s="43"/>
      <c r="O440" s="43"/>
      <c r="P440" s="43"/>
      <c r="Q440" s="43"/>
      <c r="R440" s="43"/>
      <c r="S440" s="43"/>
      <c r="T440" s="43"/>
      <c r="U440" s="43"/>
    </row>
    <row r="441" spans="1:21" ht="21" customHeight="1" x14ac:dyDescent="0.2">
      <c r="A441" s="40"/>
      <c r="B441" s="40"/>
      <c r="C441" s="40"/>
      <c r="D441" s="40"/>
      <c r="E441" s="40"/>
      <c r="F441" s="40"/>
      <c r="G441" s="41"/>
      <c r="H441" s="42"/>
      <c r="I441" s="42"/>
      <c r="J441" s="43"/>
      <c r="K441" s="43"/>
      <c r="L441" s="44"/>
      <c r="M441" s="41"/>
      <c r="N441" s="43"/>
      <c r="O441" s="43"/>
      <c r="P441" s="43"/>
      <c r="Q441" s="43"/>
      <c r="R441" s="43"/>
      <c r="S441" s="43"/>
      <c r="T441" s="43"/>
      <c r="U441" s="43"/>
    </row>
    <row r="442" spans="1:21" ht="21" customHeight="1" x14ac:dyDescent="0.2">
      <c r="A442" s="40"/>
      <c r="B442" s="40"/>
      <c r="C442" s="40"/>
      <c r="D442" s="40"/>
      <c r="E442" s="40"/>
      <c r="F442" s="40"/>
      <c r="G442" s="41"/>
      <c r="H442" s="42"/>
      <c r="I442" s="42"/>
      <c r="J442" s="43"/>
      <c r="K442" s="43"/>
      <c r="L442" s="44"/>
      <c r="M442" s="41"/>
      <c r="N442" s="43"/>
      <c r="O442" s="43"/>
      <c r="P442" s="43"/>
      <c r="Q442" s="43"/>
      <c r="R442" s="43"/>
      <c r="S442" s="43"/>
      <c r="T442" s="43"/>
      <c r="U442" s="43"/>
    </row>
    <row r="443" spans="1:21" ht="21" customHeight="1" x14ac:dyDescent="0.2">
      <c r="A443" s="40"/>
      <c r="B443" s="40"/>
      <c r="C443" s="40"/>
      <c r="D443" s="40"/>
      <c r="E443" s="40"/>
      <c r="F443" s="40"/>
      <c r="G443" s="41"/>
      <c r="H443" s="42"/>
      <c r="I443" s="42"/>
      <c r="J443" s="43"/>
      <c r="K443" s="43"/>
      <c r="L443" s="44"/>
      <c r="M443" s="41"/>
      <c r="N443" s="43"/>
      <c r="O443" s="43"/>
      <c r="P443" s="43"/>
      <c r="Q443" s="43"/>
      <c r="R443" s="43"/>
      <c r="S443" s="43"/>
      <c r="T443" s="43"/>
      <c r="U443" s="43"/>
    </row>
    <row r="444" spans="1:21" ht="21" customHeight="1" x14ac:dyDescent="0.2">
      <c r="A444" s="40"/>
      <c r="B444" s="40"/>
      <c r="C444" s="40"/>
      <c r="D444" s="40"/>
      <c r="E444" s="40"/>
      <c r="F444" s="40"/>
      <c r="G444" s="41"/>
      <c r="H444" s="42"/>
      <c r="I444" s="42"/>
      <c r="J444" s="43"/>
      <c r="K444" s="43"/>
      <c r="L444" s="44"/>
      <c r="M444" s="41"/>
      <c r="N444" s="43"/>
      <c r="O444" s="43"/>
      <c r="P444" s="43"/>
      <c r="Q444" s="43"/>
      <c r="R444" s="43"/>
      <c r="S444" s="43"/>
      <c r="T444" s="43"/>
      <c r="U444" s="43"/>
    </row>
    <row r="445" spans="1:21" ht="21" customHeight="1" x14ac:dyDescent="0.2">
      <c r="A445" s="40"/>
      <c r="B445" s="40"/>
      <c r="C445" s="40"/>
      <c r="D445" s="40"/>
      <c r="E445" s="40"/>
      <c r="F445" s="40"/>
      <c r="G445" s="41"/>
      <c r="H445" s="42"/>
      <c r="I445" s="42"/>
      <c r="J445" s="43"/>
      <c r="K445" s="43"/>
      <c r="L445" s="44"/>
      <c r="M445" s="41"/>
      <c r="N445" s="43"/>
      <c r="O445" s="43"/>
      <c r="P445" s="43"/>
      <c r="Q445" s="43"/>
      <c r="R445" s="43"/>
      <c r="S445" s="43"/>
      <c r="T445" s="43"/>
      <c r="U445" s="43"/>
    </row>
    <row r="446" spans="1:21" ht="21" customHeight="1" x14ac:dyDescent="0.2">
      <c r="A446" s="40"/>
      <c r="B446" s="40"/>
      <c r="C446" s="40"/>
      <c r="D446" s="40"/>
      <c r="E446" s="40"/>
      <c r="F446" s="40"/>
      <c r="G446" s="41"/>
      <c r="H446" s="42"/>
      <c r="I446" s="42"/>
      <c r="J446" s="43"/>
      <c r="K446" s="43"/>
      <c r="L446" s="44"/>
      <c r="M446" s="41"/>
      <c r="N446" s="43"/>
      <c r="O446" s="43"/>
      <c r="P446" s="43"/>
      <c r="Q446" s="43"/>
      <c r="R446" s="43"/>
      <c r="S446" s="43"/>
      <c r="T446" s="43"/>
      <c r="U446" s="43"/>
    </row>
    <row r="447" spans="1:21" ht="21" customHeight="1" x14ac:dyDescent="0.2">
      <c r="A447" s="40"/>
      <c r="B447" s="40"/>
      <c r="C447" s="40"/>
      <c r="D447" s="40"/>
      <c r="E447" s="40"/>
      <c r="F447" s="40"/>
      <c r="G447" s="41"/>
      <c r="H447" s="42"/>
      <c r="I447" s="42"/>
      <c r="J447" s="43"/>
      <c r="K447" s="43"/>
      <c r="L447" s="44"/>
      <c r="M447" s="41"/>
      <c r="N447" s="43"/>
      <c r="O447" s="43"/>
      <c r="P447" s="43"/>
      <c r="Q447" s="43"/>
      <c r="R447" s="43"/>
      <c r="S447" s="43"/>
      <c r="T447" s="43"/>
      <c r="U447" s="43"/>
    </row>
    <row r="448" spans="1:21" ht="21" customHeight="1" x14ac:dyDescent="0.2">
      <c r="A448" s="40"/>
      <c r="B448" s="40"/>
      <c r="C448" s="40"/>
      <c r="D448" s="40"/>
      <c r="E448" s="40"/>
      <c r="F448" s="40"/>
      <c r="G448" s="41"/>
      <c r="H448" s="42"/>
      <c r="I448" s="42"/>
      <c r="J448" s="43"/>
      <c r="K448" s="43"/>
      <c r="L448" s="44"/>
      <c r="M448" s="41"/>
      <c r="N448" s="43"/>
      <c r="O448" s="43"/>
      <c r="P448" s="43"/>
      <c r="Q448" s="43"/>
      <c r="R448" s="43"/>
      <c r="S448" s="43"/>
      <c r="T448" s="43"/>
      <c r="U448" s="43"/>
    </row>
    <row r="449" spans="1:21" ht="21" customHeight="1" x14ac:dyDescent="0.2">
      <c r="A449" s="40"/>
      <c r="B449" s="40"/>
      <c r="C449" s="40"/>
      <c r="D449" s="40"/>
      <c r="E449" s="40"/>
      <c r="F449" s="40"/>
      <c r="G449" s="41"/>
      <c r="H449" s="42"/>
      <c r="I449" s="42"/>
      <c r="J449" s="43"/>
      <c r="K449" s="43"/>
      <c r="L449" s="44"/>
      <c r="M449" s="41"/>
      <c r="N449" s="43"/>
      <c r="O449" s="43"/>
      <c r="P449" s="43"/>
      <c r="Q449" s="43"/>
      <c r="R449" s="43"/>
      <c r="S449" s="43"/>
      <c r="T449" s="43"/>
      <c r="U449" s="43"/>
    </row>
    <row r="450" spans="1:21" ht="21" customHeight="1" x14ac:dyDescent="0.2">
      <c r="A450" s="40"/>
      <c r="B450" s="40"/>
      <c r="C450" s="40"/>
      <c r="D450" s="40"/>
      <c r="E450" s="40"/>
      <c r="F450" s="40"/>
      <c r="G450" s="41"/>
      <c r="H450" s="42"/>
      <c r="I450" s="42"/>
      <c r="J450" s="43"/>
      <c r="K450" s="43"/>
      <c r="L450" s="44"/>
      <c r="M450" s="41"/>
      <c r="N450" s="43"/>
      <c r="O450" s="43"/>
      <c r="P450" s="43"/>
      <c r="Q450" s="43"/>
      <c r="R450" s="43"/>
      <c r="S450" s="43"/>
      <c r="T450" s="43"/>
      <c r="U450" s="43"/>
    </row>
    <row r="451" spans="1:21" ht="21" customHeight="1" x14ac:dyDescent="0.2">
      <c r="A451" s="40"/>
      <c r="B451" s="40"/>
      <c r="C451" s="40"/>
      <c r="D451" s="40"/>
      <c r="E451" s="40"/>
      <c r="F451" s="40"/>
      <c r="G451" s="41"/>
      <c r="H451" s="42"/>
      <c r="I451" s="42"/>
      <c r="J451" s="43"/>
      <c r="K451" s="43"/>
      <c r="L451" s="44"/>
      <c r="M451" s="41"/>
      <c r="N451" s="43"/>
      <c r="O451" s="43"/>
      <c r="P451" s="43"/>
      <c r="Q451" s="43"/>
      <c r="R451" s="43"/>
      <c r="S451" s="43"/>
      <c r="T451" s="43"/>
      <c r="U451" s="43"/>
    </row>
    <row r="452" spans="1:21" ht="21" customHeight="1" x14ac:dyDescent="0.2">
      <c r="A452" s="40"/>
      <c r="B452" s="40"/>
      <c r="C452" s="40"/>
      <c r="D452" s="40"/>
      <c r="E452" s="40"/>
      <c r="F452" s="40"/>
      <c r="G452" s="41"/>
      <c r="H452" s="42"/>
      <c r="I452" s="42"/>
      <c r="J452" s="43"/>
      <c r="K452" s="43"/>
      <c r="L452" s="44"/>
      <c r="M452" s="41"/>
      <c r="N452" s="43"/>
      <c r="O452" s="43"/>
      <c r="P452" s="43"/>
      <c r="Q452" s="43"/>
      <c r="R452" s="43"/>
      <c r="S452" s="43"/>
      <c r="T452" s="43"/>
      <c r="U452" s="43"/>
    </row>
    <row r="453" spans="1:21" ht="21" customHeight="1" x14ac:dyDescent="0.2">
      <c r="A453" s="40"/>
      <c r="B453" s="40"/>
      <c r="C453" s="40"/>
      <c r="D453" s="40"/>
      <c r="E453" s="40"/>
      <c r="F453" s="40"/>
      <c r="G453" s="41"/>
      <c r="H453" s="42"/>
      <c r="I453" s="42"/>
      <c r="J453" s="43"/>
      <c r="K453" s="43"/>
      <c r="L453" s="44"/>
      <c r="M453" s="41"/>
      <c r="N453" s="43"/>
      <c r="O453" s="43"/>
      <c r="P453" s="43"/>
      <c r="Q453" s="43"/>
      <c r="R453" s="43"/>
      <c r="S453" s="43"/>
      <c r="T453" s="43"/>
      <c r="U453" s="43"/>
    </row>
    <row r="454" spans="1:21" ht="21" customHeight="1" x14ac:dyDescent="0.2">
      <c r="A454" s="40"/>
      <c r="B454" s="40"/>
      <c r="C454" s="40"/>
      <c r="D454" s="40"/>
      <c r="E454" s="40"/>
      <c r="F454" s="40"/>
      <c r="G454" s="41"/>
      <c r="H454" s="42"/>
      <c r="I454" s="42"/>
      <c r="J454" s="43"/>
      <c r="K454" s="43"/>
      <c r="L454" s="44"/>
      <c r="M454" s="41"/>
      <c r="N454" s="43"/>
      <c r="O454" s="43"/>
      <c r="P454" s="43"/>
      <c r="Q454" s="43"/>
      <c r="R454" s="43"/>
      <c r="S454" s="43"/>
      <c r="T454" s="43"/>
      <c r="U454" s="43"/>
    </row>
    <row r="455" spans="1:21" ht="21" customHeight="1" x14ac:dyDescent="0.2">
      <c r="A455" s="40"/>
      <c r="B455" s="40"/>
      <c r="C455" s="40"/>
      <c r="D455" s="40"/>
      <c r="E455" s="40"/>
      <c r="F455" s="40"/>
      <c r="G455" s="41"/>
      <c r="H455" s="42"/>
      <c r="I455" s="42"/>
      <c r="J455" s="43"/>
      <c r="K455" s="43"/>
      <c r="L455" s="44"/>
      <c r="M455" s="41"/>
      <c r="N455" s="43"/>
      <c r="O455" s="43"/>
      <c r="P455" s="43"/>
      <c r="Q455" s="43"/>
      <c r="R455" s="43"/>
      <c r="S455" s="43"/>
      <c r="T455" s="43"/>
      <c r="U455" s="43"/>
    </row>
    <row r="456" spans="1:21" ht="21" customHeight="1" x14ac:dyDescent="0.2">
      <c r="A456" s="40"/>
      <c r="B456" s="40"/>
      <c r="C456" s="40"/>
      <c r="D456" s="40"/>
      <c r="E456" s="40"/>
      <c r="F456" s="40"/>
      <c r="G456" s="41"/>
      <c r="H456" s="42"/>
      <c r="I456" s="42"/>
      <c r="J456" s="43"/>
      <c r="K456" s="43"/>
      <c r="L456" s="44"/>
      <c r="M456" s="41"/>
      <c r="N456" s="43"/>
      <c r="O456" s="43"/>
      <c r="P456" s="43"/>
      <c r="Q456" s="43"/>
      <c r="R456" s="43"/>
      <c r="S456" s="43"/>
      <c r="T456" s="43"/>
      <c r="U456" s="43"/>
    </row>
    <row r="457" spans="1:21" ht="21" customHeight="1" x14ac:dyDescent="0.2">
      <c r="A457" s="40"/>
      <c r="B457" s="40"/>
      <c r="C457" s="40"/>
      <c r="D457" s="40"/>
      <c r="E457" s="40"/>
      <c r="F457" s="40"/>
      <c r="G457" s="41"/>
      <c r="H457" s="42"/>
      <c r="I457" s="42"/>
      <c r="J457" s="43"/>
      <c r="K457" s="43"/>
      <c r="L457" s="44"/>
      <c r="M457" s="41"/>
      <c r="N457" s="43"/>
      <c r="O457" s="43"/>
      <c r="P457" s="43"/>
      <c r="Q457" s="43"/>
      <c r="R457" s="43"/>
      <c r="S457" s="43"/>
      <c r="T457" s="43"/>
      <c r="U457" s="43"/>
    </row>
    <row r="458" spans="1:21" ht="21" customHeight="1" x14ac:dyDescent="0.2">
      <c r="A458" s="40"/>
      <c r="B458" s="40"/>
      <c r="C458" s="40"/>
      <c r="D458" s="40"/>
      <c r="E458" s="40"/>
      <c r="F458" s="40"/>
      <c r="G458" s="41"/>
      <c r="H458" s="42"/>
      <c r="I458" s="42"/>
      <c r="J458" s="43"/>
      <c r="K458" s="43"/>
      <c r="L458" s="44"/>
      <c r="M458" s="41"/>
      <c r="N458" s="43"/>
      <c r="O458" s="43"/>
      <c r="P458" s="43"/>
      <c r="Q458" s="43"/>
      <c r="R458" s="43"/>
      <c r="S458" s="43"/>
      <c r="T458" s="43"/>
      <c r="U458" s="43"/>
    </row>
    <row r="459" spans="1:21" ht="21" customHeight="1" x14ac:dyDescent="0.2">
      <c r="A459" s="40"/>
      <c r="B459" s="40"/>
      <c r="C459" s="40"/>
      <c r="D459" s="40"/>
      <c r="E459" s="40"/>
      <c r="F459" s="40"/>
      <c r="G459" s="41"/>
      <c r="H459" s="42"/>
      <c r="I459" s="42"/>
      <c r="J459" s="43"/>
      <c r="K459" s="43"/>
      <c r="L459" s="44"/>
      <c r="M459" s="41"/>
      <c r="N459" s="43"/>
      <c r="O459" s="43"/>
      <c r="P459" s="43"/>
      <c r="Q459" s="43"/>
      <c r="R459" s="43"/>
      <c r="S459" s="43"/>
      <c r="T459" s="43"/>
      <c r="U459" s="43"/>
    </row>
  </sheetData>
  <autoFilter ref="A1:V167" xr:uid="{CF70EF48-7FC4-4BA8-A543-A60B1B66C048}">
    <sortState xmlns:xlrd2="http://schemas.microsoft.com/office/spreadsheetml/2017/richdata2" ref="A2:V167">
      <sortCondition ref="A1:A167"/>
    </sortState>
  </autoFilter>
  <sortState xmlns:xlrd2="http://schemas.microsoft.com/office/spreadsheetml/2017/richdata2" ref="A2:V166">
    <sortCondition ref="A1"/>
  </sortState>
  <pageMargins left="0.7" right="0.7" top="0.75" bottom="0.75" header="0.3" footer="0.3"/>
  <pageSetup orientation="portrait" r:id="rId1"/>
  <headerFooter>
    <oddHeader xml:space="preserve">&amp;L&amp;KFF0000SENN BROS PRICE LIST&amp;R&amp;KFF000011/14/2022
</oddHeader>
  </headerFooter>
  <ignoredErrors>
    <ignoredError sqref="M39 M27" formula="1"/>
    <ignoredError sqref="L114" evalError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76356D-A9CE-4D29-B186-334691172FFC}">
          <x14:formula1>
            <xm:f>'Packaging Cost'!$A$2:$A$27</xm:f>
          </x14:formula1>
          <xm:sqref>F282:F297 F258:F262 F2:F166 F169:F255 F264:F279 F300:F315</xm:sqref>
        </x14:dataValidation>
        <x14:dataValidation type="list" allowBlank="1" showInputMessage="1" showErrorMessage="1" xr:uid="{EEE9C9E1-6ABE-4FE1-A388-02059E2AF17A}">
          <x14:formula1>
            <xm:f>'Raw Cost'!$A$2:$A$209</xm:f>
          </x14:formula1>
          <xm:sqref>C282:C297 C258:C262 C2:C166 C169:C255 C264:C279 C300:C315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8508-7688-417B-9250-909BB25A6CCD}">
  <sheetPr>
    <pageSetUpPr fitToPage="1"/>
  </sheetPr>
  <dimension ref="A1:AH66"/>
  <sheetViews>
    <sheetView workbookViewId="0"/>
  </sheetViews>
  <sheetFormatPr baseColWidth="10" defaultColWidth="8.83203125" defaultRowHeight="23" customHeight="1" x14ac:dyDescent="0.2"/>
  <cols>
    <col min="1" max="1" width="41.83203125" style="23" customWidth="1"/>
    <col min="2" max="4" width="29" style="23" customWidth="1"/>
    <col min="5" max="5" width="30.33203125" style="23" customWidth="1"/>
    <col min="6" max="6" width="21.83203125" style="50" customWidth="1"/>
    <col min="7" max="7" width="10.1640625" style="50" customWidth="1"/>
    <col min="8" max="9" width="9.83203125" style="50" customWidth="1"/>
    <col min="10" max="10" width="0.1640625" style="50" customWidth="1"/>
    <col min="11" max="11" width="12" style="50" customWidth="1"/>
    <col min="12" max="12" width="11.1640625" style="50" customWidth="1"/>
    <col min="13" max="13" width="11.83203125" style="50" customWidth="1"/>
    <col min="14" max="14" width="11.5" style="50" customWidth="1"/>
    <col min="15" max="16384" width="8.83203125" style="50"/>
  </cols>
  <sheetData>
    <row r="1" spans="1:34" s="65" customFormat="1" ht="23" customHeight="1" x14ac:dyDescent="0.2">
      <c r="A1" s="62" t="s">
        <v>480</v>
      </c>
      <c r="B1" s="62" t="s">
        <v>473</v>
      </c>
      <c r="C1" s="62" t="s">
        <v>389</v>
      </c>
      <c r="D1" s="62" t="s">
        <v>474</v>
      </c>
      <c r="E1" s="62" t="s">
        <v>605</v>
      </c>
      <c r="F1" s="63" t="s">
        <v>475</v>
      </c>
      <c r="G1" s="64">
        <v>0.25</v>
      </c>
      <c r="H1" s="64">
        <v>0.3</v>
      </c>
      <c r="I1" s="64">
        <v>0.35</v>
      </c>
      <c r="J1" s="64">
        <v>0.4</v>
      </c>
      <c r="K1" s="64" t="s">
        <v>476</v>
      </c>
      <c r="L1" s="64" t="s">
        <v>477</v>
      </c>
      <c r="M1" s="64" t="s">
        <v>478</v>
      </c>
      <c r="N1" s="64" t="s">
        <v>479</v>
      </c>
    </row>
    <row r="2" spans="1:34" ht="23" customHeight="1" x14ac:dyDescent="0.2">
      <c r="A2" s="19" t="s">
        <v>496</v>
      </c>
      <c r="B2" s="19" t="s">
        <v>506</v>
      </c>
      <c r="C2" s="12"/>
      <c r="D2" s="12"/>
      <c r="E2" s="52" t="s">
        <v>121</v>
      </c>
      <c r="F2" s="53">
        <f>(VLOOKUP($B2,'Master Item List'!$A$1:$V$244,13,FALSE)+VLOOKUP($E2,'Master Item List'!$A$1:$V$244,13,FALSE))/2</f>
        <v>21.073281250000001</v>
      </c>
      <c r="G2" s="53">
        <f t="shared" ref="G2:G37" si="0">$F2*1.25</f>
        <v>26.341601562500003</v>
      </c>
      <c r="H2" s="53">
        <f t="shared" ref="H2:H37" si="1">$F2*1.3</f>
        <v>27.395265625</v>
      </c>
      <c r="I2" s="53">
        <f t="shared" ref="I2:I37" si="2">$F2*1.35</f>
        <v>28.448929687500002</v>
      </c>
      <c r="J2" s="53">
        <f t="shared" ref="J2:J37" si="3">$F2*1.4</f>
        <v>29.502593749999999</v>
      </c>
      <c r="K2" s="54">
        <f t="shared" ref="K2:K43" si="4">MROUND(G2,0.25)+2.25</f>
        <v>28.5</v>
      </c>
      <c r="L2" s="54">
        <f t="shared" ref="L2:L43" si="5">MROUND(H2,0.25)+2.25</f>
        <v>29.75</v>
      </c>
      <c r="M2" s="54">
        <f t="shared" ref="M2:M43" si="6">MROUND(I2,0.25)+2.25</f>
        <v>30.75</v>
      </c>
      <c r="N2" s="54">
        <f t="shared" ref="N2:N43" si="7">MROUND(J2,0.25)+2.25</f>
        <v>31.75</v>
      </c>
    </row>
    <row r="3" spans="1:34" ht="23" customHeight="1" x14ac:dyDescent="0.2">
      <c r="A3" s="19" t="s">
        <v>1092</v>
      </c>
      <c r="B3" s="19" t="s">
        <v>506</v>
      </c>
      <c r="C3" s="12"/>
      <c r="D3" s="12"/>
      <c r="E3" s="52" t="s">
        <v>121</v>
      </c>
      <c r="F3" s="53">
        <f>(VLOOKUP($B3,'Master Item List'!$A$1:$V$244,13,FALSE)+VLOOKUP($E3,'Master Item List'!$A$1:$V$244,13,FALSE))</f>
        <v>42.146562500000002</v>
      </c>
      <c r="G3" s="53">
        <f t="shared" si="0"/>
        <v>52.683203125000006</v>
      </c>
      <c r="H3" s="53">
        <f t="shared" si="1"/>
        <v>54.790531250000001</v>
      </c>
      <c r="I3" s="53">
        <f t="shared" si="2"/>
        <v>56.897859375000003</v>
      </c>
      <c r="J3" s="53">
        <f t="shared" si="3"/>
        <v>59.005187499999998</v>
      </c>
      <c r="K3" s="54">
        <f t="shared" ref="K3" si="8">MROUND(G3,0.25)+2.25</f>
        <v>55</v>
      </c>
      <c r="L3" s="54">
        <f t="shared" ref="L3" si="9">MROUND(H3,0.25)+2.25</f>
        <v>57</v>
      </c>
      <c r="M3" s="54">
        <f t="shared" ref="M3" si="10">MROUND(I3,0.25)+2.25</f>
        <v>59.25</v>
      </c>
      <c r="N3" s="54">
        <f t="shared" ref="N3" si="11">MROUND(J3,0.25)+2.25</f>
        <v>61.25</v>
      </c>
    </row>
    <row r="4" spans="1:34" ht="23" customHeight="1" x14ac:dyDescent="0.2">
      <c r="A4" s="19" t="s">
        <v>492</v>
      </c>
      <c r="B4" s="19" t="s">
        <v>506</v>
      </c>
      <c r="C4" s="12"/>
      <c r="D4" s="12"/>
      <c r="E4" s="19" t="s">
        <v>465</v>
      </c>
      <c r="F4" s="53">
        <f>(VLOOKUP($B4,'Master Item List'!$A$1:$V$244,13,FALSE)+VLOOKUP($E4,'Master Item List'!$A$1:$V$244,13,FALSE))/2</f>
        <v>18.141666666666666</v>
      </c>
      <c r="G4" s="53">
        <f t="shared" si="0"/>
        <v>22.677083333333332</v>
      </c>
      <c r="H4" s="53">
        <f t="shared" si="1"/>
        <v>23.584166666666665</v>
      </c>
      <c r="I4" s="53">
        <f t="shared" si="2"/>
        <v>24.491250000000001</v>
      </c>
      <c r="J4" s="53">
        <f t="shared" si="3"/>
        <v>25.39833333333333</v>
      </c>
      <c r="K4" s="54">
        <f t="shared" si="4"/>
        <v>25</v>
      </c>
      <c r="L4" s="54">
        <f t="shared" si="5"/>
        <v>25.75</v>
      </c>
      <c r="M4" s="54">
        <f t="shared" si="6"/>
        <v>26.75</v>
      </c>
      <c r="N4" s="54">
        <f t="shared" si="7"/>
        <v>27.75</v>
      </c>
    </row>
    <row r="5" spans="1:34" ht="23" customHeight="1" x14ac:dyDescent="0.2">
      <c r="A5" s="19" t="s">
        <v>493</v>
      </c>
      <c r="B5" s="19" t="s">
        <v>506</v>
      </c>
      <c r="C5" s="12"/>
      <c r="D5" s="12"/>
      <c r="E5" s="19" t="s">
        <v>535</v>
      </c>
      <c r="F5" s="53">
        <f>(VLOOKUP($B5,'Master Item List'!$A$1:$V$244,13,FALSE)+VLOOKUP($E5,'Master Item List'!$A$1:$V$244,13,FALSE))/2</f>
        <v>17.491250000000001</v>
      </c>
      <c r="G5" s="53">
        <f t="shared" si="0"/>
        <v>21.864062500000003</v>
      </c>
      <c r="H5" s="53">
        <f t="shared" si="1"/>
        <v>22.738625000000003</v>
      </c>
      <c r="I5" s="53">
        <f t="shared" si="2"/>
        <v>23.613187500000002</v>
      </c>
      <c r="J5" s="53">
        <f t="shared" si="3"/>
        <v>24.487749999999998</v>
      </c>
      <c r="K5" s="54">
        <f t="shared" si="4"/>
        <v>24</v>
      </c>
      <c r="L5" s="54">
        <f t="shared" si="5"/>
        <v>25</v>
      </c>
      <c r="M5" s="54">
        <f t="shared" si="6"/>
        <v>25.75</v>
      </c>
      <c r="N5" s="54">
        <f t="shared" si="7"/>
        <v>26.75</v>
      </c>
    </row>
    <row r="6" spans="1:34" s="57" customFormat="1" ht="23" hidden="1" customHeight="1" x14ac:dyDescent="0.2">
      <c r="A6" s="20" t="s">
        <v>495</v>
      </c>
      <c r="B6" s="19" t="s">
        <v>506</v>
      </c>
      <c r="C6" s="61"/>
      <c r="D6" s="61"/>
      <c r="E6" s="19" t="str">
        <f>'Master Item List'!A62</f>
        <v>GRAPES, RED  (1# CASE)</v>
      </c>
      <c r="F6" s="55">
        <f>(VLOOKUP($B6,'Master Item List'!$A$1:$V$244,13,FALSE)+VLOOKUP($E6,'Master Item List'!$A$1:$V$244,13,FALSE)/2)</f>
        <v>20.696944444444444</v>
      </c>
      <c r="G6" s="55">
        <f t="shared" si="0"/>
        <v>25.871180555555554</v>
      </c>
      <c r="H6" s="55">
        <f t="shared" si="1"/>
        <v>26.90602777777778</v>
      </c>
      <c r="I6" s="55">
        <f t="shared" si="2"/>
        <v>27.940875000000002</v>
      </c>
      <c r="J6" s="55">
        <f t="shared" si="3"/>
        <v>28.97572222222222</v>
      </c>
      <c r="K6" s="56">
        <f t="shared" si="4"/>
        <v>28</v>
      </c>
      <c r="L6" s="56">
        <f t="shared" si="5"/>
        <v>29.25</v>
      </c>
      <c r="M6" s="56">
        <f t="shared" si="6"/>
        <v>30.25</v>
      </c>
      <c r="N6" s="56">
        <f t="shared" si="7"/>
        <v>31.25</v>
      </c>
      <c r="P6" s="57" t="s">
        <v>573</v>
      </c>
    </row>
    <row r="7" spans="1:34" s="57" customFormat="1" ht="23" customHeight="1" x14ac:dyDescent="0.2">
      <c r="A7" s="19" t="s">
        <v>501</v>
      </c>
      <c r="B7" s="19" t="s">
        <v>506</v>
      </c>
      <c r="C7" s="12"/>
      <c r="D7" s="12"/>
      <c r="E7" s="19" t="s">
        <v>502</v>
      </c>
      <c r="F7" s="53">
        <f>(VLOOKUP($B7,'Master Item List'!$A$1:$V$244,13,FALSE)+VLOOKUP($E7,'Master Item List'!$A$1:$V$244,13,FALSE))/2</f>
        <v>17.96</v>
      </c>
      <c r="G7" s="53">
        <f t="shared" si="0"/>
        <v>22.450000000000003</v>
      </c>
      <c r="H7" s="53">
        <f t="shared" si="1"/>
        <v>23.348000000000003</v>
      </c>
      <c r="I7" s="53">
        <f t="shared" si="2"/>
        <v>24.246000000000002</v>
      </c>
      <c r="J7" s="53">
        <f t="shared" si="3"/>
        <v>25.143999999999998</v>
      </c>
      <c r="K7" s="54">
        <f t="shared" si="4"/>
        <v>24.75</v>
      </c>
      <c r="L7" s="54">
        <f t="shared" si="5"/>
        <v>25.5</v>
      </c>
      <c r="M7" s="54">
        <f t="shared" si="6"/>
        <v>26.5</v>
      </c>
      <c r="N7" s="54">
        <f t="shared" si="7"/>
        <v>27.5</v>
      </c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</row>
    <row r="8" spans="1:34" ht="23" customHeight="1" x14ac:dyDescent="0.2">
      <c r="A8" s="19" t="s">
        <v>494</v>
      </c>
      <c r="B8" s="19" t="s">
        <v>521</v>
      </c>
      <c r="C8" s="12"/>
      <c r="D8" s="12"/>
      <c r="E8" s="19" t="s">
        <v>533</v>
      </c>
      <c r="F8" s="53">
        <f>(VLOOKUP($B8,'Master Item List'!$A$1:$V$244,13,FALSE)+VLOOKUP($E8,'Master Item List'!$A$1:$V$244,13,FALSE))/2</f>
        <v>19.197222222222223</v>
      </c>
      <c r="G8" s="53">
        <f t="shared" si="0"/>
        <v>23.996527777777779</v>
      </c>
      <c r="H8" s="53">
        <f t="shared" si="1"/>
        <v>24.956388888888892</v>
      </c>
      <c r="I8" s="53">
        <f t="shared" si="2"/>
        <v>25.916250000000002</v>
      </c>
      <c r="J8" s="53">
        <f t="shared" si="3"/>
        <v>26.876111111111111</v>
      </c>
      <c r="K8" s="54">
        <f t="shared" si="4"/>
        <v>26.25</v>
      </c>
      <c r="L8" s="54">
        <f t="shared" si="5"/>
        <v>27.25</v>
      </c>
      <c r="M8" s="54">
        <f t="shared" si="6"/>
        <v>28.25</v>
      </c>
      <c r="N8" s="54">
        <f t="shared" si="7"/>
        <v>29.25</v>
      </c>
    </row>
    <row r="9" spans="1:34" ht="23" customHeight="1" x14ac:dyDescent="0.2">
      <c r="A9" s="19" t="s">
        <v>488</v>
      </c>
      <c r="B9" s="19" t="s">
        <v>521</v>
      </c>
      <c r="C9" s="12"/>
      <c r="D9" s="12"/>
      <c r="E9" s="19" t="s">
        <v>559</v>
      </c>
      <c r="F9" s="53">
        <f>(VLOOKUP($B9,'Master Item List'!$A$1:$V$244,13,FALSE)+VLOOKUP($E9,'Master Item List'!$A$1:$V$244,13,FALSE))/2</f>
        <v>19.75277777777778</v>
      </c>
      <c r="G9" s="53">
        <f t="shared" si="0"/>
        <v>24.690972222222225</v>
      </c>
      <c r="H9" s="53">
        <f t="shared" si="1"/>
        <v>25.678611111111113</v>
      </c>
      <c r="I9" s="53">
        <f t="shared" si="2"/>
        <v>26.666250000000005</v>
      </c>
      <c r="J9" s="53">
        <f t="shared" si="3"/>
        <v>27.65388888888889</v>
      </c>
      <c r="K9" s="54">
        <f t="shared" si="4"/>
        <v>27</v>
      </c>
      <c r="L9" s="54">
        <f t="shared" si="5"/>
        <v>28</v>
      </c>
      <c r="M9" s="54">
        <f t="shared" si="6"/>
        <v>29</v>
      </c>
      <c r="N9" s="54">
        <f t="shared" si="7"/>
        <v>30</v>
      </c>
    </row>
    <row r="10" spans="1:34" ht="23" customHeight="1" x14ac:dyDescent="0.2">
      <c r="A10" s="19" t="s">
        <v>622</v>
      </c>
      <c r="B10" s="19" t="s">
        <v>521</v>
      </c>
      <c r="C10" s="12"/>
      <c r="D10" s="12"/>
      <c r="E10" s="19" t="str">
        <f>'Master Item List'!A232</f>
        <v>SUGAR SNAPS, SNAKPAK  (50 X 2oz)</v>
      </c>
      <c r="F10" s="53">
        <f>(VLOOKUP($B10,'Master Item List'!$A$1:$V$244,13,FALSE)+VLOOKUP($E10,'Master Item List'!$A$1:$V$244,13,FALSE))/2</f>
        <v>22.87777777777778</v>
      </c>
      <c r="G10" s="53">
        <f t="shared" si="0"/>
        <v>28.597222222222225</v>
      </c>
      <c r="H10" s="53">
        <f t="shared" si="1"/>
        <v>29.741111111111113</v>
      </c>
      <c r="I10" s="53">
        <f t="shared" si="2"/>
        <v>30.885000000000005</v>
      </c>
      <c r="J10" s="53">
        <f t="shared" si="3"/>
        <v>32.028888888888893</v>
      </c>
      <c r="K10" s="54">
        <f t="shared" ref="K10:K36" si="12">MROUND(G10,0.25)+2.25</f>
        <v>30.75</v>
      </c>
      <c r="L10" s="54">
        <f t="shared" ref="L10:L36" si="13">MROUND(H10,0.25)+2.25</f>
        <v>32</v>
      </c>
      <c r="M10" s="54">
        <f t="shared" ref="M10:M36" si="14">MROUND(I10,0.25)+2.25</f>
        <v>33.25</v>
      </c>
      <c r="N10" s="54">
        <f t="shared" ref="N10:N36" si="15">MROUND(J10,0.25)+2.25</f>
        <v>34.25</v>
      </c>
    </row>
    <row r="11" spans="1:34" ht="23" customHeight="1" x14ac:dyDescent="0.2">
      <c r="A11" s="19" t="s">
        <v>623</v>
      </c>
      <c r="B11" s="19" t="s">
        <v>64</v>
      </c>
      <c r="C11" s="12"/>
      <c r="D11" s="12"/>
      <c r="E11" s="58" t="str">
        <f>'Master Item List'!A62</f>
        <v>GRAPES, RED  (1# CASE)</v>
      </c>
      <c r="F11" s="53">
        <f>(VLOOKUP($B11,'Master Item List'!$A$1:$V$244,13,FALSE)+VLOOKUP($E11,'Master Item List'!$A$1:$V$244,13,FALSE))</f>
        <v>24.841241830065361</v>
      </c>
      <c r="G11" s="53">
        <f t="shared" si="0"/>
        <v>31.0515522875817</v>
      </c>
      <c r="H11" s="53">
        <f t="shared" si="1"/>
        <v>32.293614379084971</v>
      </c>
      <c r="I11" s="53">
        <f t="shared" si="2"/>
        <v>33.535676470588236</v>
      </c>
      <c r="J11" s="53">
        <f t="shared" si="3"/>
        <v>34.7777385620915</v>
      </c>
      <c r="K11" s="54">
        <f t="shared" si="12"/>
        <v>33.25</v>
      </c>
      <c r="L11" s="54">
        <f t="shared" si="13"/>
        <v>34.5</v>
      </c>
      <c r="M11" s="54">
        <f t="shared" si="14"/>
        <v>35.75</v>
      </c>
      <c r="N11" s="54">
        <f t="shared" si="15"/>
        <v>37</v>
      </c>
    </row>
    <row r="12" spans="1:34" ht="23" customHeight="1" x14ac:dyDescent="0.2">
      <c r="A12" s="19" t="s">
        <v>497</v>
      </c>
      <c r="B12" s="19" t="s">
        <v>64</v>
      </c>
      <c r="C12" s="12"/>
      <c r="D12" s="12"/>
      <c r="E12" s="52" t="s">
        <v>91</v>
      </c>
      <c r="F12" s="53">
        <f>(VLOOKUP($B12,'Master Item List'!$A$1:$V$244,13,FALSE)+VLOOKUP($E12,'Master Item List'!$A$1:$V$244,13,FALSE))/2</f>
        <v>21.168676470588238</v>
      </c>
      <c r="G12" s="53">
        <f t="shared" si="0"/>
        <v>26.460845588235298</v>
      </c>
      <c r="H12" s="53">
        <f t="shared" si="1"/>
        <v>27.51927941176471</v>
      </c>
      <c r="I12" s="53">
        <f t="shared" si="2"/>
        <v>28.577713235294123</v>
      </c>
      <c r="J12" s="53">
        <f t="shared" si="3"/>
        <v>29.636147058823532</v>
      </c>
      <c r="K12" s="54">
        <f t="shared" si="12"/>
        <v>28.75</v>
      </c>
      <c r="L12" s="54">
        <f t="shared" si="13"/>
        <v>29.75</v>
      </c>
      <c r="M12" s="54">
        <f t="shared" si="14"/>
        <v>30.75</v>
      </c>
      <c r="N12" s="54">
        <f t="shared" si="15"/>
        <v>32</v>
      </c>
    </row>
    <row r="13" spans="1:34" ht="23" customHeight="1" x14ac:dyDescent="0.2">
      <c r="A13" s="19" t="s">
        <v>624</v>
      </c>
      <c r="B13" s="19" t="s">
        <v>64</v>
      </c>
      <c r="C13" s="12"/>
      <c r="D13" s="12"/>
      <c r="E13" s="19" t="s">
        <v>500</v>
      </c>
      <c r="F13" s="53">
        <f>(VLOOKUP($B13,'Master Item List'!$A$1:$V$244,13,FALSE)+VLOOKUP($E13,'Master Item List'!$A$1:$V$244,13,FALSE))/2</f>
        <v>23.788529411764706</v>
      </c>
      <c r="G13" s="53">
        <f t="shared" si="0"/>
        <v>29.735661764705881</v>
      </c>
      <c r="H13" s="53">
        <f t="shared" si="1"/>
        <v>30.925088235294119</v>
      </c>
      <c r="I13" s="53">
        <f t="shared" si="2"/>
        <v>32.114514705882357</v>
      </c>
      <c r="J13" s="53">
        <f t="shared" si="3"/>
        <v>33.303941176470587</v>
      </c>
      <c r="K13" s="54">
        <f t="shared" si="12"/>
        <v>32</v>
      </c>
      <c r="L13" s="54">
        <f t="shared" si="13"/>
        <v>33.25</v>
      </c>
      <c r="M13" s="54">
        <f t="shared" si="14"/>
        <v>34.25</v>
      </c>
      <c r="N13" s="54">
        <f t="shared" si="15"/>
        <v>35.5</v>
      </c>
    </row>
    <row r="14" spans="1:34" ht="23" customHeight="1" x14ac:dyDescent="0.2">
      <c r="A14" s="19" t="s">
        <v>489</v>
      </c>
      <c r="B14" s="19" t="s">
        <v>465</v>
      </c>
      <c r="C14" s="12"/>
      <c r="D14" s="12"/>
      <c r="E14" s="19" t="s">
        <v>521</v>
      </c>
      <c r="F14" s="53">
        <f>(VLOOKUP($B14,'Master Item List'!$A$1:$V$244,13,FALSE)+VLOOKUP($E14,'Master Item List'!$A$1:$V$244,13,FALSE))/2</f>
        <v>17.426388888888887</v>
      </c>
      <c r="G14" s="53">
        <f t="shared" si="0"/>
        <v>21.782986111111107</v>
      </c>
      <c r="H14" s="53">
        <f t="shared" si="1"/>
        <v>22.654305555555553</v>
      </c>
      <c r="I14" s="53">
        <f t="shared" si="2"/>
        <v>23.525624999999998</v>
      </c>
      <c r="J14" s="53">
        <f t="shared" si="3"/>
        <v>24.39694444444444</v>
      </c>
      <c r="K14" s="54">
        <f t="shared" si="12"/>
        <v>24</v>
      </c>
      <c r="L14" s="54">
        <f t="shared" si="13"/>
        <v>25</v>
      </c>
      <c r="M14" s="54">
        <f t="shared" si="14"/>
        <v>25.75</v>
      </c>
      <c r="N14" s="54">
        <f t="shared" si="15"/>
        <v>26.75</v>
      </c>
    </row>
    <row r="15" spans="1:34" ht="23" customHeight="1" x14ac:dyDescent="0.2">
      <c r="A15" s="19" t="s">
        <v>572</v>
      </c>
      <c r="B15" s="19" t="s">
        <v>465</v>
      </c>
      <c r="C15" s="12"/>
      <c r="D15" s="12"/>
      <c r="E15" s="19" t="s">
        <v>535</v>
      </c>
      <c r="F15" s="53">
        <f>(VLOOKUP($B15,'Master Item List'!$A$1:$V$244,13,FALSE)+VLOOKUP($E15,'Master Item List'!$A$1:$V$244,13,FALSE))/2</f>
        <v>16.532916666666665</v>
      </c>
      <c r="G15" s="53">
        <f t="shared" si="0"/>
        <v>20.666145833333331</v>
      </c>
      <c r="H15" s="53">
        <f t="shared" si="1"/>
        <v>21.492791666666665</v>
      </c>
      <c r="I15" s="53">
        <f t="shared" si="2"/>
        <v>22.319437499999999</v>
      </c>
      <c r="J15" s="53">
        <f t="shared" si="3"/>
        <v>23.14608333333333</v>
      </c>
      <c r="K15" s="54">
        <f t="shared" si="12"/>
        <v>23</v>
      </c>
      <c r="L15" s="54">
        <f t="shared" si="13"/>
        <v>23.75</v>
      </c>
      <c r="M15" s="54">
        <f t="shared" si="14"/>
        <v>24.5</v>
      </c>
      <c r="N15" s="54">
        <f t="shared" si="15"/>
        <v>25.5</v>
      </c>
    </row>
    <row r="16" spans="1:34" ht="23" customHeight="1" x14ac:dyDescent="0.2">
      <c r="A16" s="19" t="s">
        <v>634</v>
      </c>
      <c r="B16" s="19" t="s">
        <v>465</v>
      </c>
      <c r="C16" s="12"/>
      <c r="D16" s="12"/>
      <c r="E16" s="19" t="s">
        <v>559</v>
      </c>
      <c r="F16" s="53">
        <f>(VLOOKUP($B16,'Master Item List'!$A$1:$V$244,13,FALSE)+VLOOKUP($E16,'Master Item List'!$A$1:$V$244,13,FALSE))/2</f>
        <v>19.509722222222223</v>
      </c>
      <c r="G16" s="53">
        <f t="shared" si="0"/>
        <v>24.387152777777779</v>
      </c>
      <c r="H16" s="53">
        <f t="shared" si="1"/>
        <v>25.362638888888892</v>
      </c>
      <c r="I16" s="53">
        <f t="shared" si="2"/>
        <v>26.338125000000002</v>
      </c>
      <c r="J16" s="53">
        <f t="shared" si="3"/>
        <v>27.313611111111111</v>
      </c>
      <c r="K16" s="54">
        <f t="shared" ref="K16" si="16">MROUND(G16,0.25)+2.25</f>
        <v>26.75</v>
      </c>
      <c r="L16" s="54">
        <f t="shared" ref="L16" si="17">MROUND(H16,0.25)+2.25</f>
        <v>27.5</v>
      </c>
      <c r="M16" s="54">
        <f t="shared" ref="M16" si="18">MROUND(I16,0.25)+2.25</f>
        <v>28.5</v>
      </c>
      <c r="N16" s="54">
        <f t="shared" ref="N16" si="19">MROUND(J16,0.25)+2.25</f>
        <v>29.5</v>
      </c>
    </row>
    <row r="17" spans="1:14" ht="23" customHeight="1" x14ac:dyDescent="0.2">
      <c r="A17" s="19" t="s">
        <v>571</v>
      </c>
      <c r="B17" s="19" t="s">
        <v>465</v>
      </c>
      <c r="C17" s="12"/>
      <c r="D17" s="12"/>
      <c r="E17" s="52" t="s">
        <v>121</v>
      </c>
      <c r="F17" s="53">
        <f>(VLOOKUP($B17,'Master Item List'!$A$1:$V$244,13,FALSE)+VLOOKUP($E17,'Master Item List'!$A$1:$V$244,13,FALSE))/2</f>
        <v>20.114947916666665</v>
      </c>
      <c r="G17" s="53">
        <f t="shared" si="0"/>
        <v>25.143684895833331</v>
      </c>
      <c r="H17" s="53">
        <f t="shared" si="1"/>
        <v>26.149432291666667</v>
      </c>
      <c r="I17" s="53">
        <f t="shared" si="2"/>
        <v>27.155179687499999</v>
      </c>
      <c r="J17" s="53">
        <f t="shared" si="3"/>
        <v>28.160927083333331</v>
      </c>
      <c r="K17" s="54">
        <f t="shared" si="12"/>
        <v>27.5</v>
      </c>
      <c r="L17" s="54">
        <f t="shared" si="13"/>
        <v>28.5</v>
      </c>
      <c r="M17" s="54">
        <f t="shared" si="14"/>
        <v>29.5</v>
      </c>
      <c r="N17" s="54">
        <f t="shared" si="15"/>
        <v>30.5</v>
      </c>
    </row>
    <row r="18" spans="1:14" ht="23" customHeight="1" x14ac:dyDescent="0.2">
      <c r="A18" s="19" t="s">
        <v>625</v>
      </c>
      <c r="B18" s="19" t="s">
        <v>465</v>
      </c>
      <c r="C18" s="12"/>
      <c r="D18" s="12"/>
      <c r="E18" s="19" t="str">
        <f>'Master Item List'!A232</f>
        <v>SUGAR SNAPS, SNAKPAK  (50 X 2oz)</v>
      </c>
      <c r="F18" s="53">
        <f>(VLOOKUP($B18,'Master Item List'!$A$1:$V$244,13,FALSE)+VLOOKUP($E18,'Master Item List'!$A$1:$V$244,13,FALSE))/2</f>
        <v>22.634722222222223</v>
      </c>
      <c r="G18" s="53">
        <f t="shared" si="0"/>
        <v>28.293402777777779</v>
      </c>
      <c r="H18" s="53">
        <f t="shared" si="1"/>
        <v>29.425138888888892</v>
      </c>
      <c r="I18" s="53">
        <f t="shared" si="2"/>
        <v>30.556875000000002</v>
      </c>
      <c r="J18" s="53">
        <f t="shared" si="3"/>
        <v>31.688611111111111</v>
      </c>
      <c r="K18" s="54">
        <f t="shared" si="12"/>
        <v>30.5</v>
      </c>
      <c r="L18" s="54">
        <f t="shared" si="13"/>
        <v>31.75</v>
      </c>
      <c r="M18" s="54">
        <f t="shared" si="14"/>
        <v>32.75</v>
      </c>
      <c r="N18" s="54">
        <f t="shared" si="15"/>
        <v>34</v>
      </c>
    </row>
    <row r="19" spans="1:14" ht="23" customHeight="1" x14ac:dyDescent="0.2">
      <c r="A19" s="19" t="s">
        <v>626</v>
      </c>
      <c r="B19" s="19" t="s">
        <v>533</v>
      </c>
      <c r="C19" s="12"/>
      <c r="D19" s="12"/>
      <c r="E19" s="19" t="s">
        <v>559</v>
      </c>
      <c r="F19" s="53">
        <f>(VLOOKUP($B19,'Master Item List'!$A$1:$V$244,13,FALSE)+VLOOKUP($E19,'Master Item List'!$A$1:$V$244,13,FALSE))/2</f>
        <v>21.280555555555559</v>
      </c>
      <c r="G19" s="53">
        <f t="shared" si="0"/>
        <v>26.60069444444445</v>
      </c>
      <c r="H19" s="53">
        <f t="shared" si="1"/>
        <v>27.664722222222228</v>
      </c>
      <c r="I19" s="53">
        <f t="shared" si="2"/>
        <v>28.728750000000005</v>
      </c>
      <c r="J19" s="53">
        <f t="shared" si="3"/>
        <v>29.792777777777779</v>
      </c>
      <c r="K19" s="54">
        <f t="shared" si="12"/>
        <v>28.75</v>
      </c>
      <c r="L19" s="54">
        <f t="shared" si="13"/>
        <v>30</v>
      </c>
      <c r="M19" s="54">
        <f t="shared" si="14"/>
        <v>31</v>
      </c>
      <c r="N19" s="54">
        <f t="shared" si="15"/>
        <v>32</v>
      </c>
    </row>
    <row r="20" spans="1:14" ht="23" customHeight="1" x14ac:dyDescent="0.2">
      <c r="A20" s="21" t="s">
        <v>484</v>
      </c>
      <c r="B20" s="19" t="s">
        <v>535</v>
      </c>
      <c r="C20" s="12"/>
      <c r="D20" s="12"/>
      <c r="E20" s="19" t="s">
        <v>559</v>
      </c>
      <c r="F20" s="53">
        <f>(VLOOKUP($B20,'Master Item List'!$A$1:$V$244,13,FALSE)+VLOOKUP($E20,'Master Item List'!$A$1:$V$244,13,FALSE))/2</f>
        <v>18.859305555555558</v>
      </c>
      <c r="G20" s="53">
        <f t="shared" si="0"/>
        <v>23.574131944444446</v>
      </c>
      <c r="H20" s="53">
        <f t="shared" si="1"/>
        <v>24.517097222222226</v>
      </c>
      <c r="I20" s="53">
        <f t="shared" si="2"/>
        <v>25.460062500000006</v>
      </c>
      <c r="J20" s="53">
        <f t="shared" si="3"/>
        <v>26.40302777777778</v>
      </c>
      <c r="K20" s="54">
        <f t="shared" si="12"/>
        <v>25.75</v>
      </c>
      <c r="L20" s="54">
        <f t="shared" si="13"/>
        <v>26.75</v>
      </c>
      <c r="M20" s="54">
        <f t="shared" si="14"/>
        <v>27.75</v>
      </c>
      <c r="N20" s="54">
        <f t="shared" si="15"/>
        <v>28.75</v>
      </c>
    </row>
    <row r="21" spans="1:14" ht="23" customHeight="1" x14ac:dyDescent="0.2">
      <c r="A21" s="19" t="s">
        <v>485</v>
      </c>
      <c r="B21" s="19" t="s">
        <v>535</v>
      </c>
      <c r="C21" s="12"/>
      <c r="D21" s="12"/>
      <c r="E21" s="52" t="s">
        <v>121</v>
      </c>
      <c r="F21" s="53">
        <f>(VLOOKUP($B21,'Master Item List'!$A$1:$V$244,13,FALSE)+VLOOKUP($E21,'Master Item List'!$A$1:$V$244,13,FALSE))/2</f>
        <v>19.46453125</v>
      </c>
      <c r="G21" s="53">
        <f t="shared" si="0"/>
        <v>24.330664062499999</v>
      </c>
      <c r="H21" s="53">
        <f t="shared" si="1"/>
        <v>25.303890625000001</v>
      </c>
      <c r="I21" s="53">
        <f t="shared" si="2"/>
        <v>26.277117187500004</v>
      </c>
      <c r="J21" s="53">
        <f t="shared" si="3"/>
        <v>27.250343749999999</v>
      </c>
      <c r="K21" s="54">
        <f t="shared" si="12"/>
        <v>26.5</v>
      </c>
      <c r="L21" s="54">
        <f t="shared" si="13"/>
        <v>27.5</v>
      </c>
      <c r="M21" s="54">
        <f t="shared" si="14"/>
        <v>28.5</v>
      </c>
      <c r="N21" s="54">
        <f t="shared" si="15"/>
        <v>29.5</v>
      </c>
    </row>
    <row r="22" spans="1:14" ht="23" customHeight="1" x14ac:dyDescent="0.2">
      <c r="A22" s="19" t="s">
        <v>486</v>
      </c>
      <c r="B22" s="19" t="s">
        <v>535</v>
      </c>
      <c r="C22" s="12"/>
      <c r="D22" s="12"/>
      <c r="E22" s="52" t="str">
        <f>'Master Item List'!A62</f>
        <v>GRAPES, RED  (1# CASE)</v>
      </c>
      <c r="F22" s="53">
        <f>(VLOOKUP($B22,'Master Item List'!$A$1:$V$244,13,FALSE)+VLOOKUP($E22,'Master Item List'!$A$1:$V$244,13,FALSE))</f>
        <v>19.076388888888889</v>
      </c>
      <c r="G22" s="53">
        <f t="shared" si="0"/>
        <v>23.845486111111111</v>
      </c>
      <c r="H22" s="53">
        <f t="shared" si="1"/>
        <v>24.799305555555556</v>
      </c>
      <c r="I22" s="53">
        <f t="shared" si="2"/>
        <v>25.753125000000001</v>
      </c>
      <c r="J22" s="53">
        <f t="shared" si="3"/>
        <v>26.706944444444442</v>
      </c>
      <c r="K22" s="54">
        <f t="shared" si="12"/>
        <v>26</v>
      </c>
      <c r="L22" s="54">
        <f t="shared" si="13"/>
        <v>27</v>
      </c>
      <c r="M22" s="54">
        <f t="shared" si="14"/>
        <v>28</v>
      </c>
      <c r="N22" s="54">
        <f t="shared" si="15"/>
        <v>29</v>
      </c>
    </row>
    <row r="23" spans="1:14" ht="23" customHeight="1" x14ac:dyDescent="0.2">
      <c r="A23" s="19" t="s">
        <v>503</v>
      </c>
      <c r="B23" s="19" t="s">
        <v>554</v>
      </c>
      <c r="C23" s="12"/>
      <c r="D23" s="12"/>
      <c r="E23" s="19" t="s">
        <v>500</v>
      </c>
      <c r="F23" s="53">
        <f>(VLOOKUP($B23,'Master Item List'!$A$1:$V$244,13,FALSE)+VLOOKUP($E23,'Master Item List'!$A$1:$V$244,13,FALSE))/2</f>
        <v>19.889852941176471</v>
      </c>
      <c r="G23" s="53">
        <f t="shared" si="0"/>
        <v>24.862316176470589</v>
      </c>
      <c r="H23" s="53">
        <f t="shared" si="1"/>
        <v>25.856808823529413</v>
      </c>
      <c r="I23" s="53">
        <f t="shared" si="2"/>
        <v>26.851301470588236</v>
      </c>
      <c r="J23" s="53">
        <f t="shared" si="3"/>
        <v>27.84579411764706</v>
      </c>
      <c r="K23" s="54">
        <f t="shared" si="12"/>
        <v>27</v>
      </c>
      <c r="L23" s="54">
        <f t="shared" si="13"/>
        <v>28</v>
      </c>
      <c r="M23" s="54">
        <f t="shared" si="14"/>
        <v>29</v>
      </c>
      <c r="N23" s="54">
        <f t="shared" si="15"/>
        <v>30</v>
      </c>
    </row>
    <row r="24" spans="1:14" ht="23" customHeight="1" x14ac:dyDescent="0.2">
      <c r="A24" s="19" t="s">
        <v>627</v>
      </c>
      <c r="B24" s="19" t="s">
        <v>525</v>
      </c>
      <c r="C24" s="12"/>
      <c r="D24" s="12"/>
      <c r="E24" s="19" t="s">
        <v>500</v>
      </c>
      <c r="F24" s="53">
        <f>(VLOOKUP($B24,'Master Item List'!$A$1:$V$244,13,FALSE)+VLOOKUP($E24,'Master Item List'!$A$1:$V$244,13,FALSE))/2</f>
        <v>27.186241830065363</v>
      </c>
      <c r="G24" s="53">
        <f t="shared" si="0"/>
        <v>33.982802287581706</v>
      </c>
      <c r="H24" s="53">
        <f t="shared" si="1"/>
        <v>35.342114379084975</v>
      </c>
      <c r="I24" s="53">
        <f t="shared" si="2"/>
        <v>36.701426470588245</v>
      </c>
      <c r="J24" s="53">
        <f t="shared" si="3"/>
        <v>38.060738562091508</v>
      </c>
      <c r="K24" s="54">
        <f t="shared" si="12"/>
        <v>36.25</v>
      </c>
      <c r="L24" s="54">
        <f t="shared" si="13"/>
        <v>37.5</v>
      </c>
      <c r="M24" s="54">
        <f t="shared" si="14"/>
        <v>39</v>
      </c>
      <c r="N24" s="54">
        <f t="shared" si="15"/>
        <v>40.25</v>
      </c>
    </row>
    <row r="25" spans="1:14" ht="23" customHeight="1" x14ac:dyDescent="0.2">
      <c r="A25" s="19" t="s">
        <v>487</v>
      </c>
      <c r="B25" s="19" t="s">
        <v>559</v>
      </c>
      <c r="C25" s="12"/>
      <c r="D25" s="12"/>
      <c r="E25" s="19" t="s">
        <v>525</v>
      </c>
      <c r="F25" s="53">
        <f>(VLOOKUP($B25,'Master Item List'!$A$1:$V$244,13,FALSE)+VLOOKUP($E25,'Master Item List'!$A$1:$V$244,13,FALSE))/2</f>
        <v>25.139444444444447</v>
      </c>
      <c r="G25" s="53">
        <f t="shared" si="0"/>
        <v>31.424305555555559</v>
      </c>
      <c r="H25" s="53">
        <f t="shared" si="1"/>
        <v>32.68127777777778</v>
      </c>
      <c r="I25" s="53">
        <f t="shared" si="2"/>
        <v>33.938250000000004</v>
      </c>
      <c r="J25" s="53">
        <f t="shared" si="3"/>
        <v>35.19522222222222</v>
      </c>
      <c r="K25" s="54">
        <f t="shared" si="12"/>
        <v>33.75</v>
      </c>
      <c r="L25" s="54">
        <f t="shared" si="13"/>
        <v>35</v>
      </c>
      <c r="M25" s="54">
        <f t="shared" si="14"/>
        <v>36.25</v>
      </c>
      <c r="N25" s="54">
        <f t="shared" si="15"/>
        <v>37.5</v>
      </c>
    </row>
    <row r="26" spans="1:14" ht="23" customHeight="1" x14ac:dyDescent="0.2">
      <c r="A26" s="21" t="s">
        <v>490</v>
      </c>
      <c r="B26" s="19" t="s">
        <v>559</v>
      </c>
      <c r="C26" s="12"/>
      <c r="D26" s="12"/>
      <c r="E26" s="19" t="s">
        <v>491</v>
      </c>
      <c r="F26" s="53">
        <f>(VLOOKUP($B26,'Master Item List'!$A$1:$V$244,13,FALSE)+VLOOKUP($E26,'Master Item List'!$A$1:$V$244,13,FALSE))/2</f>
        <v>26.697222222222223</v>
      </c>
      <c r="G26" s="53">
        <f t="shared" si="0"/>
        <v>33.371527777777779</v>
      </c>
      <c r="H26" s="53">
        <f t="shared" si="1"/>
        <v>34.706388888888888</v>
      </c>
      <c r="I26" s="53">
        <f t="shared" si="2"/>
        <v>36.041250000000005</v>
      </c>
      <c r="J26" s="53">
        <f t="shared" si="3"/>
        <v>37.376111111111108</v>
      </c>
      <c r="K26" s="54">
        <f t="shared" si="12"/>
        <v>35.5</v>
      </c>
      <c r="L26" s="54">
        <f t="shared" si="13"/>
        <v>37</v>
      </c>
      <c r="M26" s="54">
        <f t="shared" si="14"/>
        <v>38.25</v>
      </c>
      <c r="N26" s="54">
        <f t="shared" si="15"/>
        <v>39.75</v>
      </c>
    </row>
    <row r="27" spans="1:14" ht="23" customHeight="1" x14ac:dyDescent="0.2">
      <c r="A27" s="21" t="s">
        <v>628</v>
      </c>
      <c r="B27" s="52" t="s">
        <v>91</v>
      </c>
      <c r="C27" s="12"/>
      <c r="D27" s="12"/>
      <c r="E27" s="58" t="str">
        <f>'Master Item List'!A62</f>
        <v>GRAPES, RED  (1# CASE)</v>
      </c>
      <c r="F27" s="53">
        <f>(VLOOKUP($B27,'Master Item List'!$A$1:$V$244,13,FALSE)+VLOOKUP($E27,'Master Item List'!$A$1:$V$244,13,FALSE))</f>
        <v>23.88388888888889</v>
      </c>
      <c r="G27" s="53">
        <f t="shared" si="0"/>
        <v>29.854861111111113</v>
      </c>
      <c r="H27" s="53">
        <f t="shared" si="1"/>
        <v>31.049055555555558</v>
      </c>
      <c r="I27" s="53">
        <f t="shared" si="2"/>
        <v>32.243250000000003</v>
      </c>
      <c r="J27" s="53">
        <f t="shared" si="3"/>
        <v>33.437444444444445</v>
      </c>
      <c r="K27" s="54">
        <f t="shared" si="12"/>
        <v>32</v>
      </c>
      <c r="L27" s="54">
        <f t="shared" si="13"/>
        <v>33.25</v>
      </c>
      <c r="M27" s="54">
        <f t="shared" si="14"/>
        <v>34.5</v>
      </c>
      <c r="N27" s="54">
        <f t="shared" si="15"/>
        <v>35.75</v>
      </c>
    </row>
    <row r="28" spans="1:14" ht="23" customHeight="1" x14ac:dyDescent="0.2">
      <c r="A28" s="21" t="s">
        <v>629</v>
      </c>
      <c r="B28" s="52" t="s">
        <v>91</v>
      </c>
      <c r="C28" s="12"/>
      <c r="D28" s="12"/>
      <c r="E28" s="19" t="s">
        <v>500</v>
      </c>
      <c r="F28" s="53">
        <f>(VLOOKUP($B28,'Master Item List'!$A$1:$V$244,13,FALSE)+VLOOKUP($E28,'Master Item List'!$A$1:$V$244,13,FALSE))/2</f>
        <v>23.309852941176473</v>
      </c>
      <c r="G28" s="53">
        <f t="shared" si="0"/>
        <v>29.137316176470591</v>
      </c>
      <c r="H28" s="53">
        <f t="shared" si="1"/>
        <v>30.302808823529414</v>
      </c>
      <c r="I28" s="53">
        <f t="shared" si="2"/>
        <v>31.468301470588241</v>
      </c>
      <c r="J28" s="53">
        <f t="shared" si="3"/>
        <v>32.633794117647064</v>
      </c>
      <c r="K28" s="54">
        <f t="shared" si="12"/>
        <v>31.5</v>
      </c>
      <c r="L28" s="54">
        <f t="shared" si="13"/>
        <v>32.5</v>
      </c>
      <c r="M28" s="54">
        <f t="shared" si="14"/>
        <v>33.75</v>
      </c>
      <c r="N28" s="54">
        <f t="shared" si="15"/>
        <v>35</v>
      </c>
    </row>
    <row r="29" spans="1:14" ht="23" customHeight="1" x14ac:dyDescent="0.2">
      <c r="A29" s="21" t="s">
        <v>630</v>
      </c>
      <c r="B29" s="19" t="s">
        <v>565</v>
      </c>
      <c r="C29" s="12"/>
      <c r="D29" s="12"/>
      <c r="E29" s="52" t="str">
        <f>'Master Item List'!A62</f>
        <v>GRAPES, RED  (1# CASE)</v>
      </c>
      <c r="F29" s="53">
        <f>(VLOOKUP($B29,'Master Item List'!$A$1:$V$244,13,FALSE)+VLOOKUP($E29,'Master Item List'!$A$1:$V$244,13,FALSE))</f>
        <v>21.905000000000001</v>
      </c>
      <c r="G29" s="53">
        <f t="shared" si="0"/>
        <v>27.381250000000001</v>
      </c>
      <c r="H29" s="53">
        <f t="shared" si="1"/>
        <v>28.476500000000001</v>
      </c>
      <c r="I29" s="53">
        <f t="shared" si="2"/>
        <v>29.571750000000005</v>
      </c>
      <c r="J29" s="53">
        <f t="shared" si="3"/>
        <v>30.666999999999998</v>
      </c>
      <c r="K29" s="54">
        <f t="shared" si="12"/>
        <v>29.75</v>
      </c>
      <c r="L29" s="54">
        <f t="shared" si="13"/>
        <v>30.75</v>
      </c>
      <c r="M29" s="54">
        <f t="shared" si="14"/>
        <v>31.75</v>
      </c>
      <c r="N29" s="54">
        <f t="shared" si="15"/>
        <v>33</v>
      </c>
    </row>
    <row r="30" spans="1:14" ht="23" customHeight="1" x14ac:dyDescent="0.2">
      <c r="A30" s="19" t="s">
        <v>498</v>
      </c>
      <c r="B30" s="19" t="s">
        <v>565</v>
      </c>
      <c r="C30" s="12"/>
      <c r="D30" s="12"/>
      <c r="E30" s="19" t="s">
        <v>491</v>
      </c>
      <c r="F30" s="53">
        <f>(VLOOKUP($B30,'Master Item List'!$A$1:$V$244,13,FALSE)+VLOOKUP($E30,'Master Item List'!$A$1:$V$244,13,FALSE))/2</f>
        <v>25.134722222222223</v>
      </c>
      <c r="G30" s="53">
        <f t="shared" si="0"/>
        <v>31.418402777777779</v>
      </c>
      <c r="H30" s="53">
        <f t="shared" si="1"/>
        <v>32.675138888888888</v>
      </c>
      <c r="I30" s="53">
        <f t="shared" si="2"/>
        <v>33.931875000000005</v>
      </c>
      <c r="J30" s="53">
        <f t="shared" si="3"/>
        <v>35.188611111111108</v>
      </c>
      <c r="K30" s="54">
        <f t="shared" si="12"/>
        <v>33.75</v>
      </c>
      <c r="L30" s="54">
        <f t="shared" si="13"/>
        <v>35</v>
      </c>
      <c r="M30" s="54">
        <f t="shared" si="14"/>
        <v>36.25</v>
      </c>
      <c r="N30" s="54">
        <f t="shared" si="15"/>
        <v>37.5</v>
      </c>
    </row>
    <row r="31" spans="1:14" ht="23" customHeight="1" x14ac:dyDescent="0.2">
      <c r="A31" s="19" t="s">
        <v>499</v>
      </c>
      <c r="B31" s="19" t="s">
        <v>565</v>
      </c>
      <c r="C31" s="12"/>
      <c r="D31" s="12"/>
      <c r="E31" s="19" t="s">
        <v>500</v>
      </c>
      <c r="F31" s="53">
        <f>(VLOOKUP($B31,'Master Item List'!$A$1:$V$244,13,FALSE)+VLOOKUP($E31,'Master Item List'!$A$1:$V$244,13,FALSE))/2</f>
        <v>22.320408496732028</v>
      </c>
      <c r="G31" s="53">
        <f t="shared" si="0"/>
        <v>27.900510620915036</v>
      </c>
      <c r="H31" s="53">
        <f t="shared" si="1"/>
        <v>29.016531045751638</v>
      </c>
      <c r="I31" s="53">
        <f t="shared" si="2"/>
        <v>30.13255147058824</v>
      </c>
      <c r="J31" s="53">
        <f t="shared" si="3"/>
        <v>31.248571895424838</v>
      </c>
      <c r="K31" s="54">
        <f t="shared" si="12"/>
        <v>30.25</v>
      </c>
      <c r="L31" s="54">
        <f t="shared" si="13"/>
        <v>31.25</v>
      </c>
      <c r="M31" s="54">
        <f t="shared" si="14"/>
        <v>32.5</v>
      </c>
      <c r="N31" s="54">
        <f t="shared" si="15"/>
        <v>33.5</v>
      </c>
    </row>
    <row r="32" spans="1:14" ht="23" customHeight="1" x14ac:dyDescent="0.2">
      <c r="A32" s="19" t="s">
        <v>587</v>
      </c>
      <c r="B32" s="52" t="str">
        <f>'Master Item List'!A221</f>
        <v>PEARS, WEDGED (50 X 2oz)</v>
      </c>
      <c r="C32" s="12"/>
      <c r="D32" s="12"/>
      <c r="E32" s="58" t="str">
        <f>'Master Item List'!A62</f>
        <v>GRAPES, RED  (1# CASE)</v>
      </c>
      <c r="F32" s="53">
        <f>(VLOOKUP($B32,'Master Item List'!$A$1:$V$244,13,FALSE)+VLOOKUP($E32,'Master Item List'!$A$1:$V$244,13,FALSE))</f>
        <v>26.240451388888889</v>
      </c>
      <c r="G32" s="53">
        <f t="shared" si="0"/>
        <v>32.800564236111114</v>
      </c>
      <c r="H32" s="53">
        <f t="shared" si="1"/>
        <v>34.112586805555559</v>
      </c>
      <c r="I32" s="53">
        <f t="shared" si="2"/>
        <v>35.424609375000003</v>
      </c>
      <c r="J32" s="53">
        <f t="shared" si="3"/>
        <v>36.73663194444444</v>
      </c>
      <c r="K32" s="54">
        <f t="shared" si="12"/>
        <v>35</v>
      </c>
      <c r="L32" s="54">
        <f t="shared" si="13"/>
        <v>36.25</v>
      </c>
      <c r="M32" s="54">
        <f t="shared" si="14"/>
        <v>37.75</v>
      </c>
      <c r="N32" s="54">
        <f t="shared" si="15"/>
        <v>39</v>
      </c>
    </row>
    <row r="33" spans="1:14" ht="23" customHeight="1" x14ac:dyDescent="0.2">
      <c r="A33" s="19" t="s">
        <v>631</v>
      </c>
      <c r="B33" s="52" t="str">
        <f>'Master Item List'!A223</f>
        <v>PEPPER STICKS, SNAKPAK (50 X 2oz)</v>
      </c>
      <c r="C33" s="12"/>
      <c r="D33" s="12"/>
      <c r="E33" s="19" t="str">
        <f>'Master Item List'!A232</f>
        <v>SUGAR SNAPS, SNAKPAK  (50 X 2oz)</v>
      </c>
      <c r="F33" s="53">
        <f>(VLOOKUP($B33,'Master Item List'!$A$1:$V$244,13,FALSE)+VLOOKUP($E33,'Master Item List'!$A$1:$V$244,13,FALSE))/2</f>
        <v>27.524999999999999</v>
      </c>
      <c r="G33" s="53">
        <f t="shared" si="0"/>
        <v>34.40625</v>
      </c>
      <c r="H33" s="53">
        <f t="shared" si="1"/>
        <v>35.782499999999999</v>
      </c>
      <c r="I33" s="53">
        <f t="shared" si="2"/>
        <v>37.158749999999998</v>
      </c>
      <c r="J33" s="53">
        <f t="shared" si="3"/>
        <v>38.534999999999997</v>
      </c>
      <c r="K33" s="54">
        <f t="shared" si="12"/>
        <v>36.75</v>
      </c>
      <c r="L33" s="54">
        <f t="shared" si="13"/>
        <v>38</v>
      </c>
      <c r="M33" s="54">
        <f t="shared" si="14"/>
        <v>39.5</v>
      </c>
      <c r="N33" s="54">
        <f t="shared" si="15"/>
        <v>40.75</v>
      </c>
    </row>
    <row r="34" spans="1:14" ht="23" customHeight="1" x14ac:dyDescent="0.2">
      <c r="A34" s="19" t="s">
        <v>632</v>
      </c>
      <c r="B34" s="52" t="str">
        <f>'Master Item List'!A230</f>
        <v>STRAWBERRIES, TRIMMED (50 X 2oz)</v>
      </c>
      <c r="C34" s="12"/>
      <c r="D34" s="12"/>
      <c r="E34" s="52" t="str">
        <f>'Master Item List'!A180</f>
        <v>BLUEBERRIES  (50 X 2oz)</v>
      </c>
      <c r="F34" s="53">
        <f>(VLOOKUP($B34,'Master Item List'!$A$1:$V$244,13,FALSE)+VLOOKUP($E34,'Master Item List'!$A$1:$V$244,13,FALSE))/2</f>
        <v>35.985416666666666</v>
      </c>
      <c r="G34" s="53">
        <f t="shared" si="0"/>
        <v>44.981770833333329</v>
      </c>
      <c r="H34" s="53">
        <f t="shared" si="1"/>
        <v>46.781041666666667</v>
      </c>
      <c r="I34" s="53">
        <f t="shared" si="2"/>
        <v>48.580312500000005</v>
      </c>
      <c r="J34" s="53">
        <f t="shared" si="3"/>
        <v>50.379583333333329</v>
      </c>
      <c r="K34" s="54">
        <f t="shared" si="12"/>
        <v>47.25</v>
      </c>
      <c r="L34" s="54">
        <f t="shared" si="13"/>
        <v>49</v>
      </c>
      <c r="M34" s="54">
        <f t="shared" si="14"/>
        <v>50.75</v>
      </c>
      <c r="N34" s="54">
        <f t="shared" si="15"/>
        <v>52.75</v>
      </c>
    </row>
    <row r="35" spans="1:14" ht="23" hidden="1" customHeight="1" x14ac:dyDescent="0.2">
      <c r="A35" s="19" t="s">
        <v>591</v>
      </c>
      <c r="B35" s="59" t="str">
        <f>'Master Item List'!A112</f>
        <v>PEPPER, RED JULIENNE (10# TRAY)</v>
      </c>
      <c r="C35" s="12"/>
      <c r="D35" s="12"/>
      <c r="E35" s="58" t="str">
        <f>'Master Item List'!A115</f>
        <v>PEPPER, YELLOW JULIENNE (10# TRAY)</v>
      </c>
      <c r="F35" s="53">
        <f>(VLOOKUP($B35,'Master Item List'!$A$1:$V$244,13,FALSE)+VLOOKUP($E35,'Master Item List'!$A$1:$V$244,13,FALSE))/2</f>
        <v>39.685000000000002</v>
      </c>
      <c r="G35" s="53">
        <f t="shared" si="0"/>
        <v>49.606250000000003</v>
      </c>
      <c r="H35" s="53">
        <f t="shared" si="1"/>
        <v>51.590500000000006</v>
      </c>
      <c r="I35" s="53">
        <f t="shared" si="2"/>
        <v>53.574750000000009</v>
      </c>
      <c r="J35" s="53">
        <f t="shared" si="3"/>
        <v>55.558999999999997</v>
      </c>
      <c r="K35" s="54">
        <f t="shared" si="12"/>
        <v>51.75</v>
      </c>
      <c r="L35" s="54">
        <f t="shared" si="13"/>
        <v>53.75</v>
      </c>
      <c r="M35" s="54">
        <f t="shared" si="14"/>
        <v>55.75</v>
      </c>
      <c r="N35" s="54">
        <f t="shared" si="15"/>
        <v>57.75</v>
      </c>
    </row>
    <row r="36" spans="1:14" ht="23" customHeight="1" x14ac:dyDescent="0.2">
      <c r="A36" s="21" t="s">
        <v>602</v>
      </c>
      <c r="B36" s="52" t="str">
        <f>'Master Item List'!A172</f>
        <v>APPLE, RED WEDGES (50 X 2oz)</v>
      </c>
      <c r="C36" s="12"/>
      <c r="D36" s="12"/>
      <c r="E36" s="52" t="str">
        <f>'Master Item List'!A62</f>
        <v>GRAPES, RED  (1# CASE)</v>
      </c>
      <c r="F36" s="53">
        <f>(VLOOKUP($B36,'Master Item List'!$A$1:$V$244,13,FALSE)+VLOOKUP($E36,'Master Item List'!$A$1:$V$244,13,FALSE))</f>
        <v>22.29388888888889</v>
      </c>
      <c r="G36" s="53">
        <f t="shared" si="0"/>
        <v>27.867361111111112</v>
      </c>
      <c r="H36" s="53">
        <f t="shared" si="1"/>
        <v>28.982055555555558</v>
      </c>
      <c r="I36" s="53">
        <f t="shared" si="2"/>
        <v>30.096750000000004</v>
      </c>
      <c r="J36" s="53">
        <f t="shared" si="3"/>
        <v>31.211444444444446</v>
      </c>
      <c r="K36" s="54">
        <f t="shared" si="12"/>
        <v>30</v>
      </c>
      <c r="L36" s="54">
        <f t="shared" si="13"/>
        <v>31.25</v>
      </c>
      <c r="M36" s="54">
        <f t="shared" si="14"/>
        <v>32.25</v>
      </c>
      <c r="N36" s="54">
        <f t="shared" si="15"/>
        <v>33.5</v>
      </c>
    </row>
    <row r="37" spans="1:14" ht="23" customHeight="1" x14ac:dyDescent="0.2">
      <c r="A37" s="21" t="s">
        <v>645</v>
      </c>
      <c r="B37" s="52" t="str">
        <f>'Master Item List'!A230</f>
        <v>STRAWBERRIES, TRIMMED (50 X 2oz)</v>
      </c>
      <c r="C37" s="12"/>
      <c r="D37" s="12"/>
      <c r="E37" s="52" t="str">
        <f>'Master Item List'!A62</f>
        <v>GRAPES, RED  (1# CASE)</v>
      </c>
      <c r="F37" s="53">
        <f>(VLOOKUP($B37,'Master Item List'!$A$1:$V$244,13,FALSE)+VLOOKUP($E37,'Master Item List'!$A$1:$V$244,13,FALSE))</f>
        <v>31.10638888888889</v>
      </c>
      <c r="G37" s="53">
        <f t="shared" si="0"/>
        <v>38.882986111111116</v>
      </c>
      <c r="H37" s="53">
        <f t="shared" si="1"/>
        <v>40.438305555555559</v>
      </c>
      <c r="I37" s="53">
        <f t="shared" si="2"/>
        <v>41.993625000000002</v>
      </c>
      <c r="J37" s="53">
        <f t="shared" si="3"/>
        <v>43.548944444444444</v>
      </c>
      <c r="K37" s="54">
        <f t="shared" ref="K37" si="20">MROUND(G37,0.25)+2.25</f>
        <v>41.25</v>
      </c>
      <c r="L37" s="54">
        <f t="shared" ref="L37" si="21">MROUND(H37,0.25)+2.25</f>
        <v>42.75</v>
      </c>
      <c r="M37" s="54">
        <f t="shared" ref="M37" si="22">MROUND(I37,0.25)+2.25</f>
        <v>44.25</v>
      </c>
      <c r="N37" s="54">
        <f t="shared" ref="N37" si="23">MROUND(J37,0.25)+2.25</f>
        <v>45.75</v>
      </c>
    </row>
    <row r="38" spans="1:14" ht="23" customHeight="1" x14ac:dyDescent="0.2">
      <c r="A38" s="19" t="s">
        <v>606</v>
      </c>
      <c r="B38" s="19" t="str">
        <f>'Master Item List'!A224</f>
        <v>PINEAPPLE  (50 X 2.3oz)</v>
      </c>
      <c r="C38" s="12"/>
      <c r="D38" s="12" t="str">
        <f>'Master Item List'!A219</f>
        <v>PAPAYA, CHUNKS SNAKPAK (50/2oz)</v>
      </c>
      <c r="E38" s="52" t="str">
        <f>'Master Item List'!A217</f>
        <v>MANGO, CHUNKS (50x2oz)</v>
      </c>
      <c r="F38" s="53">
        <f>(VLOOKUP($B38,'Master Item List'!$A$1:$V$244,13,FALSE)+VLOOKUP($E38,'Master Item List'!$A$1:$V$244,13,FALSE+VLOOKUP($D38,'Master Item List'!$A$1:$V$244,13,FALSE))/3)</f>
        <v>38.608039215686276</v>
      </c>
      <c r="G38" s="53">
        <f t="shared" ref="G38" si="24">$F38*1.25</f>
        <v>48.260049019607848</v>
      </c>
      <c r="H38" s="53">
        <f t="shared" ref="H38" si="25">$F38*1.3</f>
        <v>50.190450980392157</v>
      </c>
      <c r="I38" s="53">
        <f t="shared" ref="I38" si="26">$F38*1.35</f>
        <v>52.120852941176473</v>
      </c>
      <c r="J38" s="53">
        <f t="shared" ref="J38" si="27">$F38*1.4</f>
        <v>54.051254901960782</v>
      </c>
      <c r="K38" s="54">
        <f t="shared" ref="K38" si="28">MROUND(G38,0.25)+2.25</f>
        <v>50.5</v>
      </c>
      <c r="L38" s="54">
        <f t="shared" ref="L38" si="29">MROUND(H38,0.25)+2.25</f>
        <v>52.5</v>
      </c>
      <c r="M38" s="54">
        <f t="shared" ref="M38" si="30">MROUND(I38,0.25)+2.25</f>
        <v>54.25</v>
      </c>
      <c r="N38" s="54">
        <f t="shared" ref="N38" si="31">MROUND(J38,0.25)+2.25</f>
        <v>56.25</v>
      </c>
    </row>
    <row r="39" spans="1:14" ht="23" customHeight="1" x14ac:dyDescent="0.2">
      <c r="A39" s="19" t="s">
        <v>607</v>
      </c>
      <c r="B39" s="52" t="str">
        <f>'Master Item List'!A12</f>
        <v>BROCCOLI FLORETS (4X3# CASE)</v>
      </c>
      <c r="C39" s="12"/>
      <c r="D39" s="12" t="str">
        <f>'Master Item List'!A33</f>
        <v>CARROTS, MATCHSTICK (4X5# CASE)</v>
      </c>
      <c r="E39" s="52" t="str">
        <f>'Master Item List'!A20</f>
        <v>CABBAGE, SHRED RED (20# CASE)</v>
      </c>
      <c r="F39" s="53">
        <f>(VLOOKUP($B39,'Master Item List'!$A$1:$V$244,13,FALSE)+VLOOKUP($E39,'Master Item List'!$A$1:$V$244,13,FALSE+VLOOKUP($D39,'Master Item List'!$A$1:$V$244,13,FALSE))/3)</f>
        <v>32.477619047619051</v>
      </c>
      <c r="G39" s="53">
        <f>$F39*1.25</f>
        <v>40.597023809523812</v>
      </c>
      <c r="H39" s="53">
        <f>$F39*1.3</f>
        <v>42.220904761904769</v>
      </c>
      <c r="I39" s="53">
        <f>$F39*1.35</f>
        <v>43.84478571428572</v>
      </c>
      <c r="J39" s="53">
        <f>$F39*1.4</f>
        <v>45.468666666666671</v>
      </c>
      <c r="K39" s="54">
        <f t="shared" si="4"/>
        <v>42.75</v>
      </c>
      <c r="L39" s="54">
        <f t="shared" si="5"/>
        <v>44.5</v>
      </c>
      <c r="M39" s="54">
        <f t="shared" si="6"/>
        <v>46</v>
      </c>
      <c r="N39" s="54">
        <f t="shared" si="7"/>
        <v>47.75</v>
      </c>
    </row>
    <row r="40" spans="1:14" ht="23" customHeight="1" x14ac:dyDescent="0.2">
      <c r="A40" s="19" t="s">
        <v>607</v>
      </c>
      <c r="B40" s="59">
        <f>(('Raw Cost'!B12/12)*8)</f>
        <v>13.333333333333334</v>
      </c>
      <c r="C40" s="12"/>
      <c r="D40" s="25">
        <f>(('Raw Cost'!B17/35)*2)</f>
        <v>1.3714285714285714</v>
      </c>
      <c r="E40" s="59">
        <f>(('Raw Cost'!B20/35)*2)</f>
        <v>1.0857142857142856</v>
      </c>
      <c r="F40" s="53" t="e">
        <f>(VLOOKUP($B40,'Master Item List'!$A$1:$V$244,13,FALSE)+VLOOKUP($E40,'Master Item List'!$A$1:$V$244,13,FALSE+VLOOKUP($D40,'Master Item List'!$A$1:$V$244,13,FALSE))/3)</f>
        <v>#N/A</v>
      </c>
      <c r="G40" s="53" t="e">
        <f t="shared" ref="G40:G41" si="32">$F40*1.25</f>
        <v>#N/A</v>
      </c>
      <c r="H40" s="53" t="e">
        <f t="shared" ref="H40:H41" si="33">$F40*1.3</f>
        <v>#N/A</v>
      </c>
      <c r="I40" s="53" t="e">
        <f t="shared" ref="I40:I41" si="34">$F40*1.35</f>
        <v>#N/A</v>
      </c>
      <c r="J40" s="53" t="e">
        <f t="shared" ref="J40:J41" si="35">$F40*1.4</f>
        <v>#N/A</v>
      </c>
      <c r="K40" s="54" t="e">
        <f t="shared" ref="K40:K41" si="36">MROUND(G40,0.25)+2.25</f>
        <v>#N/A</v>
      </c>
      <c r="L40" s="54" t="e">
        <f t="shared" ref="L40:L41" si="37">MROUND(H40,0.25)+2.25</f>
        <v>#N/A</v>
      </c>
      <c r="M40" s="54" t="e">
        <f t="shared" ref="M40:M41" si="38">MROUND(I40,0.25)+2.25</f>
        <v>#N/A</v>
      </c>
      <c r="N40" s="54" t="e">
        <f t="shared" ref="N40:N41" si="39">MROUND(J40,0.25)+2.25</f>
        <v>#N/A</v>
      </c>
    </row>
    <row r="41" spans="1:14" ht="23" customHeight="1" x14ac:dyDescent="0.2">
      <c r="A41" s="21" t="s">
        <v>1091</v>
      </c>
      <c r="B41" s="52" t="str">
        <f>'Master Item List'!A173</f>
        <v>ASPARAGUS STICKS (50 X 2oz)</v>
      </c>
      <c r="C41" s="12"/>
      <c r="D41" s="12"/>
      <c r="E41" s="52" t="str">
        <f>'Master Item List'!A254</f>
        <v>LEMONS WEDGES 50/2.3OZ</v>
      </c>
      <c r="F41" s="53">
        <f>(VLOOKUP($B41,'Master Item List'!$A$1:$V$278,13,FALSE)+VLOOKUP($E41,'Master Item List'!$A$1:$V$278,13,FALSE))/2</f>
        <v>25.431377708978328</v>
      </c>
      <c r="G41" s="53">
        <f t="shared" si="32"/>
        <v>31.789222136222911</v>
      </c>
      <c r="H41" s="53">
        <f t="shared" si="33"/>
        <v>33.060791021671825</v>
      </c>
      <c r="I41" s="53">
        <f t="shared" si="34"/>
        <v>34.332359907120747</v>
      </c>
      <c r="J41" s="53">
        <f t="shared" si="35"/>
        <v>35.603928792569654</v>
      </c>
      <c r="K41" s="54">
        <f t="shared" si="36"/>
        <v>34</v>
      </c>
      <c r="L41" s="54">
        <f t="shared" si="37"/>
        <v>35.25</v>
      </c>
      <c r="M41" s="54">
        <f t="shared" si="38"/>
        <v>36.5</v>
      </c>
      <c r="N41" s="54">
        <f t="shared" si="39"/>
        <v>37.75</v>
      </c>
    </row>
    <row r="42" spans="1:14" ht="23" customHeight="1" x14ac:dyDescent="0.2">
      <c r="A42" s="19" t="s">
        <v>610</v>
      </c>
      <c r="B42" s="19" t="s">
        <v>543</v>
      </c>
      <c r="C42" s="12"/>
      <c r="D42" s="19"/>
      <c r="E42" s="52" t="s">
        <v>611</v>
      </c>
      <c r="F42" s="53">
        <f>(VLOOKUP($B42,'Master Item List'!$A$1:$V$244,13,FALSE)+VLOOKUP($E42,'Master Item List'!$A$1:$V$278,13,FALSE))/2</f>
        <v>80.025000000000006</v>
      </c>
      <c r="G42" s="53">
        <f>$F42*1.25</f>
        <v>100.03125</v>
      </c>
      <c r="H42" s="53">
        <f>$F42*1.3</f>
        <v>104.03250000000001</v>
      </c>
      <c r="I42" s="53">
        <f>$F42*1.35</f>
        <v>108.03375000000001</v>
      </c>
      <c r="J42" s="53">
        <f>$F42*1.4</f>
        <v>112.035</v>
      </c>
      <c r="K42" s="54">
        <f>MROUND(G42,0.25)+1</f>
        <v>101</v>
      </c>
      <c r="L42" s="54">
        <f>MROUND(H42,0.25)+1</f>
        <v>105</v>
      </c>
      <c r="M42" s="54">
        <f>MROUND(I42,0.25)+1</f>
        <v>109</v>
      </c>
      <c r="N42" s="54">
        <f>MROUND(J42,0.25)+1</f>
        <v>113</v>
      </c>
    </row>
    <row r="43" spans="1:14" ht="23" customHeight="1" x14ac:dyDescent="0.2">
      <c r="A43" s="21" t="s">
        <v>635</v>
      </c>
      <c r="B43" s="52" t="str">
        <f>'Master Item List'!A22</f>
        <v>CANTALOUPE CUBED (5# CASE)</v>
      </c>
      <c r="C43" s="12" t="str">
        <f>'Master Item List'!A61</f>
        <v>GRAPES, RED  (5# CASE)</v>
      </c>
      <c r="D43" s="12" t="str">
        <f>'Master Item List'!A65</f>
        <v>HONEYDEW, CUBED (5# CASE)</v>
      </c>
      <c r="E43" s="52" t="str">
        <f>'Master Item List'!A120</f>
        <v>PINEAPPLE CUT (5# CASE)</v>
      </c>
      <c r="F43" s="53">
        <f>(VLOOKUP($B43,'Master Item List'!$A$1:$V$244,13,FALSE)+VLOOKUP($E43,'Master Item List'!$A$1:$V$244,13,FALSE)+VLOOKUP($C43,'Master Item List'!$A$1:$V$244,13,FALSE)+VLOOKUP($D43,'Master Item List'!$A$1:$V$244,13,FALSE))/4</f>
        <v>16.5771977124183</v>
      </c>
      <c r="G43" s="53">
        <f>$F43*1.25</f>
        <v>20.721497140522875</v>
      </c>
      <c r="H43" s="53">
        <f>$F43*1.3</f>
        <v>21.550357026143793</v>
      </c>
      <c r="I43" s="53">
        <f>$F43*1.35</f>
        <v>22.379216911764708</v>
      </c>
      <c r="J43" s="53">
        <f>$F43*1.4</f>
        <v>23.208076797385619</v>
      </c>
      <c r="K43" s="54">
        <f t="shared" si="4"/>
        <v>23</v>
      </c>
      <c r="L43" s="54">
        <f t="shared" si="5"/>
        <v>23.75</v>
      </c>
      <c r="M43" s="54">
        <f t="shared" si="6"/>
        <v>24.75</v>
      </c>
      <c r="N43" s="54">
        <f t="shared" si="7"/>
        <v>25.5</v>
      </c>
    </row>
    <row r="44" spans="1:14" ht="23" customHeight="1" x14ac:dyDescent="0.2">
      <c r="A44" s="12"/>
      <c r="B44" s="12"/>
      <c r="C44" s="12"/>
      <c r="D44" s="12"/>
      <c r="E44" s="12"/>
      <c r="F44" s="53" t="e">
        <f>(VLOOKUP($B44,'Master Item List'!$A$1:$V$244,13,FALSE)+VLOOKUP($E44,'Master Item List'!$A$1:$V$244,13,FALSE))/2</f>
        <v>#N/A</v>
      </c>
      <c r="G44" s="53"/>
      <c r="H44" s="53"/>
      <c r="I44" s="53"/>
      <c r="J44" s="53"/>
      <c r="K44" s="51"/>
      <c r="L44" s="51"/>
      <c r="M44" s="51"/>
      <c r="N44" s="51"/>
    </row>
    <row r="45" spans="1:14" ht="23" customHeight="1" x14ac:dyDescent="0.2">
      <c r="A45" s="12"/>
      <c r="B45" s="12"/>
      <c r="C45" s="12"/>
      <c r="D45" s="12"/>
      <c r="E45" s="12"/>
      <c r="F45" s="53" t="e">
        <f>(VLOOKUP($B45,'Master Item List'!$A$1:$V$244,13,FALSE)+VLOOKUP($E45,'Master Item List'!$A$1:$V$244,13,FALSE))/2</f>
        <v>#N/A</v>
      </c>
      <c r="G45" s="53"/>
      <c r="H45" s="53"/>
      <c r="I45" s="53"/>
      <c r="J45" s="53"/>
      <c r="K45" s="51"/>
      <c r="L45" s="51"/>
      <c r="M45" s="51"/>
      <c r="N45" s="51"/>
    </row>
    <row r="46" spans="1:14" ht="23" customHeight="1" x14ac:dyDescent="0.2">
      <c r="A46" s="12"/>
      <c r="B46" s="12"/>
      <c r="C46" s="12"/>
      <c r="D46" s="12"/>
      <c r="E46" s="12"/>
      <c r="F46" s="53" t="e">
        <f>(VLOOKUP($B46,'Master Item List'!$A$1:$V$244,13,FALSE)+VLOOKUP($E46,'Master Item List'!$A$1:$V$244,13,FALSE))/2</f>
        <v>#N/A</v>
      </c>
      <c r="G46" s="53"/>
      <c r="H46" s="53"/>
      <c r="I46" s="53"/>
      <c r="J46" s="53"/>
      <c r="K46" s="51"/>
      <c r="L46" s="51"/>
      <c r="M46" s="51"/>
      <c r="N46" s="51"/>
    </row>
    <row r="47" spans="1:14" ht="23" customHeight="1" x14ac:dyDescent="0.2">
      <c r="A47" s="12"/>
      <c r="B47" s="12"/>
      <c r="C47" s="12"/>
      <c r="D47" s="12"/>
      <c r="E47" s="12"/>
      <c r="F47" s="53" t="e">
        <f>(VLOOKUP($B47,'Master Item List'!$A$1:$V$244,13,FALSE)+VLOOKUP($E47,'Master Item List'!$A$1:$V$244,13,FALSE))/2</f>
        <v>#N/A</v>
      </c>
      <c r="G47" s="53"/>
      <c r="H47" s="53"/>
      <c r="I47" s="53"/>
      <c r="J47" s="53"/>
      <c r="K47" s="51"/>
      <c r="L47" s="51"/>
      <c r="M47" s="51"/>
      <c r="N47" s="51"/>
    </row>
    <row r="48" spans="1:14" ht="23" customHeight="1" x14ac:dyDescent="0.2">
      <c r="A48" s="12"/>
      <c r="B48" s="12"/>
      <c r="C48" s="12"/>
      <c r="D48" s="12"/>
      <c r="E48" s="12"/>
      <c r="F48" s="53" t="e">
        <f>(VLOOKUP($B48,'Master Item List'!$A$1:$V$244,13,FALSE)+VLOOKUP($E48,'Master Item List'!$A$1:$V$244,13,FALSE))/2</f>
        <v>#N/A</v>
      </c>
      <c r="G48" s="53"/>
      <c r="H48" s="53"/>
      <c r="I48" s="53"/>
      <c r="J48" s="53"/>
      <c r="K48" s="51"/>
      <c r="L48" s="51"/>
      <c r="M48" s="51"/>
      <c r="N48" s="51"/>
    </row>
    <row r="49" spans="1:14" ht="23" customHeight="1" x14ac:dyDescent="0.2">
      <c r="A49" s="12"/>
      <c r="B49" s="12"/>
      <c r="C49" s="12"/>
      <c r="D49" s="12"/>
      <c r="E49" s="12"/>
      <c r="F49" s="53" t="e">
        <f>(VLOOKUP($B49,'Master Item List'!$A$1:$V$244,13,FALSE)+VLOOKUP($E49,'Master Item List'!$A$1:$V$244,13,FALSE))/2</f>
        <v>#N/A</v>
      </c>
      <c r="G49" s="53"/>
      <c r="H49" s="53"/>
      <c r="I49" s="53"/>
      <c r="J49" s="53"/>
      <c r="K49" s="51"/>
      <c r="L49" s="51"/>
      <c r="M49" s="51"/>
      <c r="N49" s="51"/>
    </row>
    <row r="50" spans="1:14" ht="23" customHeight="1" x14ac:dyDescent="0.2">
      <c r="A50" s="12"/>
      <c r="B50" s="12"/>
      <c r="C50" s="12"/>
      <c r="D50" s="12"/>
      <c r="E50" s="12"/>
      <c r="F50" s="53" t="e">
        <f>(VLOOKUP($B50,'Master Item List'!$A$1:$V$244,13,FALSE)+VLOOKUP($E50,'Master Item List'!$A$1:$V$244,13,FALSE))/2</f>
        <v>#N/A</v>
      </c>
      <c r="G50" s="53"/>
      <c r="H50" s="53"/>
      <c r="I50" s="53"/>
      <c r="J50" s="53"/>
      <c r="K50" s="51"/>
      <c r="L50" s="51"/>
      <c r="M50" s="51"/>
      <c r="N50" s="51"/>
    </row>
    <row r="51" spans="1:14" ht="23" customHeight="1" x14ac:dyDescent="0.2">
      <c r="A51" s="12"/>
      <c r="B51" s="12"/>
      <c r="C51" s="12"/>
      <c r="D51" s="12"/>
      <c r="E51" s="12"/>
      <c r="F51" s="53" t="e">
        <f>(VLOOKUP($B51,'Master Item List'!$A$1:$V$244,13,FALSE)+VLOOKUP($E51,'Master Item List'!$A$1:$V$244,13,FALSE))/2</f>
        <v>#N/A</v>
      </c>
      <c r="G51" s="53"/>
      <c r="H51" s="53"/>
      <c r="I51" s="53"/>
      <c r="J51" s="53"/>
      <c r="K51" s="51"/>
      <c r="L51" s="51"/>
      <c r="M51" s="51"/>
      <c r="N51" s="51"/>
    </row>
    <row r="52" spans="1:14" ht="23" customHeight="1" x14ac:dyDescent="0.2">
      <c r="A52" s="12"/>
      <c r="B52" s="12"/>
      <c r="C52" s="12"/>
      <c r="D52" s="12"/>
      <c r="E52" s="12"/>
      <c r="F52" s="53" t="e">
        <f>(VLOOKUP($B52,'Master Item List'!$A$1:$V$244,13,FALSE)+VLOOKUP($E52,'Master Item List'!$A$1:$V$244,13,FALSE))/2</f>
        <v>#N/A</v>
      </c>
      <c r="G52" s="53"/>
      <c r="H52" s="53"/>
      <c r="I52" s="53"/>
      <c r="J52" s="53"/>
      <c r="K52" s="51"/>
      <c r="L52" s="51"/>
      <c r="M52" s="51"/>
      <c r="N52" s="51"/>
    </row>
    <row r="53" spans="1:14" ht="23" customHeight="1" x14ac:dyDescent="0.2">
      <c r="A53" s="12"/>
      <c r="B53" s="12"/>
      <c r="C53" s="12"/>
      <c r="D53" s="12"/>
      <c r="E53" s="12"/>
      <c r="F53" s="53" t="e">
        <f>(VLOOKUP($B53,'Master Item List'!$A$1:$V$244,13,FALSE)+VLOOKUP($E53,'Master Item List'!$A$1:$V$244,13,FALSE))/2</f>
        <v>#N/A</v>
      </c>
      <c r="G53" s="53"/>
      <c r="H53" s="53"/>
      <c r="I53" s="53"/>
      <c r="J53" s="53"/>
      <c r="K53" s="51"/>
      <c r="L53" s="51"/>
      <c r="M53" s="51"/>
      <c r="N53" s="51"/>
    </row>
    <row r="54" spans="1:14" ht="23" customHeight="1" x14ac:dyDescent="0.2">
      <c r="A54" s="12"/>
      <c r="B54" s="12"/>
      <c r="C54" s="12"/>
      <c r="D54" s="12"/>
      <c r="E54" s="12"/>
      <c r="F54" s="53" t="e">
        <f>(VLOOKUP($B54,'Master Item List'!$A$1:$V$244,13,FALSE)+VLOOKUP($E54,'Master Item List'!$A$1:$V$244,13,FALSE))/2</f>
        <v>#N/A</v>
      </c>
      <c r="G54" s="53"/>
      <c r="H54" s="53"/>
      <c r="I54" s="53"/>
      <c r="J54" s="53"/>
      <c r="K54" s="51"/>
      <c r="L54" s="51"/>
      <c r="M54" s="51"/>
      <c r="N54" s="51"/>
    </row>
    <row r="55" spans="1:14" ht="23" customHeight="1" x14ac:dyDescent="0.2">
      <c r="F55" s="60"/>
      <c r="G55" s="60"/>
      <c r="H55" s="60"/>
      <c r="I55" s="60"/>
      <c r="J55" s="60"/>
    </row>
    <row r="56" spans="1:14" ht="23" customHeight="1" x14ac:dyDescent="0.2">
      <c r="F56" s="60"/>
      <c r="G56" s="60"/>
      <c r="H56" s="60"/>
      <c r="I56" s="60"/>
      <c r="J56" s="60"/>
    </row>
    <row r="57" spans="1:14" ht="23" customHeight="1" x14ac:dyDescent="0.2">
      <c r="F57" s="60"/>
      <c r="G57" s="60"/>
      <c r="H57" s="60"/>
      <c r="I57" s="60"/>
      <c r="J57" s="60"/>
    </row>
    <row r="58" spans="1:14" ht="23" customHeight="1" x14ac:dyDescent="0.2">
      <c r="F58" s="60"/>
      <c r="G58" s="60"/>
      <c r="H58" s="60"/>
      <c r="I58" s="60"/>
      <c r="J58" s="60"/>
    </row>
    <row r="59" spans="1:14" ht="23" customHeight="1" x14ac:dyDescent="0.2">
      <c r="F59" s="60"/>
      <c r="G59" s="60"/>
      <c r="H59" s="60"/>
      <c r="I59" s="60"/>
      <c r="J59" s="60"/>
    </row>
    <row r="60" spans="1:14" ht="23" customHeight="1" x14ac:dyDescent="0.2">
      <c r="F60" s="60"/>
      <c r="G60" s="60"/>
      <c r="H60" s="60"/>
      <c r="I60" s="60"/>
      <c r="J60" s="60"/>
    </row>
    <row r="61" spans="1:14" ht="23" customHeight="1" x14ac:dyDescent="0.2">
      <c r="F61" s="60"/>
      <c r="G61" s="60"/>
      <c r="H61" s="60"/>
      <c r="I61" s="60"/>
      <c r="J61" s="60"/>
    </row>
    <row r="62" spans="1:14" ht="23" customHeight="1" x14ac:dyDescent="0.2">
      <c r="F62" s="60"/>
      <c r="G62" s="60"/>
      <c r="H62" s="60"/>
      <c r="I62" s="60"/>
      <c r="J62" s="60"/>
    </row>
    <row r="63" spans="1:14" ht="23" customHeight="1" x14ac:dyDescent="0.2">
      <c r="F63" s="60"/>
      <c r="G63" s="60"/>
      <c r="H63" s="60"/>
      <c r="I63" s="60"/>
      <c r="J63" s="60"/>
    </row>
    <row r="64" spans="1:14" ht="23" customHeight="1" x14ac:dyDescent="0.2">
      <c r="F64" s="60"/>
      <c r="G64" s="60"/>
      <c r="H64" s="60"/>
      <c r="I64" s="60"/>
      <c r="J64" s="60"/>
    </row>
    <row r="65" spans="6:10" ht="23" customHeight="1" x14ac:dyDescent="0.2">
      <c r="F65" s="60"/>
      <c r="G65" s="60"/>
      <c r="H65" s="60"/>
      <c r="I65" s="60"/>
      <c r="J65" s="60"/>
    </row>
    <row r="66" spans="6:10" ht="23" customHeight="1" x14ac:dyDescent="0.2">
      <c r="F66" s="60"/>
      <c r="G66" s="60"/>
      <c r="H66" s="60"/>
      <c r="I66" s="60"/>
      <c r="J66" s="60"/>
    </row>
  </sheetData>
  <pageMargins left="0.7" right="0.7" top="0.75" bottom="0.75" header="0.3" footer="0.3"/>
  <pageSetup scale="6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9EED-36B6-6C4B-882C-0CA6DB8FD053}">
  <sheetPr filterMode="1">
    <pageSetUpPr fitToPage="1"/>
  </sheetPr>
  <dimension ref="A1:M368"/>
  <sheetViews>
    <sheetView topLeftCell="A130" workbookViewId="0">
      <selection activeCell="C143" sqref="C143"/>
    </sheetView>
  </sheetViews>
  <sheetFormatPr baseColWidth="10" defaultColWidth="43.33203125" defaultRowHeight="37" customHeight="1" x14ac:dyDescent="0.2"/>
  <cols>
    <col min="1" max="1" width="17" style="72" customWidth="1"/>
    <col min="2" max="2" width="56.1640625" style="72" customWidth="1"/>
    <col min="3" max="3" width="25.33203125" style="80" customWidth="1"/>
    <col min="4" max="4" width="25.33203125" style="81" customWidth="1"/>
    <col min="5" max="7" width="25.33203125" style="81" hidden="1" customWidth="1"/>
    <col min="8" max="8" width="32.83203125" style="80" customWidth="1"/>
    <col min="9" max="9" width="29.5" style="82" customWidth="1"/>
    <col min="10" max="13" width="43.33203125" style="72" hidden="1" customWidth="1"/>
    <col min="14" max="22" width="43.33203125" style="72" customWidth="1"/>
    <col min="23" max="16384" width="43.33203125" style="72"/>
  </cols>
  <sheetData>
    <row r="1" spans="1:13" ht="37" customHeight="1" x14ac:dyDescent="0.2">
      <c r="A1" s="68" t="s">
        <v>1032</v>
      </c>
      <c r="B1" s="68" t="s">
        <v>1033</v>
      </c>
      <c r="C1" s="69" t="s">
        <v>596</v>
      </c>
      <c r="D1" s="70" t="s">
        <v>618</v>
      </c>
      <c r="E1" s="70" t="s">
        <v>601</v>
      </c>
      <c r="F1" s="70" t="s">
        <v>1034</v>
      </c>
      <c r="G1" s="70" t="s">
        <v>1035</v>
      </c>
      <c r="H1" s="69" t="s">
        <v>619</v>
      </c>
      <c r="I1" s="71" t="s">
        <v>620</v>
      </c>
    </row>
    <row r="2" spans="1:13" ht="37" customHeight="1" x14ac:dyDescent="0.2">
      <c r="A2" s="73">
        <v>398</v>
      </c>
      <c r="B2" s="74" t="s">
        <v>667</v>
      </c>
      <c r="C2" s="75">
        <v>32.5</v>
      </c>
      <c r="D2" s="70">
        <f>'Master Item List'!M171</f>
        <v>29.225000000000001</v>
      </c>
      <c r="E2" s="70">
        <f>'Master Item List'!T171</f>
        <v>38</v>
      </c>
      <c r="F2" s="70">
        <f>'Master Item List'!U171</f>
        <v>39.5</v>
      </c>
      <c r="G2" s="70">
        <f>'Master Item List'!V171</f>
        <v>41</v>
      </c>
      <c r="H2" s="69">
        <f>C2-D2</f>
        <v>3.2749999999999986</v>
      </c>
      <c r="I2" s="71">
        <f>H2/D2</f>
        <v>0.11206159110350722</v>
      </c>
      <c r="K2" s="76">
        <v>0.3</v>
      </c>
      <c r="L2" s="76">
        <v>0.4</v>
      </c>
      <c r="M2" s="76">
        <v>0.45</v>
      </c>
    </row>
    <row r="3" spans="1:13" ht="37" customHeight="1" x14ac:dyDescent="0.2">
      <c r="A3" s="77">
        <v>2078</v>
      </c>
      <c r="B3" s="74" t="s">
        <v>668</v>
      </c>
      <c r="C3" s="75">
        <v>37.75</v>
      </c>
      <c r="D3" s="70">
        <f>'Master Item List'!M5</f>
        <v>28.046428571428574</v>
      </c>
      <c r="E3" s="70">
        <f>'Master Item List'!T5</f>
        <v>36.5</v>
      </c>
      <c r="F3" s="70">
        <f>'Master Item List'!U5</f>
        <v>37.75</v>
      </c>
      <c r="G3" s="70">
        <f>'Master Item List'!V5</f>
        <v>39.25</v>
      </c>
      <c r="H3" s="69">
        <f>C3-D3</f>
        <v>9.7035714285714256</v>
      </c>
      <c r="I3" s="71">
        <f>H3/D3</f>
        <v>0.34598242709792421</v>
      </c>
      <c r="J3" s="76"/>
      <c r="K3" s="72">
        <v>6</v>
      </c>
      <c r="L3" s="72">
        <v>10</v>
      </c>
    </row>
    <row r="4" spans="1:13" ht="37" customHeight="1" x14ac:dyDescent="0.2">
      <c r="A4" s="77">
        <v>1159</v>
      </c>
      <c r="B4" s="74" t="s">
        <v>669</v>
      </c>
      <c r="C4" s="75">
        <v>25.5</v>
      </c>
      <c r="D4" s="70">
        <f>'Master Item List'!M6-1</f>
        <v>17.424999999999997</v>
      </c>
      <c r="E4" s="70">
        <f>'Master Item List'!T6-1</f>
        <v>23</v>
      </c>
      <c r="F4" s="70">
        <f>'Master Item List'!U6-1</f>
        <v>23.75</v>
      </c>
      <c r="G4" s="70">
        <f>'Master Item List'!V6-1</f>
        <v>24.75</v>
      </c>
      <c r="H4" s="69">
        <f t="shared" ref="H4:H48" si="0">C4-D4</f>
        <v>8.0750000000000028</v>
      </c>
      <c r="I4" s="71">
        <f t="shared" ref="I4:I48" si="1">H4/D4</f>
        <v>0.46341463414634171</v>
      </c>
    </row>
    <row r="5" spans="1:13" ht="37" customHeight="1" x14ac:dyDescent="0.2">
      <c r="A5" s="77">
        <v>2075</v>
      </c>
      <c r="B5" s="74" t="s">
        <v>670</v>
      </c>
      <c r="C5" s="75">
        <v>54</v>
      </c>
      <c r="D5" s="70">
        <f>'Combo Pricing'!F3</f>
        <v>42.146562500000002</v>
      </c>
      <c r="E5" s="70">
        <f>'Combo Pricing'!L2</f>
        <v>29.75</v>
      </c>
      <c r="F5" s="70">
        <f>'Combo Pricing'!M2</f>
        <v>30.75</v>
      </c>
      <c r="G5" s="70">
        <f>'Combo Pricing'!N2</f>
        <v>31.75</v>
      </c>
      <c r="H5" s="69">
        <f t="shared" si="0"/>
        <v>11.853437499999998</v>
      </c>
      <c r="I5" s="71">
        <f t="shared" si="1"/>
        <v>0.28124328051664943</v>
      </c>
    </row>
    <row r="6" spans="1:13" ht="37" customHeight="1" x14ac:dyDescent="0.2">
      <c r="A6" s="77">
        <v>2079</v>
      </c>
      <c r="B6" s="74" t="s">
        <v>671</v>
      </c>
      <c r="C6" s="75">
        <v>38.25</v>
      </c>
      <c r="D6" s="70">
        <f>'Master Item List'!M4</f>
        <v>33.046428571428571</v>
      </c>
      <c r="E6" s="70">
        <f>'Master Item List'!T4</f>
        <v>43</v>
      </c>
      <c r="F6" s="70">
        <f>'Master Item List'!U4</f>
        <v>44.5</v>
      </c>
      <c r="G6" s="70">
        <f>'Master Item List'!V4</f>
        <v>46.25</v>
      </c>
      <c r="H6" s="69">
        <f t="shared" si="0"/>
        <v>5.2035714285714292</v>
      </c>
      <c r="I6" s="71">
        <f t="shared" si="1"/>
        <v>0.15746244461255812</v>
      </c>
    </row>
    <row r="7" spans="1:13" ht="37" customHeight="1" x14ac:dyDescent="0.2">
      <c r="A7" s="77">
        <v>1158</v>
      </c>
      <c r="B7" s="74" t="s">
        <v>672</v>
      </c>
      <c r="C7" s="75">
        <v>27.25</v>
      </c>
      <c r="D7" s="70">
        <f>'Master Item List'!M3-1</f>
        <v>22.747857142857143</v>
      </c>
      <c r="E7" s="70">
        <f>'Master Item List'!T3</f>
        <v>30.75</v>
      </c>
      <c r="F7" s="70">
        <f>'Master Item List'!U3</f>
        <v>32</v>
      </c>
      <c r="G7" s="70">
        <f>'Master Item List'!V3</f>
        <v>33.25</v>
      </c>
      <c r="H7" s="69">
        <f t="shared" si="0"/>
        <v>4.5021428571428572</v>
      </c>
      <c r="I7" s="71">
        <f t="shared" si="1"/>
        <v>0.19791503124313123</v>
      </c>
    </row>
    <row r="8" spans="1:13" ht="37" customHeight="1" x14ac:dyDescent="0.2">
      <c r="A8" s="73">
        <v>999</v>
      </c>
      <c r="B8" s="74" t="s">
        <v>673</v>
      </c>
      <c r="C8" s="75">
        <v>28.25</v>
      </c>
      <c r="D8" s="70">
        <f>D7+1</f>
        <v>23.747857142857143</v>
      </c>
      <c r="E8" s="70">
        <f>E7+1</f>
        <v>31.75</v>
      </c>
      <c r="F8" s="70">
        <f>F7+1</f>
        <v>33</v>
      </c>
      <c r="G8" s="70">
        <f>G7+1</f>
        <v>34.25</v>
      </c>
      <c r="H8" s="69">
        <f t="shared" si="0"/>
        <v>4.5021428571428572</v>
      </c>
      <c r="I8" s="71">
        <f t="shared" si="1"/>
        <v>0.18958101482840559</v>
      </c>
    </row>
    <row r="9" spans="1:13" ht="37" customHeight="1" x14ac:dyDescent="0.2">
      <c r="A9" s="77">
        <v>3173</v>
      </c>
      <c r="B9" s="74" t="s">
        <v>674</v>
      </c>
      <c r="C9" s="75">
        <v>12</v>
      </c>
      <c r="D9" s="70">
        <f>'Master Item List'!M4/4</f>
        <v>8.2616071428571427</v>
      </c>
      <c r="E9" s="70">
        <f>'Master Item List'!T4/4</f>
        <v>10.75</v>
      </c>
      <c r="F9" s="70">
        <f>'Master Item List'!U4/4</f>
        <v>11.125</v>
      </c>
      <c r="G9" s="70">
        <f>'Master Item List'!V4/4</f>
        <v>11.5625</v>
      </c>
      <c r="H9" s="69">
        <f t="shared" si="0"/>
        <v>3.7383928571428573</v>
      </c>
      <c r="I9" s="71">
        <f t="shared" si="1"/>
        <v>0.45250189127850432</v>
      </c>
    </row>
    <row r="10" spans="1:13" ht="37" customHeight="1" x14ac:dyDescent="0.2">
      <c r="A10" s="77">
        <v>2034</v>
      </c>
      <c r="B10" s="74" t="s">
        <v>675</v>
      </c>
      <c r="C10" s="75">
        <v>32.5</v>
      </c>
      <c r="D10" s="70">
        <f>D2</f>
        <v>29.225000000000001</v>
      </c>
      <c r="E10" s="70">
        <f>E2</f>
        <v>38</v>
      </c>
      <c r="F10" s="70">
        <f>F2</f>
        <v>39.5</v>
      </c>
      <c r="G10" s="70">
        <f>G2</f>
        <v>41</v>
      </c>
      <c r="H10" s="69">
        <f t="shared" si="0"/>
        <v>3.2749999999999986</v>
      </c>
      <c r="I10" s="71">
        <f t="shared" si="1"/>
        <v>0.11206159110350722</v>
      </c>
    </row>
    <row r="11" spans="1:13" ht="37" customHeight="1" x14ac:dyDescent="0.2">
      <c r="A11" s="77">
        <v>3246</v>
      </c>
      <c r="B11" s="74" t="s">
        <v>676</v>
      </c>
      <c r="C11" s="75">
        <v>26.5</v>
      </c>
      <c r="D11" s="70">
        <f>'Combo Pricing'!F4</f>
        <v>18.141666666666666</v>
      </c>
      <c r="E11" s="70">
        <f>'Combo Pricing'!L4</f>
        <v>25.75</v>
      </c>
      <c r="F11" s="70">
        <f>'Combo Pricing'!M4</f>
        <v>26.75</v>
      </c>
      <c r="G11" s="70">
        <f>'Combo Pricing'!N4</f>
        <v>27.75</v>
      </c>
      <c r="H11" s="69">
        <f t="shared" si="0"/>
        <v>8.3583333333333343</v>
      </c>
      <c r="I11" s="71">
        <f t="shared" si="1"/>
        <v>0.46072576940744153</v>
      </c>
    </row>
    <row r="12" spans="1:13" ht="37" hidden="1" customHeight="1" x14ac:dyDescent="0.2">
      <c r="A12" s="77">
        <v>3247</v>
      </c>
      <c r="B12" s="74" t="s">
        <v>677</v>
      </c>
      <c r="C12" s="75">
        <f>C11+15</f>
        <v>41.5</v>
      </c>
      <c r="D12" s="70">
        <f>D11+'Raw Cost'!F1</f>
        <v>27.341666666666665</v>
      </c>
      <c r="E12" s="70"/>
      <c r="F12" s="70"/>
      <c r="G12" s="70"/>
      <c r="H12" s="69">
        <f t="shared" si="0"/>
        <v>14.158333333333335</v>
      </c>
      <c r="I12" s="71">
        <f t="shared" si="1"/>
        <v>0.517829929899421</v>
      </c>
    </row>
    <row r="13" spans="1:13" ht="37" hidden="1" customHeight="1" x14ac:dyDescent="0.2">
      <c r="A13" s="77">
        <v>3248</v>
      </c>
      <c r="B13" s="74" t="s">
        <v>678</v>
      </c>
      <c r="C13" s="75">
        <f>C11+15</f>
        <v>41.5</v>
      </c>
      <c r="D13" s="70">
        <f>D11+'Raw Cost'!F3</f>
        <v>21.641666666666666</v>
      </c>
      <c r="E13" s="70"/>
      <c r="F13" s="70"/>
      <c r="G13" s="70"/>
      <c r="H13" s="69">
        <f t="shared" si="0"/>
        <v>19.858333333333334</v>
      </c>
      <c r="I13" s="71">
        <f t="shared" si="1"/>
        <v>0.91759722757027351</v>
      </c>
    </row>
    <row r="14" spans="1:13" ht="37" customHeight="1" x14ac:dyDescent="0.2">
      <c r="A14" s="77">
        <v>4726</v>
      </c>
      <c r="B14" s="74" t="s">
        <v>679</v>
      </c>
      <c r="C14" s="75">
        <v>26.5</v>
      </c>
      <c r="D14" s="70">
        <f>'Combo Pricing'!F5</f>
        <v>17.491250000000001</v>
      </c>
      <c r="E14" s="70">
        <f>'Combo Pricing'!L5</f>
        <v>25</v>
      </c>
      <c r="F14" s="70">
        <f>'Combo Pricing'!M5</f>
        <v>25.75</v>
      </c>
      <c r="G14" s="70">
        <f>'Combo Pricing'!N5</f>
        <v>26.75</v>
      </c>
      <c r="H14" s="69">
        <f t="shared" si="0"/>
        <v>9.0087499999999991</v>
      </c>
      <c r="I14" s="71">
        <f t="shared" si="1"/>
        <v>0.51504323590366607</v>
      </c>
    </row>
    <row r="15" spans="1:13" ht="37" hidden="1" customHeight="1" x14ac:dyDescent="0.2">
      <c r="A15" s="77">
        <v>3249</v>
      </c>
      <c r="B15" s="74" t="s">
        <v>680</v>
      </c>
      <c r="C15" s="75">
        <f>C14+15</f>
        <v>41.5</v>
      </c>
      <c r="D15" s="70">
        <f>D14+'Raw Cost'!F1</f>
        <v>26.69125</v>
      </c>
      <c r="E15" s="70"/>
      <c r="F15" s="70"/>
      <c r="G15" s="70"/>
      <c r="H15" s="69">
        <f t="shared" si="0"/>
        <v>14.80875</v>
      </c>
      <c r="I15" s="71">
        <f t="shared" si="1"/>
        <v>0.55481665339764907</v>
      </c>
    </row>
    <row r="16" spans="1:13" ht="37" hidden="1" customHeight="1" x14ac:dyDescent="0.2">
      <c r="A16" s="77">
        <v>3250</v>
      </c>
      <c r="B16" s="74" t="s">
        <v>681</v>
      </c>
      <c r="C16" s="75">
        <f>C14+15</f>
        <v>41.5</v>
      </c>
      <c r="D16" s="70">
        <f>D14+'Raw Cost'!F3</f>
        <v>20.991250000000001</v>
      </c>
      <c r="E16" s="70"/>
      <c r="F16" s="70"/>
      <c r="G16" s="70"/>
      <c r="H16" s="69">
        <f t="shared" si="0"/>
        <v>20.508749999999999</v>
      </c>
      <c r="I16" s="71">
        <f t="shared" si="1"/>
        <v>0.97701423212052629</v>
      </c>
    </row>
    <row r="17" spans="1:9" ht="37" customHeight="1" x14ac:dyDescent="0.2">
      <c r="A17" s="77">
        <v>4631</v>
      </c>
      <c r="B17" s="74" t="s">
        <v>682</v>
      </c>
      <c r="C17" s="75">
        <v>30.25</v>
      </c>
      <c r="D17" s="70">
        <f>'Combo Pricing'!F36</f>
        <v>22.29388888888889</v>
      </c>
      <c r="E17" s="70">
        <f>'Combo Pricing'!L36</f>
        <v>31.25</v>
      </c>
      <c r="F17" s="70">
        <f>'Combo Pricing'!M36</f>
        <v>32.25</v>
      </c>
      <c r="G17" s="70">
        <f>'Combo Pricing'!N36</f>
        <v>33.5</v>
      </c>
      <c r="H17" s="69">
        <f t="shared" si="0"/>
        <v>7.9561111111111096</v>
      </c>
      <c r="I17" s="71">
        <f t="shared" si="1"/>
        <v>0.3568740810884895</v>
      </c>
    </row>
    <row r="18" spans="1:9" ht="37" hidden="1" customHeight="1" x14ac:dyDescent="0.2">
      <c r="A18" s="77">
        <v>3251</v>
      </c>
      <c r="B18" s="74" t="s">
        <v>683</v>
      </c>
      <c r="C18" s="75">
        <f>C17+15</f>
        <v>45.25</v>
      </c>
      <c r="D18" s="70">
        <f>D17+'Raw Cost'!F3</f>
        <v>25.79388888888889</v>
      </c>
      <c r="E18" s="70"/>
      <c r="F18" s="70"/>
      <c r="G18" s="70"/>
      <c r="H18" s="69">
        <f t="shared" si="0"/>
        <v>19.45611111111111</v>
      </c>
      <c r="I18" s="71">
        <f t="shared" si="1"/>
        <v>0.75429149884770286</v>
      </c>
    </row>
    <row r="19" spans="1:9" ht="37" customHeight="1" x14ac:dyDescent="0.2">
      <c r="A19" s="73">
        <v>395</v>
      </c>
      <c r="B19" s="74" t="s">
        <v>684</v>
      </c>
      <c r="C19" s="75">
        <v>29.75</v>
      </c>
      <c r="D19" s="70">
        <f>'Combo Pricing'!F2</f>
        <v>21.073281250000001</v>
      </c>
      <c r="E19" s="70">
        <f>'Combo Pricing'!L2/2</f>
        <v>14.875</v>
      </c>
      <c r="F19" s="70">
        <f>'Combo Pricing'!M2/2</f>
        <v>15.375</v>
      </c>
      <c r="G19" s="70">
        <f>'Combo Pricing'!N2/2</f>
        <v>15.875</v>
      </c>
      <c r="H19" s="69">
        <f t="shared" si="0"/>
        <v>8.6767187499999991</v>
      </c>
      <c r="I19" s="71">
        <f t="shared" si="1"/>
        <v>0.41174028131001189</v>
      </c>
    </row>
    <row r="20" spans="1:9" ht="37" hidden="1" customHeight="1" x14ac:dyDescent="0.2">
      <c r="A20" s="77">
        <v>3253</v>
      </c>
      <c r="B20" s="74" t="s">
        <v>685</v>
      </c>
      <c r="C20" s="75">
        <f>C19+15</f>
        <v>44.75</v>
      </c>
      <c r="D20" s="70">
        <f>D19+'Raw Cost'!F3</f>
        <v>24.573281250000001</v>
      </c>
      <c r="E20" s="70"/>
      <c r="F20" s="70"/>
      <c r="G20" s="70"/>
      <c r="H20" s="69">
        <f t="shared" si="0"/>
        <v>20.176718749999999</v>
      </c>
      <c r="I20" s="71">
        <f t="shared" si="1"/>
        <v>0.82108362105691513</v>
      </c>
    </row>
    <row r="21" spans="1:9" ht="37" customHeight="1" x14ac:dyDescent="0.2">
      <c r="A21" s="77">
        <v>4729</v>
      </c>
      <c r="B21" s="74" t="s">
        <v>686</v>
      </c>
      <c r="C21" s="75">
        <v>27</v>
      </c>
      <c r="D21" s="70">
        <f>'Combo Pricing'!F7</f>
        <v>17.96</v>
      </c>
      <c r="E21" s="70">
        <f>'Combo Pricing'!L7</f>
        <v>25.5</v>
      </c>
      <c r="F21" s="70">
        <f>'Combo Pricing'!M7</f>
        <v>26.5</v>
      </c>
      <c r="G21" s="70">
        <f>'Combo Pricing'!N7</f>
        <v>27.5</v>
      </c>
      <c r="H21" s="69">
        <f t="shared" si="0"/>
        <v>9.0399999999999991</v>
      </c>
      <c r="I21" s="71">
        <f t="shared" si="1"/>
        <v>0.50334075723830729</v>
      </c>
    </row>
    <row r="22" spans="1:9" ht="37" hidden="1" customHeight="1" x14ac:dyDescent="0.2">
      <c r="A22" s="77">
        <v>3254</v>
      </c>
      <c r="B22" s="74" t="s">
        <v>687</v>
      </c>
      <c r="C22" s="75">
        <f>C21+15</f>
        <v>42</v>
      </c>
      <c r="D22" s="70">
        <f>D21+'Raw Cost'!F3</f>
        <v>21.46</v>
      </c>
      <c r="E22" s="70"/>
      <c r="F22" s="70"/>
      <c r="G22" s="70"/>
      <c r="H22" s="69">
        <f t="shared" si="0"/>
        <v>20.54</v>
      </c>
      <c r="I22" s="71">
        <f t="shared" si="1"/>
        <v>0.95712954333643985</v>
      </c>
    </row>
    <row r="23" spans="1:9" ht="37" customHeight="1" x14ac:dyDescent="0.2">
      <c r="A23" s="77">
        <v>3179</v>
      </c>
      <c r="B23" s="74" t="s">
        <v>688</v>
      </c>
      <c r="C23" s="75">
        <v>45.5</v>
      </c>
      <c r="D23" s="70">
        <f>'Master Item List'!M173</f>
        <v>34.906176470588235</v>
      </c>
      <c r="E23" s="70">
        <f>'Master Item List'!T173</f>
        <v>45.5</v>
      </c>
      <c r="F23" s="70">
        <f>'Master Item List'!U173</f>
        <v>47</v>
      </c>
      <c r="G23" s="70">
        <f>'Master Item List'!V173</f>
        <v>48.75</v>
      </c>
      <c r="H23" s="69">
        <f t="shared" si="0"/>
        <v>10.593823529411765</v>
      </c>
      <c r="I23" s="71">
        <f t="shared" si="1"/>
        <v>0.30349424086416527</v>
      </c>
    </row>
    <row r="24" spans="1:9" ht="37" hidden="1" customHeight="1" x14ac:dyDescent="0.2">
      <c r="A24" s="77">
        <v>3255</v>
      </c>
      <c r="B24" s="74" t="s">
        <v>689</v>
      </c>
      <c r="C24" s="75">
        <f>C23+15</f>
        <v>60.5</v>
      </c>
      <c r="D24" s="70">
        <f>D23+'Raw Cost'!F1</f>
        <v>44.106176470588238</v>
      </c>
      <c r="E24" s="70"/>
      <c r="F24" s="70"/>
      <c r="G24" s="70"/>
      <c r="H24" s="69">
        <f t="shared" si="0"/>
        <v>16.393823529411762</v>
      </c>
      <c r="I24" s="71">
        <f t="shared" si="1"/>
        <v>0.37168997272624205</v>
      </c>
    </row>
    <row r="25" spans="1:9" ht="37" hidden="1" customHeight="1" x14ac:dyDescent="0.2">
      <c r="A25" s="77">
        <v>3256</v>
      </c>
      <c r="B25" s="74" t="s">
        <v>690</v>
      </c>
      <c r="C25" s="75">
        <f>C23+15</f>
        <v>60.5</v>
      </c>
      <c r="D25" s="70">
        <f>D23+'Raw Cost'!F3</f>
        <v>38.406176470588235</v>
      </c>
      <c r="E25" s="70"/>
      <c r="F25" s="70"/>
      <c r="G25" s="70"/>
      <c r="H25" s="69">
        <f t="shared" si="0"/>
        <v>22.093823529411765</v>
      </c>
      <c r="I25" s="71">
        <f t="shared" si="1"/>
        <v>0.57526745851234096</v>
      </c>
    </row>
    <row r="26" spans="1:9" ht="37" customHeight="1" x14ac:dyDescent="0.2">
      <c r="A26" s="77">
        <v>3156</v>
      </c>
      <c r="B26" s="74" t="s">
        <v>691</v>
      </c>
      <c r="C26" s="75">
        <v>34</v>
      </c>
      <c r="D26" s="70">
        <f>'Master Item List'!M178</f>
        <v>25.094444444444445</v>
      </c>
      <c r="E26" s="70">
        <f>'Master Item List'!T178</f>
        <v>32.5</v>
      </c>
      <c r="F26" s="70">
        <f>'Master Item List'!U178</f>
        <v>34</v>
      </c>
      <c r="G26" s="70">
        <f>'Master Item List'!V178</f>
        <v>35.25</v>
      </c>
      <c r="H26" s="69">
        <f t="shared" si="0"/>
        <v>8.905555555555555</v>
      </c>
      <c r="I26" s="71">
        <f t="shared" si="1"/>
        <v>0.35488155855656406</v>
      </c>
    </row>
    <row r="27" spans="1:9" ht="37" customHeight="1" x14ac:dyDescent="0.2">
      <c r="A27" s="77">
        <v>2834</v>
      </c>
      <c r="B27" s="74" t="s">
        <v>692</v>
      </c>
      <c r="C27" s="75">
        <v>38.5</v>
      </c>
      <c r="D27" s="70">
        <f>'Master Item List'!M8</f>
        <v>28.886111111111109</v>
      </c>
      <c r="E27" s="70">
        <f>'Master Item List'!T8</f>
        <v>37.5</v>
      </c>
      <c r="F27" s="70">
        <f>'Master Item List'!U8</f>
        <v>39</v>
      </c>
      <c r="G27" s="70">
        <f>'Master Item List'!V8</f>
        <v>40.5</v>
      </c>
      <c r="H27" s="69">
        <f t="shared" si="0"/>
        <v>9.6138888888888907</v>
      </c>
      <c r="I27" s="71">
        <f t="shared" si="1"/>
        <v>0.33282046350610645</v>
      </c>
    </row>
    <row r="28" spans="1:9" ht="37" customHeight="1" x14ac:dyDescent="0.2">
      <c r="A28" s="77">
        <v>2833</v>
      </c>
      <c r="B28" s="74" t="s">
        <v>693</v>
      </c>
      <c r="C28" s="75">
        <v>38.5</v>
      </c>
      <c r="D28" s="70">
        <f>'Master Item List'!M9</f>
        <v>28.886111111111109</v>
      </c>
      <c r="E28" s="70">
        <f>'Master Item List'!T9</f>
        <v>37.5</v>
      </c>
      <c r="F28" s="70">
        <f>'Master Item List'!U9</f>
        <v>39</v>
      </c>
      <c r="G28" s="70">
        <f>'Master Item List'!V9</f>
        <v>40.5</v>
      </c>
      <c r="H28" s="69">
        <f t="shared" si="0"/>
        <v>9.6138888888888907</v>
      </c>
      <c r="I28" s="71">
        <f t="shared" si="1"/>
        <v>0.33282046350610645</v>
      </c>
    </row>
    <row r="29" spans="1:9" ht="37" customHeight="1" x14ac:dyDescent="0.2">
      <c r="A29" s="73">
        <v>509</v>
      </c>
      <c r="B29" s="74" t="s">
        <v>694</v>
      </c>
      <c r="C29" s="75">
        <v>21.25</v>
      </c>
      <c r="D29" s="70">
        <f>'Master Item List'!M7</f>
        <v>15.552777777777779</v>
      </c>
      <c r="E29" s="70">
        <f>'Master Item List'!T7</f>
        <v>20.25</v>
      </c>
      <c r="F29" s="70">
        <f>'Master Item List'!U7</f>
        <v>21</v>
      </c>
      <c r="G29" s="70">
        <f>'Master Item List'!V7</f>
        <v>21.75</v>
      </c>
      <c r="H29" s="69">
        <f t="shared" si="0"/>
        <v>5.6972222222222211</v>
      </c>
      <c r="I29" s="71">
        <f t="shared" si="1"/>
        <v>0.36631541346669039</v>
      </c>
    </row>
    <row r="30" spans="1:9" ht="37" hidden="1" customHeight="1" x14ac:dyDescent="0.2">
      <c r="A30" s="77">
        <v>3257</v>
      </c>
      <c r="B30" s="74" t="s">
        <v>695</v>
      </c>
      <c r="C30" s="75">
        <f>C26+15</f>
        <v>49</v>
      </c>
      <c r="D30" s="70">
        <f>D26+'Raw Cost'!F1</f>
        <v>34.294444444444444</v>
      </c>
      <c r="E30" s="70"/>
      <c r="F30" s="70"/>
      <c r="G30" s="70"/>
      <c r="H30" s="69">
        <f t="shared" si="0"/>
        <v>14.705555555555556</v>
      </c>
      <c r="I30" s="71">
        <f t="shared" si="1"/>
        <v>0.42880285112587074</v>
      </c>
    </row>
    <row r="31" spans="1:9" ht="37" hidden="1" customHeight="1" x14ac:dyDescent="0.2">
      <c r="A31" s="77">
        <v>3258</v>
      </c>
      <c r="B31" s="74" t="s">
        <v>696</v>
      </c>
      <c r="C31" s="75">
        <f>C26+15</f>
        <v>49</v>
      </c>
      <c r="D31" s="70">
        <f>D26+'Raw Cost'!F3</f>
        <v>28.594444444444445</v>
      </c>
      <c r="E31" s="70"/>
      <c r="F31" s="70"/>
      <c r="G31" s="70"/>
      <c r="H31" s="69">
        <f t="shared" si="0"/>
        <v>20.405555555555555</v>
      </c>
      <c r="I31" s="71">
        <f t="shared" si="1"/>
        <v>0.71361958422381966</v>
      </c>
    </row>
    <row r="32" spans="1:9" ht="37" customHeight="1" x14ac:dyDescent="0.2">
      <c r="A32" s="73">
        <v>333</v>
      </c>
      <c r="B32" s="74" t="s">
        <v>697</v>
      </c>
      <c r="C32" s="75">
        <v>22</v>
      </c>
      <c r="D32" s="70">
        <f>D29</f>
        <v>15.552777777777779</v>
      </c>
      <c r="E32" s="70">
        <f>E29</f>
        <v>20.25</v>
      </c>
      <c r="F32" s="70">
        <f t="shared" ref="F32:G32" si="2">F29</f>
        <v>21</v>
      </c>
      <c r="G32" s="70">
        <f t="shared" si="2"/>
        <v>21.75</v>
      </c>
      <c r="H32" s="69">
        <f t="shared" si="0"/>
        <v>6.4472222222222211</v>
      </c>
      <c r="I32" s="71">
        <f t="shared" si="1"/>
        <v>0.41453831041257355</v>
      </c>
    </row>
    <row r="33" spans="1:9" ht="37" customHeight="1" x14ac:dyDescent="0.2">
      <c r="A33" s="73">
        <v>963</v>
      </c>
      <c r="B33" s="74" t="s">
        <v>698</v>
      </c>
      <c r="C33" s="75">
        <v>22</v>
      </c>
      <c r="D33" s="70">
        <f>D32</f>
        <v>15.552777777777779</v>
      </c>
      <c r="E33" s="70">
        <f>E32</f>
        <v>20.25</v>
      </c>
      <c r="F33" s="70">
        <f t="shared" ref="F33:G33" si="3">F32</f>
        <v>21</v>
      </c>
      <c r="G33" s="70">
        <f t="shared" si="3"/>
        <v>21.75</v>
      </c>
      <c r="H33" s="69">
        <f t="shared" si="0"/>
        <v>6.4472222222222211</v>
      </c>
      <c r="I33" s="71">
        <f t="shared" si="1"/>
        <v>0.41453831041257355</v>
      </c>
    </row>
    <row r="34" spans="1:9" ht="37" customHeight="1" x14ac:dyDescent="0.2">
      <c r="A34" s="77">
        <v>3265</v>
      </c>
      <c r="B34" s="74" t="s">
        <v>699</v>
      </c>
      <c r="C34" s="75">
        <v>38.25</v>
      </c>
      <c r="D34" s="70">
        <f>'Master Item List'!M177</f>
        <v>28.666176470588237</v>
      </c>
      <c r="E34" s="70">
        <f>'Master Item List'!T177</f>
        <v>37.25</v>
      </c>
      <c r="F34" s="70">
        <f>'Master Item List'!U177</f>
        <v>38.75</v>
      </c>
      <c r="G34" s="70">
        <f>'Master Item List'!V177</f>
        <v>40.25</v>
      </c>
      <c r="H34" s="69">
        <f t="shared" si="0"/>
        <v>9.5838235294117631</v>
      </c>
      <c r="I34" s="71">
        <f t="shared" si="1"/>
        <v>0.3343251423587954</v>
      </c>
    </row>
    <row r="35" spans="1:9" ht="37" customHeight="1" x14ac:dyDescent="0.2">
      <c r="A35" s="73">
        <v>994</v>
      </c>
      <c r="B35" s="74" t="s">
        <v>700</v>
      </c>
      <c r="C35" s="75">
        <v>58.5</v>
      </c>
      <c r="D35" s="70">
        <f>'Master Item List'!M180</f>
        <v>44.05833333333333</v>
      </c>
      <c r="E35" s="70">
        <f>'Master Item List'!T180</f>
        <v>57.25</v>
      </c>
      <c r="F35" s="70">
        <f>'Master Item List'!U180</f>
        <v>59.5</v>
      </c>
      <c r="G35" s="70">
        <f>'Master Item List'!V180</f>
        <v>61.75</v>
      </c>
      <c r="H35" s="69">
        <f t="shared" si="0"/>
        <v>14.44166666666667</v>
      </c>
      <c r="I35" s="71">
        <f t="shared" si="1"/>
        <v>0.327785133345943</v>
      </c>
    </row>
    <row r="36" spans="1:9" ht="37" hidden="1" customHeight="1" x14ac:dyDescent="0.2">
      <c r="A36" s="77">
        <v>3266</v>
      </c>
      <c r="B36" s="74" t="s">
        <v>701</v>
      </c>
      <c r="C36" s="75">
        <f>C35+15</f>
        <v>73.5</v>
      </c>
      <c r="D36" s="70">
        <f>D35+'Raw Cost'!F3</f>
        <v>47.55833333333333</v>
      </c>
      <c r="E36" s="70"/>
      <c r="F36" s="70"/>
      <c r="G36" s="70"/>
      <c r="H36" s="69">
        <f t="shared" si="0"/>
        <v>25.94166666666667</v>
      </c>
      <c r="I36" s="71">
        <f t="shared" si="1"/>
        <v>0.54547047485544076</v>
      </c>
    </row>
    <row r="37" spans="1:9" ht="37" customHeight="1" x14ac:dyDescent="0.2">
      <c r="A37" s="77">
        <v>2458</v>
      </c>
      <c r="B37" s="74" t="s">
        <v>702</v>
      </c>
      <c r="C37" s="75">
        <v>42</v>
      </c>
      <c r="D37" s="70">
        <f>'Master Item List'!M10</f>
        <v>31.308333333333337</v>
      </c>
      <c r="E37" s="70">
        <f>'Master Item List'!T10</f>
        <v>40.75</v>
      </c>
      <c r="F37" s="70">
        <f>'Master Item List'!U10</f>
        <v>42.25</v>
      </c>
      <c r="G37" s="70">
        <f>'Master Item List'!V10</f>
        <v>43.75</v>
      </c>
      <c r="H37" s="69">
        <f t="shared" si="0"/>
        <v>10.691666666666663</v>
      </c>
      <c r="I37" s="71">
        <f t="shared" si="1"/>
        <v>0.34149587436784651</v>
      </c>
    </row>
    <row r="38" spans="1:9" ht="37" hidden="1" customHeight="1" x14ac:dyDescent="0.2">
      <c r="A38" s="77">
        <v>2422</v>
      </c>
      <c r="B38" s="74" t="s">
        <v>703</v>
      </c>
      <c r="C38" s="75">
        <f>C45+15</f>
        <v>44.75</v>
      </c>
      <c r="D38" s="70">
        <f>D45+'Raw Cost'!F1</f>
        <v>28.397222222222222</v>
      </c>
      <c r="E38" s="70"/>
      <c r="F38" s="70"/>
      <c r="G38" s="70"/>
      <c r="H38" s="69">
        <f t="shared" si="0"/>
        <v>16.352777777777778</v>
      </c>
      <c r="I38" s="71">
        <f t="shared" si="1"/>
        <v>0.57585835860314971</v>
      </c>
    </row>
    <row r="39" spans="1:9" ht="37" hidden="1" customHeight="1" x14ac:dyDescent="0.2">
      <c r="A39" s="77">
        <v>2440</v>
      </c>
      <c r="B39" s="74" t="s">
        <v>704</v>
      </c>
      <c r="C39" s="75">
        <f>C45+15</f>
        <v>44.75</v>
      </c>
      <c r="D39" s="70">
        <f>D45+'Raw Cost'!F3</f>
        <v>22.697222222222223</v>
      </c>
      <c r="E39" s="70"/>
      <c r="F39" s="70"/>
      <c r="G39" s="70"/>
      <c r="H39" s="69">
        <f t="shared" si="0"/>
        <v>22.052777777777777</v>
      </c>
      <c r="I39" s="71">
        <f t="shared" si="1"/>
        <v>0.97160690245991921</v>
      </c>
    </row>
    <row r="40" spans="1:9" ht="37" customHeight="1" x14ac:dyDescent="0.2">
      <c r="A40" s="77">
        <v>1193</v>
      </c>
      <c r="B40" s="74" t="s">
        <v>705</v>
      </c>
      <c r="C40" s="75">
        <v>27.5</v>
      </c>
      <c r="D40" s="70">
        <f>'Master Item List'!M181</f>
        <v>17.669444444444444</v>
      </c>
      <c r="E40" s="70">
        <f>'Master Item List'!T181</f>
        <v>23</v>
      </c>
      <c r="F40" s="70">
        <f>'Master Item List'!U181</f>
        <v>23.75</v>
      </c>
      <c r="G40" s="70">
        <f>'Master Item List'!V181</f>
        <v>24.75</v>
      </c>
      <c r="H40" s="69">
        <f t="shared" si="0"/>
        <v>9.8305555555555557</v>
      </c>
      <c r="I40" s="71">
        <f t="shared" si="1"/>
        <v>0.5563590630404025</v>
      </c>
    </row>
    <row r="41" spans="1:9" ht="37" customHeight="1" x14ac:dyDescent="0.2">
      <c r="A41" s="77">
        <v>4751</v>
      </c>
      <c r="B41" s="74" t="s">
        <v>706</v>
      </c>
      <c r="C41" s="75">
        <v>37</v>
      </c>
      <c r="D41" s="70">
        <f>'Master Item List'!M182</f>
        <v>24.613888888888891</v>
      </c>
      <c r="E41" s="70" cm="1">
        <f t="array" ref="E41:G41">'Master Item List'!T182:V182</f>
        <v>32</v>
      </c>
      <c r="F41" s="70">
        <v>33.25</v>
      </c>
      <c r="G41" s="70">
        <v>34.5</v>
      </c>
      <c r="H41" s="69">
        <f t="shared" si="0"/>
        <v>12.386111111111109</v>
      </c>
      <c r="I41" s="71">
        <f t="shared" si="1"/>
        <v>0.50321634127073678</v>
      </c>
    </row>
    <row r="42" spans="1:9" ht="37" customHeight="1" x14ac:dyDescent="0.2">
      <c r="A42" s="77">
        <v>1197</v>
      </c>
      <c r="B42" s="74" t="s">
        <v>707</v>
      </c>
      <c r="C42" s="75">
        <v>30</v>
      </c>
      <c r="D42" s="70">
        <f>'Master Item List'!M14</f>
        <v>20.463095238095235</v>
      </c>
      <c r="E42" s="70">
        <f>'Master Item List'!T14</f>
        <v>26.5</v>
      </c>
      <c r="F42" s="70">
        <f>'Master Item List'!U14</f>
        <v>27.75</v>
      </c>
      <c r="G42" s="70">
        <f>'Master Item List'!V14</f>
        <v>28.75</v>
      </c>
      <c r="H42" s="69">
        <f t="shared" si="0"/>
        <v>9.5369047619047649</v>
      </c>
      <c r="I42" s="71">
        <f t="shared" si="1"/>
        <v>0.46605387166210971</v>
      </c>
    </row>
    <row r="43" spans="1:9" ht="37" hidden="1" customHeight="1" x14ac:dyDescent="0.2">
      <c r="A43" s="77">
        <v>2409</v>
      </c>
      <c r="B43" s="74" t="s">
        <v>708</v>
      </c>
      <c r="C43" s="75">
        <f>C40+15</f>
        <v>42.5</v>
      </c>
      <c r="D43" s="70">
        <f>D40+'Raw Cost'!F1</f>
        <v>26.869444444444444</v>
      </c>
      <c r="E43" s="70"/>
      <c r="F43" s="70"/>
      <c r="G43" s="70"/>
      <c r="H43" s="69">
        <f t="shared" si="0"/>
        <v>15.630555555555556</v>
      </c>
      <c r="I43" s="71">
        <f t="shared" si="1"/>
        <v>0.58172231985940248</v>
      </c>
    </row>
    <row r="44" spans="1:9" ht="37" hidden="1" customHeight="1" x14ac:dyDescent="0.2">
      <c r="A44" s="77">
        <v>1189</v>
      </c>
      <c r="B44" s="74" t="s">
        <v>709</v>
      </c>
      <c r="C44" s="75">
        <f>C40+15</f>
        <v>42.5</v>
      </c>
      <c r="D44" s="70">
        <f>D40+'Raw Cost'!F3</f>
        <v>21.169444444444444</v>
      </c>
      <c r="E44" s="70"/>
      <c r="F44" s="70"/>
      <c r="G44" s="70"/>
      <c r="H44" s="69">
        <f t="shared" si="0"/>
        <v>21.330555555555556</v>
      </c>
      <c r="I44" s="71">
        <f t="shared" si="1"/>
        <v>1.0076105497966146</v>
      </c>
    </row>
    <row r="45" spans="1:9" ht="37" customHeight="1" x14ac:dyDescent="0.2">
      <c r="A45" s="77">
        <v>2031</v>
      </c>
      <c r="B45" s="74" t="s">
        <v>710</v>
      </c>
      <c r="C45" s="75">
        <v>29.75</v>
      </c>
      <c r="D45" s="70">
        <f>'Combo Pricing'!F8</f>
        <v>19.197222222222223</v>
      </c>
      <c r="E45" s="70">
        <f>'Combo Pricing'!L8</f>
        <v>27.25</v>
      </c>
      <c r="F45" s="70">
        <f>'Combo Pricing'!M8</f>
        <v>28.25</v>
      </c>
      <c r="G45" s="70">
        <f>'Combo Pricing'!N8</f>
        <v>29.25</v>
      </c>
      <c r="H45" s="69">
        <f t="shared" si="0"/>
        <v>10.552777777777777</v>
      </c>
      <c r="I45" s="71">
        <f t="shared" si="1"/>
        <v>0.54970337143683978</v>
      </c>
    </row>
    <row r="46" spans="1:9" ht="37" hidden="1" customHeight="1" x14ac:dyDescent="0.2">
      <c r="A46" s="77">
        <v>3260</v>
      </c>
      <c r="B46" s="74" t="s">
        <v>711</v>
      </c>
      <c r="C46" s="75">
        <f>C48+15</f>
        <v>45.5</v>
      </c>
      <c r="D46" s="70">
        <f>D48+'Raw Cost'!F1</f>
        <v>28.952777777777779</v>
      </c>
      <c r="E46" s="70"/>
      <c r="F46" s="70"/>
      <c r="G46" s="70"/>
      <c r="H46" s="69">
        <f t="shared" si="0"/>
        <v>16.547222222222221</v>
      </c>
      <c r="I46" s="71">
        <f t="shared" si="1"/>
        <v>0.57152451309603758</v>
      </c>
    </row>
    <row r="47" spans="1:9" ht="37" hidden="1" customHeight="1" x14ac:dyDescent="0.2">
      <c r="A47" s="77">
        <v>3261</v>
      </c>
      <c r="B47" s="74" t="s">
        <v>712</v>
      </c>
      <c r="C47" s="75">
        <f>C48+15</f>
        <v>45.5</v>
      </c>
      <c r="D47" s="70">
        <f>D48+'Raw Cost'!F3</f>
        <v>23.25277777777778</v>
      </c>
      <c r="E47" s="70"/>
      <c r="F47" s="70"/>
      <c r="G47" s="70"/>
      <c r="H47" s="69">
        <f t="shared" si="0"/>
        <v>22.24722222222222</v>
      </c>
      <c r="I47" s="71">
        <f t="shared" si="1"/>
        <v>0.95675546529685807</v>
      </c>
    </row>
    <row r="48" spans="1:9" ht="37" customHeight="1" x14ac:dyDescent="0.2">
      <c r="A48" s="77">
        <v>3259</v>
      </c>
      <c r="B48" s="74" t="s">
        <v>713</v>
      </c>
      <c r="C48" s="75">
        <v>30.5</v>
      </c>
      <c r="D48" s="70">
        <f>'Combo Pricing'!F9</f>
        <v>19.75277777777778</v>
      </c>
      <c r="E48" s="70">
        <f>'Combo Pricing'!L9</f>
        <v>28</v>
      </c>
      <c r="F48" s="70">
        <f>'Combo Pricing'!M9</f>
        <v>29</v>
      </c>
      <c r="G48" s="70">
        <f>'Combo Pricing'!N9</f>
        <v>30</v>
      </c>
      <c r="H48" s="69">
        <f t="shared" si="0"/>
        <v>10.74722222222222</v>
      </c>
      <c r="I48" s="71">
        <f t="shared" si="1"/>
        <v>0.54408662635353655</v>
      </c>
    </row>
    <row r="49" spans="1:9" ht="37" customHeight="1" x14ac:dyDescent="0.2">
      <c r="A49" s="77">
        <v>3262</v>
      </c>
      <c r="B49" s="74" t="s">
        <v>714</v>
      </c>
      <c r="C49" s="75">
        <v>35.75</v>
      </c>
      <c r="D49" s="70">
        <f>'Combo Pricing'!F10</f>
        <v>22.87777777777778</v>
      </c>
      <c r="E49" s="70">
        <f>'Combo Pricing'!L10</f>
        <v>32</v>
      </c>
      <c r="F49" s="70">
        <f>'Combo Pricing'!M10</f>
        <v>33.25</v>
      </c>
      <c r="G49" s="70">
        <f>'Combo Pricing'!N10</f>
        <v>34.25</v>
      </c>
      <c r="H49" s="69">
        <f t="shared" ref="H49:H81" si="4">C49-D49</f>
        <v>12.87222222222222</v>
      </c>
      <c r="I49" s="71">
        <f t="shared" ref="I49:I81" si="5">H49/D49</f>
        <v>0.56265177270519651</v>
      </c>
    </row>
    <row r="50" spans="1:9" ht="37" hidden="1" customHeight="1" x14ac:dyDescent="0.2">
      <c r="A50" s="77">
        <v>3263</v>
      </c>
      <c r="B50" s="74" t="s">
        <v>715</v>
      </c>
      <c r="C50" s="75">
        <f>C49+15</f>
        <v>50.75</v>
      </c>
      <c r="D50" s="70">
        <f>D49+'Raw Cost'!F1</f>
        <v>32.077777777777783</v>
      </c>
      <c r="E50" s="70"/>
      <c r="F50" s="70"/>
      <c r="G50" s="70"/>
      <c r="H50" s="69">
        <f t="shared" si="4"/>
        <v>18.672222222222217</v>
      </c>
      <c r="I50" s="71">
        <f t="shared" si="5"/>
        <v>0.58209213716660868</v>
      </c>
    </row>
    <row r="51" spans="1:9" ht="37" hidden="1" customHeight="1" x14ac:dyDescent="0.2">
      <c r="A51" s="77">
        <v>3264</v>
      </c>
      <c r="B51" s="74" t="s">
        <v>716</v>
      </c>
      <c r="C51" s="75">
        <f>C49+15</f>
        <v>50.75</v>
      </c>
      <c r="D51" s="70">
        <f>D49+'Raw Cost'!F3</f>
        <v>26.37777777777778</v>
      </c>
      <c r="E51" s="70"/>
      <c r="F51" s="70"/>
      <c r="G51" s="70"/>
      <c r="H51" s="69">
        <f t="shared" si="4"/>
        <v>24.37222222222222</v>
      </c>
      <c r="I51" s="71">
        <f t="shared" si="5"/>
        <v>0.92396798652064016</v>
      </c>
    </row>
    <row r="52" spans="1:9" ht="37" customHeight="1" x14ac:dyDescent="0.2">
      <c r="A52" s="77">
        <v>4581</v>
      </c>
      <c r="B52" s="74" t="s">
        <v>717</v>
      </c>
      <c r="C52" s="75">
        <v>75</v>
      </c>
      <c r="D52" s="70">
        <f>'Master Item List'!M16</f>
        <v>54.725000000000001</v>
      </c>
      <c r="E52" s="70">
        <f>'Master Item List'!T16</f>
        <v>71.25</v>
      </c>
      <c r="F52" s="70">
        <f>'Master Item List'!U16</f>
        <v>74</v>
      </c>
      <c r="G52" s="70">
        <f>'Master Item List'!V16</f>
        <v>76.5</v>
      </c>
      <c r="H52" s="69">
        <f t="shared" si="4"/>
        <v>20.274999999999999</v>
      </c>
      <c r="I52" s="71">
        <f t="shared" si="5"/>
        <v>0.3704888076747373</v>
      </c>
    </row>
    <row r="53" spans="1:9" ht="37" customHeight="1" x14ac:dyDescent="0.2">
      <c r="A53" s="77">
        <v>1429</v>
      </c>
      <c r="B53" s="74" t="s">
        <v>718</v>
      </c>
      <c r="C53" s="75">
        <v>75</v>
      </c>
      <c r="D53" s="70">
        <f>D52</f>
        <v>54.725000000000001</v>
      </c>
      <c r="E53" s="70">
        <f>E52</f>
        <v>71.25</v>
      </c>
      <c r="F53" s="70">
        <f>F52</f>
        <v>74</v>
      </c>
      <c r="G53" s="70">
        <f>G52</f>
        <v>76.5</v>
      </c>
      <c r="H53" s="69">
        <f t="shared" si="4"/>
        <v>20.274999999999999</v>
      </c>
      <c r="I53" s="71">
        <f t="shared" si="5"/>
        <v>0.3704888076747373</v>
      </c>
    </row>
    <row r="54" spans="1:9" ht="37" customHeight="1" x14ac:dyDescent="0.2">
      <c r="A54" s="77">
        <v>1446</v>
      </c>
      <c r="B54" s="74" t="s">
        <v>719</v>
      </c>
      <c r="C54" s="75">
        <v>75</v>
      </c>
      <c r="D54" s="70">
        <f>'Master Item List'!M15</f>
        <v>45.325000000000003</v>
      </c>
      <c r="E54" s="70">
        <f>'Master Item List'!T15</f>
        <v>59</v>
      </c>
      <c r="F54" s="70">
        <f>'Master Item List'!U15</f>
        <v>61.25</v>
      </c>
      <c r="G54" s="70">
        <f>'Master Item List'!V15</f>
        <v>63.5</v>
      </c>
      <c r="H54" s="69">
        <f t="shared" si="4"/>
        <v>29.674999999999997</v>
      </c>
      <c r="I54" s="71">
        <f t="shared" si="5"/>
        <v>0.65471594043022607</v>
      </c>
    </row>
    <row r="55" spans="1:9" ht="37" customHeight="1" x14ac:dyDescent="0.2">
      <c r="A55" s="73">
        <v>515</v>
      </c>
      <c r="B55" s="74" t="s">
        <v>720</v>
      </c>
      <c r="C55" s="75">
        <v>19</v>
      </c>
      <c r="D55" s="70">
        <f>'Master Item List'!M18</f>
        <v>14.832142857142857</v>
      </c>
      <c r="E55" s="70">
        <f>'Master Item List'!T18</f>
        <v>19.25</v>
      </c>
      <c r="F55" s="70">
        <f>'Master Item List'!U18</f>
        <v>20</v>
      </c>
      <c r="G55" s="70">
        <f>'Master Item List'!V18</f>
        <v>20.75</v>
      </c>
      <c r="H55" s="69">
        <f t="shared" si="4"/>
        <v>4.1678571428571427</v>
      </c>
      <c r="I55" s="71">
        <f t="shared" si="5"/>
        <v>0.28100168552853355</v>
      </c>
    </row>
    <row r="56" spans="1:9" ht="37" customHeight="1" x14ac:dyDescent="0.2">
      <c r="A56" s="78">
        <v>4709</v>
      </c>
      <c r="B56" s="74" t="s">
        <v>721</v>
      </c>
      <c r="C56" s="75">
        <v>16.75</v>
      </c>
      <c r="D56" s="70">
        <f>'Master Item List'!M45</f>
        <v>14.832142857142857</v>
      </c>
      <c r="E56" s="70">
        <f>'Master Item List'!T45</f>
        <v>19.25</v>
      </c>
      <c r="F56" s="70">
        <f>'Master Item List'!U45</f>
        <v>20</v>
      </c>
      <c r="G56" s="70">
        <f>'Master Item List'!V45</f>
        <v>20.75</v>
      </c>
      <c r="H56" s="69">
        <f t="shared" si="4"/>
        <v>1.9178571428571427</v>
      </c>
      <c r="I56" s="71">
        <f t="shared" si="5"/>
        <v>0.12930411750541776</v>
      </c>
    </row>
    <row r="57" spans="1:9" ht="37" customHeight="1" x14ac:dyDescent="0.2">
      <c r="A57" s="77">
        <v>4711</v>
      </c>
      <c r="B57" s="74" t="s">
        <v>722</v>
      </c>
      <c r="C57" s="75">
        <v>31.5</v>
      </c>
      <c r="D57" s="70">
        <f>'Master Item List'!M20</f>
        <v>21.689285714285717</v>
      </c>
      <c r="E57" s="70">
        <f>'Master Item List'!T20</f>
        <v>28.25</v>
      </c>
      <c r="F57" s="70">
        <f>'Master Item List'!U20</f>
        <v>29.25</v>
      </c>
      <c r="G57" s="70">
        <f>'Master Item List'!V20</f>
        <v>30.25</v>
      </c>
      <c r="H57" s="69">
        <f t="shared" si="4"/>
        <v>9.8107142857142833</v>
      </c>
      <c r="I57" s="71">
        <f t="shared" si="5"/>
        <v>0.45232998518030609</v>
      </c>
    </row>
    <row r="58" spans="1:9" ht="37" customHeight="1" x14ac:dyDescent="0.2">
      <c r="A58" s="73">
        <v>43</v>
      </c>
      <c r="B58" s="74" t="s">
        <v>723</v>
      </c>
      <c r="C58" s="75">
        <v>31.5</v>
      </c>
      <c r="D58" s="70">
        <f>'Master Item List'!M20</f>
        <v>21.689285714285717</v>
      </c>
      <c r="E58" s="70">
        <f>'Master Item List'!T20</f>
        <v>28.25</v>
      </c>
      <c r="F58" s="70">
        <f>'Master Item List'!U20</f>
        <v>29.25</v>
      </c>
      <c r="G58" s="70">
        <f>'Master Item List'!V20</f>
        <v>30.25</v>
      </c>
      <c r="H58" s="69">
        <f t="shared" si="4"/>
        <v>9.8107142857142833</v>
      </c>
      <c r="I58" s="71">
        <f t="shared" si="5"/>
        <v>0.45232998518030609</v>
      </c>
    </row>
    <row r="59" spans="1:9" ht="37" customHeight="1" x14ac:dyDescent="0.2">
      <c r="A59" s="77">
        <v>3271</v>
      </c>
      <c r="B59" s="74" t="s">
        <v>724</v>
      </c>
      <c r="C59" s="75">
        <v>35.25</v>
      </c>
      <c r="D59" s="70">
        <f>'Combo Pricing'!F11</f>
        <v>24.841241830065361</v>
      </c>
      <c r="E59" s="70">
        <f>'Master Item List'!T21</f>
        <v>54.25</v>
      </c>
      <c r="F59" s="70">
        <f>'Master Item List'!U21</f>
        <v>56.5</v>
      </c>
      <c r="G59" s="70">
        <f>'Master Item List'!V21</f>
        <v>58.5</v>
      </c>
      <c r="H59" s="69">
        <f t="shared" si="4"/>
        <v>10.408758169934639</v>
      </c>
      <c r="I59" s="71">
        <f t="shared" si="5"/>
        <v>0.41901118475232252</v>
      </c>
    </row>
    <row r="60" spans="1:9" ht="37" hidden="1" customHeight="1" x14ac:dyDescent="0.2">
      <c r="A60" s="77">
        <v>3272</v>
      </c>
      <c r="B60" s="74" t="s">
        <v>725</v>
      </c>
      <c r="C60" s="75">
        <f>C59+15</f>
        <v>50.25</v>
      </c>
      <c r="D60" s="70">
        <f>D59+'Raw Cost'!F3</f>
        <v>28.341241830065361</v>
      </c>
      <c r="E60" s="70"/>
      <c r="F60" s="70"/>
      <c r="G60" s="70"/>
      <c r="H60" s="69">
        <f t="shared" si="4"/>
        <v>21.908758169934639</v>
      </c>
      <c r="I60" s="71">
        <f t="shared" si="5"/>
        <v>0.77303451631724474</v>
      </c>
    </row>
    <row r="61" spans="1:9" ht="37" hidden="1" customHeight="1" x14ac:dyDescent="0.2">
      <c r="A61" s="77">
        <v>3270</v>
      </c>
      <c r="B61" s="74" t="s">
        <v>726</v>
      </c>
      <c r="C61" s="75">
        <f>C67+15</f>
        <v>46.75</v>
      </c>
      <c r="D61" s="70">
        <f>D67+'Raw Cost'!F3</f>
        <v>24.668676470588238</v>
      </c>
      <c r="E61" s="70"/>
      <c r="F61" s="70"/>
      <c r="G61" s="70"/>
      <c r="H61" s="69">
        <f t="shared" si="4"/>
        <v>22.081323529411762</v>
      </c>
      <c r="I61" s="71">
        <f t="shared" si="5"/>
        <v>0.89511585900194912</v>
      </c>
    </row>
    <row r="62" spans="1:9" ht="37" hidden="1" customHeight="1" x14ac:dyDescent="0.2">
      <c r="A62" s="77">
        <v>3269</v>
      </c>
      <c r="B62" s="74" t="s">
        <v>727</v>
      </c>
      <c r="C62" s="75">
        <f>C68+15</f>
        <v>49.75</v>
      </c>
      <c r="D62" s="70">
        <f>D68+'Raw Cost'!F3</f>
        <v>27.288529411764706</v>
      </c>
      <c r="E62" s="70"/>
      <c r="F62" s="70"/>
      <c r="G62" s="70"/>
      <c r="H62" s="69">
        <f t="shared" si="4"/>
        <v>22.461470588235294</v>
      </c>
      <c r="I62" s="71">
        <f t="shared" si="5"/>
        <v>0.82311033509015852</v>
      </c>
    </row>
    <row r="63" spans="1:9" ht="37" customHeight="1" x14ac:dyDescent="0.2">
      <c r="A63" s="77">
        <v>2815</v>
      </c>
      <c r="B63" s="74" t="s">
        <v>728</v>
      </c>
      <c r="C63" s="75">
        <v>31.75</v>
      </c>
      <c r="D63" s="70">
        <f>'Master Item List'!M184</f>
        <v>21.647352941176472</v>
      </c>
      <c r="E63" s="70">
        <f>'Master Item List'!T184</f>
        <v>28.25</v>
      </c>
      <c r="F63" s="70">
        <f>'Master Item List'!U184</f>
        <v>29.25</v>
      </c>
      <c r="G63" s="70">
        <f>'Master Item List'!V184</f>
        <v>30.25</v>
      </c>
      <c r="H63" s="69">
        <f t="shared" si="4"/>
        <v>10.102647058823528</v>
      </c>
      <c r="I63" s="71">
        <f t="shared" si="5"/>
        <v>0.46669202864091514</v>
      </c>
    </row>
    <row r="64" spans="1:9" ht="37" hidden="1" customHeight="1" x14ac:dyDescent="0.2">
      <c r="A64" s="77">
        <v>3267</v>
      </c>
      <c r="B64" s="74" t="s">
        <v>729</v>
      </c>
      <c r="C64" s="75">
        <f>C63+15</f>
        <v>46.75</v>
      </c>
      <c r="D64" s="70">
        <f>D63+'Raw Cost'!F3</f>
        <v>25.147352941176472</v>
      </c>
      <c r="E64" s="70"/>
      <c r="F64" s="70"/>
      <c r="G64" s="70"/>
      <c r="H64" s="69">
        <f t="shared" si="4"/>
        <v>21.602647058823528</v>
      </c>
      <c r="I64" s="71">
        <f t="shared" si="5"/>
        <v>0.85904258429725966</v>
      </c>
    </row>
    <row r="65" spans="1:9" ht="37" customHeight="1" x14ac:dyDescent="0.2">
      <c r="A65" s="73">
        <v>978</v>
      </c>
      <c r="B65" s="74" t="s">
        <v>730</v>
      </c>
      <c r="C65" s="75">
        <v>22.75</v>
      </c>
      <c r="D65" s="70">
        <f>'Master Item List'!M22</f>
        <v>14.746111111111111</v>
      </c>
      <c r="E65" s="70">
        <f>'Master Item List'!T22</f>
        <v>19.25</v>
      </c>
      <c r="F65" s="70">
        <f>'Master Item List'!U22</f>
        <v>20</v>
      </c>
      <c r="G65" s="70">
        <f>'Master Item List'!V22</f>
        <v>20.75</v>
      </c>
      <c r="H65" s="69">
        <f t="shared" si="4"/>
        <v>8.0038888888888895</v>
      </c>
      <c r="I65" s="71">
        <f t="shared" si="5"/>
        <v>0.54277964058320471</v>
      </c>
    </row>
    <row r="66" spans="1:9" ht="37" customHeight="1" x14ac:dyDescent="0.2">
      <c r="A66" s="73">
        <v>612</v>
      </c>
      <c r="B66" s="74" t="s">
        <v>731</v>
      </c>
      <c r="C66" s="75">
        <v>22.75</v>
      </c>
      <c r="D66" s="70">
        <f>'Master Item List'!M23</f>
        <v>14.746111111111111</v>
      </c>
      <c r="E66" s="70">
        <f>'Master Item List'!T23</f>
        <v>19.25</v>
      </c>
      <c r="F66" s="70">
        <f>'Master Item List'!U23</f>
        <v>20</v>
      </c>
      <c r="G66" s="70">
        <f>'Master Item List'!V23</f>
        <v>20.75</v>
      </c>
      <c r="H66" s="69">
        <f t="shared" si="4"/>
        <v>8.0038888888888895</v>
      </c>
      <c r="I66" s="71">
        <f t="shared" si="5"/>
        <v>0.54277964058320471</v>
      </c>
    </row>
    <row r="67" spans="1:9" ht="37" customHeight="1" x14ac:dyDescent="0.2">
      <c r="A67" s="77">
        <v>2027</v>
      </c>
      <c r="B67" s="74" t="s">
        <v>732</v>
      </c>
      <c r="C67" s="75">
        <v>31.75</v>
      </c>
      <c r="D67" s="70">
        <f>'Combo Pricing'!F12</f>
        <v>21.168676470588238</v>
      </c>
      <c r="E67" s="70">
        <f>'Combo Pricing'!L12</f>
        <v>29.75</v>
      </c>
      <c r="F67" s="70">
        <f>'Combo Pricing'!M12</f>
        <v>30.75</v>
      </c>
      <c r="G67" s="70">
        <f>'Combo Pricing'!N12</f>
        <v>32</v>
      </c>
      <c r="H67" s="69">
        <f t="shared" si="4"/>
        <v>10.581323529411762</v>
      </c>
      <c r="I67" s="71">
        <f t="shared" si="5"/>
        <v>0.49985758647279882</v>
      </c>
    </row>
    <row r="68" spans="1:9" ht="37" customHeight="1" x14ac:dyDescent="0.2">
      <c r="A68" s="77">
        <v>3268</v>
      </c>
      <c r="B68" s="74" t="s">
        <v>733</v>
      </c>
      <c r="C68" s="75">
        <v>34.75</v>
      </c>
      <c r="D68" s="70">
        <f>'Combo Pricing'!F13</f>
        <v>23.788529411764706</v>
      </c>
      <c r="E68" s="70">
        <f>'Combo Pricing'!L13</f>
        <v>33.25</v>
      </c>
      <c r="F68" s="70">
        <f>'Combo Pricing'!M13</f>
        <v>34.25</v>
      </c>
      <c r="G68" s="70">
        <f>'Combo Pricing'!N13</f>
        <v>35.5</v>
      </c>
      <c r="H68" s="69">
        <f t="shared" si="4"/>
        <v>10.961470588235294</v>
      </c>
      <c r="I68" s="71">
        <f t="shared" si="5"/>
        <v>0.46078807136410277</v>
      </c>
    </row>
    <row r="69" spans="1:9" ht="37" hidden="1" customHeight="1" x14ac:dyDescent="0.2">
      <c r="A69" s="77">
        <v>3278</v>
      </c>
      <c r="B69" s="74" t="s">
        <v>734</v>
      </c>
      <c r="C69" s="75">
        <f>C96+15</f>
        <v>45</v>
      </c>
      <c r="D69" s="70">
        <f>D96+'Raw Cost'!F1</f>
        <v>28.709722222222222</v>
      </c>
      <c r="E69" s="70"/>
      <c r="F69" s="70"/>
      <c r="G69" s="70"/>
      <c r="H69" s="69">
        <f t="shared" si="4"/>
        <v>16.290277777777778</v>
      </c>
      <c r="I69" s="71">
        <f t="shared" si="5"/>
        <v>0.56741328431135407</v>
      </c>
    </row>
    <row r="70" spans="1:9" ht="37" hidden="1" customHeight="1" x14ac:dyDescent="0.2">
      <c r="A70" s="77">
        <v>3279</v>
      </c>
      <c r="B70" s="74" t="s">
        <v>735</v>
      </c>
      <c r="C70" s="75">
        <f>C96+15</f>
        <v>45</v>
      </c>
      <c r="D70" s="70">
        <f>D96+'Raw Cost'!F3</f>
        <v>23.009722222222223</v>
      </c>
      <c r="E70" s="70"/>
      <c r="F70" s="70"/>
      <c r="G70" s="70"/>
      <c r="H70" s="69">
        <f t="shared" si="4"/>
        <v>21.990277777777777</v>
      </c>
      <c r="I70" s="71">
        <f t="shared" si="5"/>
        <v>0.95569505643749619</v>
      </c>
    </row>
    <row r="71" spans="1:9" ht="37" customHeight="1" x14ac:dyDescent="0.2">
      <c r="A71" s="77">
        <v>3284</v>
      </c>
      <c r="B71" s="74" t="s">
        <v>736</v>
      </c>
      <c r="C71" s="75">
        <v>33.5</v>
      </c>
      <c r="D71" s="70">
        <f>'Combo Pricing'!F18</f>
        <v>22.634722222222223</v>
      </c>
      <c r="E71" s="70">
        <f>'Combo Pricing'!L18</f>
        <v>31.75</v>
      </c>
      <c r="F71" s="70">
        <f>'Combo Pricing'!M18</f>
        <v>32.75</v>
      </c>
      <c r="G71" s="70">
        <f>'Combo Pricing'!N18</f>
        <v>34</v>
      </c>
      <c r="H71" s="69">
        <f t="shared" si="4"/>
        <v>10.865277777777777</v>
      </c>
      <c r="I71" s="71">
        <f t="shared" si="5"/>
        <v>0.48002699883414124</v>
      </c>
    </row>
    <row r="72" spans="1:9" ht="37" hidden="1" customHeight="1" x14ac:dyDescent="0.2">
      <c r="A72" s="77">
        <v>3285</v>
      </c>
      <c r="B72" s="74" t="s">
        <v>737</v>
      </c>
      <c r="C72" s="75">
        <f>C71+15</f>
        <v>48.5</v>
      </c>
      <c r="D72" s="70">
        <f>D71+'Raw Cost'!F1</f>
        <v>31.834722222222222</v>
      </c>
      <c r="E72" s="70"/>
      <c r="F72" s="70"/>
      <c r="G72" s="70"/>
      <c r="H72" s="69">
        <f t="shared" si="4"/>
        <v>16.665277777777778</v>
      </c>
      <c r="I72" s="71">
        <f t="shared" si="5"/>
        <v>0.52349373936564725</v>
      </c>
    </row>
    <row r="73" spans="1:9" ht="37" hidden="1" customHeight="1" x14ac:dyDescent="0.2">
      <c r="A73" s="77">
        <v>3286</v>
      </c>
      <c r="B73" s="74" t="s">
        <v>738</v>
      </c>
      <c r="C73" s="75">
        <f>C71+15</f>
        <v>48.5</v>
      </c>
      <c r="D73" s="70">
        <f>D71+'Raw Cost'!F3</f>
        <v>26.134722222222223</v>
      </c>
      <c r="E73" s="70"/>
      <c r="F73" s="70"/>
      <c r="G73" s="70"/>
      <c r="H73" s="69">
        <f t="shared" si="4"/>
        <v>22.365277777777777</v>
      </c>
      <c r="I73" s="71">
        <f t="shared" si="5"/>
        <v>0.85576871977467184</v>
      </c>
    </row>
    <row r="74" spans="1:9" ht="37" customHeight="1" x14ac:dyDescent="0.2">
      <c r="A74" s="77">
        <v>4752</v>
      </c>
      <c r="B74" s="74" t="s">
        <v>739</v>
      </c>
      <c r="C74" s="75">
        <v>32.5</v>
      </c>
      <c r="D74" s="70">
        <f>'Master Item List'!M175</f>
        <v>26.56666666666667</v>
      </c>
      <c r="E74" s="70">
        <f>'Master Item List'!T175</f>
        <v>34.5</v>
      </c>
      <c r="F74" s="70">
        <f>'Master Item List'!U175</f>
        <v>35.75</v>
      </c>
      <c r="G74" s="70">
        <f>'Master Item List'!V175</f>
        <v>37.25</v>
      </c>
      <c r="H74" s="69">
        <f t="shared" si="4"/>
        <v>5.93333333333333</v>
      </c>
      <c r="I74" s="71">
        <f t="shared" si="5"/>
        <v>0.22333751568381416</v>
      </c>
    </row>
    <row r="75" spans="1:9" ht="37" customHeight="1" x14ac:dyDescent="0.2">
      <c r="A75" s="77">
        <v>3274</v>
      </c>
      <c r="B75" s="74" t="s">
        <v>740</v>
      </c>
      <c r="C75" s="75">
        <v>22</v>
      </c>
      <c r="D75" s="70">
        <f>'Master Item List'!M190</f>
        <v>14.4359375</v>
      </c>
      <c r="E75" s="70">
        <f>'Master Item List'!T190</f>
        <v>18.75</v>
      </c>
      <c r="F75" s="70">
        <f>'Master Item List'!U190</f>
        <v>19.5</v>
      </c>
      <c r="G75" s="70">
        <f>'Master Item List'!V190</f>
        <v>20.25</v>
      </c>
      <c r="H75" s="69">
        <f t="shared" si="4"/>
        <v>7.5640625000000004</v>
      </c>
      <c r="I75" s="71">
        <f t="shared" si="5"/>
        <v>0.52397445610996862</v>
      </c>
    </row>
    <row r="76" spans="1:9" ht="37" hidden="1" customHeight="1" x14ac:dyDescent="0.2">
      <c r="A76" s="77">
        <v>3275</v>
      </c>
      <c r="B76" s="74" t="s">
        <v>741</v>
      </c>
      <c r="C76" s="75">
        <f>C75+15</f>
        <v>37</v>
      </c>
      <c r="D76" s="70">
        <f>D75+'Raw Cost'!F1</f>
        <v>23.635937499999997</v>
      </c>
      <c r="E76" s="70"/>
      <c r="F76" s="70"/>
      <c r="G76" s="70"/>
      <c r="H76" s="69">
        <f t="shared" si="4"/>
        <v>13.364062500000003</v>
      </c>
      <c r="I76" s="71">
        <f t="shared" si="5"/>
        <v>0.56541283797183861</v>
      </c>
    </row>
    <row r="77" spans="1:9" ht="37" hidden="1" customHeight="1" x14ac:dyDescent="0.2">
      <c r="A77" s="77">
        <v>3276</v>
      </c>
      <c r="B77" s="74" t="s">
        <v>742</v>
      </c>
      <c r="C77" s="75">
        <f>C75+15</f>
        <v>37</v>
      </c>
      <c r="D77" s="70">
        <f>D75+'Raw Cost'!F3</f>
        <v>17.935937500000001</v>
      </c>
      <c r="E77" s="70"/>
      <c r="F77" s="70"/>
      <c r="G77" s="70"/>
      <c r="H77" s="69">
        <f t="shared" si="4"/>
        <v>19.064062499999999</v>
      </c>
      <c r="I77" s="71">
        <f t="shared" si="5"/>
        <v>1.0628974649359699</v>
      </c>
    </row>
    <row r="78" spans="1:9" ht="37" hidden="1" customHeight="1" x14ac:dyDescent="0.2">
      <c r="A78" s="77">
        <v>2410</v>
      </c>
      <c r="B78" s="74" t="s">
        <v>743</v>
      </c>
      <c r="C78" s="75">
        <f>C81+15</f>
        <v>38.5</v>
      </c>
      <c r="D78" s="70">
        <f>D81+'Raw Cost'!F1</f>
        <v>26.383333333333333</v>
      </c>
      <c r="E78" s="70"/>
      <c r="F78" s="70"/>
      <c r="G78" s="70"/>
      <c r="H78" s="69">
        <f t="shared" si="4"/>
        <v>12.116666666666667</v>
      </c>
      <c r="I78" s="71">
        <f t="shared" si="5"/>
        <v>0.45925457991156038</v>
      </c>
    </row>
    <row r="79" spans="1:9" ht="37" hidden="1" customHeight="1" x14ac:dyDescent="0.2">
      <c r="A79" s="77">
        <v>3280</v>
      </c>
      <c r="B79" s="74" t="s">
        <v>744</v>
      </c>
      <c r="C79" s="75">
        <f>C81+15</f>
        <v>38.5</v>
      </c>
      <c r="D79" s="70">
        <f>D81+'Raw Cost'!F3</f>
        <v>20.683333333333334</v>
      </c>
      <c r="E79" s="70"/>
      <c r="F79" s="70"/>
      <c r="G79" s="70"/>
      <c r="H79" s="69">
        <f t="shared" si="4"/>
        <v>17.816666666666666</v>
      </c>
      <c r="I79" s="71">
        <f t="shared" si="5"/>
        <v>0.86140209508460919</v>
      </c>
    </row>
    <row r="80" spans="1:9" ht="37" customHeight="1" x14ac:dyDescent="0.2">
      <c r="A80" s="77">
        <v>1275</v>
      </c>
      <c r="B80" s="74" t="s">
        <v>745</v>
      </c>
      <c r="C80" s="75">
        <v>32.5</v>
      </c>
      <c r="D80" s="70">
        <f>'Master Item List'!M175</f>
        <v>26.56666666666667</v>
      </c>
      <c r="E80" s="70">
        <f>'Master Item List'!T175</f>
        <v>34.5</v>
      </c>
      <c r="F80" s="70">
        <f>'Master Item List'!U175</f>
        <v>35.75</v>
      </c>
      <c r="G80" s="70">
        <f>'Master Item List'!V175</f>
        <v>37.25</v>
      </c>
      <c r="H80" s="69">
        <f t="shared" si="4"/>
        <v>5.93333333333333</v>
      </c>
      <c r="I80" s="71">
        <f t="shared" si="5"/>
        <v>0.22333751568381416</v>
      </c>
    </row>
    <row r="81" spans="1:9" ht="37" customHeight="1" x14ac:dyDescent="0.2">
      <c r="A81" s="73">
        <v>86</v>
      </c>
      <c r="B81" s="74" t="s">
        <v>746</v>
      </c>
      <c r="C81" s="75">
        <v>23.5</v>
      </c>
      <c r="D81" s="70">
        <f>'Master Item List'!M186</f>
        <v>17.183333333333334</v>
      </c>
      <c r="E81" s="70">
        <f>'Master Item List'!T186</f>
        <v>22.25</v>
      </c>
      <c r="F81" s="70">
        <f>'Master Item List'!U186</f>
        <v>23.25</v>
      </c>
      <c r="G81" s="70">
        <f>'Master Item List'!V186</f>
        <v>24</v>
      </c>
      <c r="H81" s="69">
        <f t="shared" si="4"/>
        <v>6.3166666666666664</v>
      </c>
      <c r="I81" s="71">
        <f t="shared" si="5"/>
        <v>0.36760426770126087</v>
      </c>
    </row>
    <row r="82" spans="1:9" ht="37" customHeight="1" x14ac:dyDescent="0.2">
      <c r="A82" s="73">
        <v>36</v>
      </c>
      <c r="B82" s="74" t="s">
        <v>747</v>
      </c>
      <c r="C82" s="75">
        <v>28</v>
      </c>
      <c r="D82" s="70">
        <f>'Master Item List'!M30</f>
        <v>19.490151515151517</v>
      </c>
      <c r="E82" s="70">
        <f>'Master Item List'!T187</f>
        <v>25.25</v>
      </c>
      <c r="F82" s="70">
        <f>'Master Item List'!U187</f>
        <v>26.25</v>
      </c>
      <c r="G82" s="70">
        <f>'Master Item List'!V187</f>
        <v>27.25</v>
      </c>
      <c r="H82" s="69">
        <f t="shared" ref="H82:H84" si="6">C82-D82</f>
        <v>8.509848484848483</v>
      </c>
      <c r="I82" s="71">
        <f t="shared" ref="I82:I84" si="7">H82/D82</f>
        <v>0.43662300307070379</v>
      </c>
    </row>
    <row r="83" spans="1:9" ht="37" customHeight="1" x14ac:dyDescent="0.2">
      <c r="A83" s="73">
        <v>479</v>
      </c>
      <c r="B83" s="74" t="s">
        <v>748</v>
      </c>
      <c r="C83" s="75">
        <v>19.75</v>
      </c>
      <c r="D83" s="70">
        <f>'Master Item List'!M31</f>
        <v>13.532575757575758</v>
      </c>
      <c r="E83" s="70">
        <f>'Master Item List'!T31</f>
        <v>17.5</v>
      </c>
      <c r="F83" s="70">
        <f>'Master Item List'!U31</f>
        <v>18.25</v>
      </c>
      <c r="G83" s="70">
        <f>'Master Item List'!V31</f>
        <v>19</v>
      </c>
      <c r="H83" s="69">
        <f t="shared" si="6"/>
        <v>6.2174242424242419</v>
      </c>
      <c r="I83" s="71">
        <f t="shared" si="7"/>
        <v>0.45944130325253313</v>
      </c>
    </row>
    <row r="84" spans="1:9" ht="37" customHeight="1" x14ac:dyDescent="0.2">
      <c r="A84" s="73">
        <v>51</v>
      </c>
      <c r="B84" s="74" t="s">
        <v>749</v>
      </c>
      <c r="C84" s="75">
        <v>26</v>
      </c>
      <c r="D84" s="70">
        <f>'Master Item List'!M33</f>
        <v>18.832142857142856</v>
      </c>
      <c r="E84" s="70">
        <f>'Master Item List'!T33</f>
        <v>24.5</v>
      </c>
      <c r="F84" s="70">
        <f>'Master Item List'!U33</f>
        <v>25.5</v>
      </c>
      <c r="G84" s="70">
        <f>'Master Item List'!V33</f>
        <v>26.25</v>
      </c>
      <c r="H84" s="69">
        <f t="shared" si="6"/>
        <v>7.1678571428571445</v>
      </c>
      <c r="I84" s="71">
        <f t="shared" si="7"/>
        <v>0.38061824388393717</v>
      </c>
    </row>
    <row r="85" spans="1:9" ht="37" customHeight="1" x14ac:dyDescent="0.2">
      <c r="A85" s="77">
        <v>1402</v>
      </c>
      <c r="B85" s="74" t="s">
        <v>750</v>
      </c>
      <c r="C85" s="75">
        <v>26.75</v>
      </c>
      <c r="D85" s="70">
        <f>'Master Item List'!M187</f>
        <v>19.475000000000001</v>
      </c>
      <c r="E85" s="70">
        <f>'Master Item List'!T187</f>
        <v>25.25</v>
      </c>
      <c r="F85" s="70">
        <f>'Master Item List'!U187</f>
        <v>26.25</v>
      </c>
      <c r="G85" s="70">
        <f>'Master Item List'!V187</f>
        <v>27.25</v>
      </c>
      <c r="H85" s="69">
        <f t="shared" ref="H85:H96" si="8">C85-D85</f>
        <v>7.2749999999999986</v>
      </c>
      <c r="I85" s="71">
        <f t="shared" ref="I85:I96" si="9">H85/D85</f>
        <v>0.37355584082156601</v>
      </c>
    </row>
    <row r="86" spans="1:9" ht="37" hidden="1" customHeight="1" x14ac:dyDescent="0.2">
      <c r="A86" s="77">
        <v>2442</v>
      </c>
      <c r="B86" s="74" t="s">
        <v>751</v>
      </c>
      <c r="C86" s="75">
        <f>C85+15</f>
        <v>41.75</v>
      </c>
      <c r="D86" s="70">
        <f>D85+'Raw Cost'!F3</f>
        <v>22.975000000000001</v>
      </c>
      <c r="E86" s="70"/>
      <c r="F86" s="70"/>
      <c r="G86" s="70"/>
      <c r="H86" s="69">
        <f t="shared" si="8"/>
        <v>18.774999999999999</v>
      </c>
      <c r="I86" s="71">
        <f t="shared" si="9"/>
        <v>0.81719260065288346</v>
      </c>
    </row>
    <row r="87" spans="1:9" ht="37" hidden="1" customHeight="1" x14ac:dyDescent="0.2">
      <c r="A87" s="77">
        <v>2432</v>
      </c>
      <c r="B87" s="74" t="s">
        <v>752</v>
      </c>
      <c r="C87" s="75">
        <f>C85+15</f>
        <v>41.75</v>
      </c>
      <c r="D87" s="70">
        <f>D85+'Raw Cost'!F1</f>
        <v>28.675000000000001</v>
      </c>
      <c r="E87" s="70"/>
      <c r="F87" s="70"/>
      <c r="G87" s="70"/>
      <c r="H87" s="69">
        <f t="shared" si="8"/>
        <v>13.074999999999999</v>
      </c>
      <c r="I87" s="71">
        <f t="shared" si="9"/>
        <v>0.45597210113339143</v>
      </c>
    </row>
    <row r="88" spans="1:9" ht="37" customHeight="1" x14ac:dyDescent="0.2">
      <c r="A88" s="73">
        <v>37</v>
      </c>
      <c r="B88" s="74" t="s">
        <v>753</v>
      </c>
      <c r="C88" s="75">
        <v>33</v>
      </c>
      <c r="D88" s="70">
        <f>'Master Item List'!M27</f>
        <v>20.490151515151517</v>
      </c>
      <c r="E88" s="70">
        <f>'Master Item List'!T27</f>
        <v>26.75</v>
      </c>
      <c r="F88" s="70">
        <f>'Master Item List'!U27</f>
        <v>27.75</v>
      </c>
      <c r="G88" s="70">
        <f>'Master Item List'!V27</f>
        <v>28.75</v>
      </c>
      <c r="H88" s="69">
        <f t="shared" si="8"/>
        <v>12.509848484848483</v>
      </c>
      <c r="I88" s="71">
        <f t="shared" si="9"/>
        <v>0.61052981846415488</v>
      </c>
    </row>
    <row r="89" spans="1:9" ht="37" customHeight="1" x14ac:dyDescent="0.2">
      <c r="A89" s="73">
        <v>418</v>
      </c>
      <c r="B89" s="74" t="s">
        <v>754</v>
      </c>
      <c r="C89" s="75">
        <v>26</v>
      </c>
      <c r="D89" s="70">
        <f>'Master Item List'!M34</f>
        <v>18.832142857142856</v>
      </c>
      <c r="E89" s="70">
        <f>'Master Item List'!T34</f>
        <v>24.5</v>
      </c>
      <c r="F89" s="70">
        <f>'Master Item List'!U34</f>
        <v>25.5</v>
      </c>
      <c r="G89" s="70">
        <f>'Master Item List'!V34</f>
        <v>26.25</v>
      </c>
      <c r="H89" s="69">
        <f t="shared" si="8"/>
        <v>7.1678571428571445</v>
      </c>
      <c r="I89" s="71">
        <f t="shared" si="9"/>
        <v>0.38061824388393717</v>
      </c>
    </row>
    <row r="90" spans="1:9" ht="37" customHeight="1" x14ac:dyDescent="0.2">
      <c r="A90" s="77">
        <v>1406</v>
      </c>
      <c r="B90" s="74" t="s">
        <v>755</v>
      </c>
      <c r="C90" s="75">
        <v>26.75</v>
      </c>
      <c r="D90" s="70">
        <f>'Combo Pricing'!F14</f>
        <v>17.426388888888887</v>
      </c>
      <c r="E90" s="70">
        <f>'Combo Pricing'!L14</f>
        <v>25</v>
      </c>
      <c r="F90" s="70">
        <f>'Combo Pricing'!M14</f>
        <v>25.75</v>
      </c>
      <c r="G90" s="70">
        <f>'Combo Pricing'!N14</f>
        <v>26.75</v>
      </c>
      <c r="H90" s="69">
        <f t="shared" si="8"/>
        <v>9.3236111111111128</v>
      </c>
      <c r="I90" s="71">
        <f t="shared" si="9"/>
        <v>0.53502829361600401</v>
      </c>
    </row>
    <row r="91" spans="1:9" ht="37" hidden="1" customHeight="1" x14ac:dyDescent="0.2">
      <c r="A91" s="77">
        <v>2423</v>
      </c>
      <c r="B91" s="74" t="s">
        <v>756</v>
      </c>
      <c r="C91" s="75">
        <f>C90+15</f>
        <v>41.75</v>
      </c>
      <c r="D91" s="70">
        <f>D90+'Raw Cost'!F1</f>
        <v>26.626388888888886</v>
      </c>
      <c r="E91" s="70"/>
      <c r="F91" s="70"/>
      <c r="G91" s="70"/>
      <c r="H91" s="69">
        <f t="shared" si="8"/>
        <v>15.123611111111114</v>
      </c>
      <c r="I91" s="71">
        <f t="shared" si="9"/>
        <v>0.56799332324865692</v>
      </c>
    </row>
    <row r="92" spans="1:9" ht="37" hidden="1" customHeight="1" x14ac:dyDescent="0.2">
      <c r="A92" s="73">
        <v>393</v>
      </c>
      <c r="B92" s="74" t="s">
        <v>757</v>
      </c>
      <c r="C92" s="75">
        <f>C90+15</f>
        <v>41.75</v>
      </c>
      <c r="D92" s="70">
        <f>D90+'Raw Cost'!F3</f>
        <v>20.926388888888887</v>
      </c>
      <c r="E92" s="70"/>
      <c r="F92" s="70"/>
      <c r="G92" s="70"/>
      <c r="H92" s="69">
        <f t="shared" si="8"/>
        <v>20.823611111111113</v>
      </c>
      <c r="I92" s="71">
        <f t="shared" si="9"/>
        <v>0.9950886042344198</v>
      </c>
    </row>
    <row r="93" spans="1:9" ht="37" customHeight="1" x14ac:dyDescent="0.2">
      <c r="A93" s="77">
        <v>2047</v>
      </c>
      <c r="B93" s="74" t="s">
        <v>758</v>
      </c>
      <c r="C93" s="75">
        <v>24.25</v>
      </c>
      <c r="D93" s="70">
        <f>'Combo Pricing'!F15</f>
        <v>16.532916666666665</v>
      </c>
      <c r="E93" s="70">
        <f>'Combo Pricing'!L15</f>
        <v>23.75</v>
      </c>
      <c r="F93" s="70">
        <f>'Combo Pricing'!M15</f>
        <v>24.5</v>
      </c>
      <c r="G93" s="70">
        <f>'Combo Pricing'!N15</f>
        <v>25.5</v>
      </c>
      <c r="H93" s="69">
        <f t="shared" si="8"/>
        <v>7.7170833333333348</v>
      </c>
      <c r="I93" s="71">
        <f t="shared" si="9"/>
        <v>0.46677083595856766</v>
      </c>
    </row>
    <row r="94" spans="1:9" ht="37" hidden="1" customHeight="1" x14ac:dyDescent="0.2">
      <c r="A94" s="77">
        <v>2424</v>
      </c>
      <c r="B94" s="74" t="s">
        <v>759</v>
      </c>
      <c r="C94" s="75">
        <f>C93+15</f>
        <v>39.25</v>
      </c>
      <c r="D94" s="70">
        <f>D93+'Raw Cost'!F1</f>
        <v>25.732916666666664</v>
      </c>
      <c r="E94" s="70"/>
      <c r="F94" s="70"/>
      <c r="G94" s="70"/>
      <c r="H94" s="69">
        <f t="shared" si="8"/>
        <v>13.517083333333336</v>
      </c>
      <c r="I94" s="71">
        <f t="shared" si="9"/>
        <v>0.5252837643096554</v>
      </c>
    </row>
    <row r="95" spans="1:9" ht="37" hidden="1" customHeight="1" x14ac:dyDescent="0.2">
      <c r="A95" s="77">
        <v>3273</v>
      </c>
      <c r="B95" s="74" t="s">
        <v>760</v>
      </c>
      <c r="C95" s="75">
        <f>C93+15</f>
        <v>39.25</v>
      </c>
      <c r="D95" s="70">
        <f>D93+'Raw Cost'!F3</f>
        <v>20.032916666666665</v>
      </c>
      <c r="E95" s="70"/>
      <c r="F95" s="70"/>
      <c r="G95" s="70"/>
      <c r="H95" s="69">
        <f t="shared" si="8"/>
        <v>19.217083333333335</v>
      </c>
      <c r="I95" s="71">
        <f t="shared" si="9"/>
        <v>0.95927535930447816</v>
      </c>
    </row>
    <row r="96" spans="1:9" ht="37" customHeight="1" x14ac:dyDescent="0.2">
      <c r="A96" s="77">
        <v>3277</v>
      </c>
      <c r="B96" s="74" t="s">
        <v>761</v>
      </c>
      <c r="C96" s="75">
        <v>30</v>
      </c>
      <c r="D96" s="70">
        <f>'Combo Pricing'!F16</f>
        <v>19.509722222222223</v>
      </c>
      <c r="E96" s="70">
        <f>'Combo Pricing'!L16</f>
        <v>27.5</v>
      </c>
      <c r="F96" s="70">
        <f>'Combo Pricing'!M16</f>
        <v>28.5</v>
      </c>
      <c r="G96" s="70">
        <f>'Combo Pricing'!N16</f>
        <v>29.5</v>
      </c>
      <c r="H96" s="69">
        <f t="shared" si="8"/>
        <v>10.490277777777777</v>
      </c>
      <c r="I96" s="71">
        <f t="shared" si="9"/>
        <v>0.53769488146935285</v>
      </c>
    </row>
    <row r="97" spans="1:9" ht="37" hidden="1" customHeight="1" x14ac:dyDescent="0.2">
      <c r="A97" s="77">
        <v>3294</v>
      </c>
      <c r="B97" s="74" t="s">
        <v>762</v>
      </c>
      <c r="C97" s="75">
        <f>C105+'Raw Cost'!F3</f>
        <v>35</v>
      </c>
      <c r="D97" s="70">
        <f>D105+'Raw Cost'!F3</f>
        <v>24.780555555555559</v>
      </c>
      <c r="E97" s="70"/>
      <c r="F97" s="70"/>
      <c r="G97" s="70"/>
      <c r="H97" s="69">
        <f t="shared" ref="H97:H107" si="10">C97-D97</f>
        <v>10.219444444444441</v>
      </c>
      <c r="I97" s="71">
        <f t="shared" ref="I97:I107" si="11">H97/D97</f>
        <v>0.41239771326084501</v>
      </c>
    </row>
    <row r="98" spans="1:9" ht="37" customHeight="1" x14ac:dyDescent="0.2">
      <c r="A98" s="77">
        <v>2037</v>
      </c>
      <c r="B98" s="74" t="s">
        <v>763</v>
      </c>
      <c r="C98" s="75">
        <v>31.75</v>
      </c>
      <c r="D98" s="70">
        <f>'Master Item List'!M192</f>
        <v>20.725000000000001</v>
      </c>
      <c r="E98" s="70">
        <f>'Master Item List'!T192</f>
        <v>27</v>
      </c>
      <c r="F98" s="70">
        <f>'Master Item List'!U192</f>
        <v>28</v>
      </c>
      <c r="G98" s="70">
        <f>'Master Item List'!V192</f>
        <v>29</v>
      </c>
      <c r="H98" s="69">
        <f t="shared" si="10"/>
        <v>11.024999999999999</v>
      </c>
      <c r="I98" s="71">
        <f t="shared" si="11"/>
        <v>0.53196622436670682</v>
      </c>
    </row>
    <row r="99" spans="1:9" ht="37" customHeight="1" x14ac:dyDescent="0.2">
      <c r="A99" s="74">
        <v>4754</v>
      </c>
      <c r="B99" s="74" t="s">
        <v>1067</v>
      </c>
      <c r="C99" s="75">
        <v>44</v>
      </c>
      <c r="D99" s="70">
        <f>'Master Item List'!M194</f>
        <v>30.725000000000001</v>
      </c>
      <c r="E99" s="70" cm="1">
        <f t="array" ref="E99:G99">'Master Item List'!T194:V194</f>
        <v>40</v>
      </c>
      <c r="F99" s="70">
        <v>41.5</v>
      </c>
      <c r="G99" s="70">
        <v>43</v>
      </c>
      <c r="H99" s="69">
        <f t="shared" si="10"/>
        <v>13.274999999999999</v>
      </c>
      <c r="I99" s="71">
        <f t="shared" si="11"/>
        <v>0.43205858421480869</v>
      </c>
    </row>
    <row r="100" spans="1:9" ht="37" customHeight="1" x14ac:dyDescent="0.2">
      <c r="A100" s="73">
        <v>53</v>
      </c>
      <c r="B100" s="74" t="s">
        <v>764</v>
      </c>
      <c r="C100" s="75">
        <v>38.75</v>
      </c>
      <c r="D100" s="70">
        <f>'Master Item List'!M36</f>
        <v>26.024999999999999</v>
      </c>
      <c r="E100" s="70">
        <f>'Master Item List'!T36</f>
        <v>33.75</v>
      </c>
      <c r="F100" s="70">
        <f>'Master Item List'!U36</f>
        <v>35.25</v>
      </c>
      <c r="G100" s="70">
        <f>'Master Item List'!V36</f>
        <v>36.5</v>
      </c>
      <c r="H100" s="69">
        <f t="shared" si="10"/>
        <v>12.725000000000001</v>
      </c>
      <c r="I100" s="71">
        <f t="shared" si="11"/>
        <v>0.48895292987512018</v>
      </c>
    </row>
    <row r="101" spans="1:9" ht="37" hidden="1" customHeight="1" x14ac:dyDescent="0.2">
      <c r="A101" s="77">
        <v>2411</v>
      </c>
      <c r="B101" s="74" t="s">
        <v>765</v>
      </c>
      <c r="C101" s="75">
        <f>C98+15</f>
        <v>46.75</v>
      </c>
      <c r="D101" s="70">
        <f>D98+'Raw Cost'!F1</f>
        <v>29.925000000000001</v>
      </c>
      <c r="E101" s="70"/>
      <c r="F101" s="70"/>
      <c r="G101" s="70"/>
      <c r="H101" s="69">
        <f t="shared" si="10"/>
        <v>16.824999999999999</v>
      </c>
      <c r="I101" s="71">
        <f t="shared" si="11"/>
        <v>0.5622389306599832</v>
      </c>
    </row>
    <row r="102" spans="1:9" ht="37" hidden="1" customHeight="1" x14ac:dyDescent="0.2">
      <c r="A102" s="77">
        <v>3290</v>
      </c>
      <c r="B102" s="74" t="s">
        <v>766</v>
      </c>
      <c r="C102" s="75">
        <f>C98+15</f>
        <v>46.75</v>
      </c>
      <c r="D102" s="70">
        <f>D98+'Raw Cost'!F3</f>
        <v>24.225000000000001</v>
      </c>
      <c r="E102" s="70"/>
      <c r="F102" s="70"/>
      <c r="G102" s="70"/>
      <c r="H102" s="69">
        <f t="shared" si="10"/>
        <v>22.524999999999999</v>
      </c>
      <c r="I102" s="71">
        <f t="shared" si="11"/>
        <v>0.92982456140350866</v>
      </c>
    </row>
    <row r="103" spans="1:9" ht="37" hidden="1" customHeight="1" x14ac:dyDescent="0.2">
      <c r="A103" s="77">
        <v>3178</v>
      </c>
      <c r="B103" s="74" t="s">
        <v>767</v>
      </c>
      <c r="C103" s="75">
        <f>C104+15</f>
        <v>105</v>
      </c>
      <c r="D103" s="70">
        <f>D104+'Raw Cost'!F1</f>
        <v>89.225000000000009</v>
      </c>
      <c r="E103" s="70"/>
      <c r="F103" s="70"/>
      <c r="G103" s="70"/>
      <c r="H103" s="69">
        <f t="shared" si="10"/>
        <v>15.774999999999991</v>
      </c>
      <c r="I103" s="71">
        <f t="shared" si="11"/>
        <v>0.17680022415242352</v>
      </c>
    </row>
    <row r="104" spans="1:9" ht="37" customHeight="1" x14ac:dyDescent="0.2">
      <c r="A104" s="77">
        <v>3157</v>
      </c>
      <c r="B104" s="74" t="s">
        <v>768</v>
      </c>
      <c r="C104" s="75">
        <v>90</v>
      </c>
      <c r="D104" s="70">
        <f>'Combo Pricing'!F42</f>
        <v>80.025000000000006</v>
      </c>
      <c r="E104" s="70">
        <f>'Combo Pricing'!L42</f>
        <v>105</v>
      </c>
      <c r="F104" s="70">
        <f>'Combo Pricing'!M42</f>
        <v>109</v>
      </c>
      <c r="G104" s="70">
        <f>'Combo Pricing'!N42</f>
        <v>113</v>
      </c>
      <c r="H104" s="69">
        <f t="shared" si="10"/>
        <v>9.9749999999999943</v>
      </c>
      <c r="I104" s="71">
        <f t="shared" si="11"/>
        <v>0.12464854732895962</v>
      </c>
    </row>
    <row r="105" spans="1:9" ht="37" customHeight="1" x14ac:dyDescent="0.2">
      <c r="A105" s="77">
        <v>3291</v>
      </c>
      <c r="B105" s="74" t="s">
        <v>769</v>
      </c>
      <c r="C105" s="75">
        <v>31.5</v>
      </c>
      <c r="D105" s="70">
        <f>'Combo Pricing'!F19</f>
        <v>21.280555555555559</v>
      </c>
      <c r="E105" s="70">
        <f>'Combo Pricing'!L19</f>
        <v>30</v>
      </c>
      <c r="F105" s="70">
        <f>'Combo Pricing'!M19</f>
        <v>31</v>
      </c>
      <c r="G105" s="70">
        <f>'Combo Pricing'!N19</f>
        <v>32</v>
      </c>
      <c r="H105" s="69">
        <f t="shared" si="10"/>
        <v>10.219444444444441</v>
      </c>
      <c r="I105" s="71">
        <f t="shared" si="11"/>
        <v>0.48022451377104797</v>
      </c>
    </row>
    <row r="106" spans="1:9" ht="37" hidden="1" customHeight="1" x14ac:dyDescent="0.2">
      <c r="A106" s="77">
        <v>3292</v>
      </c>
      <c r="B106" s="74" t="s">
        <v>770</v>
      </c>
      <c r="C106" s="75">
        <f>C105+15</f>
        <v>46.5</v>
      </c>
      <c r="D106" s="70">
        <f>D105+'Raw Cost'!F1</f>
        <v>30.480555555555558</v>
      </c>
      <c r="E106" s="70"/>
      <c r="F106" s="70"/>
      <c r="G106" s="70"/>
      <c r="H106" s="69">
        <f t="shared" si="10"/>
        <v>16.019444444444442</v>
      </c>
      <c r="I106" s="71">
        <f t="shared" si="11"/>
        <v>0.5255627449193474</v>
      </c>
    </row>
    <row r="107" spans="1:9" ht="37" hidden="1" customHeight="1" x14ac:dyDescent="0.2">
      <c r="A107" s="77">
        <v>3293</v>
      </c>
      <c r="B107" s="74" t="s">
        <v>771</v>
      </c>
      <c r="C107" s="75">
        <f>C104+15</f>
        <v>105</v>
      </c>
      <c r="D107" s="70">
        <f>D104+'Raw Cost'!F3</f>
        <v>83.525000000000006</v>
      </c>
      <c r="E107" s="70"/>
      <c r="F107" s="70"/>
      <c r="G107" s="70"/>
      <c r="H107" s="69">
        <f t="shared" si="10"/>
        <v>21.474999999999994</v>
      </c>
      <c r="I107" s="71">
        <f t="shared" si="11"/>
        <v>0.25710865010475897</v>
      </c>
    </row>
    <row r="108" spans="1:9" ht="37" customHeight="1" x14ac:dyDescent="0.2">
      <c r="A108" s="77">
        <v>2164</v>
      </c>
      <c r="B108" s="74" t="s">
        <v>772</v>
      </c>
      <c r="C108" s="75">
        <v>22.5</v>
      </c>
      <c r="D108" s="70">
        <f>'Master Item List'!M195</f>
        <v>15.8825</v>
      </c>
      <c r="E108" s="70" cm="1">
        <f t="array" ref="E108:G108">'Master Item List'!T195:V195</f>
        <v>20.75</v>
      </c>
      <c r="F108" s="70">
        <v>21.5</v>
      </c>
      <c r="G108" s="70">
        <v>22.25</v>
      </c>
      <c r="H108" s="69">
        <f t="shared" ref="H108:H137" si="12">C108-D108</f>
        <v>6.6174999999999997</v>
      </c>
      <c r="I108" s="71">
        <f t="shared" ref="I108:I137" si="13">H108/D108</f>
        <v>0.41665354950417122</v>
      </c>
    </row>
    <row r="109" spans="1:9" ht="37" customHeight="1" x14ac:dyDescent="0.2">
      <c r="A109" s="73">
        <v>731</v>
      </c>
      <c r="B109" s="74" t="s">
        <v>773</v>
      </c>
      <c r="C109" s="75">
        <v>37.5</v>
      </c>
      <c r="D109" s="70">
        <f>'Master Item List'!M43</f>
        <v>23.274999999999999</v>
      </c>
      <c r="E109" s="70" cm="1">
        <f t="array" ref="E109:G109">'Master Item List'!T43:V43</f>
        <v>30.25</v>
      </c>
      <c r="F109" s="70">
        <v>31.5</v>
      </c>
      <c r="G109" s="70">
        <v>32.5</v>
      </c>
      <c r="H109" s="69">
        <f t="shared" si="12"/>
        <v>14.225000000000001</v>
      </c>
      <c r="I109" s="71">
        <f t="shared" si="13"/>
        <v>0.61117078410311498</v>
      </c>
    </row>
    <row r="110" spans="1:9" ht="37" hidden="1" customHeight="1" x14ac:dyDescent="0.2">
      <c r="A110" s="77">
        <v>2412</v>
      </c>
      <c r="B110" s="74" t="s">
        <v>774</v>
      </c>
      <c r="C110" s="75">
        <f>C108+15</f>
        <v>37.5</v>
      </c>
      <c r="D110" s="70">
        <f>D108+'Raw Cost'!F1</f>
        <v>25.0825</v>
      </c>
      <c r="E110" s="70"/>
      <c r="F110" s="70"/>
      <c r="G110" s="70"/>
      <c r="H110" s="69">
        <f t="shared" si="12"/>
        <v>12.4175</v>
      </c>
      <c r="I110" s="71">
        <f t="shared" si="13"/>
        <v>0.49506628127180308</v>
      </c>
    </row>
    <row r="111" spans="1:9" ht="37" hidden="1" customHeight="1" x14ac:dyDescent="0.2">
      <c r="A111" s="77">
        <v>3295</v>
      </c>
      <c r="B111" s="74" t="s">
        <v>775</v>
      </c>
      <c r="C111" s="75">
        <f>C108+15</f>
        <v>37.5</v>
      </c>
      <c r="D111" s="70">
        <f>D108+'Raw Cost'!F3</f>
        <v>19.3825</v>
      </c>
      <c r="E111" s="70"/>
      <c r="F111" s="70"/>
      <c r="G111" s="70"/>
      <c r="H111" s="69">
        <f t="shared" si="12"/>
        <v>18.1175</v>
      </c>
      <c r="I111" s="71">
        <f t="shared" si="13"/>
        <v>0.93473494131304014</v>
      </c>
    </row>
    <row r="112" spans="1:9" ht="37" customHeight="1" x14ac:dyDescent="0.2">
      <c r="A112" s="77">
        <v>3222</v>
      </c>
      <c r="B112" s="74" t="s">
        <v>776</v>
      </c>
      <c r="C112" s="75">
        <v>22</v>
      </c>
      <c r="D112" s="70">
        <f>'Master Item List'!M42</f>
        <v>15.275</v>
      </c>
      <c r="E112" s="70" cm="1">
        <f t="array" ref="E112:G112">'Master Item List'!T42:V42</f>
        <v>19.75</v>
      </c>
      <c r="F112" s="70">
        <v>20.5</v>
      </c>
      <c r="G112" s="70">
        <v>21.5</v>
      </c>
      <c r="H112" s="69">
        <f t="shared" si="12"/>
        <v>6.7249999999999996</v>
      </c>
      <c r="I112" s="71">
        <f t="shared" si="13"/>
        <v>0.44026186579378063</v>
      </c>
    </row>
    <row r="113" spans="1:9" ht="37" customHeight="1" x14ac:dyDescent="0.2">
      <c r="A113" s="73">
        <v>39</v>
      </c>
      <c r="B113" s="74" t="s">
        <v>777</v>
      </c>
      <c r="C113" s="75">
        <v>33</v>
      </c>
      <c r="D113" s="70">
        <f>'Master Item List'!M39</f>
        <v>23.975000000000001</v>
      </c>
      <c r="E113" s="70" cm="1">
        <f t="array" ref="E113:G113">'Master Item List'!T39:V39</f>
        <v>31.25</v>
      </c>
      <c r="F113" s="70">
        <v>32.25</v>
      </c>
      <c r="G113" s="70">
        <v>33.5</v>
      </c>
      <c r="H113" s="69">
        <f t="shared" si="12"/>
        <v>9.0249999999999986</v>
      </c>
      <c r="I113" s="71">
        <f t="shared" si="13"/>
        <v>0.37643378519290921</v>
      </c>
    </row>
    <row r="114" spans="1:9" ht="37" hidden="1" customHeight="1" x14ac:dyDescent="0.2">
      <c r="A114" s="77">
        <v>3300</v>
      </c>
      <c r="B114" s="74" t="s">
        <v>778</v>
      </c>
      <c r="C114" s="75">
        <f>C116+15</f>
        <v>43.75</v>
      </c>
      <c r="D114" s="70">
        <f>D116+'Raw Cost'!F1</f>
        <v>28.059305555555557</v>
      </c>
      <c r="E114" s="70"/>
      <c r="F114" s="70"/>
      <c r="G114" s="70"/>
      <c r="H114" s="69">
        <f t="shared" si="12"/>
        <v>15.690694444444443</v>
      </c>
      <c r="I114" s="71">
        <f t="shared" si="13"/>
        <v>0.55919753300301434</v>
      </c>
    </row>
    <row r="115" spans="1:9" ht="37" hidden="1" customHeight="1" x14ac:dyDescent="0.2">
      <c r="A115" s="77">
        <v>3301</v>
      </c>
      <c r="B115" s="74" t="s">
        <v>779</v>
      </c>
      <c r="C115" s="75">
        <f>C116+15</f>
        <v>43.75</v>
      </c>
      <c r="D115" s="70">
        <f>D116+'Raw Cost'!F3</f>
        <v>22.359305555555558</v>
      </c>
      <c r="E115" s="70"/>
      <c r="F115" s="70"/>
      <c r="G115" s="70"/>
      <c r="H115" s="69">
        <f t="shared" si="12"/>
        <v>21.390694444444442</v>
      </c>
      <c r="I115" s="71">
        <f t="shared" si="13"/>
        <v>0.95667973190381805</v>
      </c>
    </row>
    <row r="116" spans="1:9" ht="37" customHeight="1" x14ac:dyDescent="0.2">
      <c r="A116" s="77">
        <v>3299</v>
      </c>
      <c r="B116" s="74" t="s">
        <v>780</v>
      </c>
      <c r="C116" s="75">
        <v>28.75</v>
      </c>
      <c r="D116" s="70">
        <f>'Combo Pricing'!F20</f>
        <v>18.859305555555558</v>
      </c>
      <c r="E116" s="70" cm="1">
        <f t="array" ref="E116:G116">'Combo Pricing'!L20:N20</f>
        <v>26.75</v>
      </c>
      <c r="F116" s="70">
        <v>27.75</v>
      </c>
      <c r="G116" s="70">
        <v>28.75</v>
      </c>
      <c r="H116" s="69">
        <f t="shared" si="12"/>
        <v>9.890694444444442</v>
      </c>
      <c r="I116" s="71">
        <f t="shared" si="13"/>
        <v>0.52444637557350826</v>
      </c>
    </row>
    <row r="117" spans="1:9" ht="37" customHeight="1" x14ac:dyDescent="0.2">
      <c r="A117" s="73">
        <v>497</v>
      </c>
      <c r="B117" s="74" t="s">
        <v>781</v>
      </c>
      <c r="C117" s="75">
        <v>24</v>
      </c>
      <c r="D117" s="70">
        <f>'Master Item List'!M44</f>
        <v>14.161666666666667</v>
      </c>
      <c r="E117" s="70" cm="1">
        <f t="array" ref="E117:G117">'Master Item List'!T44:V44</f>
        <v>18.5</v>
      </c>
      <c r="F117" s="70">
        <v>19</v>
      </c>
      <c r="G117" s="70">
        <v>19.75</v>
      </c>
      <c r="H117" s="69">
        <f t="shared" si="12"/>
        <v>9.8383333333333329</v>
      </c>
      <c r="I117" s="71">
        <f t="shared" si="13"/>
        <v>0.69471578204072015</v>
      </c>
    </row>
    <row r="118" spans="1:9" ht="37" customHeight="1" x14ac:dyDescent="0.2">
      <c r="A118" s="77">
        <v>2841</v>
      </c>
      <c r="B118" s="74" t="s">
        <v>782</v>
      </c>
      <c r="C118" s="75">
        <v>28</v>
      </c>
      <c r="D118" s="70">
        <f>'Master Item List'!M47</f>
        <v>20.441666666666663</v>
      </c>
      <c r="E118" s="70" cm="1">
        <f t="array" ref="E118:G118">'Master Item List'!T47:V47</f>
        <v>26.5</v>
      </c>
      <c r="F118" s="70">
        <v>27.5</v>
      </c>
      <c r="G118" s="70">
        <v>28.5</v>
      </c>
      <c r="H118" s="69">
        <f t="shared" si="12"/>
        <v>7.5583333333333371</v>
      </c>
      <c r="I118" s="71">
        <f t="shared" si="13"/>
        <v>0.36975132490827584</v>
      </c>
    </row>
    <row r="119" spans="1:9" ht="37" customHeight="1" x14ac:dyDescent="0.2">
      <c r="A119" s="73">
        <v>330</v>
      </c>
      <c r="B119" s="74" t="s">
        <v>783</v>
      </c>
      <c r="C119" s="75">
        <v>16.5</v>
      </c>
      <c r="D119" s="70">
        <f>'Master Item List'!M45</f>
        <v>14.832142857142857</v>
      </c>
      <c r="E119" s="70" cm="1">
        <f t="array" ref="E119:G119">'Master Item List'!T45:V45</f>
        <v>19.25</v>
      </c>
      <c r="F119" s="70">
        <v>20</v>
      </c>
      <c r="G119" s="70">
        <v>20.75</v>
      </c>
      <c r="H119" s="69">
        <f t="shared" si="12"/>
        <v>1.6678571428571427</v>
      </c>
      <c r="I119" s="71">
        <f t="shared" si="13"/>
        <v>0.112448832169516</v>
      </c>
    </row>
    <row r="120" spans="1:9" ht="37" customHeight="1" x14ac:dyDescent="0.2">
      <c r="A120" s="77">
        <v>2080</v>
      </c>
      <c r="B120" s="74" t="s">
        <v>784</v>
      </c>
      <c r="C120" s="75">
        <v>16.5</v>
      </c>
      <c r="D120" s="70">
        <f>'Master Item List'!M45</f>
        <v>14.832142857142857</v>
      </c>
      <c r="E120" s="70" cm="1">
        <f t="array" ref="E120:G120">'Master Item List'!T45:V45</f>
        <v>19.25</v>
      </c>
      <c r="F120" s="70">
        <v>20</v>
      </c>
      <c r="G120" s="70">
        <v>20.75</v>
      </c>
      <c r="H120" s="69">
        <f t="shared" si="12"/>
        <v>1.6678571428571427</v>
      </c>
      <c r="I120" s="71">
        <f t="shared" si="13"/>
        <v>0.112448832169516</v>
      </c>
    </row>
    <row r="121" spans="1:9" ht="37" customHeight="1" x14ac:dyDescent="0.2">
      <c r="A121" s="77">
        <v>1295</v>
      </c>
      <c r="B121" s="74" t="s">
        <v>785</v>
      </c>
      <c r="C121" s="75">
        <v>15.25</v>
      </c>
      <c r="D121" s="70">
        <f>'Master Item List'!M19</f>
        <v>14.832142857142857</v>
      </c>
      <c r="E121" s="70" cm="1">
        <f t="array" ref="E121:G121">'Master Item List'!T19:V19</f>
        <v>19.25</v>
      </c>
      <c r="F121" s="70">
        <v>20</v>
      </c>
      <c r="G121" s="70">
        <v>20.75</v>
      </c>
      <c r="H121" s="69">
        <f t="shared" si="12"/>
        <v>0.4178571428571427</v>
      </c>
      <c r="I121" s="71">
        <f t="shared" si="13"/>
        <v>2.8172405490007213E-2</v>
      </c>
    </row>
    <row r="122" spans="1:9" ht="37" customHeight="1" x14ac:dyDescent="0.2">
      <c r="A122" s="77">
        <v>2890</v>
      </c>
      <c r="B122" s="74" t="s">
        <v>786</v>
      </c>
      <c r="C122" s="75">
        <v>16.5</v>
      </c>
      <c r="D122" s="70">
        <f>'Master Item List'!M45</f>
        <v>14.832142857142857</v>
      </c>
      <c r="E122" s="70" cm="1">
        <f t="array" ref="E122:G122">'Master Item List'!T45:V45</f>
        <v>19.25</v>
      </c>
      <c r="F122" s="70">
        <v>20</v>
      </c>
      <c r="G122" s="70">
        <v>20.75</v>
      </c>
      <c r="H122" s="69">
        <f t="shared" si="12"/>
        <v>1.6678571428571427</v>
      </c>
      <c r="I122" s="71">
        <f t="shared" si="13"/>
        <v>0.112448832169516</v>
      </c>
    </row>
    <row r="123" spans="1:9" ht="37" customHeight="1" x14ac:dyDescent="0.2">
      <c r="A123" s="73">
        <v>61</v>
      </c>
      <c r="B123" s="74" t="s">
        <v>787</v>
      </c>
      <c r="C123" s="75">
        <v>16.5</v>
      </c>
      <c r="D123" s="70">
        <f>'Master Item List'!M48</f>
        <v>14.832142857142857</v>
      </c>
      <c r="E123" s="70" cm="1">
        <f t="array" ref="E123:G123">'Master Item List'!T48:V48</f>
        <v>19.25</v>
      </c>
      <c r="F123" s="70">
        <v>20</v>
      </c>
      <c r="G123" s="70">
        <v>20.75</v>
      </c>
      <c r="H123" s="69">
        <f t="shared" si="12"/>
        <v>1.6678571428571427</v>
      </c>
      <c r="I123" s="71">
        <f t="shared" si="13"/>
        <v>0.112448832169516</v>
      </c>
    </row>
    <row r="124" spans="1:9" ht="37" customHeight="1" x14ac:dyDescent="0.2">
      <c r="A124" s="77">
        <v>1075</v>
      </c>
      <c r="B124" s="74" t="s">
        <v>788</v>
      </c>
      <c r="C124" s="75">
        <v>16.5</v>
      </c>
      <c r="D124" s="70">
        <f>'Master Item List'!M48</f>
        <v>14.832142857142857</v>
      </c>
      <c r="E124" s="70" cm="1">
        <f t="array" ref="E124:G124">'Master Item List'!T48:V48</f>
        <v>19.25</v>
      </c>
      <c r="F124" s="70">
        <v>20</v>
      </c>
      <c r="G124" s="70">
        <v>20.75</v>
      </c>
      <c r="H124" s="69">
        <f t="shared" si="12"/>
        <v>1.6678571428571427</v>
      </c>
      <c r="I124" s="71">
        <f t="shared" si="13"/>
        <v>0.112448832169516</v>
      </c>
    </row>
    <row r="125" spans="1:9" ht="37" customHeight="1" x14ac:dyDescent="0.2">
      <c r="A125" s="73">
        <v>492</v>
      </c>
      <c r="B125" s="74" t="s">
        <v>789</v>
      </c>
      <c r="C125" s="75">
        <v>29</v>
      </c>
      <c r="D125" s="70">
        <f>'Master Item List'!M49</f>
        <v>19.695</v>
      </c>
      <c r="E125" s="70" cm="1">
        <f t="array" ref="E125:G125">'Master Item List'!T49:V49</f>
        <v>25.5</v>
      </c>
      <c r="F125" s="70">
        <v>26.5</v>
      </c>
      <c r="G125" s="70">
        <v>27.5</v>
      </c>
      <c r="H125" s="69">
        <f t="shared" si="12"/>
        <v>9.3049999999999997</v>
      </c>
      <c r="I125" s="71">
        <f t="shared" si="13"/>
        <v>0.47245493780147241</v>
      </c>
    </row>
    <row r="126" spans="1:9" ht="37" customHeight="1" x14ac:dyDescent="0.2">
      <c r="A126" s="77">
        <v>2077</v>
      </c>
      <c r="B126" s="74" t="s">
        <v>790</v>
      </c>
      <c r="C126" s="75">
        <v>29</v>
      </c>
      <c r="D126" s="70">
        <f>'Master Item List'!M49</f>
        <v>19.695</v>
      </c>
      <c r="E126" s="70" cm="1">
        <f t="array" ref="E126:G126">'Master Item List'!T49:V49</f>
        <v>25.5</v>
      </c>
      <c r="F126" s="70">
        <v>26.5</v>
      </c>
      <c r="G126" s="70">
        <v>27.5</v>
      </c>
      <c r="H126" s="69">
        <f t="shared" si="12"/>
        <v>9.3049999999999997</v>
      </c>
      <c r="I126" s="71">
        <f t="shared" si="13"/>
        <v>0.47245493780147241</v>
      </c>
    </row>
    <row r="127" spans="1:9" ht="37" customHeight="1" x14ac:dyDescent="0.2">
      <c r="A127" s="77">
        <v>2392</v>
      </c>
      <c r="B127" s="74" t="s">
        <v>791</v>
      </c>
      <c r="C127" s="75">
        <v>41.75</v>
      </c>
      <c r="D127" s="70">
        <f>'Master Item List'!M51</f>
        <v>30.325000000000003</v>
      </c>
      <c r="E127" s="70" cm="1">
        <f t="array" ref="E127:G127">'Master Item List'!T51:V51</f>
        <v>39.5</v>
      </c>
      <c r="F127" s="70">
        <v>41</v>
      </c>
      <c r="G127" s="70">
        <v>42.5</v>
      </c>
      <c r="H127" s="69">
        <f t="shared" si="12"/>
        <v>11.424999999999997</v>
      </c>
      <c r="I127" s="71">
        <f t="shared" si="13"/>
        <v>0.37675185490519358</v>
      </c>
    </row>
    <row r="128" spans="1:9" ht="37" customHeight="1" x14ac:dyDescent="0.2">
      <c r="A128" s="73">
        <v>615</v>
      </c>
      <c r="B128" s="74" t="s">
        <v>792</v>
      </c>
      <c r="C128" s="75">
        <v>41.75</v>
      </c>
      <c r="D128" s="70">
        <f>'Master Item List'!M51</f>
        <v>30.325000000000003</v>
      </c>
      <c r="E128" s="70" cm="1">
        <f t="array" ref="E128:G128">'Master Item List'!T51:V51</f>
        <v>39.5</v>
      </c>
      <c r="F128" s="70">
        <v>41</v>
      </c>
      <c r="G128" s="70">
        <v>42.5</v>
      </c>
      <c r="H128" s="69">
        <f t="shared" si="12"/>
        <v>11.424999999999997</v>
      </c>
      <c r="I128" s="71">
        <f t="shared" si="13"/>
        <v>0.37675185490519358</v>
      </c>
    </row>
    <row r="129" spans="1:9" ht="37" customHeight="1" x14ac:dyDescent="0.2">
      <c r="A129" s="77">
        <v>2394</v>
      </c>
      <c r="B129" s="74" t="s">
        <v>793</v>
      </c>
      <c r="C129" s="75">
        <v>41.75</v>
      </c>
      <c r="D129" s="70">
        <f t="shared" ref="D129:G130" si="14">D128</f>
        <v>30.325000000000003</v>
      </c>
      <c r="E129" s="70">
        <f t="shared" si="14"/>
        <v>39.5</v>
      </c>
      <c r="F129" s="70">
        <f t="shared" si="14"/>
        <v>41</v>
      </c>
      <c r="G129" s="70">
        <f t="shared" si="14"/>
        <v>42.5</v>
      </c>
      <c r="H129" s="69">
        <f t="shared" si="12"/>
        <v>11.424999999999997</v>
      </c>
      <c r="I129" s="71">
        <f t="shared" si="13"/>
        <v>0.37675185490519358</v>
      </c>
    </row>
    <row r="130" spans="1:9" ht="37" customHeight="1" x14ac:dyDescent="0.2">
      <c r="A130" s="77">
        <v>2393</v>
      </c>
      <c r="B130" s="74" t="s">
        <v>794</v>
      </c>
      <c r="C130" s="75">
        <v>41.75</v>
      </c>
      <c r="D130" s="70">
        <f t="shared" si="14"/>
        <v>30.325000000000003</v>
      </c>
      <c r="E130" s="70">
        <f t="shared" si="14"/>
        <v>39.5</v>
      </c>
      <c r="F130" s="70">
        <f t="shared" si="14"/>
        <v>41</v>
      </c>
      <c r="G130" s="70">
        <f t="shared" si="14"/>
        <v>42.5</v>
      </c>
      <c r="H130" s="69">
        <f t="shared" si="12"/>
        <v>11.424999999999997</v>
      </c>
      <c r="I130" s="71">
        <f t="shared" si="13"/>
        <v>0.37675185490519358</v>
      </c>
    </row>
    <row r="131" spans="1:9" ht="37" customHeight="1" x14ac:dyDescent="0.2">
      <c r="A131" s="77">
        <v>1244</v>
      </c>
      <c r="B131" s="74" t="s">
        <v>795</v>
      </c>
      <c r="C131" s="75">
        <v>24</v>
      </c>
      <c r="D131" s="70">
        <f>'Master Item List'!M200</f>
        <v>13.85</v>
      </c>
      <c r="E131" s="70" cm="1">
        <f t="array" ref="E131:G131">'Master Item List'!T200:V200</f>
        <v>18</v>
      </c>
      <c r="F131" s="70">
        <v>18.75</v>
      </c>
      <c r="G131" s="70">
        <v>19.5</v>
      </c>
      <c r="H131" s="69">
        <f t="shared" si="12"/>
        <v>10.15</v>
      </c>
      <c r="I131" s="71">
        <f t="shared" si="13"/>
        <v>0.73285198555956688</v>
      </c>
    </row>
    <row r="132" spans="1:9" ht="37" customHeight="1" x14ac:dyDescent="0.2">
      <c r="A132" s="77">
        <v>4753</v>
      </c>
      <c r="B132" s="74" t="s">
        <v>796</v>
      </c>
      <c r="C132" s="75">
        <v>36</v>
      </c>
      <c r="D132" s="70">
        <f>'Master Item List'!M202</f>
        <v>17.445</v>
      </c>
      <c r="E132" s="70" cm="1">
        <f t="array" ref="E132:G132">'Master Item List'!T202:V202</f>
        <v>22.75</v>
      </c>
      <c r="F132" s="70">
        <v>23.5</v>
      </c>
      <c r="G132" s="70">
        <v>24.5</v>
      </c>
      <c r="H132" s="69">
        <f t="shared" si="12"/>
        <v>18.555</v>
      </c>
      <c r="I132" s="71">
        <f t="shared" si="13"/>
        <v>1.0636285468615649</v>
      </c>
    </row>
    <row r="133" spans="1:9" ht="37" hidden="1" customHeight="1" x14ac:dyDescent="0.2">
      <c r="A133" s="77">
        <v>2413</v>
      </c>
      <c r="B133" s="74" t="s">
        <v>797</v>
      </c>
      <c r="C133" s="75">
        <f>C131+15</f>
        <v>39</v>
      </c>
      <c r="D133" s="70">
        <f>D131+'Raw Cost'!F1</f>
        <v>23.049999999999997</v>
      </c>
      <c r="E133" s="70"/>
      <c r="F133" s="70"/>
      <c r="G133" s="70"/>
      <c r="H133" s="69">
        <f t="shared" si="12"/>
        <v>15.950000000000003</v>
      </c>
      <c r="I133" s="71">
        <f t="shared" si="13"/>
        <v>0.6919739696312367</v>
      </c>
    </row>
    <row r="134" spans="1:9" ht="37" hidden="1" customHeight="1" x14ac:dyDescent="0.2">
      <c r="A134" s="77">
        <v>2406</v>
      </c>
      <c r="B134" s="74" t="s">
        <v>798</v>
      </c>
      <c r="C134" s="75">
        <f>C131+15</f>
        <v>39</v>
      </c>
      <c r="D134" s="70">
        <f>D131+'Raw Cost'!F3</f>
        <v>17.350000000000001</v>
      </c>
      <c r="E134" s="70"/>
      <c r="F134" s="70"/>
      <c r="G134" s="70"/>
      <c r="H134" s="69">
        <f t="shared" si="12"/>
        <v>21.65</v>
      </c>
      <c r="I134" s="71">
        <f t="shared" si="13"/>
        <v>1.2478386167146973</v>
      </c>
    </row>
    <row r="135" spans="1:9" ht="37" customHeight="1" x14ac:dyDescent="0.2">
      <c r="A135" s="73">
        <v>335</v>
      </c>
      <c r="B135" s="74" t="s">
        <v>799</v>
      </c>
      <c r="C135" s="75">
        <v>22.5</v>
      </c>
      <c r="D135" s="70">
        <f>'Master Item List'!M53</f>
        <v>12.775</v>
      </c>
      <c r="E135" s="70" cm="1">
        <f t="array" ref="E135:G135">'Master Item List'!T53:V53</f>
        <v>16.5</v>
      </c>
      <c r="F135" s="70">
        <v>17.25</v>
      </c>
      <c r="G135" s="70">
        <v>18</v>
      </c>
      <c r="H135" s="69">
        <f t="shared" si="12"/>
        <v>9.7249999999999996</v>
      </c>
      <c r="I135" s="71">
        <f t="shared" si="13"/>
        <v>0.76125244618395294</v>
      </c>
    </row>
    <row r="136" spans="1:9" ht="37" customHeight="1" x14ac:dyDescent="0.2">
      <c r="A136" s="77">
        <v>2949</v>
      </c>
      <c r="B136" s="74" t="s">
        <v>800</v>
      </c>
      <c r="C136" s="75">
        <v>19</v>
      </c>
      <c r="D136" s="70">
        <f>'Master Item List'!M54</f>
        <v>12.775</v>
      </c>
      <c r="E136" s="70" cm="1">
        <f t="array" ref="E136:G136">'Master Item List'!T54:V54</f>
        <v>16.5</v>
      </c>
      <c r="F136" s="70">
        <v>17.25</v>
      </c>
      <c r="G136" s="70">
        <v>18</v>
      </c>
      <c r="H136" s="69">
        <f t="shared" si="12"/>
        <v>6.2249999999999996</v>
      </c>
      <c r="I136" s="71">
        <f t="shared" si="13"/>
        <v>0.48727984344422698</v>
      </c>
    </row>
    <row r="137" spans="1:9" ht="37" customHeight="1" x14ac:dyDescent="0.2">
      <c r="A137" s="77">
        <v>2030</v>
      </c>
      <c r="B137" s="74" t="s">
        <v>801</v>
      </c>
      <c r="C137" s="75">
        <v>22.5</v>
      </c>
      <c r="D137" s="70">
        <f>'Master Item List'!M54</f>
        <v>12.775</v>
      </c>
      <c r="E137" s="70" cm="1">
        <f t="array" ref="E137:G137">'Master Item List'!T54:V54</f>
        <v>16.5</v>
      </c>
      <c r="F137" s="70">
        <v>17.25</v>
      </c>
      <c r="G137" s="70">
        <v>18</v>
      </c>
      <c r="H137" s="69">
        <f t="shared" si="12"/>
        <v>9.7249999999999996</v>
      </c>
      <c r="I137" s="71">
        <f t="shared" si="13"/>
        <v>0.76125244618395294</v>
      </c>
    </row>
    <row r="138" spans="1:9" ht="37" hidden="1" customHeight="1" x14ac:dyDescent="0.2">
      <c r="A138" s="77">
        <v>3306</v>
      </c>
      <c r="B138" s="74" t="s">
        <v>802</v>
      </c>
      <c r="C138" s="75">
        <f>C139+15</f>
        <v>51.75</v>
      </c>
      <c r="D138" s="70">
        <f>D139+'Raw Cost'!F3</f>
        <v>30.891666666666666</v>
      </c>
      <c r="E138" s="70"/>
      <c r="F138" s="70"/>
      <c r="G138" s="70"/>
      <c r="H138" s="69">
        <f t="shared" ref="H138:H158" si="15">C138-D138</f>
        <v>20.858333333333334</v>
      </c>
      <c r="I138" s="71">
        <f t="shared" ref="I138:I158" si="16">H138/D138</f>
        <v>0.67520906393309954</v>
      </c>
    </row>
    <row r="139" spans="1:9" ht="37" customHeight="1" x14ac:dyDescent="0.2">
      <c r="A139" s="77">
        <v>3155</v>
      </c>
      <c r="B139" s="74" t="s">
        <v>803</v>
      </c>
      <c r="C139" s="75">
        <v>36.75</v>
      </c>
      <c r="D139" s="70">
        <f>'Master Item List'!M249</f>
        <v>27.391666666666666</v>
      </c>
      <c r="E139" s="70" cm="1">
        <f t="array" ref="E139:G139">'Master Item List'!T249:V249</f>
        <v>35.5</v>
      </c>
      <c r="F139" s="70">
        <v>37</v>
      </c>
      <c r="G139" s="70">
        <v>38.25</v>
      </c>
      <c r="H139" s="69">
        <f t="shared" si="15"/>
        <v>9.3583333333333343</v>
      </c>
      <c r="I139" s="71">
        <f t="shared" si="16"/>
        <v>0.34164891998783087</v>
      </c>
    </row>
    <row r="140" spans="1:9" ht="37" hidden="1" customHeight="1" x14ac:dyDescent="0.2">
      <c r="A140" s="77">
        <v>3305</v>
      </c>
      <c r="B140" s="74" t="s">
        <v>804</v>
      </c>
      <c r="C140" s="75">
        <f>C139+15</f>
        <v>51.75</v>
      </c>
      <c r="D140" s="70">
        <f>D139+'Raw Cost'!F1</f>
        <v>36.591666666666669</v>
      </c>
      <c r="E140" s="70"/>
      <c r="F140" s="70"/>
      <c r="G140" s="70"/>
      <c r="H140" s="69">
        <f t="shared" si="15"/>
        <v>15.158333333333331</v>
      </c>
      <c r="I140" s="71">
        <f t="shared" si="16"/>
        <v>0.41425643361421083</v>
      </c>
    </row>
    <row r="141" spans="1:9" ht="37" customHeight="1" x14ac:dyDescent="0.2">
      <c r="A141" s="77">
        <v>2457</v>
      </c>
      <c r="B141" s="74" t="s">
        <v>805</v>
      </c>
      <c r="C141" s="75">
        <v>112.5</v>
      </c>
      <c r="D141" s="70">
        <f>'Master Item List'!M203</f>
        <v>98.224999999999994</v>
      </c>
      <c r="E141" s="70" cm="1">
        <f t="array" ref="E141:G141">'Master Item List'!T203:V203</f>
        <v>127.75</v>
      </c>
      <c r="F141" s="70">
        <v>132.5</v>
      </c>
      <c r="G141" s="70">
        <v>137.5</v>
      </c>
      <c r="H141" s="69">
        <f t="shared" si="15"/>
        <v>14.275000000000006</v>
      </c>
      <c r="I141" s="71">
        <f t="shared" si="16"/>
        <v>0.14532960040722837</v>
      </c>
    </row>
    <row r="142" spans="1:9" ht="37" hidden="1" customHeight="1" x14ac:dyDescent="0.2">
      <c r="A142" s="77">
        <v>3307</v>
      </c>
      <c r="B142" s="74" t="s">
        <v>806</v>
      </c>
      <c r="C142" s="75">
        <f>C141+15</f>
        <v>127.5</v>
      </c>
      <c r="D142" s="70">
        <f>D141+'Raw Cost'!F3</f>
        <v>101.72499999999999</v>
      </c>
      <c r="E142" s="70"/>
      <c r="F142" s="70"/>
      <c r="G142" s="70"/>
      <c r="H142" s="69">
        <f t="shared" si="15"/>
        <v>25.775000000000006</v>
      </c>
      <c r="I142" s="71">
        <f t="shared" si="16"/>
        <v>0.25337920865077423</v>
      </c>
    </row>
    <row r="143" spans="1:9" ht="37" customHeight="1" x14ac:dyDescent="0.2">
      <c r="A143" s="77">
        <v>1160</v>
      </c>
      <c r="B143" s="74" t="s">
        <v>807</v>
      </c>
      <c r="C143" s="75">
        <v>23.25</v>
      </c>
      <c r="D143" s="70">
        <f>'Master Item List'!M59</f>
        <v>14.971151960784313</v>
      </c>
      <c r="E143" s="70" cm="1">
        <f t="array" ref="E143:G143">'Master Item List'!T58:V58</f>
        <v>17.5</v>
      </c>
      <c r="F143" s="70">
        <v>18.25</v>
      </c>
      <c r="G143" s="70">
        <v>18.75</v>
      </c>
      <c r="H143" s="69">
        <f t="shared" si="15"/>
        <v>8.2788480392156867</v>
      </c>
      <c r="I143" s="71">
        <f t="shared" si="16"/>
        <v>0.55298670809710837</v>
      </c>
    </row>
    <row r="144" spans="1:9" ht="37" customHeight="1" x14ac:dyDescent="0.2">
      <c r="A144" s="77">
        <v>1000</v>
      </c>
      <c r="B144" s="74" t="s">
        <v>808</v>
      </c>
      <c r="C144" s="75">
        <v>38.25</v>
      </c>
      <c r="D144" s="70">
        <f>'Master Item List'!M205</f>
        <v>28.442777777777781</v>
      </c>
      <c r="E144" s="70" cm="1">
        <f t="array" ref="E144:G144">'Master Item List'!T205:V205</f>
        <v>37</v>
      </c>
      <c r="F144" s="70">
        <v>38.5</v>
      </c>
      <c r="G144" s="70">
        <v>39.75</v>
      </c>
      <c r="H144" s="69">
        <f t="shared" si="15"/>
        <v>9.8072222222222187</v>
      </c>
      <c r="I144" s="71">
        <f t="shared" si="16"/>
        <v>0.34480535968904413</v>
      </c>
    </row>
    <row r="145" spans="1:9" ht="37" customHeight="1" x14ac:dyDescent="0.2">
      <c r="A145" s="77">
        <v>1181</v>
      </c>
      <c r="B145" s="74" t="s">
        <v>809</v>
      </c>
      <c r="C145" s="75">
        <v>64.75</v>
      </c>
      <c r="D145" s="70">
        <f>'Master Item List'!M204</f>
        <v>49.066666666666663</v>
      </c>
      <c r="E145" s="70" cm="1">
        <f t="array" ref="E145:G145">'Master Item List'!T204:V204</f>
        <v>63.75</v>
      </c>
      <c r="F145" s="70">
        <v>66.25</v>
      </c>
      <c r="G145" s="70">
        <v>68.75</v>
      </c>
      <c r="H145" s="69">
        <f t="shared" si="15"/>
        <v>15.683333333333337</v>
      </c>
      <c r="I145" s="71">
        <f t="shared" si="16"/>
        <v>0.31963315217391314</v>
      </c>
    </row>
    <row r="146" spans="1:9" ht="37" hidden="1" customHeight="1" x14ac:dyDescent="0.2">
      <c r="A146" s="77">
        <v>3308</v>
      </c>
      <c r="B146" s="74" t="s">
        <v>810</v>
      </c>
      <c r="C146" s="75">
        <f>C144+15</f>
        <v>53.25</v>
      </c>
      <c r="D146" s="70">
        <f>D144+'Raw Cost'!F3</f>
        <v>31.942777777777781</v>
      </c>
      <c r="E146" s="70"/>
      <c r="F146" s="70"/>
      <c r="G146" s="70"/>
      <c r="H146" s="69">
        <f t="shared" si="15"/>
        <v>21.307222222222219</v>
      </c>
      <c r="I146" s="71">
        <f t="shared" si="16"/>
        <v>0.66704349792163053</v>
      </c>
    </row>
    <row r="147" spans="1:9" ht="37" customHeight="1" x14ac:dyDescent="0.2">
      <c r="A147" s="77">
        <v>4725</v>
      </c>
      <c r="B147" s="74" t="s">
        <v>811</v>
      </c>
      <c r="C147" s="75">
        <v>59.75</v>
      </c>
      <c r="D147" s="70">
        <f>'Master Item List'!M206</f>
        <v>31.56944444444445</v>
      </c>
      <c r="E147" s="70" cm="1">
        <f t="array" ref="E147:G147">'Master Item List'!T206:V206</f>
        <v>41</v>
      </c>
      <c r="F147" s="70">
        <v>42.5</v>
      </c>
      <c r="G147" s="70">
        <v>44.25</v>
      </c>
      <c r="H147" s="69">
        <f t="shared" si="15"/>
        <v>28.18055555555555</v>
      </c>
      <c r="I147" s="71">
        <f t="shared" si="16"/>
        <v>0.8926528816542012</v>
      </c>
    </row>
    <row r="148" spans="1:9" ht="37" customHeight="1" x14ac:dyDescent="0.2">
      <c r="A148" s="77">
        <v>3297</v>
      </c>
      <c r="B148" s="74" t="s">
        <v>812</v>
      </c>
      <c r="C148" s="75">
        <v>29.75</v>
      </c>
      <c r="D148" s="70">
        <f>'Combo Pricing'!F22</f>
        <v>19.076388888888889</v>
      </c>
      <c r="E148" s="70" cm="1">
        <f t="array" ref="E148:G148">'Combo Pricing'!L22:N22</f>
        <v>27</v>
      </c>
      <c r="F148" s="70">
        <v>28</v>
      </c>
      <c r="G148" s="70">
        <v>29</v>
      </c>
      <c r="H148" s="69">
        <f t="shared" si="15"/>
        <v>10.673611111111111</v>
      </c>
      <c r="I148" s="71">
        <f t="shared" si="16"/>
        <v>0.55951947579177286</v>
      </c>
    </row>
    <row r="149" spans="1:9" ht="37" hidden="1" customHeight="1" x14ac:dyDescent="0.2">
      <c r="A149" s="77">
        <v>3298</v>
      </c>
      <c r="B149" s="74" t="s">
        <v>813</v>
      </c>
      <c r="C149" s="75">
        <f>C148+15</f>
        <v>44.75</v>
      </c>
      <c r="D149" s="70">
        <f>D148+'Raw Cost'!F3</f>
        <v>22.576388888888889</v>
      </c>
      <c r="E149" s="70"/>
      <c r="F149" s="70"/>
      <c r="G149" s="70"/>
      <c r="H149" s="69">
        <f t="shared" si="15"/>
        <v>22.173611111111111</v>
      </c>
      <c r="I149" s="71">
        <f t="shared" si="16"/>
        <v>0.98215933558904944</v>
      </c>
    </row>
    <row r="150" spans="1:9" ht="37" customHeight="1" x14ac:dyDescent="0.2">
      <c r="A150" s="77">
        <v>3316</v>
      </c>
      <c r="B150" s="74" t="s">
        <v>814</v>
      </c>
      <c r="C150" s="75">
        <v>32.5</v>
      </c>
      <c r="D150" s="70">
        <f>'Combo Pricing'!F29</f>
        <v>21.905000000000001</v>
      </c>
      <c r="E150" s="70" cm="1">
        <f t="array" ref="E150:G150">'Combo Pricing'!L29:N29</f>
        <v>30.75</v>
      </c>
      <c r="F150" s="70">
        <v>31.75</v>
      </c>
      <c r="G150" s="70">
        <v>33</v>
      </c>
      <c r="H150" s="69">
        <f t="shared" si="15"/>
        <v>10.594999999999999</v>
      </c>
      <c r="I150" s="71">
        <f t="shared" si="16"/>
        <v>0.48367952522255186</v>
      </c>
    </row>
    <row r="151" spans="1:9" ht="37" hidden="1" customHeight="1" x14ac:dyDescent="0.2">
      <c r="A151" s="77">
        <v>3317</v>
      </c>
      <c r="B151" s="74" t="s">
        <v>815</v>
      </c>
      <c r="C151" s="75">
        <f>C150+15</f>
        <v>47.5</v>
      </c>
      <c r="D151" s="70">
        <f>D150+'Raw Cost'!F3</f>
        <v>25.405000000000001</v>
      </c>
      <c r="E151" s="70"/>
      <c r="F151" s="70"/>
      <c r="G151" s="70"/>
      <c r="H151" s="69">
        <f t="shared" si="15"/>
        <v>22.094999999999999</v>
      </c>
      <c r="I151" s="71">
        <f t="shared" si="16"/>
        <v>0.86971068687266273</v>
      </c>
    </row>
    <row r="152" spans="1:9" ht="37" customHeight="1" x14ac:dyDescent="0.2">
      <c r="A152" s="77">
        <v>1404</v>
      </c>
      <c r="B152" s="74" t="s">
        <v>816</v>
      </c>
      <c r="C152" s="75">
        <v>29</v>
      </c>
      <c r="D152" s="70">
        <f>'Master Item List'!M253</f>
        <v>16.634999999999998</v>
      </c>
      <c r="E152" s="70" cm="1">
        <f t="array" ref="E152:G152">'Master Item List'!T253:V253</f>
        <v>21.75</v>
      </c>
      <c r="F152" s="70">
        <v>22.5</v>
      </c>
      <c r="G152" s="70">
        <v>23.25</v>
      </c>
      <c r="H152" s="69">
        <f t="shared" si="15"/>
        <v>12.365000000000002</v>
      </c>
      <c r="I152" s="71">
        <f t="shared" si="16"/>
        <v>0.74331229335737925</v>
      </c>
    </row>
    <row r="153" spans="1:9" ht="37" customHeight="1" x14ac:dyDescent="0.2">
      <c r="A153" s="77">
        <v>2118</v>
      </c>
      <c r="B153" s="74" t="s">
        <v>817</v>
      </c>
      <c r="C153" s="75">
        <v>26.75</v>
      </c>
      <c r="D153" s="70">
        <f>'Master Item List'!M61</f>
        <v>18.079444444444444</v>
      </c>
      <c r="E153" s="70" cm="1">
        <f t="array" ref="E153:G153">'Master Item List'!T61:V61</f>
        <v>23.5</v>
      </c>
      <c r="F153" s="70">
        <v>24.5</v>
      </c>
      <c r="G153" s="70">
        <v>25.25</v>
      </c>
      <c r="H153" s="69">
        <f t="shared" si="15"/>
        <v>8.6705555555555556</v>
      </c>
      <c r="I153" s="71">
        <f t="shared" si="16"/>
        <v>0.47958086224380053</v>
      </c>
    </row>
    <row r="154" spans="1:9" ht="37" customHeight="1" x14ac:dyDescent="0.2">
      <c r="A154" s="77">
        <v>2416</v>
      </c>
      <c r="B154" s="74" t="s">
        <v>818</v>
      </c>
      <c r="C154" s="75">
        <v>26.75</v>
      </c>
      <c r="D154" s="70">
        <f>'Master Item List'!M252</f>
        <v>18.079444444444444</v>
      </c>
      <c r="E154" s="70" cm="1">
        <f t="array" ref="E154:G154">'Master Item List'!T252:V252</f>
        <v>23.5</v>
      </c>
      <c r="F154" s="70">
        <v>24.5</v>
      </c>
      <c r="G154" s="70">
        <v>25.25</v>
      </c>
      <c r="H154" s="69">
        <f t="shared" si="15"/>
        <v>8.6705555555555556</v>
      </c>
      <c r="I154" s="71">
        <f t="shared" si="16"/>
        <v>0.47958086224380053</v>
      </c>
    </row>
    <row r="155" spans="1:9" ht="37" customHeight="1" x14ac:dyDescent="0.2">
      <c r="A155" s="77">
        <v>4728</v>
      </c>
      <c r="B155" s="74" t="s">
        <v>819</v>
      </c>
      <c r="C155" s="75">
        <v>34.5</v>
      </c>
      <c r="D155" s="70">
        <f>'Combo Pricing'!F25</f>
        <v>25.139444444444447</v>
      </c>
      <c r="E155" s="70" cm="1">
        <f t="array" ref="E155:G155">'Combo Pricing'!L25:N25</f>
        <v>35</v>
      </c>
      <c r="F155" s="70">
        <v>36.25</v>
      </c>
      <c r="G155" s="70">
        <v>37.5</v>
      </c>
      <c r="H155" s="69">
        <f t="shared" si="15"/>
        <v>9.3605555555555533</v>
      </c>
      <c r="I155" s="71">
        <f t="shared" si="16"/>
        <v>0.37234536253342454</v>
      </c>
    </row>
    <row r="156" spans="1:9" ht="37" hidden="1" customHeight="1" x14ac:dyDescent="0.2">
      <c r="A156" s="77">
        <v>3309</v>
      </c>
      <c r="B156" s="74" t="s">
        <v>820</v>
      </c>
      <c r="C156" s="75">
        <f>C155+15</f>
        <v>49.5</v>
      </c>
      <c r="D156" s="70">
        <f>D155+'Raw Cost'!F3</f>
        <v>28.639444444444447</v>
      </c>
      <c r="E156" s="70"/>
      <c r="F156" s="70"/>
      <c r="G156" s="70"/>
      <c r="H156" s="69">
        <f t="shared" si="15"/>
        <v>20.860555555555553</v>
      </c>
      <c r="I156" s="71">
        <f t="shared" si="16"/>
        <v>0.72838548233787881</v>
      </c>
    </row>
    <row r="157" spans="1:9" ht="37" customHeight="1" x14ac:dyDescent="0.2">
      <c r="A157" s="77">
        <v>3068</v>
      </c>
      <c r="B157" s="74" t="s">
        <v>821</v>
      </c>
      <c r="C157" s="75">
        <v>74.5</v>
      </c>
      <c r="D157" s="70">
        <f>'Master Item List'!M210</f>
        <v>42.445</v>
      </c>
      <c r="E157" s="70" cm="1">
        <f t="array" ref="E157:G157">'Master Item List'!T210:V210</f>
        <v>55.25</v>
      </c>
      <c r="F157" s="70">
        <v>57.25</v>
      </c>
      <c r="G157" s="70">
        <v>59.5</v>
      </c>
      <c r="H157" s="69">
        <f t="shared" si="15"/>
        <v>32.055</v>
      </c>
      <c r="I157" s="71">
        <f t="shared" si="16"/>
        <v>0.75521262810696199</v>
      </c>
    </row>
    <row r="158" spans="1:9" ht="37" hidden="1" customHeight="1" x14ac:dyDescent="0.2">
      <c r="A158" s="77">
        <v>3310</v>
      </c>
      <c r="B158" s="74" t="s">
        <v>822</v>
      </c>
      <c r="C158" s="75">
        <f>C157+15</f>
        <v>89.5</v>
      </c>
      <c r="D158" s="70">
        <f>D157+'Raw Cost'!F3</f>
        <v>45.945</v>
      </c>
      <c r="E158" s="70"/>
      <c r="F158" s="70"/>
      <c r="G158" s="70"/>
      <c r="H158" s="69">
        <f t="shared" si="15"/>
        <v>43.555</v>
      </c>
      <c r="I158" s="71">
        <f t="shared" si="16"/>
        <v>0.94798128196756992</v>
      </c>
    </row>
    <row r="159" spans="1:9" ht="37" customHeight="1" x14ac:dyDescent="0.2">
      <c r="A159" s="77">
        <v>1259</v>
      </c>
      <c r="B159" s="74" t="s">
        <v>823</v>
      </c>
      <c r="C159" s="75">
        <v>31.25</v>
      </c>
      <c r="D159" s="70">
        <f>'Master Item List'!M211</f>
        <v>20.69</v>
      </c>
      <c r="E159" s="70" cm="1">
        <f t="array" ref="E159:G159">'Master Item List'!T211:V211</f>
        <v>27</v>
      </c>
      <c r="F159" s="70">
        <v>28</v>
      </c>
      <c r="G159" s="70">
        <v>29</v>
      </c>
      <c r="H159" s="69">
        <f t="shared" ref="H159:H218" si="17">C159-D159</f>
        <v>10.559999999999999</v>
      </c>
      <c r="I159" s="71">
        <f t="shared" ref="I159:I218" si="18">H159/D159</f>
        <v>0.5103914934751087</v>
      </c>
    </row>
    <row r="160" spans="1:9" ht="37" hidden="1" customHeight="1" x14ac:dyDescent="0.2">
      <c r="A160" s="77">
        <v>3311</v>
      </c>
      <c r="B160" s="74" t="s">
        <v>824</v>
      </c>
      <c r="C160" s="75">
        <f>C159+15</f>
        <v>46.25</v>
      </c>
      <c r="D160" s="70">
        <f>D159+3.5</f>
        <v>24.19</v>
      </c>
      <c r="E160" s="70"/>
      <c r="F160" s="70"/>
      <c r="G160" s="70"/>
      <c r="H160" s="69">
        <f t="shared" si="17"/>
        <v>22.06</v>
      </c>
      <c r="I160" s="71">
        <f t="shared" si="18"/>
        <v>0.91194708557255055</v>
      </c>
    </row>
    <row r="161" spans="1:9" ht="37" customHeight="1" x14ac:dyDescent="0.2">
      <c r="A161" s="77">
        <v>3312</v>
      </c>
      <c r="B161" s="74" t="s">
        <v>825</v>
      </c>
      <c r="C161" s="75">
        <v>34.25</v>
      </c>
      <c r="D161" s="70">
        <f>'Combo Pricing'!F27</f>
        <v>23.88388888888889</v>
      </c>
      <c r="E161" s="70" cm="1">
        <f t="array" ref="E161:G161">'Combo Pricing'!L27:N27</f>
        <v>33.25</v>
      </c>
      <c r="F161" s="70">
        <v>34.5</v>
      </c>
      <c r="G161" s="70">
        <v>35.75</v>
      </c>
      <c r="H161" s="69">
        <f t="shared" si="17"/>
        <v>10.36611111111111</v>
      </c>
      <c r="I161" s="71">
        <f t="shared" si="18"/>
        <v>0.43402107417831631</v>
      </c>
    </row>
    <row r="162" spans="1:9" ht="37" hidden="1" customHeight="1" x14ac:dyDescent="0.2">
      <c r="A162" s="77">
        <v>3313</v>
      </c>
      <c r="B162" s="74" t="s">
        <v>826</v>
      </c>
      <c r="C162" s="75">
        <f>C161+15</f>
        <v>49.25</v>
      </c>
      <c r="D162" s="70">
        <f>D161+'Raw Cost'!F3</f>
        <v>27.38388888888889</v>
      </c>
      <c r="E162" s="70"/>
      <c r="F162" s="70"/>
      <c r="G162" s="70"/>
      <c r="H162" s="69">
        <f t="shared" si="17"/>
        <v>21.86611111111111</v>
      </c>
      <c r="I162" s="71">
        <f t="shared" si="18"/>
        <v>0.79850276926822328</v>
      </c>
    </row>
    <row r="163" spans="1:9" ht="37" hidden="1" customHeight="1" x14ac:dyDescent="0.2">
      <c r="A163" s="77">
        <v>3315</v>
      </c>
      <c r="B163" s="74" t="s">
        <v>827</v>
      </c>
      <c r="C163" s="75">
        <f>C164+15</f>
        <v>48.5</v>
      </c>
      <c r="D163" s="70">
        <f>D164+'Raw Cost'!F3</f>
        <v>26.809852941176473</v>
      </c>
      <c r="E163" s="70"/>
      <c r="F163" s="70"/>
      <c r="G163" s="70"/>
      <c r="H163" s="69">
        <f t="shared" si="17"/>
        <v>21.690147058823527</v>
      </c>
      <c r="I163" s="71">
        <f t="shared" si="18"/>
        <v>0.80903640562348111</v>
      </c>
    </row>
    <row r="164" spans="1:9" ht="37" customHeight="1" x14ac:dyDescent="0.2">
      <c r="A164" s="77">
        <v>3314</v>
      </c>
      <c r="B164" s="74" t="s">
        <v>828</v>
      </c>
      <c r="C164" s="75">
        <v>33.5</v>
      </c>
      <c r="D164" s="70">
        <f>'Combo Pricing'!F28</f>
        <v>23.309852941176473</v>
      </c>
      <c r="E164" s="70" cm="1">
        <f t="array" ref="E164:G164">'Combo Pricing'!L28:N28</f>
        <v>32.5</v>
      </c>
      <c r="F164" s="70">
        <v>33.75</v>
      </c>
      <c r="G164" s="70">
        <v>35</v>
      </c>
      <c r="H164" s="69">
        <f t="shared" si="17"/>
        <v>10.190147058823527</v>
      </c>
      <c r="I164" s="71">
        <f t="shared" si="18"/>
        <v>0.43716050395250666</v>
      </c>
    </row>
    <row r="165" spans="1:9" ht="37" customHeight="1" x14ac:dyDescent="0.2">
      <c r="A165" s="73">
        <v>975</v>
      </c>
      <c r="B165" s="74" t="s">
        <v>829</v>
      </c>
      <c r="C165" s="75">
        <v>23</v>
      </c>
      <c r="D165" s="70">
        <f>'Master Item List'!M65</f>
        <v>14.26</v>
      </c>
      <c r="E165" s="70" cm="1">
        <f t="array" ref="E165:G165">'Master Item List'!T65:V65</f>
        <v>18.5</v>
      </c>
      <c r="F165" s="70">
        <v>19.25</v>
      </c>
      <c r="G165" s="70">
        <v>20</v>
      </c>
      <c r="H165" s="69">
        <f t="shared" si="17"/>
        <v>8.74</v>
      </c>
      <c r="I165" s="71">
        <f t="shared" si="18"/>
        <v>0.61290322580645162</v>
      </c>
    </row>
    <row r="166" spans="1:9" ht="37" customHeight="1" x14ac:dyDescent="0.2">
      <c r="A166" s="73">
        <v>610</v>
      </c>
      <c r="B166" s="74" t="s">
        <v>830</v>
      </c>
      <c r="C166" s="75">
        <v>24</v>
      </c>
      <c r="D166" s="70">
        <f>'Master Item List'!M66</f>
        <v>14.26</v>
      </c>
      <c r="E166" s="70" cm="1">
        <f t="array" ref="E166:G166">'Master Item List'!T66:V66</f>
        <v>18.5</v>
      </c>
      <c r="F166" s="70">
        <v>19.25</v>
      </c>
      <c r="G166" s="70">
        <v>20</v>
      </c>
      <c r="H166" s="69">
        <f t="shared" si="17"/>
        <v>9.74</v>
      </c>
      <c r="I166" s="71">
        <f t="shared" si="18"/>
        <v>0.68302945301542783</v>
      </c>
    </row>
    <row r="167" spans="1:9" ht="37" customHeight="1" x14ac:dyDescent="0.2">
      <c r="A167" s="77">
        <v>4713</v>
      </c>
      <c r="B167" s="74" t="s">
        <v>831</v>
      </c>
      <c r="C167" s="75">
        <v>18.5</v>
      </c>
      <c r="D167" s="70">
        <f>'Master Item List'!M69</f>
        <v>13.982272727272727</v>
      </c>
      <c r="E167" s="70" cm="1">
        <f t="array" ref="E167:G167">'Master Item List'!T69:V69</f>
        <v>18.25</v>
      </c>
      <c r="F167" s="70">
        <v>19</v>
      </c>
      <c r="G167" s="70">
        <v>19.5</v>
      </c>
      <c r="H167" s="69">
        <f t="shared" si="17"/>
        <v>4.5177272727272726</v>
      </c>
      <c r="I167" s="71">
        <f t="shared" si="18"/>
        <v>0.32310393030135559</v>
      </c>
    </row>
    <row r="168" spans="1:9" ht="37" customHeight="1" x14ac:dyDescent="0.2">
      <c r="A168" s="77">
        <v>1405</v>
      </c>
      <c r="B168" s="74" t="s">
        <v>832</v>
      </c>
      <c r="C168" s="75">
        <v>26.75</v>
      </c>
      <c r="D168" s="70">
        <f>'Master Item List'!M212</f>
        <v>18.711111111111112</v>
      </c>
      <c r="E168" s="70" cm="1">
        <f t="array" ref="E168:G168">'Master Item List'!T212:V212</f>
        <v>24.25</v>
      </c>
      <c r="F168" s="70">
        <v>25.25</v>
      </c>
      <c r="G168" s="70">
        <v>26.25</v>
      </c>
      <c r="H168" s="69">
        <f t="shared" si="17"/>
        <v>8.0388888888888879</v>
      </c>
      <c r="I168" s="71">
        <f t="shared" si="18"/>
        <v>0.42963182897862223</v>
      </c>
    </row>
    <row r="169" spans="1:9" ht="37" hidden="1" customHeight="1" x14ac:dyDescent="0.2">
      <c r="A169" s="77">
        <v>2441</v>
      </c>
      <c r="B169" s="74" t="s">
        <v>833</v>
      </c>
      <c r="C169" s="75">
        <f>C168+15</f>
        <v>41.75</v>
      </c>
      <c r="D169" s="70">
        <f>D168+'Raw Cost'!F3</f>
        <v>22.211111111111112</v>
      </c>
      <c r="E169" s="70"/>
      <c r="F169" s="70"/>
      <c r="G169" s="70"/>
      <c r="H169" s="69">
        <f t="shared" si="17"/>
        <v>19.538888888888888</v>
      </c>
      <c r="I169" s="71">
        <f t="shared" si="18"/>
        <v>0.87968984492246116</v>
      </c>
    </row>
    <row r="170" spans="1:9" ht="37" hidden="1" customHeight="1" x14ac:dyDescent="0.2">
      <c r="A170" s="77">
        <v>2425</v>
      </c>
      <c r="B170" s="74" t="s">
        <v>834</v>
      </c>
      <c r="C170" s="75">
        <f>C168+15</f>
        <v>41.75</v>
      </c>
      <c r="D170" s="70">
        <f>D168+'Raw Cost'!F1</f>
        <v>27.911111111111111</v>
      </c>
      <c r="E170" s="70"/>
      <c r="F170" s="70"/>
      <c r="G170" s="70"/>
      <c r="H170" s="69">
        <f t="shared" si="17"/>
        <v>13.838888888888889</v>
      </c>
      <c r="I170" s="71">
        <f t="shared" si="18"/>
        <v>0.49582006369426751</v>
      </c>
    </row>
    <row r="171" spans="1:9" ht="37" customHeight="1" x14ac:dyDescent="0.2">
      <c r="A171" s="77">
        <v>2408</v>
      </c>
      <c r="B171" s="74" t="s">
        <v>835</v>
      </c>
      <c r="C171" s="75">
        <v>27.25</v>
      </c>
      <c r="D171" s="70">
        <f>'Master Item List'!M70</f>
        <v>20.259545454545453</v>
      </c>
      <c r="E171" s="70" cm="1">
        <f t="array" ref="E171:G171">'Master Item List'!T70:V70</f>
        <v>26.25</v>
      </c>
      <c r="F171" s="70">
        <v>27.25</v>
      </c>
      <c r="G171" s="70">
        <v>28.25</v>
      </c>
      <c r="H171" s="69">
        <f t="shared" si="17"/>
        <v>6.990454545454547</v>
      </c>
      <c r="I171" s="71">
        <f t="shared" si="18"/>
        <v>0.34504498440690146</v>
      </c>
    </row>
    <row r="172" spans="1:9" ht="37" customHeight="1" x14ac:dyDescent="0.2">
      <c r="A172" s="77">
        <v>2033</v>
      </c>
      <c r="B172" s="74" t="s">
        <v>836</v>
      </c>
      <c r="C172" s="75">
        <v>32.75</v>
      </c>
      <c r="D172" s="70">
        <f>'Master Item List'!M214</f>
        <v>23.05376712328767</v>
      </c>
      <c r="E172" s="70" cm="1">
        <f t="array" ref="E172:G172">'Master Item List'!T214:V214</f>
        <v>30</v>
      </c>
      <c r="F172" s="70">
        <v>31</v>
      </c>
      <c r="G172" s="70">
        <v>32.25</v>
      </c>
      <c r="H172" s="69">
        <f t="shared" si="17"/>
        <v>9.6962328767123296</v>
      </c>
      <c r="I172" s="71">
        <f t="shared" si="18"/>
        <v>0.42059212383201872</v>
      </c>
    </row>
    <row r="173" spans="1:9" ht="37" hidden="1" customHeight="1" x14ac:dyDescent="0.2">
      <c r="A173" s="77">
        <v>3160</v>
      </c>
      <c r="B173" s="74" t="s">
        <v>837</v>
      </c>
      <c r="C173" s="75">
        <v>999.99</v>
      </c>
      <c r="D173" s="70">
        <f>'Master Item List'!M215</f>
        <v>10.725</v>
      </c>
      <c r="E173" s="70" cm="1">
        <f t="array" ref="E173:G173">'Master Item List'!T215:V215</f>
        <v>14</v>
      </c>
      <c r="F173" s="70">
        <v>14.5</v>
      </c>
      <c r="G173" s="70">
        <v>15</v>
      </c>
      <c r="H173" s="69">
        <f t="shared" si="17"/>
        <v>989.26499999999999</v>
      </c>
      <c r="I173" s="71">
        <f t="shared" si="18"/>
        <v>92.239160839160846</v>
      </c>
    </row>
    <row r="174" spans="1:9" ht="37" customHeight="1" x14ac:dyDescent="0.2">
      <c r="A174" s="77">
        <v>1307</v>
      </c>
      <c r="B174" s="74" t="s">
        <v>838</v>
      </c>
      <c r="C174" s="75">
        <v>30</v>
      </c>
      <c r="D174" s="70">
        <f>'Master Item List'!M72</f>
        <v>21.810000000000002</v>
      </c>
      <c r="E174" s="70" cm="1">
        <f t="array" ref="E174:G174">'Master Item List'!T72:V72</f>
        <v>28.25</v>
      </c>
      <c r="F174" s="70">
        <v>29.5</v>
      </c>
      <c r="G174" s="70">
        <v>30.5</v>
      </c>
      <c r="H174" s="69">
        <f t="shared" si="17"/>
        <v>8.1899999999999977</v>
      </c>
      <c r="I174" s="71">
        <f t="shared" si="18"/>
        <v>0.37551581843191184</v>
      </c>
    </row>
    <row r="175" spans="1:9" ht="37" customHeight="1" x14ac:dyDescent="0.2">
      <c r="A175" s="77">
        <v>2456</v>
      </c>
      <c r="B175" s="74" t="s">
        <v>839</v>
      </c>
      <c r="C175" s="75">
        <v>99.75</v>
      </c>
      <c r="D175" s="70">
        <f>'Master Item List'!M216</f>
        <v>69.752777777777766</v>
      </c>
      <c r="E175" s="70" cm="1">
        <f t="array" ref="E175:G175">'Master Item List'!T216:V216</f>
        <v>90.75</v>
      </c>
      <c r="F175" s="70">
        <v>94.25</v>
      </c>
      <c r="G175" s="70">
        <v>97.75</v>
      </c>
      <c r="H175" s="69">
        <f t="shared" si="17"/>
        <v>29.997222222222234</v>
      </c>
      <c r="I175" s="71">
        <f t="shared" si="18"/>
        <v>0.43005057544502434</v>
      </c>
    </row>
    <row r="176" spans="1:9" ht="37" hidden="1" customHeight="1" x14ac:dyDescent="0.2">
      <c r="A176" s="77">
        <v>2935</v>
      </c>
      <c r="B176" s="74" t="s">
        <v>840</v>
      </c>
      <c r="C176" s="75">
        <v>55.5</v>
      </c>
      <c r="D176" s="70">
        <f>'Master Item List'!M73</f>
        <v>38.034999999999997</v>
      </c>
      <c r="E176" s="70" cm="1">
        <f t="array" ref="E176:G176">'Master Item List'!T73:V73</f>
        <v>49.5</v>
      </c>
      <c r="F176" s="70">
        <v>51.25</v>
      </c>
      <c r="G176" s="70">
        <v>53.25</v>
      </c>
      <c r="H176" s="69">
        <f t="shared" si="17"/>
        <v>17.465000000000003</v>
      </c>
      <c r="I176" s="71">
        <f t="shared" si="18"/>
        <v>0.45918233206257408</v>
      </c>
    </row>
    <row r="177" spans="1:9" ht="37" hidden="1" customHeight="1" x14ac:dyDescent="0.2">
      <c r="A177" s="77">
        <v>2936</v>
      </c>
      <c r="B177" s="74" t="s">
        <v>841</v>
      </c>
      <c r="C177" s="75">
        <v>999.99</v>
      </c>
      <c r="D177" s="70"/>
      <c r="E177" s="70"/>
      <c r="F177" s="70"/>
      <c r="G177" s="70"/>
      <c r="H177" s="69">
        <f t="shared" si="17"/>
        <v>999.99</v>
      </c>
      <c r="I177" s="71" t="e">
        <f t="shared" si="18"/>
        <v>#DIV/0!</v>
      </c>
    </row>
    <row r="178" spans="1:9" ht="37" customHeight="1" x14ac:dyDescent="0.2">
      <c r="A178" s="77">
        <v>1408</v>
      </c>
      <c r="B178" s="74" t="s">
        <v>842</v>
      </c>
      <c r="C178" s="75">
        <v>41.5</v>
      </c>
      <c r="D178" s="70">
        <f>'Master Item List'!M217</f>
        <v>31.558333333333337</v>
      </c>
      <c r="E178" s="70" cm="1">
        <f t="array" ref="E178:G178">'Master Item List'!T217:V217</f>
        <v>41</v>
      </c>
      <c r="F178" s="70">
        <v>42.5</v>
      </c>
      <c r="G178" s="70">
        <v>44.25</v>
      </c>
      <c r="H178" s="69">
        <f t="shared" si="17"/>
        <v>9.9416666666666629</v>
      </c>
      <c r="I178" s="71">
        <f t="shared" si="18"/>
        <v>0.31502508581991007</v>
      </c>
    </row>
    <row r="179" spans="1:9" ht="37" customHeight="1" x14ac:dyDescent="0.2">
      <c r="A179" s="77">
        <v>2976</v>
      </c>
      <c r="B179" s="74" t="s">
        <v>843</v>
      </c>
      <c r="C179" s="75">
        <v>36</v>
      </c>
      <c r="D179" s="70">
        <f>'Master Item List'!M74</f>
        <v>27.385000000000002</v>
      </c>
      <c r="E179" s="70" cm="1">
        <f t="array" ref="E179:G179">'Master Item List'!T74:V74</f>
        <v>35.5</v>
      </c>
      <c r="F179" s="70">
        <v>37</v>
      </c>
      <c r="G179" s="70">
        <v>38.25</v>
      </c>
      <c r="H179" s="69">
        <f t="shared" si="17"/>
        <v>8.6149999999999984</v>
      </c>
      <c r="I179" s="71">
        <f t="shared" si="18"/>
        <v>0.31458827825451885</v>
      </c>
    </row>
    <row r="180" spans="1:9" ht="37" hidden="1" customHeight="1" x14ac:dyDescent="0.2">
      <c r="A180" s="77">
        <v>3322</v>
      </c>
      <c r="B180" s="74" t="s">
        <v>844</v>
      </c>
      <c r="C180" s="75">
        <f>C178+15</f>
        <v>56.5</v>
      </c>
      <c r="D180" s="70">
        <f>D178+'Raw Cost'!F3</f>
        <v>35.058333333333337</v>
      </c>
      <c r="E180" s="70"/>
      <c r="F180" s="70"/>
      <c r="G180" s="70"/>
      <c r="H180" s="69">
        <f t="shared" si="17"/>
        <v>21.441666666666663</v>
      </c>
      <c r="I180" s="71">
        <f t="shared" si="18"/>
        <v>0.6115997147611123</v>
      </c>
    </row>
    <row r="181" spans="1:9" ht="37" customHeight="1" x14ac:dyDescent="0.2">
      <c r="A181" s="77">
        <v>3344</v>
      </c>
      <c r="B181" s="74" t="s">
        <v>845</v>
      </c>
      <c r="C181" s="75">
        <v>36.75</v>
      </c>
      <c r="D181" s="70">
        <f>'Combo Pricing'!F26</f>
        <v>26.697222222222223</v>
      </c>
      <c r="E181" s="70" cm="1">
        <f t="array" ref="E181:G181">'Combo Pricing'!L26:N26</f>
        <v>37</v>
      </c>
      <c r="F181" s="70">
        <v>38.25</v>
      </c>
      <c r="G181" s="70">
        <v>39.75</v>
      </c>
      <c r="H181" s="69">
        <f t="shared" si="17"/>
        <v>10.052777777777777</v>
      </c>
      <c r="I181" s="71">
        <f t="shared" si="18"/>
        <v>0.37654770575382374</v>
      </c>
    </row>
    <row r="182" spans="1:9" ht="37" hidden="1" customHeight="1" x14ac:dyDescent="0.2">
      <c r="A182" s="77">
        <v>3345</v>
      </c>
      <c r="B182" s="74" t="s">
        <v>846</v>
      </c>
      <c r="C182" s="75">
        <f>C181+15</f>
        <v>51.75</v>
      </c>
      <c r="D182" s="70">
        <f>D181+'Raw Cost'!F3</f>
        <v>30.197222222222223</v>
      </c>
      <c r="E182" s="70"/>
      <c r="F182" s="70"/>
      <c r="G182" s="70"/>
      <c r="H182" s="69">
        <f t="shared" si="17"/>
        <v>21.552777777777777</v>
      </c>
      <c r="I182" s="71">
        <f t="shared" si="18"/>
        <v>0.7137337871400975</v>
      </c>
    </row>
    <row r="183" spans="1:9" ht="37" customHeight="1" x14ac:dyDescent="0.2">
      <c r="A183" s="77">
        <v>3318</v>
      </c>
      <c r="B183" s="74" t="s">
        <v>847</v>
      </c>
      <c r="C183" s="75">
        <v>34.5</v>
      </c>
      <c r="D183" s="70">
        <f>'Combo Pricing'!F30</f>
        <v>25.134722222222223</v>
      </c>
      <c r="E183" s="70" cm="1">
        <f t="array" ref="E183:G183">'Combo Pricing'!L30:N30</f>
        <v>35</v>
      </c>
      <c r="F183" s="70">
        <v>36.25</v>
      </c>
      <c r="G183" s="70">
        <v>37.5</v>
      </c>
      <c r="H183" s="69">
        <f t="shared" si="17"/>
        <v>9.3652777777777771</v>
      </c>
      <c r="I183" s="71">
        <f t="shared" si="18"/>
        <v>0.37260319389954133</v>
      </c>
    </row>
    <row r="184" spans="1:9" ht="37" hidden="1" customHeight="1" x14ac:dyDescent="0.2">
      <c r="A184" s="77">
        <v>3319</v>
      </c>
      <c r="B184" s="74" t="s">
        <v>848</v>
      </c>
      <c r="C184" s="75">
        <f>C183+15</f>
        <v>49.5</v>
      </c>
      <c r="D184" s="70">
        <f>D183+'Raw Cost'!F3</f>
        <v>28.634722222222223</v>
      </c>
      <c r="E184" s="70"/>
      <c r="F184" s="70"/>
      <c r="G184" s="70"/>
      <c r="H184" s="69">
        <f t="shared" si="17"/>
        <v>20.865277777777777</v>
      </c>
      <c r="I184" s="71">
        <f t="shared" si="18"/>
        <v>0.72867051462385402</v>
      </c>
    </row>
    <row r="185" spans="1:9" ht="37" hidden="1" customHeight="1" x14ac:dyDescent="0.2">
      <c r="A185" s="77">
        <v>1398</v>
      </c>
      <c r="B185" s="74" t="s">
        <v>849</v>
      </c>
      <c r="C185" s="75">
        <v>10</v>
      </c>
      <c r="D185" s="70"/>
      <c r="E185" s="70"/>
      <c r="F185" s="70"/>
      <c r="G185" s="70"/>
      <c r="H185" s="69">
        <f t="shared" si="17"/>
        <v>10</v>
      </c>
      <c r="I185" s="71" t="e">
        <f t="shared" si="18"/>
        <v>#DIV/0!</v>
      </c>
    </row>
    <row r="186" spans="1:9" ht="37" hidden="1" customHeight="1" x14ac:dyDescent="0.2">
      <c r="A186" s="73">
        <v>132</v>
      </c>
      <c r="B186" s="74" t="s">
        <v>850</v>
      </c>
      <c r="C186" s="75">
        <v>18</v>
      </c>
      <c r="D186" s="70"/>
      <c r="E186" s="70"/>
      <c r="F186" s="70"/>
      <c r="G186" s="70"/>
      <c r="H186" s="69">
        <f t="shared" si="17"/>
        <v>18</v>
      </c>
      <c r="I186" s="71" t="e">
        <f t="shared" si="18"/>
        <v>#DIV/0!</v>
      </c>
    </row>
    <row r="187" spans="1:9" ht="37" hidden="1" customHeight="1" x14ac:dyDescent="0.2">
      <c r="A187" s="73">
        <v>135</v>
      </c>
      <c r="B187" s="74" t="s">
        <v>851</v>
      </c>
      <c r="C187" s="75">
        <v>10</v>
      </c>
      <c r="D187" s="70"/>
      <c r="E187" s="70"/>
      <c r="F187" s="70"/>
      <c r="G187" s="70"/>
      <c r="H187" s="69">
        <f t="shared" si="17"/>
        <v>10</v>
      </c>
      <c r="I187" s="71" t="e">
        <f t="shared" si="18"/>
        <v>#DIV/0!</v>
      </c>
    </row>
    <row r="188" spans="1:9" ht="37" hidden="1" customHeight="1" x14ac:dyDescent="0.2">
      <c r="A188" s="73">
        <v>490</v>
      </c>
      <c r="B188" s="74" t="s">
        <v>852</v>
      </c>
      <c r="C188" s="75">
        <v>10.5</v>
      </c>
      <c r="D188" s="70"/>
      <c r="E188" s="70"/>
      <c r="F188" s="70"/>
      <c r="G188" s="70"/>
      <c r="H188" s="69">
        <f t="shared" si="17"/>
        <v>10.5</v>
      </c>
      <c r="I188" s="71" t="e">
        <f t="shared" si="18"/>
        <v>#DIV/0!</v>
      </c>
    </row>
    <row r="189" spans="1:9" ht="37" customHeight="1" x14ac:dyDescent="0.2">
      <c r="A189" s="73">
        <v>870</v>
      </c>
      <c r="B189" s="74" t="s">
        <v>853</v>
      </c>
      <c r="C189" s="75">
        <v>38</v>
      </c>
      <c r="D189" s="70">
        <f>'Master Item List'!M159</f>
        <v>28.475000000000001</v>
      </c>
      <c r="E189" s="70" cm="1">
        <f t="array" ref="E189:G189">'Master Item List'!T159:V159</f>
        <v>37</v>
      </c>
      <c r="F189" s="70">
        <v>38.5</v>
      </c>
      <c r="G189" s="70">
        <v>39.75</v>
      </c>
      <c r="H189" s="69">
        <f t="shared" si="17"/>
        <v>9.5249999999999986</v>
      </c>
      <c r="I189" s="71">
        <f t="shared" si="18"/>
        <v>0.33450395083406492</v>
      </c>
    </row>
    <row r="190" spans="1:9" ht="37" customHeight="1" x14ac:dyDescent="0.2">
      <c r="A190" s="78">
        <v>4708</v>
      </c>
      <c r="B190" s="74" t="s">
        <v>854</v>
      </c>
      <c r="C190" s="75">
        <v>43.25</v>
      </c>
      <c r="D190" s="70">
        <f>'Master Item List'!M76</f>
        <v>33.046428571428571</v>
      </c>
      <c r="E190" s="70" cm="1">
        <f t="array" ref="E190:G190">'Master Item List'!T76:V76</f>
        <v>43</v>
      </c>
      <c r="F190" s="70">
        <v>44.5</v>
      </c>
      <c r="G190" s="70">
        <v>46.25</v>
      </c>
      <c r="H190" s="69">
        <f t="shared" si="17"/>
        <v>10.203571428571429</v>
      </c>
      <c r="I190" s="71">
        <f t="shared" si="18"/>
        <v>0.30876472495406898</v>
      </c>
    </row>
    <row r="191" spans="1:9" ht="37" customHeight="1" x14ac:dyDescent="0.2">
      <c r="A191" s="77">
        <v>1817</v>
      </c>
      <c r="B191" s="74" t="s">
        <v>855</v>
      </c>
      <c r="C191" s="75">
        <v>43.25</v>
      </c>
      <c r="D191" s="70">
        <f>D190</f>
        <v>33.046428571428571</v>
      </c>
      <c r="E191" s="70"/>
      <c r="F191" s="70"/>
      <c r="G191" s="70"/>
      <c r="H191" s="69">
        <f t="shared" si="17"/>
        <v>10.203571428571429</v>
      </c>
      <c r="I191" s="71">
        <f t="shared" si="18"/>
        <v>0.30876472495406898</v>
      </c>
    </row>
    <row r="192" spans="1:9" ht="37" hidden="1" customHeight="1" x14ac:dyDescent="0.2">
      <c r="A192" s="77">
        <v>4744</v>
      </c>
      <c r="B192" s="74" t="s">
        <v>856</v>
      </c>
      <c r="C192" s="75">
        <v>999.99</v>
      </c>
      <c r="D192" s="70"/>
      <c r="E192" s="70"/>
      <c r="F192" s="70"/>
      <c r="G192" s="70"/>
      <c r="H192" s="69">
        <f t="shared" si="17"/>
        <v>999.99</v>
      </c>
      <c r="I192" s="71" t="e">
        <f t="shared" si="18"/>
        <v>#DIV/0!</v>
      </c>
    </row>
    <row r="193" spans="1:9" ht="37" customHeight="1" x14ac:dyDescent="0.2">
      <c r="A193" s="77">
        <v>4712</v>
      </c>
      <c r="B193" s="74" t="s">
        <v>857</v>
      </c>
      <c r="C193" s="75">
        <v>27.25</v>
      </c>
      <c r="D193" s="70">
        <f>'Master Item List'!M79</f>
        <v>17.112777777777779</v>
      </c>
      <c r="E193" s="70" cm="1">
        <f t="array" ref="E193:G193">'Master Item List'!T79:V79</f>
        <v>22.25</v>
      </c>
      <c r="F193" s="70">
        <v>23</v>
      </c>
      <c r="G193" s="70">
        <v>24</v>
      </c>
      <c r="H193" s="69">
        <f t="shared" si="17"/>
        <v>10.137222222222221</v>
      </c>
      <c r="I193" s="71">
        <f t="shared" si="18"/>
        <v>0.59237736584098932</v>
      </c>
    </row>
    <row r="194" spans="1:9" ht="37" customHeight="1" x14ac:dyDescent="0.2">
      <c r="A194" s="73">
        <v>542</v>
      </c>
      <c r="B194" s="74" t="s">
        <v>858</v>
      </c>
      <c r="C194" s="75">
        <v>38.5</v>
      </c>
      <c r="D194" s="70">
        <f>'Master Item List'!M77</f>
        <v>23.530555555555559</v>
      </c>
      <c r="E194" s="70" cm="1">
        <f t="array" ref="E194:G194">'Master Item List'!T77:V77</f>
        <v>30.5</v>
      </c>
      <c r="F194" s="70">
        <v>31.75</v>
      </c>
      <c r="G194" s="70">
        <v>33</v>
      </c>
      <c r="H194" s="69">
        <f t="shared" si="17"/>
        <v>14.969444444444441</v>
      </c>
      <c r="I194" s="71">
        <f t="shared" si="18"/>
        <v>0.63617046393578069</v>
      </c>
    </row>
    <row r="195" spans="1:9" ht="37" customHeight="1" x14ac:dyDescent="0.2">
      <c r="A195" s="77">
        <v>1397</v>
      </c>
      <c r="B195" s="74" t="s">
        <v>859</v>
      </c>
      <c r="C195" s="75">
        <v>27.25</v>
      </c>
      <c r="D195" s="70">
        <f>'Master Item List'!M79</f>
        <v>17.112777777777779</v>
      </c>
      <c r="E195" s="70" cm="1">
        <f t="array" ref="E195:G195">'Master Item List'!T79:V79</f>
        <v>22.25</v>
      </c>
      <c r="F195" s="70">
        <v>23</v>
      </c>
      <c r="G195" s="70">
        <v>24</v>
      </c>
      <c r="H195" s="69">
        <f t="shared" si="17"/>
        <v>10.137222222222221</v>
      </c>
      <c r="I195" s="71">
        <f t="shared" si="18"/>
        <v>0.59237736584098932</v>
      </c>
    </row>
    <row r="196" spans="1:9" ht="37" customHeight="1" x14ac:dyDescent="0.2">
      <c r="A196" s="73">
        <v>147</v>
      </c>
      <c r="B196" s="74" t="s">
        <v>860</v>
      </c>
      <c r="C196" s="75">
        <v>37.25</v>
      </c>
      <c r="D196" s="70">
        <f>'Master Item List'!M84</f>
        <v>17.112777777777779</v>
      </c>
      <c r="E196" s="70" cm="1">
        <f t="array" ref="E196:G196">'Master Item List'!T84:V84</f>
        <v>22.25</v>
      </c>
      <c r="F196" s="70">
        <v>23</v>
      </c>
      <c r="G196" s="70">
        <v>24</v>
      </c>
      <c r="H196" s="69">
        <f t="shared" si="17"/>
        <v>20.137222222222221</v>
      </c>
      <c r="I196" s="71">
        <f t="shared" si="18"/>
        <v>1.1767360322046552</v>
      </c>
    </row>
    <row r="197" spans="1:9" ht="37" customHeight="1" x14ac:dyDescent="0.2">
      <c r="A197" s="77">
        <v>4743</v>
      </c>
      <c r="B197" s="74" t="s">
        <v>861</v>
      </c>
      <c r="C197" s="75">
        <v>41.5</v>
      </c>
      <c r="D197" s="70">
        <f>'Master Item List'!M97</f>
        <v>30.043965517241382</v>
      </c>
      <c r="E197" s="70" cm="1">
        <f t="array" ref="E197:G197">'Master Item List'!T97:V97</f>
        <v>39</v>
      </c>
      <c r="F197" s="70">
        <v>40.5</v>
      </c>
      <c r="G197" s="70">
        <v>42</v>
      </c>
      <c r="H197" s="69">
        <f t="shared" si="17"/>
        <v>11.456034482758618</v>
      </c>
      <c r="I197" s="71">
        <f t="shared" si="18"/>
        <v>0.38130900117643668</v>
      </c>
    </row>
    <row r="198" spans="1:9" ht="37" customHeight="1" x14ac:dyDescent="0.2">
      <c r="A198" s="74" t="s">
        <v>862</v>
      </c>
      <c r="B198" s="74" t="s">
        <v>863</v>
      </c>
      <c r="C198" s="75">
        <v>9.75</v>
      </c>
      <c r="D198" s="70">
        <f>'Master Item List'!M94</f>
        <v>7.4175000000000004</v>
      </c>
      <c r="E198" s="70" cm="1">
        <f t="array" ref="E198:G198">'Master Item List'!T94:V94</f>
        <v>9.75</v>
      </c>
      <c r="F198" s="70">
        <v>10</v>
      </c>
      <c r="G198" s="70">
        <v>10.5</v>
      </c>
      <c r="H198" s="69">
        <f t="shared" si="17"/>
        <v>2.3324999999999996</v>
      </c>
      <c r="I198" s="71">
        <f t="shared" si="18"/>
        <v>0.31445904954499487</v>
      </c>
    </row>
    <row r="199" spans="1:9" ht="37" customHeight="1" x14ac:dyDescent="0.2">
      <c r="A199" s="77">
        <v>2970</v>
      </c>
      <c r="B199" s="74" t="s">
        <v>864</v>
      </c>
      <c r="C199" s="75">
        <v>26</v>
      </c>
      <c r="D199" s="70">
        <f>'Master Item List'!M90</f>
        <v>16.725000000000001</v>
      </c>
      <c r="E199" s="70" cm="1">
        <f t="array" ref="E199:G199">'Master Item List'!T90:V90</f>
        <v>21.75</v>
      </c>
      <c r="F199" s="70">
        <v>22.5</v>
      </c>
      <c r="G199" s="70">
        <v>23.5</v>
      </c>
      <c r="H199" s="69">
        <f t="shared" si="17"/>
        <v>9.2749999999999986</v>
      </c>
      <c r="I199" s="71">
        <f t="shared" si="18"/>
        <v>0.55455904334828088</v>
      </c>
    </row>
    <row r="200" spans="1:9" ht="37" customHeight="1" x14ac:dyDescent="0.2">
      <c r="A200" s="77">
        <v>3123</v>
      </c>
      <c r="B200" s="74" t="s">
        <v>865</v>
      </c>
      <c r="C200" s="75">
        <v>19</v>
      </c>
      <c r="D200" s="70">
        <f>'Master Item List'!M89</f>
        <v>12.15</v>
      </c>
      <c r="E200" s="70" cm="1">
        <f t="array" ref="E200:G200">'Master Item List'!T89:V89</f>
        <v>15.75</v>
      </c>
      <c r="F200" s="70">
        <v>16.5</v>
      </c>
      <c r="G200" s="70">
        <v>17</v>
      </c>
      <c r="H200" s="69">
        <f t="shared" si="17"/>
        <v>6.85</v>
      </c>
      <c r="I200" s="71">
        <f t="shared" si="18"/>
        <v>0.56378600823045266</v>
      </c>
    </row>
    <row r="201" spans="1:9" ht="37" customHeight="1" x14ac:dyDescent="0.2">
      <c r="A201" s="73">
        <v>539</v>
      </c>
      <c r="B201" s="74" t="s">
        <v>866</v>
      </c>
      <c r="C201" s="75">
        <v>26</v>
      </c>
      <c r="D201" s="70">
        <f>'Master Item List'!M90</f>
        <v>16.725000000000001</v>
      </c>
      <c r="E201" s="70" cm="1">
        <f t="array" ref="E201:G201">'Master Item List'!T90:V90</f>
        <v>21.75</v>
      </c>
      <c r="F201" s="70">
        <v>22.5</v>
      </c>
      <c r="G201" s="70">
        <v>23.5</v>
      </c>
      <c r="H201" s="69">
        <f t="shared" si="17"/>
        <v>9.2749999999999986</v>
      </c>
      <c r="I201" s="71">
        <f t="shared" si="18"/>
        <v>0.55455904334828088</v>
      </c>
    </row>
    <row r="202" spans="1:9" ht="37" customHeight="1" x14ac:dyDescent="0.2">
      <c r="A202" s="77">
        <v>4734</v>
      </c>
      <c r="B202" s="74" t="s">
        <v>867</v>
      </c>
      <c r="C202" s="75">
        <v>19</v>
      </c>
      <c r="D202" s="70">
        <f>'Master Item List'!M91</f>
        <v>12.15</v>
      </c>
      <c r="E202" s="70" cm="1">
        <f t="array" ref="E202:G202">'Master Item List'!T91:V91</f>
        <v>15.75</v>
      </c>
      <c r="F202" s="70">
        <v>16.5</v>
      </c>
      <c r="G202" s="70">
        <v>17</v>
      </c>
      <c r="H202" s="69">
        <f t="shared" si="17"/>
        <v>6.85</v>
      </c>
      <c r="I202" s="71">
        <f t="shared" si="18"/>
        <v>0.56378600823045266</v>
      </c>
    </row>
    <row r="203" spans="1:9" ht="37" customHeight="1" x14ac:dyDescent="0.2">
      <c r="A203" s="73">
        <v>541</v>
      </c>
      <c r="B203" s="74" t="s">
        <v>868</v>
      </c>
      <c r="C203" s="75">
        <v>19</v>
      </c>
      <c r="D203" s="70">
        <f>'Master Item List'!M95+1</f>
        <v>13.15</v>
      </c>
      <c r="E203" s="70" cm="1">
        <f t="array" ref="E203:G203">'Master Item List'!T95:V95+1</f>
        <v>16.75</v>
      </c>
      <c r="F203" s="70">
        <v>17.5</v>
      </c>
      <c r="G203" s="70">
        <v>18</v>
      </c>
      <c r="H203" s="69">
        <f t="shared" si="17"/>
        <v>5.85</v>
      </c>
      <c r="I203" s="71">
        <f t="shared" si="18"/>
        <v>0.44486692015209123</v>
      </c>
    </row>
    <row r="204" spans="1:9" ht="37" customHeight="1" x14ac:dyDescent="0.2">
      <c r="A204" s="73">
        <v>148</v>
      </c>
      <c r="B204" s="74" t="s">
        <v>869</v>
      </c>
      <c r="C204" s="75">
        <v>19</v>
      </c>
      <c r="D204" s="70">
        <f>'Master Item List'!M95</f>
        <v>12.15</v>
      </c>
      <c r="E204" s="70" cm="1">
        <f t="array" ref="E204:G204">'Master Item List'!T95:V95</f>
        <v>15.75</v>
      </c>
      <c r="F204" s="70">
        <v>16.5</v>
      </c>
      <c r="G204" s="70">
        <v>17</v>
      </c>
      <c r="H204" s="69">
        <f t="shared" si="17"/>
        <v>6.85</v>
      </c>
      <c r="I204" s="71">
        <f t="shared" si="18"/>
        <v>0.56378600823045266</v>
      </c>
    </row>
    <row r="205" spans="1:9" ht="37" customHeight="1" x14ac:dyDescent="0.2">
      <c r="A205" s="73">
        <v>145</v>
      </c>
      <c r="B205" s="74" t="s">
        <v>870</v>
      </c>
      <c r="C205" s="75">
        <v>25</v>
      </c>
      <c r="D205" s="70">
        <f>'Master Item List'!M93</f>
        <v>16.725000000000001</v>
      </c>
      <c r="E205" s="70" cm="1">
        <f t="array" ref="E205:G205">'Master Item List'!T93:V93</f>
        <v>21.75</v>
      </c>
      <c r="F205" s="70">
        <v>22.5</v>
      </c>
      <c r="G205" s="70">
        <v>23.5</v>
      </c>
      <c r="H205" s="69">
        <f t="shared" si="17"/>
        <v>8.2749999999999986</v>
      </c>
      <c r="I205" s="71">
        <f t="shared" si="18"/>
        <v>0.49476831091180856</v>
      </c>
    </row>
    <row r="206" spans="1:9" ht="37" customHeight="1" x14ac:dyDescent="0.2">
      <c r="A206" s="77">
        <v>1417</v>
      </c>
      <c r="B206" s="74" t="s">
        <v>871</v>
      </c>
      <c r="C206" s="75">
        <v>39.75</v>
      </c>
      <c r="D206" s="70">
        <f>'Master Item List'!M179</f>
        <v>29.54078947368421</v>
      </c>
      <c r="E206" s="70" cm="1">
        <f t="array" ref="E206:G206">'Master Item List'!T179:V179</f>
        <v>38.5</v>
      </c>
      <c r="F206" s="70">
        <v>40</v>
      </c>
      <c r="G206" s="70">
        <v>41.25</v>
      </c>
      <c r="H206" s="69">
        <f t="shared" si="17"/>
        <v>10.20921052631579</v>
      </c>
      <c r="I206" s="71">
        <f t="shared" si="18"/>
        <v>0.34559707808115453</v>
      </c>
    </row>
    <row r="207" spans="1:9" ht="37" customHeight="1" x14ac:dyDescent="0.2">
      <c r="A207" s="77">
        <v>1180</v>
      </c>
      <c r="B207" s="74" t="s">
        <v>872</v>
      </c>
      <c r="C207" s="75">
        <v>32</v>
      </c>
      <c r="D207" s="70">
        <f>'Master Item List'!M218</f>
        <v>22.752272727272729</v>
      </c>
      <c r="E207" s="70" cm="1">
        <f t="array" ref="E207:G207">'Master Item List'!T218:V218</f>
        <v>29.5</v>
      </c>
      <c r="F207" s="70">
        <v>30.75</v>
      </c>
      <c r="G207" s="70">
        <v>31.75</v>
      </c>
      <c r="H207" s="69">
        <f t="shared" si="17"/>
        <v>9.2477272727272712</v>
      </c>
      <c r="I207" s="71">
        <f t="shared" si="18"/>
        <v>0.40645290180801108</v>
      </c>
    </row>
    <row r="208" spans="1:9" ht="37" customHeight="1" x14ac:dyDescent="0.2">
      <c r="A208" s="77">
        <v>1242</v>
      </c>
      <c r="B208" s="74" t="s">
        <v>873</v>
      </c>
      <c r="C208" s="75">
        <v>26</v>
      </c>
      <c r="D208" s="70">
        <f>'Master Item List'!M99</f>
        <v>14.690172413793103</v>
      </c>
      <c r="E208" s="70" cm="1">
        <f t="array" ref="E208:G208">'Master Item List'!T99:V99</f>
        <v>19</v>
      </c>
      <c r="F208" s="70">
        <v>19.75</v>
      </c>
      <c r="G208" s="70">
        <v>20.5</v>
      </c>
      <c r="H208" s="69">
        <f t="shared" si="17"/>
        <v>11.309827586206897</v>
      </c>
      <c r="I208" s="71">
        <f t="shared" si="18"/>
        <v>0.76989073154701126</v>
      </c>
    </row>
    <row r="209" spans="1:9" ht="37" hidden="1" customHeight="1" x14ac:dyDescent="0.2">
      <c r="A209" s="77">
        <v>3323</v>
      </c>
      <c r="B209" s="74" t="s">
        <v>874</v>
      </c>
      <c r="C209" s="75">
        <f>C207+15</f>
        <v>47</v>
      </c>
      <c r="D209" s="70">
        <f>D207+'Raw Cost'!F3</f>
        <v>26.252272727272729</v>
      </c>
      <c r="E209" s="70"/>
      <c r="F209" s="70"/>
      <c r="G209" s="70"/>
      <c r="H209" s="69">
        <f t="shared" si="17"/>
        <v>20.747727272727271</v>
      </c>
      <c r="I209" s="71">
        <f t="shared" si="18"/>
        <v>0.79032118431304643</v>
      </c>
    </row>
    <row r="210" spans="1:9" ht="37" customHeight="1" x14ac:dyDescent="0.2">
      <c r="A210" s="77">
        <v>4681</v>
      </c>
      <c r="B210" s="74" t="s">
        <v>875</v>
      </c>
      <c r="C210" s="75">
        <v>28</v>
      </c>
      <c r="D210" s="70"/>
      <c r="E210" s="70"/>
      <c r="F210" s="70"/>
      <c r="G210" s="70"/>
      <c r="H210" s="69">
        <f t="shared" si="17"/>
        <v>28</v>
      </c>
      <c r="I210" s="71">
        <v>0</v>
      </c>
    </row>
    <row r="211" spans="1:9" ht="37" customHeight="1" x14ac:dyDescent="0.2">
      <c r="A211" s="77">
        <v>2990</v>
      </c>
      <c r="B211" s="74" t="s">
        <v>876</v>
      </c>
      <c r="C211" s="75">
        <v>39</v>
      </c>
      <c r="D211" s="70">
        <f>'Master Item List'!M219</f>
        <v>20.178125000000001</v>
      </c>
      <c r="E211" s="70" cm="1">
        <f t="array" ref="E211:G211">'Master Item List'!T219:V219</f>
        <v>26.25</v>
      </c>
      <c r="F211" s="70">
        <v>27.25</v>
      </c>
      <c r="G211" s="70">
        <v>28.25</v>
      </c>
      <c r="H211" s="69">
        <f t="shared" si="17"/>
        <v>18.821874999999999</v>
      </c>
      <c r="I211" s="71">
        <f t="shared" si="18"/>
        <v>0.93278612358680491</v>
      </c>
    </row>
    <row r="212" spans="1:9" ht="37" hidden="1" customHeight="1" x14ac:dyDescent="0.2">
      <c r="A212" s="77">
        <v>3324</v>
      </c>
      <c r="B212" s="74" t="s">
        <v>877</v>
      </c>
      <c r="C212" s="75">
        <f>C211+15</f>
        <v>54</v>
      </c>
      <c r="D212" s="70">
        <f>D211+'Raw Cost'!F3</f>
        <v>23.678125000000001</v>
      </c>
      <c r="E212" s="70"/>
      <c r="F212" s="70"/>
      <c r="G212" s="70"/>
      <c r="H212" s="69">
        <f t="shared" si="17"/>
        <v>30.321874999999999</v>
      </c>
      <c r="I212" s="71">
        <f t="shared" si="18"/>
        <v>1.2805859838986404</v>
      </c>
    </row>
    <row r="213" spans="1:9" ht="37" customHeight="1" x14ac:dyDescent="0.2">
      <c r="A213" s="77">
        <v>3209</v>
      </c>
      <c r="B213" s="74" t="s">
        <v>878</v>
      </c>
      <c r="C213" s="75">
        <v>39.75</v>
      </c>
      <c r="D213" s="70">
        <f>'Master Item List'!M103</f>
        <v>28.886111111111109</v>
      </c>
      <c r="E213" s="70" cm="1">
        <f t="array" ref="E213:G213">'Master Item List'!T103:V103</f>
        <v>37.5</v>
      </c>
      <c r="F213" s="70">
        <v>39</v>
      </c>
      <c r="G213" s="70">
        <v>40.5</v>
      </c>
      <c r="H213" s="69">
        <f t="shared" si="17"/>
        <v>10.863888888888891</v>
      </c>
      <c r="I213" s="71">
        <f t="shared" si="18"/>
        <v>0.37609385517838262</v>
      </c>
    </row>
    <row r="214" spans="1:9" ht="37" customHeight="1" x14ac:dyDescent="0.2">
      <c r="A214" s="77">
        <v>3158</v>
      </c>
      <c r="B214" s="74" t="s">
        <v>879</v>
      </c>
      <c r="C214" s="75">
        <v>35.75</v>
      </c>
      <c r="D214" s="70">
        <f>'Master Item List'!M255</f>
        <v>23.919444444444444</v>
      </c>
      <c r="E214" s="70" cm="1">
        <f t="array" ref="E214:G214">'Master Item List'!T255:V255</f>
        <v>31</v>
      </c>
      <c r="F214" s="70">
        <v>32.25</v>
      </c>
      <c r="G214" s="70">
        <v>33.5</v>
      </c>
      <c r="H214" s="69">
        <f t="shared" si="17"/>
        <v>11.830555555555556</v>
      </c>
      <c r="I214" s="71">
        <f t="shared" si="18"/>
        <v>0.49459993032168159</v>
      </c>
    </row>
    <row r="215" spans="1:9" ht="37" hidden="1" customHeight="1" x14ac:dyDescent="0.2">
      <c r="A215" s="77">
        <v>3325</v>
      </c>
      <c r="B215" s="74" t="s">
        <v>880</v>
      </c>
      <c r="C215" s="75">
        <f>C214+15</f>
        <v>50.75</v>
      </c>
      <c r="D215" s="70"/>
      <c r="E215" s="70"/>
      <c r="F215" s="70"/>
      <c r="G215" s="70"/>
      <c r="H215" s="69">
        <f t="shared" si="17"/>
        <v>50.75</v>
      </c>
      <c r="I215" s="71" t="e">
        <f t="shared" si="18"/>
        <v>#DIV/0!</v>
      </c>
    </row>
    <row r="216" spans="1:9" ht="37" hidden="1" customHeight="1" x14ac:dyDescent="0.2">
      <c r="A216" s="77">
        <v>3326</v>
      </c>
      <c r="B216" s="74" t="s">
        <v>881</v>
      </c>
      <c r="C216" s="75">
        <f>C214+15</f>
        <v>50.75</v>
      </c>
      <c r="D216" s="70"/>
      <c r="E216" s="70"/>
      <c r="F216" s="70"/>
      <c r="G216" s="70"/>
      <c r="H216" s="69">
        <f t="shared" si="17"/>
        <v>50.75</v>
      </c>
      <c r="I216" s="71" t="e">
        <f t="shared" si="18"/>
        <v>#DIV/0!</v>
      </c>
    </row>
    <row r="217" spans="1:9" ht="37" customHeight="1" x14ac:dyDescent="0.2">
      <c r="A217" s="77">
        <v>2113</v>
      </c>
      <c r="B217" s="74" t="s">
        <v>882</v>
      </c>
      <c r="C217" s="75">
        <v>39.75</v>
      </c>
      <c r="D217" s="70">
        <f>'Master Item List'!M102</f>
        <v>30.06111111111111</v>
      </c>
      <c r="E217" s="70" cm="1">
        <f t="array" ref="E217:G217">'Master Item List'!T102:V102</f>
        <v>39</v>
      </c>
      <c r="F217" s="70">
        <v>40.5</v>
      </c>
      <c r="G217" s="70">
        <v>42</v>
      </c>
      <c r="H217" s="69">
        <f t="shared" si="17"/>
        <v>9.68888888888889</v>
      </c>
      <c r="I217" s="71">
        <f t="shared" si="18"/>
        <v>0.32230641286268719</v>
      </c>
    </row>
    <row r="218" spans="1:9" ht="37" customHeight="1" x14ac:dyDescent="0.2">
      <c r="A218" s="77">
        <v>2049</v>
      </c>
      <c r="B218" s="74" t="s">
        <v>883</v>
      </c>
      <c r="C218" s="75">
        <v>31</v>
      </c>
      <c r="D218" s="70">
        <f>'Master Item List'!M221</f>
        <v>23.0465625</v>
      </c>
      <c r="E218" s="70" cm="1">
        <f t="array" ref="E218:G218">'Master Item List'!T221:V221</f>
        <v>30</v>
      </c>
      <c r="F218" s="70">
        <v>31</v>
      </c>
      <c r="G218" s="70">
        <v>32.25</v>
      </c>
      <c r="H218" s="69">
        <f t="shared" si="17"/>
        <v>7.9534374999999997</v>
      </c>
      <c r="I218" s="71">
        <f t="shared" si="18"/>
        <v>0.34510298444724674</v>
      </c>
    </row>
    <row r="219" spans="1:9" ht="37" hidden="1" customHeight="1" x14ac:dyDescent="0.2">
      <c r="A219" s="77">
        <v>3327</v>
      </c>
      <c r="B219" s="74" t="s">
        <v>884</v>
      </c>
      <c r="C219" s="75">
        <f>C218+15</f>
        <v>46</v>
      </c>
      <c r="D219" s="70">
        <f>D218+'Raw Cost'!F3</f>
        <v>26.5465625</v>
      </c>
      <c r="E219" s="70"/>
      <c r="F219" s="70"/>
      <c r="G219" s="70"/>
      <c r="H219" s="69">
        <f t="shared" ref="H219:H282" si="19">C219-D219</f>
        <v>19.4534375</v>
      </c>
      <c r="I219" s="71">
        <f t="shared" ref="I219:I282" si="20">H219/D219</f>
        <v>0.73280438851546215</v>
      </c>
    </row>
    <row r="220" spans="1:9" ht="37" customHeight="1" x14ac:dyDescent="0.2">
      <c r="A220" s="77">
        <v>4727</v>
      </c>
      <c r="B220" s="74" t="s">
        <v>885</v>
      </c>
      <c r="C220" s="75">
        <v>29.75</v>
      </c>
      <c r="D220" s="70">
        <f>'Combo Pricing'!F17</f>
        <v>20.114947916666665</v>
      </c>
      <c r="E220" s="70" cm="1">
        <f t="array" ref="E220:G220">'Combo Pricing'!L17:N17</f>
        <v>28.5</v>
      </c>
      <c r="F220" s="70">
        <v>29.5</v>
      </c>
      <c r="G220" s="70">
        <v>30.5</v>
      </c>
      <c r="H220" s="69">
        <f t="shared" si="19"/>
        <v>9.6350520833333348</v>
      </c>
      <c r="I220" s="71">
        <f t="shared" si="20"/>
        <v>0.47899960383939194</v>
      </c>
    </row>
    <row r="221" spans="1:9" ht="37" hidden="1" customHeight="1" x14ac:dyDescent="0.2">
      <c r="A221" s="77">
        <v>3282</v>
      </c>
      <c r="B221" s="74" t="s">
        <v>886</v>
      </c>
      <c r="C221" s="75">
        <f>C220+15</f>
        <v>44.75</v>
      </c>
      <c r="D221" s="70">
        <f>D220+'Raw Cost'!F1</f>
        <v>29.314947916666664</v>
      </c>
      <c r="E221" s="70"/>
      <c r="F221" s="70"/>
      <c r="G221" s="70"/>
      <c r="H221" s="69">
        <f t="shared" si="19"/>
        <v>15.435052083333336</v>
      </c>
      <c r="I221" s="71">
        <f t="shared" si="20"/>
        <v>0.52652497037383172</v>
      </c>
    </row>
    <row r="222" spans="1:9" ht="37" hidden="1" customHeight="1" x14ac:dyDescent="0.2">
      <c r="A222" s="77">
        <v>3283</v>
      </c>
      <c r="B222" s="74" t="s">
        <v>887</v>
      </c>
      <c r="C222" s="75">
        <f>C220+15</f>
        <v>44.75</v>
      </c>
      <c r="D222" s="70">
        <f>D220+'Raw Cost'!F3</f>
        <v>23.614947916666665</v>
      </c>
      <c r="E222" s="70"/>
      <c r="F222" s="70"/>
      <c r="G222" s="70"/>
      <c r="H222" s="69">
        <f t="shared" si="19"/>
        <v>21.135052083333335</v>
      </c>
      <c r="I222" s="71">
        <f t="shared" si="20"/>
        <v>0.89498618239242023</v>
      </c>
    </row>
    <row r="223" spans="1:9" ht="37" customHeight="1" x14ac:dyDescent="0.2">
      <c r="A223" s="77">
        <v>3302</v>
      </c>
      <c r="B223" s="74" t="s">
        <v>888</v>
      </c>
      <c r="C223" s="75">
        <v>29.5</v>
      </c>
      <c r="D223" s="70">
        <f>'Combo Pricing'!F21</f>
        <v>19.46453125</v>
      </c>
      <c r="E223" s="70" cm="1">
        <f t="array" ref="E223:G223">'Combo Pricing'!L21:N21</f>
        <v>27.5</v>
      </c>
      <c r="F223" s="70">
        <v>28.5</v>
      </c>
      <c r="G223" s="70">
        <v>29.5</v>
      </c>
      <c r="H223" s="69">
        <f t="shared" si="19"/>
        <v>10.03546875</v>
      </c>
      <c r="I223" s="71">
        <f t="shared" si="20"/>
        <v>0.51557721175535631</v>
      </c>
    </row>
    <row r="224" spans="1:9" ht="37" hidden="1" customHeight="1" x14ac:dyDescent="0.2">
      <c r="A224" s="77">
        <v>3303</v>
      </c>
      <c r="B224" s="74" t="s">
        <v>889</v>
      </c>
      <c r="C224" s="75">
        <f>C223+15</f>
        <v>44.5</v>
      </c>
      <c r="D224" s="70">
        <f>D223+'Raw Cost'!F1</f>
        <v>28.66453125</v>
      </c>
      <c r="E224" s="70"/>
      <c r="F224" s="70"/>
      <c r="G224" s="70"/>
      <c r="H224" s="69">
        <f t="shared" si="19"/>
        <v>15.83546875</v>
      </c>
      <c r="I224" s="71">
        <f t="shared" si="20"/>
        <v>0.5524412247278595</v>
      </c>
    </row>
    <row r="225" spans="1:9" ht="37" hidden="1" customHeight="1" x14ac:dyDescent="0.2">
      <c r="A225" s="77">
        <v>3304</v>
      </c>
      <c r="B225" s="74" t="s">
        <v>890</v>
      </c>
      <c r="C225" s="75">
        <f>C223+15</f>
        <v>44.5</v>
      </c>
      <c r="D225" s="70">
        <f>D223+'Raw Cost'!F3</f>
        <v>22.96453125</v>
      </c>
      <c r="E225" s="70"/>
      <c r="F225" s="70"/>
      <c r="G225" s="70"/>
      <c r="H225" s="69">
        <f t="shared" si="19"/>
        <v>21.53546875</v>
      </c>
      <c r="I225" s="71">
        <f t="shared" si="20"/>
        <v>0.93777088308736978</v>
      </c>
    </row>
    <row r="226" spans="1:9" ht="37" hidden="1" customHeight="1" x14ac:dyDescent="0.2">
      <c r="A226" s="77">
        <v>3328</v>
      </c>
      <c r="B226" s="74" t="s">
        <v>891</v>
      </c>
      <c r="C226" s="75">
        <f>C227+15</f>
        <v>51</v>
      </c>
      <c r="D226" s="70">
        <f>D227+'Raw Cost'!F3</f>
        <v>29.740451388888889</v>
      </c>
      <c r="E226" s="70"/>
      <c r="F226" s="70"/>
      <c r="G226" s="70"/>
      <c r="H226" s="69">
        <f t="shared" si="19"/>
        <v>21.259548611111111</v>
      </c>
      <c r="I226" s="71">
        <f t="shared" si="20"/>
        <v>0.71483611103003408</v>
      </c>
    </row>
    <row r="227" spans="1:9" ht="37" customHeight="1" x14ac:dyDescent="0.2">
      <c r="A227" s="77">
        <v>1422</v>
      </c>
      <c r="B227" s="74" t="s">
        <v>892</v>
      </c>
      <c r="C227" s="75">
        <v>36</v>
      </c>
      <c r="D227" s="70">
        <f>'Combo Pricing'!F32</f>
        <v>26.240451388888889</v>
      </c>
      <c r="E227" s="70" cm="1">
        <f t="array" ref="E227:G227">'Combo Pricing'!L32:N32</f>
        <v>36.25</v>
      </c>
      <c r="F227" s="70">
        <v>37.75</v>
      </c>
      <c r="G227" s="70">
        <v>39</v>
      </c>
      <c r="H227" s="69">
        <f t="shared" si="19"/>
        <v>9.7595486111111107</v>
      </c>
      <c r="I227" s="71">
        <f t="shared" si="20"/>
        <v>0.3719276191736412</v>
      </c>
    </row>
    <row r="228" spans="1:9" ht="37" hidden="1" customHeight="1" x14ac:dyDescent="0.2">
      <c r="A228" s="77">
        <v>3329</v>
      </c>
      <c r="B228" s="74" t="s">
        <v>893</v>
      </c>
      <c r="C228" s="75">
        <f>C239+15</f>
        <v>53.5</v>
      </c>
      <c r="D228" s="70"/>
      <c r="E228" s="70"/>
      <c r="F228" s="70"/>
      <c r="G228" s="70"/>
      <c r="H228" s="69">
        <f t="shared" si="19"/>
        <v>53.5</v>
      </c>
      <c r="I228" s="71" t="e">
        <f t="shared" si="20"/>
        <v>#DIV/0!</v>
      </c>
    </row>
    <row r="229" spans="1:9" ht="37" hidden="1" customHeight="1" x14ac:dyDescent="0.2">
      <c r="A229" s="77">
        <v>3330</v>
      </c>
      <c r="B229" s="74" t="s">
        <v>894</v>
      </c>
      <c r="C229" s="75">
        <f>C239+15</f>
        <v>53.5</v>
      </c>
      <c r="D229" s="70"/>
      <c r="E229" s="70"/>
      <c r="F229" s="70"/>
      <c r="G229" s="70"/>
      <c r="H229" s="69">
        <f t="shared" si="19"/>
        <v>53.5</v>
      </c>
      <c r="I229" s="71" t="e">
        <f t="shared" si="20"/>
        <v>#DIV/0!</v>
      </c>
    </row>
    <row r="230" spans="1:9" ht="37" customHeight="1" x14ac:dyDescent="0.2">
      <c r="A230" s="73">
        <v>184</v>
      </c>
      <c r="B230" s="74" t="s">
        <v>895</v>
      </c>
      <c r="C230" s="75">
        <v>32</v>
      </c>
      <c r="D230" s="70">
        <f>'Master Item List'!M107</f>
        <v>22.668333333333333</v>
      </c>
      <c r="E230" s="70" cm="1">
        <f t="array" ref="E230:G230">'Master Item List'!T107:V107</f>
        <v>29.5</v>
      </c>
      <c r="F230" s="70">
        <v>30.5</v>
      </c>
      <c r="G230" s="70">
        <v>31.75</v>
      </c>
      <c r="H230" s="69">
        <f t="shared" si="19"/>
        <v>9.331666666666667</v>
      </c>
      <c r="I230" s="71">
        <f t="shared" si="20"/>
        <v>0.41166090728622895</v>
      </c>
    </row>
    <row r="231" spans="1:9" ht="37" customHeight="1" x14ac:dyDescent="0.2">
      <c r="A231" s="73">
        <v>506</v>
      </c>
      <c r="B231" s="74" t="s">
        <v>896</v>
      </c>
      <c r="C231" s="75">
        <v>33</v>
      </c>
      <c r="D231" s="70">
        <f>'Master Item List'!M106</f>
        <v>23.838333333333335</v>
      </c>
      <c r="E231" s="70" cm="1">
        <f t="array" ref="E231:G231">'Master Item List'!T106:V106</f>
        <v>31</v>
      </c>
      <c r="F231" s="70">
        <v>32.25</v>
      </c>
      <c r="G231" s="70">
        <v>33.25</v>
      </c>
      <c r="H231" s="69">
        <f t="shared" si="19"/>
        <v>9.1616666666666653</v>
      </c>
      <c r="I231" s="71">
        <f t="shared" si="20"/>
        <v>0.3843249667901838</v>
      </c>
    </row>
    <row r="232" spans="1:9" ht="37" customHeight="1" x14ac:dyDescent="0.2">
      <c r="A232" s="77">
        <v>1273</v>
      </c>
      <c r="B232" s="74" t="s">
        <v>897</v>
      </c>
      <c r="C232" s="75">
        <v>33</v>
      </c>
      <c r="D232" s="70">
        <f>'Master Item List'!M106</f>
        <v>23.838333333333335</v>
      </c>
      <c r="E232" s="70" cm="1">
        <f t="array" ref="E232:G232">'Master Item List'!T106:V106</f>
        <v>31</v>
      </c>
      <c r="F232" s="70">
        <v>32.25</v>
      </c>
      <c r="G232" s="70">
        <v>33.25</v>
      </c>
      <c r="H232" s="69">
        <f t="shared" si="19"/>
        <v>9.1616666666666653</v>
      </c>
      <c r="I232" s="71">
        <f t="shared" si="20"/>
        <v>0.3843249667901838</v>
      </c>
    </row>
    <row r="233" spans="1:9" ht="37" customHeight="1" x14ac:dyDescent="0.2">
      <c r="A233" s="77">
        <v>2934</v>
      </c>
      <c r="B233" s="74" t="s">
        <v>898</v>
      </c>
      <c r="C233" s="75">
        <v>29</v>
      </c>
      <c r="D233" s="70">
        <f>'Master Item List'!M67</f>
        <v>21.21</v>
      </c>
      <c r="E233" s="70" cm="1">
        <f t="array" ref="E233:G233">'Master Item List'!T67:V67</f>
        <v>27.5</v>
      </c>
      <c r="F233" s="70">
        <v>28.75</v>
      </c>
      <c r="G233" s="70">
        <v>29.75</v>
      </c>
      <c r="H233" s="69">
        <f t="shared" si="19"/>
        <v>7.7899999999999991</v>
      </c>
      <c r="I233" s="71">
        <f t="shared" si="20"/>
        <v>0.36727958510136721</v>
      </c>
    </row>
    <row r="234" spans="1:9" ht="37" customHeight="1" x14ac:dyDescent="0.2">
      <c r="A234" s="77">
        <v>3159</v>
      </c>
      <c r="B234" s="74" t="s">
        <v>899</v>
      </c>
      <c r="C234" s="75">
        <v>98</v>
      </c>
      <c r="D234" s="70">
        <f>'Master Item List'!M250</f>
        <v>75.574999999999989</v>
      </c>
      <c r="E234" s="70" cm="1">
        <f t="array" ref="E234:G234">'Master Item List'!T250:V250</f>
        <v>98.25</v>
      </c>
      <c r="F234" s="70">
        <v>102</v>
      </c>
      <c r="G234" s="70">
        <v>105.75</v>
      </c>
      <c r="H234" s="69">
        <f t="shared" si="19"/>
        <v>22.425000000000011</v>
      </c>
      <c r="I234" s="71">
        <f t="shared" si="20"/>
        <v>0.29672510750909714</v>
      </c>
    </row>
    <row r="235" spans="1:9" ht="37" customHeight="1" x14ac:dyDescent="0.2">
      <c r="A235" s="73">
        <v>608</v>
      </c>
      <c r="B235" s="74" t="s">
        <v>900</v>
      </c>
      <c r="C235" s="75">
        <v>50.5</v>
      </c>
      <c r="D235" s="70">
        <f>'Master Item List'!M113</f>
        <v>40.034999999999997</v>
      </c>
      <c r="E235" s="70" cm="1">
        <f t="array" ref="E235:G235">'Master Item List'!T113:V113</f>
        <v>52</v>
      </c>
      <c r="F235" s="70">
        <v>54</v>
      </c>
      <c r="G235" s="70">
        <v>56</v>
      </c>
      <c r="H235" s="69">
        <f t="shared" si="19"/>
        <v>10.465000000000003</v>
      </c>
      <c r="I235" s="71">
        <f t="shared" si="20"/>
        <v>0.26139627825652567</v>
      </c>
    </row>
    <row r="236" spans="1:9" ht="37" customHeight="1" x14ac:dyDescent="0.2">
      <c r="A236" s="73">
        <v>912</v>
      </c>
      <c r="B236" s="74" t="s">
        <v>901</v>
      </c>
      <c r="C236" s="75">
        <v>50.5</v>
      </c>
      <c r="D236" s="70">
        <f>'Master Item List'!M112</f>
        <v>40.034999999999997</v>
      </c>
      <c r="E236" s="70" cm="1">
        <f t="array" ref="E236:G236">'Master Item List'!T112:V112</f>
        <v>52</v>
      </c>
      <c r="F236" s="70">
        <v>54</v>
      </c>
      <c r="G236" s="70">
        <v>56</v>
      </c>
      <c r="H236" s="69">
        <f t="shared" si="19"/>
        <v>10.465000000000003</v>
      </c>
      <c r="I236" s="71">
        <f t="shared" si="20"/>
        <v>0.26139627825652567</v>
      </c>
    </row>
    <row r="237" spans="1:9" ht="37" customHeight="1" x14ac:dyDescent="0.2">
      <c r="A237" s="77">
        <v>2124</v>
      </c>
      <c r="B237" s="74" t="s">
        <v>902</v>
      </c>
      <c r="C237" s="75">
        <v>50.5</v>
      </c>
      <c r="D237" s="70">
        <f>'Master Item List'!M112</f>
        <v>40.034999999999997</v>
      </c>
      <c r="E237" s="70" cm="1">
        <f t="array" ref="E237:G237">'Master Item List'!T117:V117</f>
        <v>30.25</v>
      </c>
      <c r="F237" s="70">
        <v>31.25</v>
      </c>
      <c r="G237" s="70">
        <v>32.5</v>
      </c>
      <c r="H237" s="69">
        <f t="shared" si="19"/>
        <v>10.465000000000003</v>
      </c>
      <c r="I237" s="71">
        <f t="shared" si="20"/>
        <v>0.26139627825652567</v>
      </c>
    </row>
    <row r="238" spans="1:9" ht="37" customHeight="1" x14ac:dyDescent="0.2">
      <c r="A238" s="77">
        <v>4715</v>
      </c>
      <c r="B238" s="74" t="s">
        <v>903</v>
      </c>
      <c r="C238" s="75">
        <v>45.5</v>
      </c>
      <c r="D238" s="70">
        <f>'Master Item List'!M117</f>
        <v>23.217352941176472</v>
      </c>
      <c r="E238" s="70" cm="1">
        <f t="array" ref="E238:G238">'Master Item List'!T117:V117</f>
        <v>30.25</v>
      </c>
      <c r="F238" s="70">
        <v>31.25</v>
      </c>
      <c r="G238" s="70">
        <v>32.5</v>
      </c>
      <c r="H238" s="69">
        <f t="shared" si="19"/>
        <v>22.282647058823528</v>
      </c>
      <c r="I238" s="71">
        <f t="shared" si="20"/>
        <v>0.95974106588631714</v>
      </c>
    </row>
    <row r="239" spans="1:9" ht="37" customHeight="1" x14ac:dyDescent="0.2">
      <c r="A239" s="77">
        <v>2454</v>
      </c>
      <c r="B239" s="74" t="s">
        <v>904</v>
      </c>
      <c r="C239" s="75">
        <v>38.5</v>
      </c>
      <c r="D239" s="70">
        <f>'Master Item List'!M223</f>
        <v>26.963888888888889</v>
      </c>
      <c r="E239" s="70" cm="1">
        <f t="array" ref="E239:G239">'Master Item List'!T223:V223</f>
        <v>35</v>
      </c>
      <c r="F239" s="70">
        <v>36.5</v>
      </c>
      <c r="G239" s="70">
        <v>37.75</v>
      </c>
      <c r="H239" s="69">
        <f t="shared" si="19"/>
        <v>11.536111111111111</v>
      </c>
      <c r="I239" s="71">
        <f t="shared" si="20"/>
        <v>0.42783558256927989</v>
      </c>
    </row>
    <row r="240" spans="1:9" ht="37" customHeight="1" x14ac:dyDescent="0.2">
      <c r="A240" s="77">
        <v>4745</v>
      </c>
      <c r="B240" s="74" t="s">
        <v>905</v>
      </c>
      <c r="C240" s="75">
        <v>28</v>
      </c>
      <c r="D240" s="70">
        <f>'Master Item List'!M118</f>
        <v>20.001666666666665</v>
      </c>
      <c r="E240" s="70" cm="1">
        <f t="array" ref="E240:G240">'Master Item List'!T118:V118</f>
        <v>26</v>
      </c>
      <c r="F240" s="70">
        <v>27</v>
      </c>
      <c r="G240" s="70">
        <v>28</v>
      </c>
      <c r="H240" s="69">
        <f t="shared" si="19"/>
        <v>7.9983333333333348</v>
      </c>
      <c r="I240" s="71">
        <f t="shared" si="20"/>
        <v>0.39988334305474554</v>
      </c>
    </row>
    <row r="241" spans="1:9" ht="37" customHeight="1" x14ac:dyDescent="0.2">
      <c r="A241" s="77">
        <v>2431</v>
      </c>
      <c r="B241" s="74" t="s">
        <v>906</v>
      </c>
      <c r="C241" s="75">
        <v>35</v>
      </c>
      <c r="D241" s="70">
        <f>'Master Item List'!M117</f>
        <v>23.217352941176472</v>
      </c>
      <c r="E241" s="70" cm="1">
        <f t="array" ref="E241:G241">'Master Item List'!T117:V117</f>
        <v>30.25</v>
      </c>
      <c r="F241" s="70">
        <v>31.25</v>
      </c>
      <c r="G241" s="70">
        <v>32.5</v>
      </c>
      <c r="H241" s="69">
        <f t="shared" si="19"/>
        <v>11.782647058823528</v>
      </c>
      <c r="I241" s="71">
        <f t="shared" si="20"/>
        <v>0.50749312760485932</v>
      </c>
    </row>
    <row r="242" spans="1:9" ht="37" customHeight="1" x14ac:dyDescent="0.2">
      <c r="A242" s="77">
        <v>1274</v>
      </c>
      <c r="B242" s="74" t="s">
        <v>907</v>
      </c>
      <c r="C242" s="75">
        <v>35</v>
      </c>
      <c r="D242" s="70">
        <f>'Master Item List'!M116</f>
        <v>23.217352941176472</v>
      </c>
      <c r="E242" s="70" cm="1">
        <f t="array" ref="E242:G242">'Master Item List'!T116:V116</f>
        <v>30.25</v>
      </c>
      <c r="F242" s="70">
        <v>31.25</v>
      </c>
      <c r="G242" s="70">
        <v>32.5</v>
      </c>
      <c r="H242" s="69">
        <f t="shared" si="19"/>
        <v>11.782647058823528</v>
      </c>
      <c r="I242" s="71">
        <f t="shared" si="20"/>
        <v>0.50749312760485932</v>
      </c>
    </row>
    <row r="243" spans="1:9" ht="37" customHeight="1" x14ac:dyDescent="0.2">
      <c r="A243" s="77">
        <v>2035</v>
      </c>
      <c r="B243" s="74" t="s">
        <v>908</v>
      </c>
      <c r="C243" s="75">
        <v>35</v>
      </c>
      <c r="D243" s="70">
        <f>'Master Item List'!M117</f>
        <v>23.217352941176472</v>
      </c>
      <c r="E243" s="70" cm="1">
        <f t="array" ref="E243:G243">'Master Item List'!T117:V117</f>
        <v>30.25</v>
      </c>
      <c r="F243" s="70">
        <v>31.25</v>
      </c>
      <c r="G243" s="70">
        <v>32.5</v>
      </c>
      <c r="H243" s="69">
        <f t="shared" si="19"/>
        <v>11.782647058823528</v>
      </c>
      <c r="I243" s="71">
        <f t="shared" si="20"/>
        <v>0.50749312760485932</v>
      </c>
    </row>
    <row r="244" spans="1:9" ht="37" customHeight="1" x14ac:dyDescent="0.2">
      <c r="A244" s="77">
        <v>2375</v>
      </c>
      <c r="B244" s="74" t="s">
        <v>909</v>
      </c>
      <c r="C244" s="75">
        <v>35</v>
      </c>
      <c r="D244" s="70">
        <f>'Master Item List'!M117</f>
        <v>23.217352941176472</v>
      </c>
      <c r="E244" s="70" cm="1">
        <f t="array" ref="E244:G244">'Master Item List'!T117:V117</f>
        <v>30.25</v>
      </c>
      <c r="F244" s="70">
        <v>31.25</v>
      </c>
      <c r="G244" s="70">
        <v>32.5</v>
      </c>
      <c r="H244" s="69">
        <f t="shared" si="19"/>
        <v>11.782647058823528</v>
      </c>
      <c r="I244" s="71">
        <f t="shared" si="20"/>
        <v>0.50749312760485932</v>
      </c>
    </row>
    <row r="245" spans="1:9" ht="37" customHeight="1" x14ac:dyDescent="0.2">
      <c r="A245" s="77">
        <v>1026</v>
      </c>
      <c r="B245" s="74" t="s">
        <v>910</v>
      </c>
      <c r="C245" s="75">
        <v>49.5</v>
      </c>
      <c r="D245" s="70">
        <f>'Master Item List'!M114</f>
        <v>40.034999999999997</v>
      </c>
      <c r="E245" s="70" cm="1">
        <f t="array" ref="E245:G245">'Master Item List'!T114:V114</f>
        <v>52</v>
      </c>
      <c r="F245" s="70">
        <v>54</v>
      </c>
      <c r="G245" s="70">
        <v>56</v>
      </c>
      <c r="H245" s="69">
        <f t="shared" si="19"/>
        <v>9.4650000000000034</v>
      </c>
      <c r="I245" s="71">
        <f t="shared" si="20"/>
        <v>0.23641813413263404</v>
      </c>
    </row>
    <row r="246" spans="1:9" ht="37" customHeight="1" x14ac:dyDescent="0.2">
      <c r="A246" s="73">
        <v>913</v>
      </c>
      <c r="B246" s="74" t="s">
        <v>911</v>
      </c>
      <c r="C246" s="75">
        <v>49.5</v>
      </c>
      <c r="D246" s="70">
        <f>'Master Item List'!M115</f>
        <v>39.335000000000001</v>
      </c>
      <c r="E246" s="70" cm="1">
        <f t="array" ref="E246:G246">'Master Item List'!T115:V115</f>
        <v>51.25</v>
      </c>
      <c r="F246" s="70">
        <v>53</v>
      </c>
      <c r="G246" s="70">
        <v>55</v>
      </c>
      <c r="H246" s="69">
        <f t="shared" si="19"/>
        <v>10.164999999999999</v>
      </c>
      <c r="I246" s="71">
        <f t="shared" si="20"/>
        <v>0.258421253336723</v>
      </c>
    </row>
    <row r="247" spans="1:9" ht="37" customHeight="1" x14ac:dyDescent="0.2">
      <c r="A247" s="77">
        <v>1178</v>
      </c>
      <c r="B247" s="74" t="s">
        <v>912</v>
      </c>
      <c r="C247" s="75">
        <v>29</v>
      </c>
      <c r="D247" s="70">
        <f>'Master Item List'!M119</f>
        <v>21.551666666666666</v>
      </c>
      <c r="E247" s="70" cm="1">
        <f t="array" ref="E247:G247">'Master Item List'!T119:V119</f>
        <v>28</v>
      </c>
      <c r="F247" s="70">
        <v>29</v>
      </c>
      <c r="G247" s="70">
        <v>30.25</v>
      </c>
      <c r="H247" s="69">
        <f t="shared" si="19"/>
        <v>7.4483333333333341</v>
      </c>
      <c r="I247" s="71">
        <f t="shared" si="20"/>
        <v>0.34560358827623544</v>
      </c>
    </row>
    <row r="248" spans="1:9" ht="37" customHeight="1" x14ac:dyDescent="0.2">
      <c r="A248" s="73">
        <v>990</v>
      </c>
      <c r="B248" s="74" t="s">
        <v>913</v>
      </c>
      <c r="C248" s="75">
        <v>35.5</v>
      </c>
      <c r="D248" s="70">
        <f>'Master Item List'!M224</f>
        <v>25.929705882352941</v>
      </c>
      <c r="E248" s="70" cm="1">
        <f t="array" ref="E248:G248">'Master Item List'!T224:V224</f>
        <v>33.75</v>
      </c>
      <c r="F248" s="70">
        <v>35</v>
      </c>
      <c r="G248" s="70">
        <v>36.25</v>
      </c>
      <c r="H248" s="69">
        <f t="shared" si="19"/>
        <v>9.5702941176470588</v>
      </c>
      <c r="I248" s="71">
        <f t="shared" si="20"/>
        <v>0.36908610383276053</v>
      </c>
    </row>
    <row r="249" spans="1:9" ht="37" hidden="1" customHeight="1" x14ac:dyDescent="0.2">
      <c r="A249" s="77">
        <v>3331</v>
      </c>
      <c r="B249" s="74" t="s">
        <v>914</v>
      </c>
      <c r="C249" s="75">
        <f>C248+15</f>
        <v>50.5</v>
      </c>
      <c r="D249" s="70">
        <f>D248+'Raw Cost'!F3</f>
        <v>29.429705882352941</v>
      </c>
      <c r="E249" s="70"/>
      <c r="F249" s="70"/>
      <c r="G249" s="70"/>
      <c r="H249" s="69">
        <f t="shared" si="19"/>
        <v>21.070294117647059</v>
      </c>
      <c r="I249" s="71">
        <f t="shared" si="20"/>
        <v>0.71595326850621122</v>
      </c>
    </row>
    <row r="250" spans="1:9" ht="37" customHeight="1" x14ac:dyDescent="0.2">
      <c r="A250" s="73">
        <v>976</v>
      </c>
      <c r="B250" s="74" t="s">
        <v>915</v>
      </c>
      <c r="C250" s="75">
        <v>25.75</v>
      </c>
      <c r="D250" s="70">
        <f>'Master Item List'!M120</f>
        <v>19.223235294117647</v>
      </c>
      <c r="E250" s="70" cm="1">
        <f t="array" ref="E250:G250">'Master Item List'!T120:V120</f>
        <v>25</v>
      </c>
      <c r="F250" s="70">
        <v>26</v>
      </c>
      <c r="G250" s="70">
        <v>27</v>
      </c>
      <c r="H250" s="69">
        <f t="shared" si="19"/>
        <v>6.5267647058823535</v>
      </c>
      <c r="I250" s="71">
        <f t="shared" si="20"/>
        <v>0.33952477853088331</v>
      </c>
    </row>
    <row r="251" spans="1:9" ht="37" customHeight="1" x14ac:dyDescent="0.2">
      <c r="A251" s="73">
        <v>609</v>
      </c>
      <c r="B251" s="74" t="s">
        <v>916</v>
      </c>
      <c r="C251" s="75">
        <v>25</v>
      </c>
      <c r="D251" s="70">
        <f>'Master Item List'!M121</f>
        <v>19.223235294117647</v>
      </c>
      <c r="E251" s="70" cm="1">
        <f t="array" ref="E251:G251">'Master Item List'!T121:V121</f>
        <v>25</v>
      </c>
      <c r="F251" s="70">
        <v>26</v>
      </c>
      <c r="G251" s="70">
        <v>27</v>
      </c>
      <c r="H251" s="69">
        <f t="shared" si="19"/>
        <v>5.7767647058823535</v>
      </c>
      <c r="I251" s="71">
        <f t="shared" si="20"/>
        <v>0.30050949371930419</v>
      </c>
    </row>
    <row r="252" spans="1:9" ht="37" hidden="1" customHeight="1" x14ac:dyDescent="0.2">
      <c r="A252" s="77">
        <v>4678</v>
      </c>
      <c r="B252" s="74" t="s">
        <v>917</v>
      </c>
      <c r="C252" s="75">
        <v>999.99</v>
      </c>
      <c r="D252" s="70">
        <f>'Master Item List'!M225</f>
        <v>10.725</v>
      </c>
      <c r="E252" s="70" cm="1">
        <f t="array" ref="E252:G252">'Master Item List'!T225:V225</f>
        <v>14</v>
      </c>
      <c r="F252" s="70">
        <v>14.5</v>
      </c>
      <c r="G252" s="70">
        <v>15</v>
      </c>
      <c r="H252" s="69">
        <f t="shared" si="19"/>
        <v>989.26499999999999</v>
      </c>
      <c r="I252" s="71">
        <f t="shared" si="20"/>
        <v>92.239160839160846</v>
      </c>
    </row>
    <row r="253" spans="1:9" ht="37" customHeight="1" x14ac:dyDescent="0.2">
      <c r="A253" s="77">
        <v>3220</v>
      </c>
      <c r="B253" s="74" t="s">
        <v>918</v>
      </c>
      <c r="C253" s="75">
        <v>25</v>
      </c>
      <c r="D253" s="70">
        <f>'Master Item List'!M120</f>
        <v>19.223235294117647</v>
      </c>
      <c r="E253" s="70" cm="1">
        <f t="array" ref="E253:G253">'Master Item List'!T120:V120</f>
        <v>25</v>
      </c>
      <c r="F253" s="70">
        <v>26</v>
      </c>
      <c r="G253" s="70">
        <v>27</v>
      </c>
      <c r="H253" s="69">
        <f t="shared" si="19"/>
        <v>5.7767647058823535</v>
      </c>
      <c r="I253" s="71">
        <f t="shared" si="20"/>
        <v>0.30050949371930419</v>
      </c>
    </row>
    <row r="254" spans="1:9" ht="37" customHeight="1" x14ac:dyDescent="0.2">
      <c r="A254" s="77">
        <v>1818</v>
      </c>
      <c r="B254" s="74" t="s">
        <v>919</v>
      </c>
      <c r="C254" s="75">
        <v>25</v>
      </c>
      <c r="D254" s="70">
        <f>'Master Item List'!M121</f>
        <v>19.223235294117647</v>
      </c>
      <c r="E254" s="70" cm="1">
        <f t="array" ref="E254:G254">'Master Item List'!T121:V121</f>
        <v>25</v>
      </c>
      <c r="F254" s="70">
        <v>26</v>
      </c>
      <c r="G254" s="70">
        <v>27</v>
      </c>
      <c r="H254" s="69">
        <f t="shared" si="19"/>
        <v>5.7767647058823535</v>
      </c>
      <c r="I254" s="71">
        <f t="shared" si="20"/>
        <v>0.30050949371930419</v>
      </c>
    </row>
    <row r="255" spans="1:9" ht="37" hidden="1" customHeight="1" x14ac:dyDescent="0.2">
      <c r="A255" s="77">
        <v>3334</v>
      </c>
      <c r="B255" s="74" t="s">
        <v>920</v>
      </c>
      <c r="C255" s="75">
        <f>C256+15</f>
        <v>44</v>
      </c>
      <c r="D255" s="70">
        <f>D256+'Raw Cost'!F3</f>
        <v>23.389852941176471</v>
      </c>
      <c r="E255" s="70"/>
      <c r="F255" s="70"/>
      <c r="G255" s="70"/>
      <c r="H255" s="69">
        <f t="shared" si="19"/>
        <v>20.610147058823529</v>
      </c>
      <c r="I255" s="71">
        <f t="shared" si="20"/>
        <v>0.88115761611055565</v>
      </c>
    </row>
    <row r="256" spans="1:9" ht="37" customHeight="1" x14ac:dyDescent="0.2">
      <c r="A256" s="77">
        <v>4730</v>
      </c>
      <c r="B256" s="74" t="s">
        <v>921</v>
      </c>
      <c r="C256" s="75">
        <v>29</v>
      </c>
      <c r="D256" s="70">
        <f>'Combo Pricing'!F23</f>
        <v>19.889852941176471</v>
      </c>
      <c r="E256" s="70" cm="1">
        <f t="array" ref="E256:G256">'Combo Pricing'!L23:N23</f>
        <v>28</v>
      </c>
      <c r="F256" s="70">
        <v>29</v>
      </c>
      <c r="G256" s="70">
        <v>30</v>
      </c>
      <c r="H256" s="69">
        <f t="shared" si="19"/>
        <v>9.1101470588235287</v>
      </c>
      <c r="I256" s="71">
        <f t="shared" si="20"/>
        <v>0.45802988517644966</v>
      </c>
    </row>
    <row r="257" spans="1:9" ht="37" customHeight="1" x14ac:dyDescent="0.2">
      <c r="A257" s="77">
        <v>3332</v>
      </c>
      <c r="B257" s="74" t="s">
        <v>922</v>
      </c>
      <c r="C257" s="75">
        <v>36.25</v>
      </c>
      <c r="D257" s="70">
        <f>'Combo Pricing'!F24</f>
        <v>27.186241830065363</v>
      </c>
      <c r="E257" s="70" cm="1">
        <f t="array" ref="E257:G257">'Combo Pricing'!L24:N24</f>
        <v>37.5</v>
      </c>
      <c r="F257" s="70">
        <v>39</v>
      </c>
      <c r="G257" s="70">
        <v>40.25</v>
      </c>
      <c r="H257" s="69">
        <f t="shared" si="19"/>
        <v>9.063758169934637</v>
      </c>
      <c r="I257" s="71">
        <f t="shared" si="20"/>
        <v>0.33339503954205962</v>
      </c>
    </row>
    <row r="258" spans="1:9" ht="37" hidden="1" customHeight="1" x14ac:dyDescent="0.2">
      <c r="A258" s="77">
        <v>3333</v>
      </c>
      <c r="B258" s="74" t="s">
        <v>923</v>
      </c>
      <c r="C258" s="75">
        <f>C257+15</f>
        <v>51.25</v>
      </c>
      <c r="D258" s="70">
        <f>D257+'Raw Cost'!F3</f>
        <v>30.686241830065363</v>
      </c>
      <c r="E258" s="70"/>
      <c r="F258" s="70"/>
      <c r="G258" s="70"/>
      <c r="H258" s="69">
        <f t="shared" si="19"/>
        <v>20.563758169934637</v>
      </c>
      <c r="I258" s="71">
        <f t="shared" si="20"/>
        <v>0.67012957415290098</v>
      </c>
    </row>
    <row r="259" spans="1:9" ht="37" customHeight="1" x14ac:dyDescent="0.2">
      <c r="A259" s="77">
        <v>3320</v>
      </c>
      <c r="B259" s="74" t="s">
        <v>924</v>
      </c>
      <c r="C259" s="75">
        <v>31.75</v>
      </c>
      <c r="D259" s="70">
        <f>'Combo Pricing'!F31</f>
        <v>22.320408496732028</v>
      </c>
      <c r="E259" s="70" cm="1">
        <f t="array" ref="E259:G259">'Combo Pricing'!L31:N31</f>
        <v>31.25</v>
      </c>
      <c r="F259" s="70">
        <v>32.5</v>
      </c>
      <c r="G259" s="70">
        <v>33.5</v>
      </c>
      <c r="H259" s="69">
        <f t="shared" si="19"/>
        <v>9.4295915032679716</v>
      </c>
      <c r="I259" s="71">
        <f t="shared" si="20"/>
        <v>0.42246500572104562</v>
      </c>
    </row>
    <row r="260" spans="1:9" ht="37" hidden="1" customHeight="1" x14ac:dyDescent="0.2">
      <c r="A260" s="77">
        <v>3321</v>
      </c>
      <c r="B260" s="74" t="s">
        <v>925</v>
      </c>
      <c r="C260" s="75">
        <f>C259+15</f>
        <v>46.75</v>
      </c>
      <c r="D260" s="70">
        <f>D259+'Raw Cost'!F3</f>
        <v>25.820408496732028</v>
      </c>
      <c r="E260" s="70"/>
      <c r="F260" s="70"/>
      <c r="G260" s="70"/>
      <c r="H260" s="69">
        <f t="shared" si="19"/>
        <v>20.929591503267972</v>
      </c>
      <c r="I260" s="71">
        <f t="shared" si="20"/>
        <v>0.81058328360362442</v>
      </c>
    </row>
    <row r="261" spans="1:9" ht="37" hidden="1" customHeight="1" x14ac:dyDescent="0.2">
      <c r="A261" s="77">
        <v>3335</v>
      </c>
      <c r="B261" s="74" t="s">
        <v>926</v>
      </c>
      <c r="C261" s="75">
        <f>C281+15</f>
        <v>38</v>
      </c>
      <c r="D261" s="70"/>
      <c r="E261" s="70"/>
      <c r="F261" s="70"/>
      <c r="G261" s="70"/>
      <c r="H261" s="69">
        <f t="shared" si="19"/>
        <v>38</v>
      </c>
      <c r="I261" s="71" t="e">
        <f t="shared" si="20"/>
        <v>#DIV/0!</v>
      </c>
    </row>
    <row r="262" spans="1:9" ht="37" customHeight="1" x14ac:dyDescent="0.2">
      <c r="A262" s="77">
        <v>4597</v>
      </c>
      <c r="B262" s="74" t="s">
        <v>927</v>
      </c>
      <c r="C262" s="75">
        <v>27.5</v>
      </c>
      <c r="D262" s="70">
        <f>'Master Item List'!M127</f>
        <v>20.903571428571428</v>
      </c>
      <c r="E262" s="70" cm="1">
        <f t="array" ref="E262:G262">'Master Item List'!T127:V127</f>
        <v>27.25</v>
      </c>
      <c r="F262" s="70">
        <v>28.25</v>
      </c>
      <c r="G262" s="70">
        <v>29.25</v>
      </c>
      <c r="H262" s="69">
        <f t="shared" si="19"/>
        <v>6.5964285714285715</v>
      </c>
      <c r="I262" s="71">
        <f t="shared" si="20"/>
        <v>0.31556466769178199</v>
      </c>
    </row>
    <row r="263" spans="1:9" ht="37" customHeight="1" x14ac:dyDescent="0.2">
      <c r="A263" s="73">
        <v>185</v>
      </c>
      <c r="B263" s="74" t="s">
        <v>928</v>
      </c>
      <c r="C263" s="75">
        <v>27.5</v>
      </c>
      <c r="D263" s="70">
        <f>'Master Item List'!M128</f>
        <v>20.001315789473686</v>
      </c>
      <c r="E263" s="70" cm="1">
        <f t="array" ref="E263:G263">'Master Item List'!T128:V128</f>
        <v>26</v>
      </c>
      <c r="F263" s="70">
        <v>27</v>
      </c>
      <c r="G263" s="70">
        <v>28</v>
      </c>
      <c r="H263" s="69">
        <f t="shared" si="19"/>
        <v>7.4986842105263136</v>
      </c>
      <c r="I263" s="71">
        <f t="shared" si="20"/>
        <v>0.37490954542464294</v>
      </c>
    </row>
    <row r="264" spans="1:9" ht="37" customHeight="1" x14ac:dyDescent="0.2">
      <c r="A264" s="73">
        <v>502</v>
      </c>
      <c r="B264" s="74" t="s">
        <v>929</v>
      </c>
      <c r="C264" s="75">
        <v>27.75</v>
      </c>
      <c r="D264" s="70">
        <f>'Master Item List'!M138</f>
        <v>19.475000000000001</v>
      </c>
      <c r="E264" s="70" cm="1">
        <f t="array" ref="E264:G264">'Master Item List'!T138:V138</f>
        <v>25.25</v>
      </c>
      <c r="F264" s="70">
        <v>26.25</v>
      </c>
      <c r="G264" s="70">
        <v>27.25</v>
      </c>
      <c r="H264" s="69">
        <f t="shared" si="19"/>
        <v>8.2749999999999986</v>
      </c>
      <c r="I264" s="71">
        <f t="shared" si="20"/>
        <v>0.42490372272143762</v>
      </c>
    </row>
    <row r="265" spans="1:9" ht="37" customHeight="1" x14ac:dyDescent="0.2">
      <c r="A265" s="73">
        <v>186</v>
      </c>
      <c r="B265" s="74" t="s">
        <v>930</v>
      </c>
      <c r="C265" s="75">
        <v>27.5</v>
      </c>
      <c r="D265" s="70">
        <f>'Master Item List'!M124</f>
        <v>20.001315789473686</v>
      </c>
      <c r="E265" s="70" cm="1">
        <f t="array" ref="E265:G265">'Master Item List'!T124:V124</f>
        <v>26</v>
      </c>
      <c r="F265" s="70">
        <v>27</v>
      </c>
      <c r="G265" s="70">
        <v>28</v>
      </c>
      <c r="H265" s="69">
        <f t="shared" si="19"/>
        <v>7.4986842105263136</v>
      </c>
      <c r="I265" s="71">
        <f t="shared" si="20"/>
        <v>0.37490954542464294</v>
      </c>
    </row>
    <row r="266" spans="1:9" ht="37" customHeight="1" x14ac:dyDescent="0.2">
      <c r="A266" s="73">
        <v>187</v>
      </c>
      <c r="B266" s="74" t="s">
        <v>931</v>
      </c>
      <c r="C266" s="75">
        <v>27.5</v>
      </c>
      <c r="D266" s="70">
        <f>'Master Item List'!M124</f>
        <v>20.001315789473686</v>
      </c>
      <c r="E266" s="70" cm="1">
        <f t="array" ref="E266:G266">'Master Item List'!T124:V124</f>
        <v>26</v>
      </c>
      <c r="F266" s="70">
        <v>27</v>
      </c>
      <c r="G266" s="70">
        <v>28</v>
      </c>
      <c r="H266" s="69">
        <f t="shared" si="19"/>
        <v>7.4986842105263136</v>
      </c>
      <c r="I266" s="71">
        <f t="shared" si="20"/>
        <v>0.37490954542464294</v>
      </c>
    </row>
    <row r="267" spans="1:9" ht="37" customHeight="1" x14ac:dyDescent="0.2">
      <c r="A267" s="73">
        <v>190</v>
      </c>
      <c r="B267" s="74" t="s">
        <v>932</v>
      </c>
      <c r="C267" s="75">
        <v>28.75</v>
      </c>
      <c r="D267" s="70">
        <f>'Master Item List'!M127</f>
        <v>20.903571428571428</v>
      </c>
      <c r="E267" s="70" cm="1">
        <f t="array" ref="E267:G267">'Master Item List'!T127:V127</f>
        <v>27.25</v>
      </c>
      <c r="F267" s="70">
        <v>28.25</v>
      </c>
      <c r="G267" s="70">
        <v>29.25</v>
      </c>
      <c r="H267" s="69">
        <f t="shared" si="19"/>
        <v>7.8464285714285715</v>
      </c>
      <c r="I267" s="71">
        <f t="shared" si="20"/>
        <v>0.37536306167777211</v>
      </c>
    </row>
    <row r="268" spans="1:9" ht="37" customHeight="1" x14ac:dyDescent="0.2">
      <c r="A268" s="73">
        <v>501</v>
      </c>
      <c r="B268" s="74" t="s">
        <v>933</v>
      </c>
      <c r="C268" s="75">
        <v>28.75</v>
      </c>
      <c r="D268" s="70">
        <f>'Master Item List'!M128</f>
        <v>20.001315789473686</v>
      </c>
      <c r="E268" s="70" cm="1">
        <f t="array" ref="E268:G268">'Master Item List'!T128:V128</f>
        <v>26</v>
      </c>
      <c r="F268" s="70">
        <v>27</v>
      </c>
      <c r="G268" s="70">
        <v>28</v>
      </c>
      <c r="H268" s="69">
        <f t="shared" si="19"/>
        <v>8.7486842105263136</v>
      </c>
      <c r="I268" s="71">
        <f t="shared" si="20"/>
        <v>0.43740543385303582</v>
      </c>
    </row>
    <row r="269" spans="1:9" ht="37" customHeight="1" x14ac:dyDescent="0.2">
      <c r="A269" s="77">
        <v>2054</v>
      </c>
      <c r="B269" s="74" t="s">
        <v>934</v>
      </c>
      <c r="C269" s="75">
        <v>28.75</v>
      </c>
      <c r="D269" s="70">
        <f>'Master Item List'!M129</f>
        <v>20.001315789473686</v>
      </c>
      <c r="E269" s="70" cm="1">
        <f t="array" ref="E269:G269">'Master Item List'!T129:V129</f>
        <v>26</v>
      </c>
      <c r="F269" s="70">
        <v>27</v>
      </c>
      <c r="G269" s="70">
        <v>28</v>
      </c>
      <c r="H269" s="69">
        <f t="shared" si="19"/>
        <v>8.7486842105263136</v>
      </c>
      <c r="I269" s="71">
        <f t="shared" si="20"/>
        <v>0.43740543385303582</v>
      </c>
    </row>
    <row r="270" spans="1:9" ht="37" customHeight="1" x14ac:dyDescent="0.2">
      <c r="A270" s="73">
        <v>478</v>
      </c>
      <c r="B270" s="74" t="s">
        <v>935</v>
      </c>
      <c r="C270" s="75">
        <v>28.75</v>
      </c>
      <c r="D270" s="70">
        <f>'Master Item List'!M132</f>
        <v>20.001315789473686</v>
      </c>
      <c r="E270" s="70" cm="1">
        <f t="array" ref="E270:G270">'Master Item List'!T132:V132</f>
        <v>26</v>
      </c>
      <c r="F270" s="70">
        <v>27</v>
      </c>
      <c r="G270" s="70">
        <v>28</v>
      </c>
      <c r="H270" s="69">
        <f t="shared" si="19"/>
        <v>8.7486842105263136</v>
      </c>
      <c r="I270" s="71">
        <f t="shared" si="20"/>
        <v>0.43740543385303582</v>
      </c>
    </row>
    <row r="271" spans="1:9" ht="37" customHeight="1" x14ac:dyDescent="0.2">
      <c r="A271" s="73">
        <v>189</v>
      </c>
      <c r="B271" s="74" t="s">
        <v>936</v>
      </c>
      <c r="C271" s="75">
        <v>28</v>
      </c>
      <c r="D271" s="70">
        <f>'Master Item List'!M134</f>
        <v>20.001315789473686</v>
      </c>
      <c r="E271" s="70" cm="1">
        <f t="array" ref="E271:G271">'Master Item List'!T134:V134</f>
        <v>26</v>
      </c>
      <c r="F271" s="70">
        <v>27</v>
      </c>
      <c r="G271" s="70">
        <v>28</v>
      </c>
      <c r="H271" s="69">
        <f t="shared" si="19"/>
        <v>7.9986842105263136</v>
      </c>
      <c r="I271" s="71">
        <f t="shared" si="20"/>
        <v>0.39990790079600014</v>
      </c>
    </row>
    <row r="272" spans="1:9" ht="37" customHeight="1" x14ac:dyDescent="0.2">
      <c r="A272" s="73">
        <v>188</v>
      </c>
      <c r="B272" s="74" t="s">
        <v>937</v>
      </c>
      <c r="C272" s="75">
        <v>26</v>
      </c>
      <c r="D272" s="70">
        <f>'Master Item List'!M125</f>
        <v>17.808333333333334</v>
      </c>
      <c r="E272" s="70" cm="1">
        <f t="array" ref="E272:G272">'Master Item List'!T125:V125</f>
        <v>23.25</v>
      </c>
      <c r="F272" s="70">
        <v>24</v>
      </c>
      <c r="G272" s="70">
        <v>25</v>
      </c>
      <c r="H272" s="69">
        <f t="shared" si="19"/>
        <v>8.1916666666666664</v>
      </c>
      <c r="I272" s="71">
        <f t="shared" si="20"/>
        <v>0.45999064108563403</v>
      </c>
    </row>
    <row r="273" spans="1:9" ht="37" customHeight="1" x14ac:dyDescent="0.2">
      <c r="A273" s="77">
        <v>2817</v>
      </c>
      <c r="B273" s="74" t="s">
        <v>938</v>
      </c>
      <c r="C273" s="75">
        <v>27.5</v>
      </c>
      <c r="D273" s="70">
        <f>'Master Item List'!M153</f>
        <v>20.400000000000002</v>
      </c>
      <c r="E273" s="70">
        <f>'Master Item List'!T153</f>
        <v>26.5</v>
      </c>
      <c r="F273" s="70">
        <f>'Master Item List'!U153</f>
        <v>27.5</v>
      </c>
      <c r="G273" s="70">
        <f>'Master Item List'!V153</f>
        <v>28.5</v>
      </c>
      <c r="H273" s="69">
        <f t="shared" si="19"/>
        <v>7.0999999999999979</v>
      </c>
      <c r="I273" s="71">
        <f t="shared" si="20"/>
        <v>0.34803921568627438</v>
      </c>
    </row>
    <row r="274" spans="1:9" ht="37" customHeight="1" x14ac:dyDescent="0.2">
      <c r="A274" s="77">
        <v>1077</v>
      </c>
      <c r="B274" s="74" t="s">
        <v>939</v>
      </c>
      <c r="C274" s="75">
        <v>27.5</v>
      </c>
      <c r="D274" s="70">
        <f>'Master Item List'!M149</f>
        <v>20.400000000000002</v>
      </c>
      <c r="E274" s="70">
        <f>'Master Item List'!T149</f>
        <v>26.5</v>
      </c>
      <c r="F274" s="70">
        <f>'Master Item List'!U149</f>
        <v>27.5</v>
      </c>
      <c r="G274" s="70">
        <f>'Master Item List'!V149</f>
        <v>28.5</v>
      </c>
      <c r="H274" s="69">
        <f t="shared" si="19"/>
        <v>7.0999999999999979</v>
      </c>
      <c r="I274" s="71">
        <f t="shared" si="20"/>
        <v>0.34803921568627438</v>
      </c>
    </row>
    <row r="275" spans="1:9" ht="37" customHeight="1" x14ac:dyDescent="0.2">
      <c r="A275" s="77">
        <v>2897</v>
      </c>
      <c r="B275" s="74" t="s">
        <v>940</v>
      </c>
      <c r="C275" s="75">
        <v>27.5</v>
      </c>
      <c r="D275" s="70">
        <f>'Master Item List'!M151</f>
        <v>19.695</v>
      </c>
      <c r="E275" s="70" cm="1">
        <f t="array" ref="E275:G275">'Master Item List'!T151:V151</f>
        <v>25.5</v>
      </c>
      <c r="F275" s="70">
        <v>26.5</v>
      </c>
      <c r="G275" s="70">
        <v>27.5</v>
      </c>
      <c r="H275" s="69">
        <f t="shared" si="19"/>
        <v>7.8049999999999997</v>
      </c>
      <c r="I275" s="71">
        <f t="shared" si="20"/>
        <v>0.39629347550139626</v>
      </c>
    </row>
    <row r="276" spans="1:9" ht="37" customHeight="1" x14ac:dyDescent="0.2">
      <c r="A276" s="77">
        <v>1169</v>
      </c>
      <c r="B276" s="74" t="s">
        <v>941</v>
      </c>
      <c r="C276" s="75">
        <v>27</v>
      </c>
      <c r="D276" s="70">
        <f>'Master Item List'!M148</f>
        <v>20.400000000000002</v>
      </c>
      <c r="E276" s="70" cm="1">
        <f t="array" ref="E276:G276">'Master Item List'!T148:V148</f>
        <v>26.5</v>
      </c>
      <c r="F276" s="70">
        <v>27.5</v>
      </c>
      <c r="G276" s="70">
        <v>28.5</v>
      </c>
      <c r="H276" s="69">
        <f t="shared" si="19"/>
        <v>6.5999999999999979</v>
      </c>
      <c r="I276" s="71">
        <f t="shared" si="20"/>
        <v>0.32352941176470573</v>
      </c>
    </row>
    <row r="277" spans="1:9" ht="37" customHeight="1" x14ac:dyDescent="0.2">
      <c r="A277" s="73">
        <v>786</v>
      </c>
      <c r="B277" s="74" t="s">
        <v>942</v>
      </c>
      <c r="C277" s="75">
        <v>27</v>
      </c>
      <c r="D277" s="70">
        <f>'Master Item List'!M152</f>
        <v>19.225000000000001</v>
      </c>
      <c r="E277" s="70" cm="1">
        <f t="array" ref="E277:G277">'Master Item List'!T152:V152</f>
        <v>25</v>
      </c>
      <c r="F277" s="70">
        <v>26</v>
      </c>
      <c r="G277" s="70">
        <v>27</v>
      </c>
      <c r="H277" s="69">
        <f t="shared" si="19"/>
        <v>7.7749999999999986</v>
      </c>
      <c r="I277" s="71">
        <f t="shared" si="20"/>
        <v>0.40442132639791928</v>
      </c>
    </row>
    <row r="278" spans="1:9" ht="37" customHeight="1" x14ac:dyDescent="0.2">
      <c r="A278" s="77">
        <v>2053</v>
      </c>
      <c r="B278" s="74" t="s">
        <v>943</v>
      </c>
      <c r="C278" s="75">
        <v>27.5</v>
      </c>
      <c r="D278" s="70">
        <f>'Master Item List'!M153</f>
        <v>20.400000000000002</v>
      </c>
      <c r="E278" s="70" cm="1">
        <f t="array" ref="E278:G278">'Master Item List'!T153:V153</f>
        <v>26.5</v>
      </c>
      <c r="F278" s="70">
        <v>27.5</v>
      </c>
      <c r="G278" s="70">
        <v>28.5</v>
      </c>
      <c r="H278" s="69">
        <f t="shared" si="19"/>
        <v>7.0999999999999979</v>
      </c>
      <c r="I278" s="71">
        <f t="shared" si="20"/>
        <v>0.34803921568627438</v>
      </c>
    </row>
    <row r="279" spans="1:9" ht="37" customHeight="1" x14ac:dyDescent="0.2">
      <c r="A279" s="73">
        <v>415</v>
      </c>
      <c r="B279" s="74" t="s">
        <v>944</v>
      </c>
      <c r="C279" s="75">
        <v>27.5</v>
      </c>
      <c r="D279" s="70">
        <f>'Master Item List'!M147</f>
        <v>20.400000000000002</v>
      </c>
      <c r="E279" s="70" cm="1">
        <f t="array" ref="E279:G279">'Master Item List'!T147:V147</f>
        <v>26.5</v>
      </c>
      <c r="F279" s="70">
        <v>27.5</v>
      </c>
      <c r="G279" s="70">
        <v>28.5</v>
      </c>
      <c r="H279" s="69">
        <f t="shared" si="19"/>
        <v>7.0999999999999979</v>
      </c>
      <c r="I279" s="71">
        <f t="shared" si="20"/>
        <v>0.34803921568627438</v>
      </c>
    </row>
    <row r="280" spans="1:9" ht="37" customHeight="1" x14ac:dyDescent="0.2">
      <c r="A280" s="73">
        <v>435</v>
      </c>
      <c r="B280" s="74" t="s">
        <v>945</v>
      </c>
      <c r="C280" s="75">
        <v>27.5</v>
      </c>
      <c r="D280" s="70">
        <f>'Master Item List'!M149</f>
        <v>20.400000000000002</v>
      </c>
      <c r="E280" s="70" cm="1">
        <f t="array" ref="E280:G280">'Master Item List'!T149:V149</f>
        <v>26.5</v>
      </c>
      <c r="F280" s="70">
        <v>27.5</v>
      </c>
      <c r="G280" s="70">
        <v>28.5</v>
      </c>
      <c r="H280" s="69">
        <f t="shared" si="19"/>
        <v>7.0999999999999979</v>
      </c>
      <c r="I280" s="71">
        <f t="shared" si="20"/>
        <v>0.34803921568627438</v>
      </c>
    </row>
    <row r="281" spans="1:9" ht="37" customHeight="1" x14ac:dyDescent="0.2">
      <c r="A281" s="77">
        <v>4632</v>
      </c>
      <c r="B281" s="74" t="s">
        <v>946</v>
      </c>
      <c r="C281" s="75">
        <v>23</v>
      </c>
      <c r="D281" s="70">
        <f>'Master Item List'!M236</f>
        <v>13.685526315789472</v>
      </c>
      <c r="E281" s="70" cm="1">
        <f t="array" ref="E281:G281">'Master Item List'!T236:V236</f>
        <v>17.75</v>
      </c>
      <c r="F281" s="70">
        <v>18.5</v>
      </c>
      <c r="G281" s="70">
        <v>19.25</v>
      </c>
      <c r="H281" s="69">
        <f t="shared" si="19"/>
        <v>9.3144736842105278</v>
      </c>
      <c r="I281" s="71">
        <f t="shared" si="20"/>
        <v>0.6806076338813577</v>
      </c>
    </row>
    <row r="282" spans="1:9" ht="37" customHeight="1" x14ac:dyDescent="0.2">
      <c r="A282" s="73">
        <v>707</v>
      </c>
      <c r="B282" s="74" t="s">
        <v>947</v>
      </c>
      <c r="C282" s="75">
        <v>32</v>
      </c>
      <c r="D282" s="70">
        <f>'Master Item List'!M235</f>
        <v>19.571052631578944</v>
      </c>
      <c r="E282" s="70" cm="1">
        <f t="array" ref="E282:G282">'Master Item List'!T236:V236</f>
        <v>17.75</v>
      </c>
      <c r="F282" s="70">
        <v>18.5</v>
      </c>
      <c r="G282" s="70">
        <v>19.25</v>
      </c>
      <c r="H282" s="69">
        <f t="shared" si="19"/>
        <v>12.428947368421056</v>
      </c>
      <c r="I282" s="71">
        <f t="shared" si="20"/>
        <v>0.63506790372462041</v>
      </c>
    </row>
    <row r="283" spans="1:9" ht="37" customHeight="1" x14ac:dyDescent="0.2">
      <c r="A283" s="73">
        <v>128</v>
      </c>
      <c r="B283" s="74" t="s">
        <v>948</v>
      </c>
      <c r="C283" s="75">
        <v>27</v>
      </c>
      <c r="D283" s="70">
        <f>'Master Item List'!M150</f>
        <v>18.879729729729732</v>
      </c>
      <c r="E283" s="70" cm="1">
        <f t="array" ref="E283:G283">'Master Item List'!T150:V150</f>
        <v>24.5</v>
      </c>
      <c r="F283" s="70">
        <v>25.5</v>
      </c>
      <c r="G283" s="70">
        <v>26.5</v>
      </c>
      <c r="H283" s="69">
        <f t="shared" ref="H283:H346" si="21">C283-D283</f>
        <v>8.120270270270268</v>
      </c>
      <c r="I283" s="71">
        <f t="shared" ref="I283:I346" si="22">H283/D283</f>
        <v>0.43010521795147072</v>
      </c>
    </row>
    <row r="284" spans="1:9" ht="37" hidden="1" customHeight="1" x14ac:dyDescent="0.2">
      <c r="A284" s="77">
        <v>2427</v>
      </c>
      <c r="B284" s="74" t="s">
        <v>949</v>
      </c>
      <c r="C284" s="75">
        <f>C281+15</f>
        <v>38</v>
      </c>
      <c r="D284" s="70">
        <f>D281+'Raw Cost'!F1</f>
        <v>22.88552631578947</v>
      </c>
      <c r="E284" s="70"/>
      <c r="F284" s="70"/>
      <c r="G284" s="70"/>
      <c r="H284" s="69">
        <f t="shared" si="21"/>
        <v>15.11447368421053</v>
      </c>
      <c r="I284" s="71">
        <f t="shared" si="22"/>
        <v>0.66043810728454</v>
      </c>
    </row>
    <row r="285" spans="1:9" ht="37" customHeight="1" x14ac:dyDescent="0.2">
      <c r="A285" s="77">
        <v>3175</v>
      </c>
      <c r="B285" s="74" t="s">
        <v>950</v>
      </c>
      <c r="C285" s="75">
        <v>27.5</v>
      </c>
      <c r="D285" s="70">
        <f>'Master Item List'!M238</f>
        <v>15.494736842105263</v>
      </c>
      <c r="E285" s="70" cm="1">
        <f t="array" ref="E285:G285">'Master Item List'!T238:V238</f>
        <v>20.25</v>
      </c>
      <c r="F285" s="70">
        <v>21</v>
      </c>
      <c r="G285" s="70">
        <v>21.75</v>
      </c>
      <c r="H285" s="69">
        <f t="shared" si="21"/>
        <v>12.005263157894737</v>
      </c>
      <c r="I285" s="71">
        <f t="shared" si="22"/>
        <v>0.77479619565217384</v>
      </c>
    </row>
    <row r="286" spans="1:9" ht="37" hidden="1" customHeight="1" x14ac:dyDescent="0.2">
      <c r="A286" s="77">
        <v>3176</v>
      </c>
      <c r="B286" s="74" t="s">
        <v>951</v>
      </c>
      <c r="C286" s="75">
        <f>C285+15</f>
        <v>42.5</v>
      </c>
      <c r="D286" s="70">
        <f>D285+'Raw Cost'!F1</f>
        <v>24.694736842105264</v>
      </c>
      <c r="E286" s="70"/>
      <c r="F286" s="70"/>
      <c r="G286" s="70"/>
      <c r="H286" s="69">
        <f t="shared" si="21"/>
        <v>17.805263157894736</v>
      </c>
      <c r="I286" s="71">
        <f t="shared" si="22"/>
        <v>0.72101449275362306</v>
      </c>
    </row>
    <row r="287" spans="1:9" ht="37" customHeight="1" x14ac:dyDescent="0.2">
      <c r="A287" s="77">
        <v>3017</v>
      </c>
      <c r="B287" s="74" t="s">
        <v>952</v>
      </c>
      <c r="C287" s="75">
        <v>26.5</v>
      </c>
      <c r="D287" s="70"/>
      <c r="E287" s="70"/>
      <c r="F287" s="70"/>
      <c r="G287" s="70"/>
      <c r="H287" s="69">
        <f t="shared" si="21"/>
        <v>26.5</v>
      </c>
      <c r="I287" s="71"/>
    </row>
    <row r="288" spans="1:9" ht="37" hidden="1" customHeight="1" x14ac:dyDescent="0.2">
      <c r="A288" s="73">
        <v>384</v>
      </c>
      <c r="B288" s="74" t="s">
        <v>953</v>
      </c>
      <c r="C288" s="75">
        <v>999.99</v>
      </c>
      <c r="D288" s="70"/>
      <c r="E288" s="70"/>
      <c r="F288" s="70"/>
      <c r="G288" s="70"/>
      <c r="H288" s="69">
        <f t="shared" si="21"/>
        <v>999.99</v>
      </c>
      <c r="I288" s="71"/>
    </row>
    <row r="289" spans="1:9" ht="37" customHeight="1" x14ac:dyDescent="0.2">
      <c r="A289" s="74" t="s">
        <v>954</v>
      </c>
      <c r="B289" s="74" t="s">
        <v>955</v>
      </c>
      <c r="C289" s="75">
        <v>12.5</v>
      </c>
      <c r="D289" s="70">
        <f>'Master Item List'!M68</f>
        <v>8.7149999999999999</v>
      </c>
      <c r="E289" s="70" cm="1">
        <f t="array" ref="E289:G289">'Master Item List'!T68:V68</f>
        <v>11.25</v>
      </c>
      <c r="F289" s="70">
        <v>11.75</v>
      </c>
      <c r="G289" s="70">
        <v>12.25</v>
      </c>
      <c r="H289" s="69">
        <f t="shared" si="21"/>
        <v>3.7850000000000001</v>
      </c>
      <c r="I289" s="71">
        <f t="shared" si="22"/>
        <v>0.43430866322432587</v>
      </c>
    </row>
    <row r="290" spans="1:9" ht="37" hidden="1" customHeight="1" x14ac:dyDescent="0.2">
      <c r="A290" s="77">
        <v>2426</v>
      </c>
      <c r="B290" s="74" t="s">
        <v>956</v>
      </c>
      <c r="C290" s="75">
        <f>C292+15</f>
        <v>38.5</v>
      </c>
      <c r="D290" s="70"/>
      <c r="E290" s="70"/>
      <c r="F290" s="70"/>
      <c r="G290" s="70"/>
      <c r="H290" s="69">
        <f t="shared" si="21"/>
        <v>38.5</v>
      </c>
      <c r="I290" s="71" t="e">
        <f t="shared" si="22"/>
        <v>#DIV/0!</v>
      </c>
    </row>
    <row r="291" spans="1:9" ht="37" customHeight="1" x14ac:dyDescent="0.2">
      <c r="A291" s="77">
        <v>3215</v>
      </c>
      <c r="B291" s="74" t="s">
        <v>957</v>
      </c>
      <c r="C291" s="75">
        <v>21</v>
      </c>
      <c r="D291" s="70">
        <f>'Master Item List'!M135</f>
        <v>12.260714285714284</v>
      </c>
      <c r="E291" s="70" cm="1">
        <f t="array" ref="E291:G291">'Master Item List'!T135:V135</f>
        <v>16</v>
      </c>
      <c r="F291" s="70">
        <v>16.5</v>
      </c>
      <c r="G291" s="70">
        <v>17.25</v>
      </c>
      <c r="H291" s="69">
        <f t="shared" si="21"/>
        <v>8.7392857142857157</v>
      </c>
      <c r="I291" s="71">
        <f t="shared" si="22"/>
        <v>0.71278764928633864</v>
      </c>
    </row>
    <row r="292" spans="1:9" ht="37" customHeight="1" x14ac:dyDescent="0.2">
      <c r="A292" s="77">
        <v>1010</v>
      </c>
      <c r="B292" s="74" t="s">
        <v>958</v>
      </c>
      <c r="C292" s="75">
        <v>23.5</v>
      </c>
      <c r="D292" s="70">
        <f>'Master Item List'!M226</f>
        <v>14.720641025641026</v>
      </c>
      <c r="E292" s="70" cm="1">
        <f t="array" ref="E292:G292">'Master Item List'!T226:V226</f>
        <v>19.25</v>
      </c>
      <c r="F292" s="70">
        <v>19.75</v>
      </c>
      <c r="G292" s="70">
        <v>20.5</v>
      </c>
      <c r="H292" s="69">
        <f t="shared" si="21"/>
        <v>8.7793589743589742</v>
      </c>
      <c r="I292" s="71">
        <f t="shared" si="22"/>
        <v>0.59639787146950474</v>
      </c>
    </row>
    <row r="293" spans="1:9" ht="37" customHeight="1" x14ac:dyDescent="0.2">
      <c r="A293" s="77">
        <v>2111</v>
      </c>
      <c r="B293" s="74" t="s">
        <v>959</v>
      </c>
      <c r="C293" s="75">
        <v>28.5</v>
      </c>
      <c r="D293" s="70">
        <f>'Master Item List'!M139</f>
        <v>20.775000000000002</v>
      </c>
      <c r="E293" s="70" cm="1">
        <f t="array" ref="E293:G293">'Master Item List'!T139:V139</f>
        <v>27</v>
      </c>
      <c r="F293" s="70">
        <v>28</v>
      </c>
      <c r="G293" s="70">
        <v>29</v>
      </c>
      <c r="H293" s="69">
        <f t="shared" si="21"/>
        <v>7.7249999999999979</v>
      </c>
      <c r="I293" s="71">
        <f t="shared" si="22"/>
        <v>0.37184115523465688</v>
      </c>
    </row>
    <row r="294" spans="1:9" ht="37" customHeight="1" x14ac:dyDescent="0.2">
      <c r="A294" s="77">
        <v>1305</v>
      </c>
      <c r="B294" s="74" t="s">
        <v>960</v>
      </c>
      <c r="C294" s="75">
        <v>34.75</v>
      </c>
      <c r="D294" s="70">
        <f>'Master Item List'!M140</f>
        <v>25.475000000000001</v>
      </c>
      <c r="E294" s="70" cm="1">
        <f t="array" ref="E294:G294">'Master Item List'!T140:V140</f>
        <v>33</v>
      </c>
      <c r="F294" s="70">
        <v>34.5</v>
      </c>
      <c r="G294" s="70">
        <v>35.75</v>
      </c>
      <c r="H294" s="69">
        <f t="shared" si="21"/>
        <v>9.2749999999999986</v>
      </c>
      <c r="I294" s="71">
        <f t="shared" si="22"/>
        <v>0.36408243375858679</v>
      </c>
    </row>
    <row r="295" spans="1:9" ht="37" customHeight="1" x14ac:dyDescent="0.2">
      <c r="A295" s="77">
        <v>1097</v>
      </c>
      <c r="B295" s="74" t="s">
        <v>961</v>
      </c>
      <c r="C295" s="75">
        <v>21</v>
      </c>
      <c r="D295" s="70">
        <f>'Master Item List'!M140/2</f>
        <v>12.737500000000001</v>
      </c>
      <c r="E295" s="70" cm="1">
        <f t="array" ref="E295:G295">'Master Item List'!T140:V140/2</f>
        <v>16.5</v>
      </c>
      <c r="F295" s="70">
        <v>17.25</v>
      </c>
      <c r="G295" s="70">
        <v>17.875</v>
      </c>
      <c r="H295" s="69">
        <f t="shared" si="21"/>
        <v>8.2624999999999993</v>
      </c>
      <c r="I295" s="71">
        <f t="shared" si="22"/>
        <v>0.64867517173699696</v>
      </c>
    </row>
    <row r="296" spans="1:9" ht="37" customHeight="1" x14ac:dyDescent="0.2">
      <c r="A296" s="77">
        <v>2950</v>
      </c>
      <c r="B296" s="74" t="s">
        <v>962</v>
      </c>
      <c r="C296" s="75">
        <v>58</v>
      </c>
      <c r="D296" s="70">
        <f>'Master Item List'!M98</f>
        <v>43.335000000000001</v>
      </c>
      <c r="E296" s="70" cm="1">
        <f t="array" ref="E296:G296">'Master Item List'!T98:V98</f>
        <v>56.25</v>
      </c>
      <c r="F296" s="70">
        <v>58.5</v>
      </c>
      <c r="G296" s="70">
        <v>60.75</v>
      </c>
      <c r="H296" s="69">
        <f t="shared" si="21"/>
        <v>14.664999999999999</v>
      </c>
      <c r="I296" s="71">
        <f t="shared" si="22"/>
        <v>0.33841006115149413</v>
      </c>
    </row>
    <row r="297" spans="1:9" ht="37" customHeight="1" x14ac:dyDescent="0.2">
      <c r="A297" s="77">
        <v>3054</v>
      </c>
      <c r="B297" s="74" t="s">
        <v>963</v>
      </c>
      <c r="C297" s="75">
        <v>23.5</v>
      </c>
      <c r="D297" s="70">
        <f>'Master Item List'!M229</f>
        <v>13.582142857142857</v>
      </c>
      <c r="E297" s="70" cm="1">
        <f t="array" ref="E297:G297">'Master Item List'!T229:V229</f>
        <v>17.75</v>
      </c>
      <c r="F297" s="70">
        <v>18.25</v>
      </c>
      <c r="G297" s="70">
        <v>19</v>
      </c>
      <c r="H297" s="69">
        <f t="shared" si="21"/>
        <v>9.9178571428571427</v>
      </c>
      <c r="I297" s="71">
        <f t="shared" si="22"/>
        <v>0.7302129897449382</v>
      </c>
    </row>
    <row r="298" spans="1:9" ht="37" hidden="1" customHeight="1" x14ac:dyDescent="0.2">
      <c r="A298" s="77">
        <v>2428</v>
      </c>
      <c r="B298" s="74" t="s">
        <v>964</v>
      </c>
      <c r="C298" s="75">
        <f>C297+15</f>
        <v>38.5</v>
      </c>
      <c r="D298" s="70">
        <f>D297+'Raw Cost'!F1</f>
        <v>22.782142857142858</v>
      </c>
      <c r="E298" s="70"/>
      <c r="F298" s="70"/>
      <c r="G298" s="70"/>
      <c r="H298" s="69">
        <f t="shared" si="21"/>
        <v>15.717857142857142</v>
      </c>
      <c r="I298" s="71">
        <f t="shared" si="22"/>
        <v>0.68992005016460256</v>
      </c>
    </row>
    <row r="299" spans="1:9" ht="37" hidden="1" customHeight="1" x14ac:dyDescent="0.2">
      <c r="A299" s="77">
        <v>3336</v>
      </c>
      <c r="B299" s="74" t="s">
        <v>965</v>
      </c>
      <c r="C299" s="75">
        <f>C297+15</f>
        <v>38.5</v>
      </c>
      <c r="D299" s="70">
        <f>D297+'Raw Cost'!F3</f>
        <v>17.082142857142856</v>
      </c>
      <c r="E299" s="70"/>
      <c r="F299" s="70"/>
      <c r="G299" s="70"/>
      <c r="H299" s="69">
        <f t="shared" si="21"/>
        <v>21.417857142857144</v>
      </c>
      <c r="I299" s="71">
        <f t="shared" si="22"/>
        <v>1.2538155969057079</v>
      </c>
    </row>
    <row r="300" spans="1:9" ht="37" customHeight="1" x14ac:dyDescent="0.2">
      <c r="A300" s="77">
        <v>1386</v>
      </c>
      <c r="B300" s="74" t="s">
        <v>966</v>
      </c>
      <c r="C300" s="75">
        <v>50.5</v>
      </c>
      <c r="D300" s="70">
        <f>'Master Item List'!M2</f>
        <v>39.086111111111116</v>
      </c>
      <c r="E300" s="70" cm="1">
        <f t="array" ref="E300:G300">'Master Item List'!T2:V2</f>
        <v>50.75</v>
      </c>
      <c r="F300" s="70">
        <v>52.75</v>
      </c>
      <c r="G300" s="70">
        <v>54.75</v>
      </c>
      <c r="H300" s="69">
        <f t="shared" si="21"/>
        <v>11.413888888888884</v>
      </c>
      <c r="I300" s="71">
        <f t="shared" si="22"/>
        <v>0.29201904626536834</v>
      </c>
    </row>
    <row r="301" spans="1:9" ht="37" customHeight="1" x14ac:dyDescent="0.2">
      <c r="A301" s="77">
        <v>2824</v>
      </c>
      <c r="B301" s="74" t="s">
        <v>967</v>
      </c>
      <c r="C301" s="75">
        <v>44.5</v>
      </c>
      <c r="D301" s="70">
        <f>'Master Item List'!M17</f>
        <v>33.060384615384621</v>
      </c>
      <c r="E301" s="70" cm="1">
        <f t="array" ref="E301:G301">'Master Item List'!T17:V17</f>
        <v>43</v>
      </c>
      <c r="F301" s="70">
        <v>44.75</v>
      </c>
      <c r="G301" s="70">
        <v>46.25</v>
      </c>
      <c r="H301" s="69">
        <f t="shared" si="21"/>
        <v>11.439615384615379</v>
      </c>
      <c r="I301" s="71">
        <f t="shared" si="22"/>
        <v>0.34602184813336878</v>
      </c>
    </row>
    <row r="302" spans="1:9" ht="37" hidden="1" customHeight="1" x14ac:dyDescent="0.2">
      <c r="A302" s="77">
        <v>4675</v>
      </c>
      <c r="B302" s="74" t="s">
        <v>968</v>
      </c>
      <c r="C302" s="75">
        <v>999.99</v>
      </c>
      <c r="D302" s="70"/>
      <c r="E302" s="70"/>
      <c r="F302" s="70"/>
      <c r="G302" s="70"/>
      <c r="H302" s="69">
        <f t="shared" si="21"/>
        <v>999.99</v>
      </c>
      <c r="I302" s="71" t="e">
        <f t="shared" si="22"/>
        <v>#DIV/0!</v>
      </c>
    </row>
    <row r="303" spans="1:9" ht="37" customHeight="1" x14ac:dyDescent="0.2">
      <c r="A303" s="77">
        <v>1247</v>
      </c>
      <c r="B303" s="74" t="s">
        <v>969</v>
      </c>
      <c r="C303" s="75">
        <v>44.5</v>
      </c>
      <c r="D303" s="70">
        <f>'Master Item List'!M17</f>
        <v>33.060384615384621</v>
      </c>
      <c r="E303" s="70" cm="1">
        <f t="array" ref="E303:G303">'Master Item List'!T17:V17</f>
        <v>43</v>
      </c>
      <c r="F303" s="70">
        <v>44.75</v>
      </c>
      <c r="G303" s="70">
        <v>46.25</v>
      </c>
      <c r="H303" s="69">
        <f t="shared" si="21"/>
        <v>11.439615384615379</v>
      </c>
      <c r="I303" s="71">
        <f t="shared" si="22"/>
        <v>0.34602184813336878</v>
      </c>
    </row>
    <row r="304" spans="1:9" ht="37" customHeight="1" x14ac:dyDescent="0.2">
      <c r="A304" s="77">
        <v>3287</v>
      </c>
      <c r="B304" s="74" t="s">
        <v>970</v>
      </c>
      <c r="C304" s="75">
        <v>27.25</v>
      </c>
      <c r="D304" s="70">
        <f>'Master Item List'!M248</f>
        <v>17.861666666666665</v>
      </c>
      <c r="E304" s="70" cm="1">
        <f t="array" ref="E304:G304">'Master Item List'!T248:V248</f>
        <v>23.25</v>
      </c>
      <c r="F304" s="70">
        <v>24</v>
      </c>
      <c r="G304" s="70">
        <v>25</v>
      </c>
      <c r="H304" s="69">
        <f t="shared" si="21"/>
        <v>9.3883333333333354</v>
      </c>
      <c r="I304" s="71">
        <f t="shared" si="22"/>
        <v>0.52561351124381839</v>
      </c>
    </row>
    <row r="305" spans="1:9" ht="37" hidden="1" customHeight="1" x14ac:dyDescent="0.2">
      <c r="A305" s="77">
        <v>3296</v>
      </c>
      <c r="B305" s="74" t="s">
        <v>971</v>
      </c>
      <c r="C305" s="75">
        <f>C304+15</f>
        <v>42.25</v>
      </c>
      <c r="D305" s="70">
        <f>D304+'Raw Cost'!F1</f>
        <v>27.061666666666664</v>
      </c>
      <c r="E305" s="70"/>
      <c r="F305" s="70"/>
      <c r="G305" s="70"/>
      <c r="H305" s="69">
        <f t="shared" si="21"/>
        <v>15.188333333333336</v>
      </c>
      <c r="I305" s="71">
        <f t="shared" si="22"/>
        <v>0.56124899919935967</v>
      </c>
    </row>
    <row r="306" spans="1:9" ht="37" customHeight="1" x14ac:dyDescent="0.2">
      <c r="A306" s="77">
        <v>4714</v>
      </c>
      <c r="B306" s="74" t="s">
        <v>972</v>
      </c>
      <c r="C306" s="75">
        <v>58</v>
      </c>
      <c r="D306" s="70">
        <f>'Master Item List'!M144</f>
        <v>39.774999999999999</v>
      </c>
      <c r="E306" s="70" cm="1">
        <f t="array" ref="E306:G306">'Master Item List'!T144:V144</f>
        <v>51.75</v>
      </c>
      <c r="F306" s="70">
        <v>53.75</v>
      </c>
      <c r="G306" s="70">
        <v>55.75</v>
      </c>
      <c r="H306" s="69">
        <f t="shared" si="21"/>
        <v>18.225000000000001</v>
      </c>
      <c r="I306" s="71">
        <f t="shared" si="22"/>
        <v>0.45820238843494665</v>
      </c>
    </row>
    <row r="307" spans="1:9" ht="37" customHeight="1" x14ac:dyDescent="0.2">
      <c r="A307" s="77">
        <v>3207</v>
      </c>
      <c r="B307" s="74" t="s">
        <v>973</v>
      </c>
      <c r="C307" s="75">
        <v>17.75</v>
      </c>
      <c r="D307" s="70">
        <f>'Master Item List'!M141</f>
        <v>12.775</v>
      </c>
      <c r="E307" s="70" cm="1">
        <f t="array" ref="E307:G307">'Master Item List'!T141:V141</f>
        <v>16.5</v>
      </c>
      <c r="F307" s="70">
        <v>17.25</v>
      </c>
      <c r="G307" s="70">
        <v>18</v>
      </c>
      <c r="H307" s="69">
        <f t="shared" si="21"/>
        <v>4.9749999999999996</v>
      </c>
      <c r="I307" s="71">
        <f t="shared" si="22"/>
        <v>0.38943248532289626</v>
      </c>
    </row>
    <row r="308" spans="1:9" ht="37" customHeight="1" x14ac:dyDescent="0.2">
      <c r="A308" s="73">
        <v>287</v>
      </c>
      <c r="B308" s="74" t="s">
        <v>974</v>
      </c>
      <c r="C308" s="75">
        <v>13</v>
      </c>
      <c r="D308" s="70">
        <f>'Master Item List'!M143</f>
        <v>7.6150000000000002</v>
      </c>
      <c r="E308" s="70" cm="1">
        <f t="array" ref="E308:G308">'Master Item List'!T143:V143</f>
        <v>10</v>
      </c>
      <c r="F308" s="70">
        <v>10.25</v>
      </c>
      <c r="G308" s="70">
        <v>10.75</v>
      </c>
      <c r="H308" s="69">
        <f t="shared" si="21"/>
        <v>5.3849999999999998</v>
      </c>
      <c r="I308" s="71">
        <f t="shared" si="22"/>
        <v>0.70715692711753109</v>
      </c>
    </row>
    <row r="309" spans="1:9" ht="37" customHeight="1" x14ac:dyDescent="0.2">
      <c r="A309" s="77">
        <v>3191</v>
      </c>
      <c r="B309" s="74" t="s">
        <v>975</v>
      </c>
      <c r="C309" s="75">
        <v>17.75</v>
      </c>
      <c r="D309" s="70">
        <f>'Master Item List'!M141</f>
        <v>12.775</v>
      </c>
      <c r="E309" s="70" cm="1">
        <f t="array" ref="E309:G309">'Master Item List'!T141:V141</f>
        <v>16.5</v>
      </c>
      <c r="F309" s="70">
        <v>17.25</v>
      </c>
      <c r="G309" s="70">
        <v>18</v>
      </c>
      <c r="H309" s="69">
        <f t="shared" si="21"/>
        <v>4.9749999999999996</v>
      </c>
      <c r="I309" s="71">
        <f t="shared" si="22"/>
        <v>0.38943248532289626</v>
      </c>
    </row>
    <row r="310" spans="1:9" ht="37" customHeight="1" x14ac:dyDescent="0.2">
      <c r="A310" s="73">
        <v>987</v>
      </c>
      <c r="B310" s="74" t="s">
        <v>976</v>
      </c>
      <c r="C310" s="75">
        <v>23</v>
      </c>
      <c r="D310" s="70">
        <f>'Master Item List'!M142</f>
        <v>17.975000000000001</v>
      </c>
      <c r="E310" s="70" cm="1">
        <f t="array" ref="E310:G310">'Master Item List'!T142:V142</f>
        <v>23.25</v>
      </c>
      <c r="F310" s="70">
        <v>24.25</v>
      </c>
      <c r="G310" s="70">
        <v>25.25</v>
      </c>
      <c r="H310" s="69">
        <f t="shared" si="21"/>
        <v>5.0249999999999986</v>
      </c>
      <c r="I310" s="71">
        <f t="shared" si="22"/>
        <v>0.27955493741307363</v>
      </c>
    </row>
    <row r="311" spans="1:9" ht="37" hidden="1" customHeight="1" x14ac:dyDescent="0.2">
      <c r="A311" s="77">
        <v>2429</v>
      </c>
      <c r="B311" s="74" t="s">
        <v>977</v>
      </c>
      <c r="C311" s="75">
        <f>C316+15</f>
        <v>40.25</v>
      </c>
      <c r="D311" s="70">
        <f>D316+'Raw Cost'!F1</f>
        <v>26.247058823529411</v>
      </c>
      <c r="E311" s="70"/>
      <c r="F311" s="70"/>
      <c r="G311" s="70"/>
      <c r="H311" s="69">
        <f t="shared" si="21"/>
        <v>14.002941176470589</v>
      </c>
      <c r="I311" s="71">
        <f t="shared" si="22"/>
        <v>0.53350515463917536</v>
      </c>
    </row>
    <row r="312" spans="1:9" ht="37" hidden="1" customHeight="1" x14ac:dyDescent="0.2">
      <c r="A312" s="77">
        <v>3347</v>
      </c>
      <c r="B312" s="74" t="s">
        <v>978</v>
      </c>
      <c r="C312" s="75">
        <f>C316+15</f>
        <v>40.25</v>
      </c>
      <c r="D312" s="70">
        <f>D316+'Raw Cost'!F3</f>
        <v>20.547058823529412</v>
      </c>
      <c r="E312" s="70"/>
      <c r="F312" s="70"/>
      <c r="G312" s="70"/>
      <c r="H312" s="69">
        <f t="shared" si="21"/>
        <v>19.702941176470588</v>
      </c>
      <c r="I312" s="71">
        <f t="shared" si="22"/>
        <v>0.9589178356713427</v>
      </c>
    </row>
    <row r="313" spans="1:9" ht="37" customHeight="1" x14ac:dyDescent="0.2">
      <c r="A313" s="77">
        <v>3208</v>
      </c>
      <c r="B313" s="74" t="s">
        <v>979</v>
      </c>
      <c r="C313" s="75">
        <v>22.5</v>
      </c>
      <c r="D313" s="70">
        <f>'Master Item List'!M165</f>
        <v>16.010294117647057</v>
      </c>
      <c r="E313" s="70" cm="1">
        <f t="array" ref="E313:G313">'Master Item List'!T165:V165</f>
        <v>20.75</v>
      </c>
      <c r="F313" s="70">
        <v>21.5</v>
      </c>
      <c r="G313" s="70">
        <v>22.5</v>
      </c>
      <c r="H313" s="69">
        <f t="shared" si="21"/>
        <v>6.4897058823529434</v>
      </c>
      <c r="I313" s="71">
        <f t="shared" si="22"/>
        <v>0.40534582529622504</v>
      </c>
    </row>
    <row r="314" spans="1:9" ht="37" customHeight="1" x14ac:dyDescent="0.2">
      <c r="A314" s="77">
        <v>1383</v>
      </c>
      <c r="B314" s="74" t="s">
        <v>980</v>
      </c>
      <c r="C314" s="75">
        <v>13</v>
      </c>
      <c r="D314" s="70">
        <f>'Master Item List'!M166</f>
        <v>9.2326470588235292</v>
      </c>
      <c r="E314" s="70" cm="1">
        <f t="array" ref="E314:G314">'Master Item List'!T166:V166</f>
        <v>12</v>
      </c>
      <c r="F314" s="70">
        <v>12.5</v>
      </c>
      <c r="G314" s="70">
        <v>13</v>
      </c>
      <c r="H314" s="69">
        <f t="shared" si="21"/>
        <v>3.7673529411764708</v>
      </c>
      <c r="I314" s="71">
        <f t="shared" si="22"/>
        <v>0.40804689242139469</v>
      </c>
    </row>
    <row r="315" spans="1:9" ht="37" customHeight="1" x14ac:dyDescent="0.2">
      <c r="A315" s="73">
        <v>769</v>
      </c>
      <c r="B315" s="74" t="s">
        <v>981</v>
      </c>
      <c r="C315" s="75">
        <v>26</v>
      </c>
      <c r="D315" s="70">
        <f>'Master Item List'!M164</f>
        <v>18.270294117647058</v>
      </c>
      <c r="E315" s="70" cm="1">
        <f t="array" ref="E315:G315">'Master Item List'!T164:V164</f>
        <v>23.75</v>
      </c>
      <c r="F315" s="70">
        <v>24.75</v>
      </c>
      <c r="G315" s="70">
        <v>25.5</v>
      </c>
      <c r="H315" s="69">
        <f t="shared" si="21"/>
        <v>7.7297058823529419</v>
      </c>
      <c r="I315" s="71">
        <f t="shared" si="22"/>
        <v>0.42307506559989705</v>
      </c>
    </row>
    <row r="316" spans="1:9" ht="37" customHeight="1" x14ac:dyDescent="0.2">
      <c r="A316" s="77">
        <v>3055</v>
      </c>
      <c r="B316" s="74" t="s">
        <v>982</v>
      </c>
      <c r="C316" s="75">
        <v>25.25</v>
      </c>
      <c r="D316" s="70">
        <f>'Master Item List'!M247</f>
        <v>17.047058823529412</v>
      </c>
      <c r="E316" s="70" cm="1">
        <f t="array" ref="E316:G316">'Master Item List'!T247:V247</f>
        <v>22.25</v>
      </c>
      <c r="F316" s="70">
        <v>23</v>
      </c>
      <c r="G316" s="70">
        <v>23.75</v>
      </c>
      <c r="H316" s="69">
        <f t="shared" si="21"/>
        <v>8.2029411764705884</v>
      </c>
      <c r="I316" s="71">
        <f t="shared" si="22"/>
        <v>0.48119392684610079</v>
      </c>
    </row>
    <row r="317" spans="1:9" ht="37" customHeight="1" x14ac:dyDescent="0.2">
      <c r="A317" s="77">
        <v>2259</v>
      </c>
      <c r="B317" s="74" t="s">
        <v>983</v>
      </c>
      <c r="C317" s="75">
        <v>26</v>
      </c>
      <c r="D317" s="70">
        <f>'Master Item List'!M164</f>
        <v>18.270294117647058</v>
      </c>
      <c r="E317" s="70" cm="1">
        <f t="array" ref="E317:G317">'Master Item List'!T164:V164</f>
        <v>23.75</v>
      </c>
      <c r="F317" s="70">
        <v>24.75</v>
      </c>
      <c r="G317" s="70">
        <v>25.5</v>
      </c>
      <c r="H317" s="69">
        <f t="shared" si="21"/>
        <v>7.7297058823529419</v>
      </c>
      <c r="I317" s="71">
        <f t="shared" si="22"/>
        <v>0.42307506559989705</v>
      </c>
    </row>
    <row r="318" spans="1:9" ht="37" customHeight="1" x14ac:dyDescent="0.2">
      <c r="A318" s="73">
        <v>770</v>
      </c>
      <c r="B318" s="74" t="s">
        <v>984</v>
      </c>
      <c r="C318" s="75">
        <v>35</v>
      </c>
      <c r="D318" s="70">
        <f>'Master Item List'!M163</f>
        <v>24.445588235294117</v>
      </c>
      <c r="E318" s="70" cm="1">
        <f t="array" ref="E318:G318">'Master Item List'!T163:V163</f>
        <v>31.75</v>
      </c>
      <c r="F318" s="70">
        <v>33</v>
      </c>
      <c r="G318" s="70">
        <v>34.25</v>
      </c>
      <c r="H318" s="69">
        <f t="shared" si="21"/>
        <v>10.554411764705883</v>
      </c>
      <c r="I318" s="71">
        <f t="shared" si="22"/>
        <v>0.43175118811285568</v>
      </c>
    </row>
    <row r="319" spans="1:9" ht="37" hidden="1" customHeight="1" x14ac:dyDescent="0.2">
      <c r="A319" s="77">
        <v>1403</v>
      </c>
      <c r="B319" s="74" t="s">
        <v>985</v>
      </c>
      <c r="C319" s="75">
        <v>999.99</v>
      </c>
      <c r="D319" s="70"/>
      <c r="E319" s="70"/>
      <c r="F319" s="70"/>
      <c r="G319" s="70"/>
      <c r="H319" s="69">
        <f t="shared" si="21"/>
        <v>999.99</v>
      </c>
      <c r="I319" s="71" t="e">
        <f t="shared" si="22"/>
        <v>#DIV/0!</v>
      </c>
    </row>
    <row r="320" spans="1:9" ht="37" hidden="1" customHeight="1" x14ac:dyDescent="0.2">
      <c r="A320" s="77">
        <v>1211</v>
      </c>
      <c r="B320" s="74" t="s">
        <v>986</v>
      </c>
      <c r="C320" s="75">
        <v>28</v>
      </c>
      <c r="D320" s="70"/>
      <c r="E320" s="70"/>
      <c r="F320" s="70"/>
      <c r="G320" s="70"/>
      <c r="H320" s="69">
        <f t="shared" si="21"/>
        <v>28</v>
      </c>
      <c r="I320" s="71" t="e">
        <f t="shared" si="22"/>
        <v>#DIV/0!</v>
      </c>
    </row>
    <row r="321" spans="1:9" ht="37" customHeight="1" x14ac:dyDescent="0.2">
      <c r="A321" s="77">
        <v>1243</v>
      </c>
      <c r="B321" s="74" t="s">
        <v>987</v>
      </c>
      <c r="C321" s="75">
        <v>39.5</v>
      </c>
      <c r="D321" s="70">
        <f>'Master Item List'!M230</f>
        <v>27.912500000000001</v>
      </c>
      <c r="E321" s="70" cm="1">
        <f t="array" ref="E321:G321">'Master Item List'!T230:V230</f>
        <v>36.25</v>
      </c>
      <c r="F321" s="70">
        <v>37.75</v>
      </c>
      <c r="G321" s="70">
        <v>39</v>
      </c>
      <c r="H321" s="69">
        <f t="shared" si="21"/>
        <v>11.587499999999999</v>
      </c>
      <c r="I321" s="71">
        <f t="shared" si="22"/>
        <v>0.41513658755038058</v>
      </c>
    </row>
    <row r="322" spans="1:9" ht="37" customHeight="1" x14ac:dyDescent="0.2">
      <c r="A322" s="77">
        <v>3119</v>
      </c>
      <c r="B322" s="74" t="s">
        <v>988</v>
      </c>
      <c r="C322" s="75">
        <v>33</v>
      </c>
      <c r="D322" s="70">
        <f>'Master Item List'!M146</f>
        <v>22.385000000000002</v>
      </c>
      <c r="E322" s="70" cm="1">
        <f t="array" ref="E322:G322">'Master Item List'!T146:V146</f>
        <v>29</v>
      </c>
      <c r="F322" s="70">
        <v>30.25</v>
      </c>
      <c r="G322" s="70">
        <v>31.25</v>
      </c>
      <c r="H322" s="69">
        <f t="shared" si="21"/>
        <v>10.614999999999998</v>
      </c>
      <c r="I322" s="71">
        <f t="shared" si="22"/>
        <v>0.47420147420147407</v>
      </c>
    </row>
    <row r="323" spans="1:9" ht="37" customHeight="1" x14ac:dyDescent="0.2">
      <c r="A323" s="77">
        <v>4595</v>
      </c>
      <c r="B323" s="74" t="s">
        <v>989</v>
      </c>
      <c r="C323" s="75">
        <v>33</v>
      </c>
      <c r="D323" s="70">
        <f>'Master Item List'!M145</f>
        <v>22.385000000000002</v>
      </c>
      <c r="E323" s="70" cm="1">
        <f t="array" ref="E323:G323">'Master Item List'!T145:V145</f>
        <v>29</v>
      </c>
      <c r="F323" s="70">
        <v>30.25</v>
      </c>
      <c r="G323" s="70">
        <v>31.25</v>
      </c>
      <c r="H323" s="69">
        <f t="shared" si="21"/>
        <v>10.614999999999998</v>
      </c>
      <c r="I323" s="71">
        <f t="shared" si="22"/>
        <v>0.47420147420147407</v>
      </c>
    </row>
    <row r="324" spans="1:9" ht="37" customHeight="1" x14ac:dyDescent="0.2">
      <c r="A324" s="77">
        <v>2050</v>
      </c>
      <c r="B324" s="74" t="s">
        <v>990</v>
      </c>
      <c r="C324" s="75">
        <v>33</v>
      </c>
      <c r="D324" s="70">
        <f>'Master Item List'!M146</f>
        <v>22.385000000000002</v>
      </c>
      <c r="E324" s="70" cm="1">
        <f t="array" ref="E324:G324">'Master Item List'!T146:V146</f>
        <v>29</v>
      </c>
      <c r="F324" s="70">
        <v>30.25</v>
      </c>
      <c r="G324" s="70">
        <v>31.25</v>
      </c>
      <c r="H324" s="69">
        <f t="shared" si="21"/>
        <v>10.614999999999998</v>
      </c>
      <c r="I324" s="71">
        <f t="shared" si="22"/>
        <v>0.47420147420147407</v>
      </c>
    </row>
    <row r="325" spans="1:9" ht="37" customHeight="1" x14ac:dyDescent="0.2">
      <c r="A325" s="77">
        <v>3177</v>
      </c>
      <c r="B325" s="74" t="s">
        <v>991</v>
      </c>
      <c r="C325" s="75">
        <v>68</v>
      </c>
      <c r="D325" s="70">
        <f>'Master Item List'!M231</f>
        <v>50.725000000000001</v>
      </c>
      <c r="E325" s="70" cm="1">
        <f t="array" ref="E325:G325">'Master Item List'!T231:V231</f>
        <v>66</v>
      </c>
      <c r="F325" s="70">
        <v>68.5</v>
      </c>
      <c r="G325" s="70">
        <v>71</v>
      </c>
      <c r="H325" s="69">
        <f t="shared" si="21"/>
        <v>17.274999999999999</v>
      </c>
      <c r="I325" s="71">
        <f t="shared" si="22"/>
        <v>0.34056185312962045</v>
      </c>
    </row>
    <row r="326" spans="1:9" ht="37" hidden="1" customHeight="1" x14ac:dyDescent="0.2">
      <c r="A326" s="77">
        <v>3337</v>
      </c>
      <c r="B326" s="74" t="s">
        <v>992</v>
      </c>
      <c r="C326" s="75">
        <f>C321+15</f>
        <v>54.5</v>
      </c>
      <c r="D326" s="70">
        <f>D321+'Raw Cost'!F3</f>
        <v>31.412500000000001</v>
      </c>
      <c r="E326" s="70"/>
      <c r="F326" s="70"/>
      <c r="G326" s="70"/>
      <c r="H326" s="69">
        <f t="shared" si="21"/>
        <v>23.087499999999999</v>
      </c>
      <c r="I326" s="71">
        <f t="shared" si="22"/>
        <v>0.73497811380819733</v>
      </c>
    </row>
    <row r="327" spans="1:9" ht="37" hidden="1" customHeight="1" x14ac:dyDescent="0.2">
      <c r="A327" s="77">
        <v>3339</v>
      </c>
      <c r="B327" s="74" t="s">
        <v>993</v>
      </c>
      <c r="C327" s="75">
        <f>C328+15</f>
        <v>64.5</v>
      </c>
      <c r="D327" s="70">
        <f>D328+'Raw Cost'!F3</f>
        <v>39.485416666666666</v>
      </c>
      <c r="E327" s="70"/>
      <c r="F327" s="70"/>
      <c r="G327" s="70"/>
      <c r="H327" s="69">
        <f t="shared" si="21"/>
        <v>25.014583333333334</v>
      </c>
      <c r="I327" s="71">
        <f t="shared" si="22"/>
        <v>0.63351448319527259</v>
      </c>
    </row>
    <row r="328" spans="1:9" ht="37" customHeight="1" x14ac:dyDescent="0.2">
      <c r="A328" s="77">
        <v>3338</v>
      </c>
      <c r="B328" s="74" t="s">
        <v>994</v>
      </c>
      <c r="C328" s="75">
        <v>49.5</v>
      </c>
      <c r="D328" s="70">
        <f>'Combo Pricing'!F34</f>
        <v>35.985416666666666</v>
      </c>
      <c r="E328" s="70" cm="1">
        <f t="array" ref="E328:G328">'Combo Pricing'!L34:N34</f>
        <v>49</v>
      </c>
      <c r="F328" s="70">
        <v>50.75</v>
      </c>
      <c r="G328" s="70">
        <v>52.75</v>
      </c>
      <c r="H328" s="69">
        <f t="shared" si="21"/>
        <v>13.514583333333334</v>
      </c>
      <c r="I328" s="71">
        <f t="shared" si="22"/>
        <v>0.37555722804376779</v>
      </c>
    </row>
    <row r="329" spans="1:9" ht="37" customHeight="1" x14ac:dyDescent="0.2">
      <c r="A329" s="77">
        <v>3340</v>
      </c>
      <c r="B329" s="74" t="s">
        <v>995</v>
      </c>
      <c r="C329" s="75">
        <v>41.5</v>
      </c>
      <c r="D329" s="70">
        <f>'Combo Pricing'!F37</f>
        <v>31.10638888888889</v>
      </c>
      <c r="E329" s="70" cm="1">
        <f t="array" ref="E329:G329">'Combo Pricing'!L37:N37</f>
        <v>42.75</v>
      </c>
      <c r="F329" s="70">
        <v>44.25</v>
      </c>
      <c r="G329" s="70">
        <v>45.75</v>
      </c>
      <c r="H329" s="69">
        <f t="shared" si="21"/>
        <v>10.39361111111111</v>
      </c>
      <c r="I329" s="71">
        <f t="shared" si="22"/>
        <v>0.33413107346650822</v>
      </c>
    </row>
    <row r="330" spans="1:9" ht="37" hidden="1" customHeight="1" x14ac:dyDescent="0.2">
      <c r="A330" s="77">
        <v>3341</v>
      </c>
      <c r="B330" s="74" t="s">
        <v>996</v>
      </c>
      <c r="C330" s="75">
        <f>C329+15</f>
        <v>56.5</v>
      </c>
      <c r="D330" s="70">
        <f>D329+'Raw Cost'!F3</f>
        <v>34.606388888888887</v>
      </c>
      <c r="E330" s="70"/>
      <c r="F330" s="70"/>
      <c r="G330" s="70"/>
      <c r="H330" s="69">
        <f t="shared" si="21"/>
        <v>21.893611111111113</v>
      </c>
      <c r="I330" s="71">
        <f t="shared" si="22"/>
        <v>0.63264650875320072</v>
      </c>
    </row>
    <row r="331" spans="1:9" ht="37" customHeight="1" x14ac:dyDescent="0.2">
      <c r="A331" s="77">
        <v>1011</v>
      </c>
      <c r="B331" s="74" t="s">
        <v>997</v>
      </c>
      <c r="C331" s="75">
        <v>38</v>
      </c>
      <c r="D331" s="70">
        <f>'Master Item List'!M232</f>
        <v>28.086111111111112</v>
      </c>
      <c r="E331" s="70" cm="1">
        <f t="array" ref="E331:G331">'Master Item List'!T232:V232</f>
        <v>36.5</v>
      </c>
      <c r="F331" s="70">
        <v>38</v>
      </c>
      <c r="G331" s="70">
        <v>39.25</v>
      </c>
      <c r="H331" s="69">
        <f t="shared" si="21"/>
        <v>9.9138888888888879</v>
      </c>
      <c r="I331" s="71">
        <f t="shared" si="22"/>
        <v>0.35298190090000986</v>
      </c>
    </row>
    <row r="332" spans="1:9" ht="37" hidden="1" customHeight="1" x14ac:dyDescent="0.2">
      <c r="A332" s="77">
        <v>2414</v>
      </c>
      <c r="B332" s="74" t="s">
        <v>998</v>
      </c>
      <c r="C332" s="75">
        <f>C331+15</f>
        <v>53</v>
      </c>
      <c r="D332" s="70">
        <f>D331+'Raw Cost'!F1</f>
        <v>37.286111111111111</v>
      </c>
      <c r="E332" s="70"/>
      <c r="F332" s="70"/>
      <c r="G332" s="70"/>
      <c r="H332" s="69">
        <f t="shared" si="21"/>
        <v>15.713888888888889</v>
      </c>
      <c r="I332" s="71">
        <f t="shared" si="22"/>
        <v>0.42144081054905758</v>
      </c>
    </row>
    <row r="333" spans="1:9" ht="37" hidden="1" customHeight="1" x14ac:dyDescent="0.2">
      <c r="A333" s="77">
        <v>3342</v>
      </c>
      <c r="B333" s="74" t="s">
        <v>999</v>
      </c>
      <c r="C333" s="75">
        <f>C331+15</f>
        <v>53</v>
      </c>
      <c r="D333" s="70">
        <f>D331+'Raw Cost'!F3</f>
        <v>31.586111111111112</v>
      </c>
      <c r="E333" s="70"/>
      <c r="F333" s="70"/>
      <c r="G333" s="70"/>
      <c r="H333" s="69">
        <f t="shared" si="21"/>
        <v>21.413888888888888</v>
      </c>
      <c r="I333" s="71">
        <f t="shared" si="22"/>
        <v>0.67795268665904485</v>
      </c>
    </row>
    <row r="334" spans="1:9" ht="37" customHeight="1" x14ac:dyDescent="0.2">
      <c r="A334" s="77">
        <v>3348</v>
      </c>
      <c r="B334" s="74" t="s">
        <v>1000</v>
      </c>
      <c r="C334" s="75">
        <v>36.75</v>
      </c>
      <c r="D334" s="70">
        <f>'Combo Pricing'!F33</f>
        <v>27.524999999999999</v>
      </c>
      <c r="E334" s="70" cm="1">
        <f t="array" ref="E334:G334">'Combo Pricing'!L33:N33</f>
        <v>38</v>
      </c>
      <c r="F334" s="70">
        <v>39.5</v>
      </c>
      <c r="G334" s="70">
        <v>40.75</v>
      </c>
      <c r="H334" s="69">
        <f t="shared" si="21"/>
        <v>9.2250000000000014</v>
      </c>
      <c r="I334" s="71">
        <f t="shared" si="22"/>
        <v>0.33514986376021805</v>
      </c>
    </row>
    <row r="335" spans="1:9" ht="37" hidden="1" customHeight="1" x14ac:dyDescent="0.2">
      <c r="A335" s="77">
        <v>3349</v>
      </c>
      <c r="B335" s="74" t="s">
        <v>1001</v>
      </c>
      <c r="C335" s="75">
        <f>C334+15</f>
        <v>51.75</v>
      </c>
      <c r="D335" s="70">
        <f>D334+'Raw Cost'!F1</f>
        <v>36.724999999999994</v>
      </c>
      <c r="E335" s="70"/>
      <c r="F335" s="70"/>
      <c r="G335" s="70"/>
      <c r="H335" s="69">
        <f t="shared" si="21"/>
        <v>15.025000000000006</v>
      </c>
      <c r="I335" s="71">
        <f t="shared" si="22"/>
        <v>0.40912185159972791</v>
      </c>
    </row>
    <row r="336" spans="1:9" ht="37" hidden="1" customHeight="1" x14ac:dyDescent="0.2">
      <c r="A336" s="77">
        <v>3350</v>
      </c>
      <c r="B336" s="74" t="s">
        <v>1002</v>
      </c>
      <c r="C336" s="75">
        <f>C334+15</f>
        <v>51.75</v>
      </c>
      <c r="D336" s="70">
        <f>D334+'Raw Cost'!F3</f>
        <v>31.024999999999999</v>
      </c>
      <c r="E336" s="70"/>
      <c r="F336" s="70"/>
      <c r="G336" s="70"/>
      <c r="H336" s="69">
        <f t="shared" si="21"/>
        <v>20.725000000000001</v>
      </c>
      <c r="I336" s="71">
        <f t="shared" si="22"/>
        <v>0.66800966962127328</v>
      </c>
    </row>
    <row r="337" spans="1:9" ht="37" customHeight="1" x14ac:dyDescent="0.2">
      <c r="A337" s="77">
        <v>2032</v>
      </c>
      <c r="B337" s="74" t="s">
        <v>1003</v>
      </c>
      <c r="C337" s="75">
        <v>31</v>
      </c>
      <c r="D337" s="70">
        <f>'Master Item List'!M240</f>
        <v>18.786052631578947</v>
      </c>
      <c r="E337" s="70" cm="1">
        <f t="array" ref="E337:G337">'Master Item List'!T240:V240</f>
        <v>24.5</v>
      </c>
      <c r="F337" s="70">
        <v>25.25</v>
      </c>
      <c r="G337" s="70">
        <v>26.25</v>
      </c>
      <c r="H337" s="69">
        <f t="shared" si="21"/>
        <v>12.213947368421053</v>
      </c>
      <c r="I337" s="71">
        <f t="shared" si="22"/>
        <v>0.65016039334892906</v>
      </c>
    </row>
    <row r="338" spans="1:9" ht="37" hidden="1" customHeight="1" x14ac:dyDescent="0.2">
      <c r="A338" s="77">
        <v>3343</v>
      </c>
      <c r="B338" s="74" t="s">
        <v>1004</v>
      </c>
      <c r="C338" s="75">
        <f>C337+15</f>
        <v>46</v>
      </c>
      <c r="D338" s="70">
        <f>D337+'Raw Cost'!F3</f>
        <v>22.286052631578947</v>
      </c>
      <c r="E338" s="70"/>
      <c r="F338" s="70"/>
      <c r="G338" s="70"/>
      <c r="H338" s="69">
        <f t="shared" si="21"/>
        <v>23.713947368421053</v>
      </c>
      <c r="I338" s="71">
        <f t="shared" si="22"/>
        <v>1.064071226988794</v>
      </c>
    </row>
    <row r="339" spans="1:9" ht="37" customHeight="1" x14ac:dyDescent="0.2">
      <c r="A339" s="77">
        <v>1241</v>
      </c>
      <c r="B339" s="74" t="s">
        <v>1005</v>
      </c>
      <c r="C339" s="75">
        <v>26</v>
      </c>
      <c r="D339" s="70">
        <f>'Master Item List'!M101</f>
        <v>15.242777777777778</v>
      </c>
      <c r="E339" s="70" cm="1">
        <f t="array" ref="E339:G339">'Master Item List'!T101:V101</f>
        <v>19.75</v>
      </c>
      <c r="F339" s="70">
        <v>20.5</v>
      </c>
      <c r="G339" s="70">
        <v>21.25</v>
      </c>
      <c r="H339" s="69">
        <f t="shared" si="21"/>
        <v>10.757222222222222</v>
      </c>
      <c r="I339" s="71">
        <f t="shared" si="22"/>
        <v>0.70572584466231725</v>
      </c>
    </row>
    <row r="340" spans="1:9" ht="37" customHeight="1" x14ac:dyDescent="0.2">
      <c r="A340" s="77">
        <v>3153</v>
      </c>
      <c r="B340" s="74" t="s">
        <v>1006</v>
      </c>
      <c r="C340" s="75">
        <v>38</v>
      </c>
      <c r="D340" s="70">
        <f>'Master Item List'!M251</f>
        <v>28.086111111111112</v>
      </c>
      <c r="E340" s="70" cm="1">
        <f t="array" ref="E340:G340">'Master Item List'!T251:V251</f>
        <v>36.5</v>
      </c>
      <c r="F340" s="70">
        <v>38</v>
      </c>
      <c r="G340" s="70">
        <v>39.25</v>
      </c>
      <c r="H340" s="69">
        <f t="shared" si="21"/>
        <v>9.9138888888888879</v>
      </c>
      <c r="I340" s="71">
        <f t="shared" si="22"/>
        <v>0.35298190090000986</v>
      </c>
    </row>
    <row r="341" spans="1:9" ht="37" hidden="1" customHeight="1" x14ac:dyDescent="0.2">
      <c r="A341" s="77">
        <v>3351</v>
      </c>
      <c r="B341" s="74" t="s">
        <v>1007</v>
      </c>
      <c r="C341" s="75">
        <f>C340+15</f>
        <v>53</v>
      </c>
      <c r="D341" s="70">
        <f>D340+'Raw Cost'!F1</f>
        <v>37.286111111111111</v>
      </c>
      <c r="E341" s="70"/>
      <c r="F341" s="70"/>
      <c r="G341" s="70"/>
      <c r="H341" s="69">
        <f t="shared" si="21"/>
        <v>15.713888888888889</v>
      </c>
      <c r="I341" s="71">
        <f t="shared" si="22"/>
        <v>0.42144081054905758</v>
      </c>
    </row>
    <row r="342" spans="1:9" ht="37" hidden="1" customHeight="1" x14ac:dyDescent="0.2">
      <c r="A342" s="77">
        <v>3352</v>
      </c>
      <c r="B342" s="74" t="s">
        <v>1008</v>
      </c>
      <c r="C342" s="75">
        <f>C340+15</f>
        <v>53</v>
      </c>
      <c r="D342" s="70">
        <f>D340+'Raw Cost'!F3</f>
        <v>31.586111111111112</v>
      </c>
      <c r="E342" s="70"/>
      <c r="F342" s="70"/>
      <c r="G342" s="70"/>
      <c r="H342" s="69">
        <f t="shared" si="21"/>
        <v>21.413888888888888</v>
      </c>
      <c r="I342" s="71">
        <f t="shared" si="22"/>
        <v>0.67795268665904485</v>
      </c>
    </row>
    <row r="343" spans="1:9" ht="37" customHeight="1" x14ac:dyDescent="0.2">
      <c r="A343" s="73">
        <v>481</v>
      </c>
      <c r="B343" s="74" t="s">
        <v>1009</v>
      </c>
      <c r="C343" s="75">
        <v>27.75</v>
      </c>
      <c r="D343" s="70">
        <f>'Master Item List'!M154</f>
        <v>18.035</v>
      </c>
      <c r="E343" s="70" cm="1">
        <f t="array" ref="E343:G343">'Master Item List'!T154:V154</f>
        <v>23.5</v>
      </c>
      <c r="F343" s="70">
        <v>24.25</v>
      </c>
      <c r="G343" s="70">
        <v>25.25</v>
      </c>
      <c r="H343" s="69">
        <f t="shared" si="21"/>
        <v>9.7149999999999999</v>
      </c>
      <c r="I343" s="71">
        <f t="shared" si="22"/>
        <v>0.53867479900194071</v>
      </c>
    </row>
    <row r="344" spans="1:9" ht="37" customHeight="1" x14ac:dyDescent="0.2">
      <c r="A344" s="77">
        <v>3240</v>
      </c>
      <c r="B344" s="74" t="s">
        <v>1010</v>
      </c>
      <c r="C344" s="75">
        <v>32</v>
      </c>
      <c r="D344" s="70">
        <f>'Master Item List'!M158</f>
        <v>23.363888888888891</v>
      </c>
      <c r="E344" s="70" cm="1">
        <f t="array" ref="E344:G344">'Master Item List'!T158:V158</f>
        <v>30.25</v>
      </c>
      <c r="F344" s="70">
        <v>31.5</v>
      </c>
      <c r="G344" s="70">
        <v>32.75</v>
      </c>
      <c r="H344" s="69">
        <f t="shared" si="21"/>
        <v>8.6361111111111093</v>
      </c>
      <c r="I344" s="71">
        <f t="shared" si="22"/>
        <v>0.36963500178337882</v>
      </c>
    </row>
    <row r="345" spans="1:9" ht="37" customHeight="1" x14ac:dyDescent="0.2">
      <c r="A345" s="74" t="s">
        <v>1011</v>
      </c>
      <c r="B345" s="74" t="s">
        <v>1012</v>
      </c>
      <c r="C345" s="75">
        <v>41</v>
      </c>
      <c r="D345" s="70">
        <f>'Master Item List'!M156</f>
        <v>29.195</v>
      </c>
      <c r="E345" s="70" cm="1">
        <f t="array" ref="E345:G345">'Master Item List'!T156:V156</f>
        <v>38</v>
      </c>
      <c r="F345" s="70">
        <v>39.5</v>
      </c>
      <c r="G345" s="70">
        <v>40.75</v>
      </c>
      <c r="H345" s="69">
        <f t="shared" si="21"/>
        <v>11.805</v>
      </c>
      <c r="I345" s="71">
        <f t="shared" si="22"/>
        <v>0.40435005994177081</v>
      </c>
    </row>
    <row r="346" spans="1:9" ht="37" customHeight="1" x14ac:dyDescent="0.2">
      <c r="A346" s="77">
        <v>1196</v>
      </c>
      <c r="B346" s="74" t="s">
        <v>1013</v>
      </c>
      <c r="C346" s="75">
        <v>32</v>
      </c>
      <c r="D346" s="70">
        <f>'Master Item List'!M208</f>
        <v>21.836111111111112</v>
      </c>
      <c r="E346" s="70" cm="1">
        <f t="array" ref="E346:G346">'Master Item List'!T208:V208</f>
        <v>28.5</v>
      </c>
      <c r="F346" s="70">
        <v>29.5</v>
      </c>
      <c r="G346" s="70">
        <v>30.5</v>
      </c>
      <c r="H346" s="69">
        <f t="shared" si="21"/>
        <v>10.163888888888888</v>
      </c>
      <c r="I346" s="71">
        <f t="shared" si="22"/>
        <v>0.46546240936267641</v>
      </c>
    </row>
    <row r="347" spans="1:9" ht="37" customHeight="1" x14ac:dyDescent="0.2">
      <c r="A347" s="77">
        <v>2029</v>
      </c>
      <c r="B347" s="74" t="s">
        <v>1014</v>
      </c>
      <c r="C347" s="75">
        <v>48</v>
      </c>
      <c r="D347" s="70">
        <f>D346+12</f>
        <v>33.836111111111109</v>
      </c>
      <c r="E347" s="70">
        <f>E346+12</f>
        <v>40.5</v>
      </c>
      <c r="F347" s="70">
        <f>F346+12</f>
        <v>41.5</v>
      </c>
      <c r="G347" s="70">
        <f>G346+12</f>
        <v>42.5</v>
      </c>
      <c r="H347" s="69">
        <f t="shared" ref="H347:H364" si="23">C347-D347</f>
        <v>14.163888888888891</v>
      </c>
      <c r="I347" s="71">
        <f t="shared" ref="I347:I364" si="24">H347/D347</f>
        <v>0.41860274197520742</v>
      </c>
    </row>
    <row r="348" spans="1:9" ht="37" hidden="1" customHeight="1" x14ac:dyDescent="0.2">
      <c r="A348" s="77">
        <v>2415</v>
      </c>
      <c r="B348" s="74" t="s">
        <v>1015</v>
      </c>
      <c r="C348" s="75">
        <f>C346+15</f>
        <v>47</v>
      </c>
      <c r="D348" s="70">
        <f>D346+'Raw Cost'!F1</f>
        <v>31.036111111111111</v>
      </c>
      <c r="E348" s="70"/>
      <c r="F348" s="70"/>
      <c r="G348" s="70"/>
      <c r="H348" s="69">
        <f t="shared" si="23"/>
        <v>15.963888888888889</v>
      </c>
      <c r="I348" s="71">
        <f t="shared" si="24"/>
        <v>0.51436498702228584</v>
      </c>
    </row>
    <row r="349" spans="1:9" ht="37" hidden="1" customHeight="1" x14ac:dyDescent="0.2">
      <c r="A349" s="77">
        <v>1208</v>
      </c>
      <c r="B349" s="74" t="s">
        <v>1016</v>
      </c>
      <c r="C349" s="75">
        <f>C346+15</f>
        <v>47</v>
      </c>
      <c r="D349" s="70">
        <f>D346+'Raw Cost'!F3</f>
        <v>25.336111111111112</v>
      </c>
      <c r="E349" s="70"/>
      <c r="F349" s="70"/>
      <c r="G349" s="70"/>
      <c r="H349" s="69">
        <f t="shared" si="23"/>
        <v>21.663888888888888</v>
      </c>
      <c r="I349" s="71">
        <f t="shared" si="24"/>
        <v>0.85505975222015118</v>
      </c>
    </row>
    <row r="350" spans="1:9" ht="37" customHeight="1" x14ac:dyDescent="0.2">
      <c r="A350" s="73">
        <v>773</v>
      </c>
      <c r="B350" s="74" t="s">
        <v>1017</v>
      </c>
      <c r="C350" s="75">
        <v>28.75</v>
      </c>
      <c r="D350" s="70">
        <f>'Master Item List'!M157</f>
        <v>19.035</v>
      </c>
      <c r="E350" s="70" cm="1">
        <f t="array" ref="E350:G350">'Master Item List'!T157:V157</f>
        <v>24.75</v>
      </c>
      <c r="F350" s="70">
        <v>25.75</v>
      </c>
      <c r="G350" s="70">
        <v>26.75</v>
      </c>
      <c r="H350" s="69">
        <f t="shared" si="23"/>
        <v>9.7149999999999999</v>
      </c>
      <c r="I350" s="71">
        <f t="shared" si="24"/>
        <v>0.51037562385080115</v>
      </c>
    </row>
    <row r="351" spans="1:9" ht="37" customHeight="1" x14ac:dyDescent="0.2">
      <c r="A351" s="78">
        <v>5155</v>
      </c>
      <c r="B351" s="74" t="s">
        <v>1018</v>
      </c>
      <c r="C351" s="75">
        <v>52.5</v>
      </c>
      <c r="D351" s="70">
        <f>'Combo Pricing'!F38</f>
        <v>38.608039215686276</v>
      </c>
      <c r="E351" s="70" cm="1">
        <f t="array" ref="E351:G351">'Combo Pricing'!L38:N38</f>
        <v>52.5</v>
      </c>
      <c r="F351" s="70">
        <v>54.25</v>
      </c>
      <c r="G351" s="70">
        <v>56.25</v>
      </c>
      <c r="H351" s="69">
        <f t="shared" si="23"/>
        <v>13.891960784313724</v>
      </c>
      <c r="I351" s="71">
        <f t="shared" si="24"/>
        <v>0.35982041736710324</v>
      </c>
    </row>
    <row r="352" spans="1:9" ht="37" customHeight="1" x14ac:dyDescent="0.2">
      <c r="A352" s="77">
        <v>4682</v>
      </c>
      <c r="B352" s="74" t="s">
        <v>1019</v>
      </c>
      <c r="C352" s="75">
        <v>35</v>
      </c>
      <c r="D352" s="70">
        <f>'Master Item List'!M119+4</f>
        <v>25.551666666666666</v>
      </c>
      <c r="E352" s="70" cm="1">
        <f t="array" ref="E352:G352">'Master Item List'!T119:V119+4</f>
        <v>32</v>
      </c>
      <c r="F352" s="70">
        <v>33</v>
      </c>
      <c r="G352" s="70">
        <v>34.25</v>
      </c>
      <c r="H352" s="69">
        <f t="shared" si="23"/>
        <v>9.4483333333333341</v>
      </c>
      <c r="I352" s="71">
        <f t="shared" si="24"/>
        <v>0.36977366120931449</v>
      </c>
    </row>
    <row r="353" spans="1:9" ht="37" customHeight="1" x14ac:dyDescent="0.2">
      <c r="A353" s="77">
        <v>1291</v>
      </c>
      <c r="B353" s="74" t="s">
        <v>1020</v>
      </c>
      <c r="C353" s="75">
        <v>38</v>
      </c>
      <c r="D353" s="70">
        <f>'Master Item List'!M159</f>
        <v>28.475000000000001</v>
      </c>
      <c r="E353" s="70" cm="1">
        <f t="array" ref="E353:G353">'Master Item List'!T159:V159</f>
        <v>37</v>
      </c>
      <c r="F353" s="70">
        <v>38.5</v>
      </c>
      <c r="G353" s="70">
        <v>39.75</v>
      </c>
      <c r="H353" s="69">
        <f t="shared" si="23"/>
        <v>9.5249999999999986</v>
      </c>
      <c r="I353" s="71">
        <f t="shared" si="24"/>
        <v>0.33450395083406492</v>
      </c>
    </row>
    <row r="354" spans="1:9" ht="37" customHeight="1" x14ac:dyDescent="0.2">
      <c r="A354" s="77">
        <v>4630</v>
      </c>
      <c r="B354" s="74" t="s">
        <v>1021</v>
      </c>
      <c r="C354" s="75">
        <v>26.75</v>
      </c>
      <c r="D354" s="70">
        <f>'Master Item List'!M241</f>
        <v>16.82</v>
      </c>
      <c r="E354" s="70" cm="1">
        <f t="array" ref="E354:G354">'Master Item List'!T241:V241</f>
        <v>21.75</v>
      </c>
      <c r="F354" s="70">
        <v>22.75</v>
      </c>
      <c r="G354" s="70">
        <v>23.5</v>
      </c>
      <c r="H354" s="69">
        <f t="shared" si="23"/>
        <v>9.93</v>
      </c>
      <c r="I354" s="71">
        <f t="shared" si="24"/>
        <v>0.59036860879904873</v>
      </c>
    </row>
    <row r="355" spans="1:9" ht="37" hidden="1" customHeight="1" x14ac:dyDescent="0.2">
      <c r="A355" s="77">
        <v>2430</v>
      </c>
      <c r="B355" s="74" t="s">
        <v>1022</v>
      </c>
      <c r="C355" s="75">
        <f>C354+15</f>
        <v>41.75</v>
      </c>
      <c r="D355" s="70">
        <f>D354+'Raw Cost'!F1</f>
        <v>26.02</v>
      </c>
      <c r="E355" s="70"/>
      <c r="F355" s="70"/>
      <c r="G355" s="70"/>
      <c r="H355" s="69">
        <f t="shared" si="23"/>
        <v>15.73</v>
      </c>
      <c r="I355" s="71">
        <f t="shared" si="24"/>
        <v>0.60453497309761728</v>
      </c>
    </row>
    <row r="356" spans="1:9" ht="37" customHeight="1" x14ac:dyDescent="0.2">
      <c r="A356" s="77">
        <v>1032</v>
      </c>
      <c r="B356" s="74" t="s">
        <v>1023</v>
      </c>
      <c r="C356" s="75">
        <v>26</v>
      </c>
      <c r="D356" s="70">
        <f>'Master Item List'!M160</f>
        <v>18.445</v>
      </c>
      <c r="E356" s="70" cm="1">
        <f t="array" ref="E356:G356">'Master Item List'!T160:V160</f>
        <v>24</v>
      </c>
      <c r="F356" s="70">
        <v>25</v>
      </c>
      <c r="G356" s="70">
        <v>25.75</v>
      </c>
      <c r="H356" s="69">
        <f t="shared" si="23"/>
        <v>7.5549999999999997</v>
      </c>
      <c r="I356" s="71">
        <f t="shared" si="24"/>
        <v>0.40959609650311735</v>
      </c>
    </row>
    <row r="357" spans="1:9" ht="37" customHeight="1" x14ac:dyDescent="0.2">
      <c r="A357" s="73">
        <v>971</v>
      </c>
      <c r="B357" s="74" t="s">
        <v>1024</v>
      </c>
      <c r="C357" s="75">
        <v>26</v>
      </c>
      <c r="D357" s="70">
        <f>'Master Item List'!M160</f>
        <v>18.445</v>
      </c>
      <c r="E357" s="70" cm="1">
        <f t="array" ref="E357:G357">'Master Item List'!T160:V160</f>
        <v>24</v>
      </c>
      <c r="F357" s="70">
        <v>25</v>
      </c>
      <c r="G357" s="70">
        <v>25.75</v>
      </c>
      <c r="H357" s="69">
        <f t="shared" si="23"/>
        <v>7.5549999999999997</v>
      </c>
      <c r="I357" s="71">
        <f t="shared" si="24"/>
        <v>0.40959609650311735</v>
      </c>
    </row>
    <row r="358" spans="1:9" ht="37" customHeight="1" x14ac:dyDescent="0.2">
      <c r="A358" s="77">
        <v>2988</v>
      </c>
      <c r="B358" s="74" t="s">
        <v>1025</v>
      </c>
      <c r="C358" s="75">
        <v>39.5</v>
      </c>
      <c r="D358" s="70">
        <f>'Master Item List'!M161</f>
        <v>28.445</v>
      </c>
      <c r="E358" s="70" cm="1">
        <f t="array" ref="E358:G358">'Master Item List'!T161:V161</f>
        <v>37</v>
      </c>
      <c r="F358" s="70">
        <v>38.5</v>
      </c>
      <c r="G358" s="70">
        <v>39.75</v>
      </c>
      <c r="H358" s="69">
        <f t="shared" si="23"/>
        <v>11.055</v>
      </c>
      <c r="I358" s="71">
        <f t="shared" si="24"/>
        <v>0.38864475303216733</v>
      </c>
    </row>
    <row r="359" spans="1:9" ht="37" hidden="1" customHeight="1" x14ac:dyDescent="0.2">
      <c r="A359" s="77">
        <v>1418</v>
      </c>
      <c r="B359" s="74" t="s">
        <v>1026</v>
      </c>
      <c r="C359" s="75">
        <v>999.99</v>
      </c>
      <c r="D359" s="70"/>
      <c r="E359" s="70"/>
      <c r="F359" s="70"/>
      <c r="G359" s="70"/>
      <c r="H359" s="69">
        <f t="shared" si="23"/>
        <v>999.99</v>
      </c>
      <c r="I359" s="71" t="e">
        <f t="shared" si="24"/>
        <v>#DIV/0!</v>
      </c>
    </row>
    <row r="360" spans="1:9" ht="37" customHeight="1" x14ac:dyDescent="0.2">
      <c r="A360" s="77">
        <v>1266</v>
      </c>
      <c r="B360" s="74" t="s">
        <v>1027</v>
      </c>
      <c r="C360" s="75">
        <v>31.5</v>
      </c>
      <c r="D360" s="70">
        <f>'Master Item List'!M56</f>
        <v>24.433823529411764</v>
      </c>
      <c r="E360" s="70" cm="1">
        <f t="array" ref="E360:G360">'Master Item List'!T56:V56</f>
        <v>31.75</v>
      </c>
      <c r="F360" s="70">
        <v>33</v>
      </c>
      <c r="G360" s="70">
        <v>34.25</v>
      </c>
      <c r="H360" s="69">
        <f t="shared" si="23"/>
        <v>7.0661764705882355</v>
      </c>
      <c r="I360" s="71">
        <f t="shared" si="24"/>
        <v>0.28919650917845324</v>
      </c>
    </row>
    <row r="361" spans="1:9" ht="37" customHeight="1" x14ac:dyDescent="0.2">
      <c r="A361" s="77">
        <v>3022</v>
      </c>
      <c r="B361" s="74" t="s">
        <v>1028</v>
      </c>
      <c r="C361" s="75">
        <v>24</v>
      </c>
      <c r="D361" s="70" cm="1">
        <f t="array" ref="D361:G361">D293:G293</f>
        <v>20.775000000000002</v>
      </c>
      <c r="E361" s="70">
        <v>27</v>
      </c>
      <c r="F361" s="70">
        <v>28</v>
      </c>
      <c r="G361" s="70">
        <v>29</v>
      </c>
      <c r="H361" s="69">
        <f t="shared" si="23"/>
        <v>3.2249999999999979</v>
      </c>
      <c r="I361" s="71">
        <f t="shared" si="24"/>
        <v>0.15523465703971107</v>
      </c>
    </row>
    <row r="362" spans="1:9" ht="37" customHeight="1" x14ac:dyDescent="0.2">
      <c r="A362" s="77">
        <v>2028</v>
      </c>
      <c r="B362" s="74" t="s">
        <v>1029</v>
      </c>
      <c r="C362" s="75">
        <v>28.5</v>
      </c>
      <c r="D362" s="70">
        <f>'Master Item List'!M245</f>
        <v>19.653571428571428</v>
      </c>
      <c r="E362" s="70" cm="1">
        <f t="array" ref="E362:G362">'Master Item List'!T245:V245</f>
        <v>25.5</v>
      </c>
      <c r="F362" s="70">
        <v>26.5</v>
      </c>
      <c r="G362" s="70">
        <v>27.5</v>
      </c>
      <c r="H362" s="69">
        <f t="shared" si="23"/>
        <v>8.8464285714285715</v>
      </c>
      <c r="I362" s="71">
        <f t="shared" si="24"/>
        <v>0.45011811739051427</v>
      </c>
    </row>
    <row r="363" spans="1:9" ht="37" customHeight="1" x14ac:dyDescent="0.2">
      <c r="A363" s="77">
        <v>1265</v>
      </c>
      <c r="B363" s="74" t="s">
        <v>1030</v>
      </c>
      <c r="C363" s="75">
        <v>23</v>
      </c>
      <c r="D363" s="70">
        <f>'Master Item List'!M162</f>
        <v>15.777857142857142</v>
      </c>
      <c r="E363" s="70" cm="1">
        <f t="array" ref="E363:G363">'Master Item List'!T162:V162</f>
        <v>20.5</v>
      </c>
      <c r="F363" s="70">
        <v>21.25</v>
      </c>
      <c r="G363" s="70">
        <v>22</v>
      </c>
      <c r="H363" s="69">
        <f t="shared" si="23"/>
        <v>7.2221428571428579</v>
      </c>
      <c r="I363" s="71">
        <f t="shared" si="24"/>
        <v>0.4577391461813573</v>
      </c>
    </row>
    <row r="364" spans="1:9" ht="37" hidden="1" customHeight="1" x14ac:dyDescent="0.2">
      <c r="A364" s="77">
        <v>3346</v>
      </c>
      <c r="B364" s="74" t="s">
        <v>1031</v>
      </c>
      <c r="C364" s="75">
        <f>C362+15</f>
        <v>43.5</v>
      </c>
      <c r="D364" s="70">
        <f>D362+'Raw Cost'!F3</f>
        <v>23.153571428571428</v>
      </c>
      <c r="E364" s="70"/>
      <c r="F364" s="70"/>
      <c r="G364" s="70"/>
      <c r="H364" s="69">
        <f t="shared" si="23"/>
        <v>20.346428571428572</v>
      </c>
      <c r="I364" s="71">
        <f t="shared" si="24"/>
        <v>0.87875983341045816</v>
      </c>
    </row>
    <row r="365" spans="1:9" ht="37" customHeight="1" x14ac:dyDescent="0.2">
      <c r="A365" s="79"/>
      <c r="B365" s="79"/>
      <c r="C365" s="69"/>
      <c r="D365" s="70"/>
      <c r="E365" s="70"/>
      <c r="F365" s="70"/>
      <c r="G365" s="70"/>
      <c r="H365" s="69"/>
      <c r="I365" s="71"/>
    </row>
    <row r="368" spans="1:9" ht="37" customHeight="1" x14ac:dyDescent="0.2">
      <c r="H368" s="81"/>
      <c r="I368" s="81"/>
    </row>
  </sheetData>
  <autoFilter ref="A1:I364" xr:uid="{FD039EED-36B6-6C4B-882C-0CA6DB8FD053}">
    <filterColumn colId="1">
      <customFilters>
        <customFilter operator="notEqual" val="TAJIN"/>
      </customFilters>
    </filterColumn>
  </autoFilter>
  <conditionalFormatting sqref="H2:H363">
    <cfRule type="cellIs" dxfId="6" priority="1" operator="lessThan">
      <formula>$K$3</formula>
    </cfRule>
    <cfRule type="cellIs" dxfId="5" priority="2" operator="greaterThan">
      <formula>$L$3</formula>
    </cfRule>
  </conditionalFormatting>
  <conditionalFormatting sqref="I1:I367 I369:I1048576">
    <cfRule type="cellIs" dxfId="4" priority="4" operator="lessThan">
      <formula>$K$2</formula>
    </cfRule>
    <cfRule type="cellIs" dxfId="3" priority="5" stopIfTrue="1" operator="greaterThan">
      <formula>$M$2</formula>
    </cfRule>
  </conditionalFormatting>
  <conditionalFormatting sqref="I2">
    <cfRule type="expression" dxfId="2" priority="7">
      <formula>$I$2&gt;$L$2</formula>
    </cfRule>
    <cfRule type="expression" dxfId="1" priority="8" stopIfTrue="1">
      <formula>$I$2&lt;$K$2</formula>
    </cfRule>
  </conditionalFormatting>
  <pageMargins left="0.25" right="0.25" top="0.75" bottom="0.75" header="0.3" footer="0.3"/>
  <pageSetup scale="51" fitToHeight="11" orientation="portrait" horizontalDpi="0" verticalDpi="0"/>
  <headerFooter>
    <oddHeader>&amp;C&amp;"Calibri (Body),Bold"&amp;26&amp;K000000MARK UP FOR 4/14/2025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E4B0BA9-B2A1-124F-B1D9-4A98291533E5}">
            <xm:f>NOT(ISERROR(SEARCH("-",J3)))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CFC8-B93F-4348-990D-1BA6DD47A675}">
  <dimension ref="A1:E24"/>
  <sheetViews>
    <sheetView workbookViewId="0"/>
  </sheetViews>
  <sheetFormatPr baseColWidth="10" defaultColWidth="11.1640625" defaultRowHeight="16" x14ac:dyDescent="0.2"/>
  <cols>
    <col min="1" max="1" width="13.5" style="3" customWidth="1"/>
  </cols>
  <sheetData>
    <row r="1" spans="1:5" x14ac:dyDescent="0.2">
      <c r="A1" s="3" t="s">
        <v>376</v>
      </c>
    </row>
    <row r="2" spans="1:5" x14ac:dyDescent="0.2">
      <c r="A2" s="15">
        <v>23.5</v>
      </c>
      <c r="C2" t="s">
        <v>584</v>
      </c>
    </row>
    <row r="5" spans="1:5" x14ac:dyDescent="0.2">
      <c r="E5">
        <v>16.25</v>
      </c>
    </row>
    <row r="6" spans="1:5" x14ac:dyDescent="0.2">
      <c r="E6">
        <v>17.25</v>
      </c>
    </row>
    <row r="7" spans="1:5" x14ac:dyDescent="0.2">
      <c r="E7">
        <v>18</v>
      </c>
    </row>
    <row r="8" spans="1:5" x14ac:dyDescent="0.2">
      <c r="E8">
        <v>18.53</v>
      </c>
    </row>
    <row r="9" spans="1:5" x14ac:dyDescent="0.2">
      <c r="E9">
        <v>16.25</v>
      </c>
    </row>
    <row r="10" spans="1:5" x14ac:dyDescent="0.2">
      <c r="E10">
        <v>16.25</v>
      </c>
    </row>
    <row r="11" spans="1:5" x14ac:dyDescent="0.2">
      <c r="E11">
        <v>16.25</v>
      </c>
    </row>
    <row r="12" spans="1:5" x14ac:dyDescent="0.2">
      <c r="E12">
        <v>24</v>
      </c>
    </row>
    <row r="13" spans="1:5" x14ac:dyDescent="0.2">
      <c r="E13">
        <v>30</v>
      </c>
    </row>
    <row r="14" spans="1:5" x14ac:dyDescent="0.2">
      <c r="E14">
        <v>17</v>
      </c>
    </row>
    <row r="15" spans="1:5" x14ac:dyDescent="0.2">
      <c r="E15">
        <v>23.5</v>
      </c>
    </row>
    <row r="16" spans="1:5" x14ac:dyDescent="0.2">
      <c r="E16">
        <v>18.5</v>
      </c>
    </row>
    <row r="17" spans="5:5" x14ac:dyDescent="0.2">
      <c r="E17">
        <v>17.5</v>
      </c>
    </row>
    <row r="18" spans="5:5" x14ac:dyDescent="0.2">
      <c r="E18">
        <v>17</v>
      </c>
    </row>
    <row r="19" spans="5:5" x14ac:dyDescent="0.2">
      <c r="E19">
        <v>16</v>
      </c>
    </row>
    <row r="20" spans="5:5" x14ac:dyDescent="0.2">
      <c r="E20">
        <v>18</v>
      </c>
    </row>
    <row r="21" spans="5:5" x14ac:dyDescent="0.2">
      <c r="E21">
        <v>13.5</v>
      </c>
    </row>
    <row r="22" spans="5:5" x14ac:dyDescent="0.2">
      <c r="E22">
        <v>16</v>
      </c>
    </row>
    <row r="23" spans="5:5" x14ac:dyDescent="0.2">
      <c r="E23">
        <v>17.25</v>
      </c>
    </row>
    <row r="24" spans="5:5" x14ac:dyDescent="0.2">
      <c r="E24">
        <f>SUM(E5:E23)</f>
        <v>347.03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9EA2-2B77-344D-BD5A-93C8E3CF2FB3}">
  <sheetPr>
    <pageSetUpPr fitToPage="1"/>
  </sheetPr>
  <dimension ref="A1:G21"/>
  <sheetViews>
    <sheetView workbookViewId="0">
      <selection activeCell="E28" sqref="E28"/>
    </sheetView>
  </sheetViews>
  <sheetFormatPr baseColWidth="10" defaultRowHeight="16" x14ac:dyDescent="0.2"/>
  <cols>
    <col min="1" max="1" width="33.33203125" customWidth="1"/>
    <col min="2" max="2" width="23.6640625" customWidth="1"/>
    <col min="3" max="3" width="17.1640625" customWidth="1"/>
    <col min="5" max="5" width="32.6640625" customWidth="1"/>
    <col min="6" max="6" width="24.33203125" customWidth="1"/>
    <col min="7" max="7" width="20.6640625" customWidth="1"/>
  </cols>
  <sheetData>
    <row r="1" spans="1:7" ht="32" customHeight="1" x14ac:dyDescent="0.2">
      <c r="A1" s="87" t="s">
        <v>1096</v>
      </c>
      <c r="B1" s="87"/>
      <c r="C1" s="87"/>
      <c r="D1" s="24"/>
      <c r="E1" s="87" t="s">
        <v>1129</v>
      </c>
      <c r="F1" s="87"/>
      <c r="G1" s="87"/>
    </row>
    <row r="2" spans="1:7" ht="32" customHeight="1" x14ac:dyDescent="0.2">
      <c r="A2" s="22" t="s">
        <v>608</v>
      </c>
      <c r="B2" s="22" t="s">
        <v>661</v>
      </c>
      <c r="C2" s="22" t="s">
        <v>662</v>
      </c>
      <c r="D2" s="24"/>
      <c r="E2" s="22" t="s">
        <v>608</v>
      </c>
      <c r="F2" s="22" t="s">
        <v>661</v>
      </c>
      <c r="G2" s="22" t="s">
        <v>662</v>
      </c>
    </row>
    <row r="3" spans="1:7" ht="25" customHeight="1" x14ac:dyDescent="0.2">
      <c r="A3" s="8" t="s">
        <v>647</v>
      </c>
      <c r="B3" s="67">
        <f>'Master Item List'!T264</f>
        <v>16</v>
      </c>
      <c r="C3" s="67">
        <f>B3/8</f>
        <v>2</v>
      </c>
      <c r="E3" s="8" t="s">
        <v>647</v>
      </c>
      <c r="F3" s="67">
        <f>'Master Item List'!T282</f>
        <v>19</v>
      </c>
      <c r="G3" s="67">
        <f>F3/8</f>
        <v>2.375</v>
      </c>
    </row>
    <row r="4" spans="1:7" ht="25" customHeight="1" x14ac:dyDescent="0.2">
      <c r="A4" s="8" t="s">
        <v>648</v>
      </c>
      <c r="B4" s="67">
        <f>'Master Item List'!T265</f>
        <v>14.75</v>
      </c>
      <c r="C4" s="67">
        <f t="shared" ref="C4:C18" si="0">B4/8</f>
        <v>1.84375</v>
      </c>
      <c r="E4" s="8" t="s">
        <v>648</v>
      </c>
      <c r="F4" s="67">
        <f>'Master Item List'!T283</f>
        <v>17</v>
      </c>
      <c r="G4" s="67">
        <f t="shared" ref="G4:G18" si="1">F4/8</f>
        <v>2.125</v>
      </c>
    </row>
    <row r="5" spans="1:7" ht="25" customHeight="1" x14ac:dyDescent="0.2">
      <c r="A5" s="8" t="s">
        <v>649</v>
      </c>
      <c r="B5" s="67">
        <f>'Master Item List'!T266</f>
        <v>37.75</v>
      </c>
      <c r="C5" s="67">
        <f t="shared" si="0"/>
        <v>4.71875</v>
      </c>
      <c r="E5" s="8" t="s">
        <v>649</v>
      </c>
      <c r="F5" s="67">
        <f>'Master Item List'!T284</f>
        <v>51.5</v>
      </c>
      <c r="G5" s="67">
        <f t="shared" si="1"/>
        <v>6.4375</v>
      </c>
    </row>
    <row r="6" spans="1:7" ht="25" customHeight="1" x14ac:dyDescent="0.2">
      <c r="A6" s="8" t="s">
        <v>653</v>
      </c>
      <c r="B6" s="67">
        <f>'Master Item List'!T267</f>
        <v>16.5</v>
      </c>
      <c r="C6" s="67">
        <f t="shared" si="0"/>
        <v>2.0625</v>
      </c>
      <c r="E6" s="8" t="s">
        <v>653</v>
      </c>
      <c r="F6" s="67">
        <f>'Master Item List'!T285</f>
        <v>19.5</v>
      </c>
      <c r="G6" s="67">
        <f t="shared" si="1"/>
        <v>2.4375</v>
      </c>
    </row>
    <row r="7" spans="1:7" ht="25" customHeight="1" x14ac:dyDescent="0.2">
      <c r="A7" s="8" t="s">
        <v>652</v>
      </c>
      <c r="B7" s="67">
        <f>'Master Item List'!T268</f>
        <v>19.75</v>
      </c>
      <c r="C7" s="67">
        <f t="shared" si="0"/>
        <v>2.46875</v>
      </c>
      <c r="E7" s="8" t="s">
        <v>652</v>
      </c>
      <c r="F7" s="67">
        <f>'Master Item List'!T286</f>
        <v>24.75</v>
      </c>
      <c r="G7" s="67">
        <f t="shared" si="1"/>
        <v>3.09375</v>
      </c>
    </row>
    <row r="8" spans="1:7" ht="25" customHeight="1" x14ac:dyDescent="0.2">
      <c r="A8" s="8" t="s">
        <v>651</v>
      </c>
      <c r="B8" s="67">
        <f>'Master Item List'!T269</f>
        <v>19.75</v>
      </c>
      <c r="C8" s="67">
        <f t="shared" si="0"/>
        <v>2.46875</v>
      </c>
      <c r="E8" s="8" t="s">
        <v>651</v>
      </c>
      <c r="F8" s="67">
        <f>'Master Item List'!T287</f>
        <v>24.75</v>
      </c>
      <c r="G8" s="67">
        <f t="shared" si="1"/>
        <v>3.09375</v>
      </c>
    </row>
    <row r="9" spans="1:7" ht="25" customHeight="1" x14ac:dyDescent="0.2">
      <c r="A9" s="8" t="s">
        <v>650</v>
      </c>
      <c r="B9" s="67">
        <f>'Master Item List'!T270</f>
        <v>16.25</v>
      </c>
      <c r="C9" s="67">
        <f t="shared" si="0"/>
        <v>2.03125</v>
      </c>
      <c r="E9" s="8" t="s">
        <v>650</v>
      </c>
      <c r="F9" s="67">
        <f>'Master Item List'!T288</f>
        <v>19.5</v>
      </c>
      <c r="G9" s="67">
        <f t="shared" si="1"/>
        <v>2.4375</v>
      </c>
    </row>
    <row r="10" spans="1:7" ht="25" customHeight="1" x14ac:dyDescent="0.2">
      <c r="A10" s="8" t="s">
        <v>654</v>
      </c>
      <c r="B10" s="67">
        <f>'Master Item List'!T271</f>
        <v>20</v>
      </c>
      <c r="C10" s="67">
        <f t="shared" si="0"/>
        <v>2.5</v>
      </c>
      <c r="E10" s="8" t="s">
        <v>654</v>
      </c>
      <c r="F10" s="67">
        <f>'Master Item List'!T289</f>
        <v>24.75</v>
      </c>
      <c r="G10" s="67">
        <f t="shared" si="1"/>
        <v>3.09375</v>
      </c>
    </row>
    <row r="11" spans="1:7" ht="25" customHeight="1" x14ac:dyDescent="0.2">
      <c r="A11" s="8" t="s">
        <v>655</v>
      </c>
      <c r="B11" s="67">
        <f>'Master Item List'!T272</f>
        <v>23</v>
      </c>
      <c r="C11" s="67">
        <f t="shared" si="0"/>
        <v>2.875</v>
      </c>
      <c r="E11" s="8" t="s">
        <v>655</v>
      </c>
      <c r="F11" s="67">
        <f>'Master Item List'!T290</f>
        <v>29.5</v>
      </c>
      <c r="G11" s="67">
        <f t="shared" si="1"/>
        <v>3.6875</v>
      </c>
    </row>
    <row r="12" spans="1:7" ht="25" customHeight="1" x14ac:dyDescent="0.2">
      <c r="A12" s="8" t="s">
        <v>656</v>
      </c>
      <c r="B12" s="67">
        <f>'Master Item List'!T273</f>
        <v>13.5</v>
      </c>
      <c r="C12" s="67">
        <f t="shared" si="0"/>
        <v>1.6875</v>
      </c>
      <c r="E12" s="8" t="s">
        <v>656</v>
      </c>
      <c r="F12" s="67">
        <f>'Master Item List'!T291</f>
        <v>15.25</v>
      </c>
      <c r="G12" s="67">
        <f t="shared" si="1"/>
        <v>1.90625</v>
      </c>
    </row>
    <row r="13" spans="1:7" ht="25" customHeight="1" x14ac:dyDescent="0.2">
      <c r="A13" s="8" t="s">
        <v>657</v>
      </c>
      <c r="B13" s="67">
        <f>'Master Item List'!T274</f>
        <v>19.5</v>
      </c>
      <c r="C13" s="67">
        <f t="shared" si="0"/>
        <v>2.4375</v>
      </c>
      <c r="E13" s="8" t="s">
        <v>657</v>
      </c>
      <c r="F13" s="67">
        <f>'Master Item List'!T292</f>
        <v>24.25</v>
      </c>
      <c r="G13" s="67">
        <f t="shared" si="1"/>
        <v>3.03125</v>
      </c>
    </row>
    <row r="14" spans="1:7" ht="25" customHeight="1" x14ac:dyDescent="0.2">
      <c r="A14" s="8" t="s">
        <v>658</v>
      </c>
      <c r="B14" s="67">
        <f>'Master Item List'!T275</f>
        <v>21</v>
      </c>
      <c r="C14" s="67">
        <f t="shared" si="0"/>
        <v>2.625</v>
      </c>
      <c r="E14" s="8" t="s">
        <v>658</v>
      </c>
      <c r="F14" s="67">
        <f>'Master Item List'!T293</f>
        <v>26.5</v>
      </c>
      <c r="G14" s="67">
        <f t="shared" si="1"/>
        <v>3.3125</v>
      </c>
    </row>
    <row r="15" spans="1:7" ht="25" customHeight="1" x14ac:dyDescent="0.2">
      <c r="A15" s="8" t="s">
        <v>659</v>
      </c>
      <c r="B15" s="67">
        <f>'Master Item List'!T276</f>
        <v>25.25</v>
      </c>
      <c r="C15" s="67">
        <f t="shared" si="0"/>
        <v>3.15625</v>
      </c>
      <c r="E15" s="8" t="s">
        <v>659</v>
      </c>
      <c r="F15" s="67">
        <f>'Master Item List'!T294</f>
        <v>33</v>
      </c>
      <c r="G15" s="67">
        <f t="shared" si="1"/>
        <v>4.125</v>
      </c>
    </row>
    <row r="16" spans="1:7" ht="25" customHeight="1" x14ac:dyDescent="0.2">
      <c r="A16" s="8" t="s">
        <v>660</v>
      </c>
      <c r="B16" s="67">
        <f>'Master Item List'!T277</f>
        <v>16.5</v>
      </c>
      <c r="C16" s="67">
        <f t="shared" si="0"/>
        <v>2.0625</v>
      </c>
      <c r="E16" s="8" t="s">
        <v>660</v>
      </c>
      <c r="F16" s="67">
        <f>'Master Item List'!T295</f>
        <v>19.75</v>
      </c>
      <c r="G16" s="67">
        <f t="shared" si="1"/>
        <v>2.46875</v>
      </c>
    </row>
    <row r="17" spans="1:7" ht="25" customHeight="1" x14ac:dyDescent="0.2">
      <c r="A17" s="8" t="s">
        <v>635</v>
      </c>
      <c r="B17" s="67">
        <f>'Master Item List'!T278</f>
        <v>18.5</v>
      </c>
      <c r="C17" s="67">
        <f t="shared" si="0"/>
        <v>2.3125</v>
      </c>
      <c r="E17" s="8" t="s">
        <v>635</v>
      </c>
      <c r="F17" s="67">
        <f>'Master Item List'!T296</f>
        <v>22.75</v>
      </c>
      <c r="G17" s="67">
        <f t="shared" si="1"/>
        <v>2.84375</v>
      </c>
    </row>
    <row r="18" spans="1:7" ht="25" customHeight="1" x14ac:dyDescent="0.2">
      <c r="A18" s="8" t="s">
        <v>1138</v>
      </c>
      <c r="B18" s="67">
        <f>'Master Item List'!T279</f>
        <v>21</v>
      </c>
      <c r="C18" s="67">
        <f t="shared" si="0"/>
        <v>2.625</v>
      </c>
      <c r="E18" s="8" t="s">
        <v>1137</v>
      </c>
      <c r="F18" s="67">
        <f>'Master Item List'!T297</f>
        <v>26.5</v>
      </c>
      <c r="G18" s="67">
        <f t="shared" si="1"/>
        <v>3.3125</v>
      </c>
    </row>
    <row r="19" spans="1:7" ht="25" customHeight="1" x14ac:dyDescent="0.2">
      <c r="A19" s="8"/>
      <c r="B19" s="8"/>
      <c r="C19" s="8"/>
      <c r="E19" s="8"/>
      <c r="F19" s="8"/>
      <c r="G19" s="8"/>
    </row>
    <row r="20" spans="1:7" ht="25" customHeight="1" x14ac:dyDescent="0.2">
      <c r="A20" s="8" t="s">
        <v>663</v>
      </c>
      <c r="B20" s="8" t="s">
        <v>665</v>
      </c>
      <c r="C20" s="8"/>
      <c r="E20" s="8" t="s">
        <v>663</v>
      </c>
      <c r="F20" s="8" t="s">
        <v>665</v>
      </c>
      <c r="G20" s="8"/>
    </row>
    <row r="21" spans="1:7" ht="25" customHeight="1" x14ac:dyDescent="0.2">
      <c r="A21" s="8" t="s">
        <v>664</v>
      </c>
      <c r="B21" s="8" t="s">
        <v>666</v>
      </c>
      <c r="C21" s="8"/>
      <c r="E21" s="8" t="s">
        <v>664</v>
      </c>
      <c r="F21" s="8" t="s">
        <v>666</v>
      </c>
      <c r="G21" s="8"/>
    </row>
  </sheetData>
  <mergeCells count="2">
    <mergeCell ref="A1:C1"/>
    <mergeCell ref="E1:G1"/>
  </mergeCells>
  <pageMargins left="0.7" right="0.7" top="0.75" bottom="0.75" header="0.3" footer="0.3"/>
  <pageSetup scale="70" orientation="landscape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Raw Cost</vt:lpstr>
      <vt:lpstr>Packaging Cost</vt:lpstr>
      <vt:lpstr>Master Item List</vt:lpstr>
      <vt:lpstr>Combo Pricing</vt:lpstr>
      <vt:lpstr>COMPLETE MARK UP </vt:lpstr>
      <vt:lpstr>Labor Cost</vt:lpstr>
      <vt:lpstr>FRUIT CUPS</vt:lpstr>
      <vt:lpstr>'Master Item List'!_FilterDatabase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Southern Produce Inc.</dc:creator>
  <cp:lastModifiedBy>Luis Hernandez</cp:lastModifiedBy>
  <cp:lastPrinted>2025-04-14T15:08:55Z</cp:lastPrinted>
  <dcterms:created xsi:type="dcterms:W3CDTF">2020-07-21T14:42:18Z</dcterms:created>
  <dcterms:modified xsi:type="dcterms:W3CDTF">2025-04-15T11:44:50Z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2020-07-21T15:43:05Z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96e129c6-eb4f-485b-8358-022ee047ea19</vt:lpwstr>
  </property>
  <property fmtid="{D5CDD505-2E9C-101B-9397-08002B2CF9AE}" pid="8" name="MSIP_Label_f42aa342-8706-4288-bd11-ebb85995028c_ContentBits">
    <vt:lpwstr>0</vt:lpwstr>
  </property>
</Properties>
</file>