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vestment strategy" sheetId="2" r:id="rId5"/>
  </sheets>
  <definedNames/>
  <calcPr/>
</workbook>
</file>

<file path=xl/sharedStrings.xml><?xml version="1.0" encoding="utf-8"?>
<sst xmlns="http://schemas.openxmlformats.org/spreadsheetml/2006/main" count="302" uniqueCount="150">
  <si>
    <t>Symbol</t>
  </si>
  <si>
    <t>Company</t>
  </si>
  <si>
    <t>Sector</t>
  </si>
  <si>
    <t>Current Price</t>
  </si>
  <si>
    <t>52W High</t>
  </si>
  <si>
    <t>52W Low</t>
  </si>
  <si>
    <t>Daily % Change</t>
  </si>
  <si>
    <t>Dividend</t>
  </si>
  <si>
    <t>EPS - Earnings Per Share</t>
  </si>
  <si>
    <t xml:space="preserve">  P/E Ratio - Price/Earnings</t>
  </si>
  <si>
    <t>ASML</t>
  </si>
  <si>
    <t>AI Chips</t>
  </si>
  <si>
    <t>META</t>
  </si>
  <si>
    <t>Big Tech</t>
  </si>
  <si>
    <t>ISRG</t>
  </si>
  <si>
    <t>MedTech</t>
  </si>
  <si>
    <t>ADBE</t>
  </si>
  <si>
    <t>Software</t>
  </si>
  <si>
    <t>MSFT</t>
  </si>
  <si>
    <t>TSLA</t>
  </si>
  <si>
    <t>EV &amp; AI</t>
  </si>
  <si>
    <t>CRWD</t>
  </si>
  <si>
    <t>Cybersecurity</t>
  </si>
  <si>
    <t>ACN</t>
  </si>
  <si>
    <t>IT Consulting</t>
  </si>
  <si>
    <t>TEAM</t>
  </si>
  <si>
    <t>MDB</t>
  </si>
  <si>
    <t>Database</t>
  </si>
  <si>
    <t>IBM</t>
  </si>
  <si>
    <t>AMZN</t>
  </si>
  <si>
    <t>Cloud &amp; AI</t>
  </si>
  <si>
    <t>AAPL</t>
  </si>
  <si>
    <t>AVGO</t>
  </si>
  <si>
    <t>SOXX</t>
  </si>
  <si>
    <t>AI Chips ETF</t>
  </si>
  <si>
    <t>TSM</t>
  </si>
  <si>
    <t>GOOG</t>
  </si>
  <si>
    <t>ZS</t>
  </si>
  <si>
    <t>PANW</t>
  </si>
  <si>
    <t>BA</t>
  </si>
  <si>
    <t>Aerospace</t>
  </si>
  <si>
    <t>AVAV</t>
  </si>
  <si>
    <t>Defense Tech</t>
  </si>
  <si>
    <t>QCOM</t>
  </si>
  <si>
    <t>ORCL</t>
  </si>
  <si>
    <t>Cloud</t>
  </si>
  <si>
    <t>ARM</t>
  </si>
  <si>
    <t>NVDA</t>
  </si>
  <si>
    <t>AMD</t>
  </si>
  <si>
    <t>TER</t>
  </si>
  <si>
    <t>IRTC</t>
  </si>
  <si>
    <t>MRVL</t>
  </si>
  <si>
    <t>VRT</t>
  </si>
  <si>
    <t>Cloud Infrastructure</t>
  </si>
  <si>
    <t>OKTA</t>
  </si>
  <si>
    <t>MU</t>
  </si>
  <si>
    <t>AI Memory</t>
  </si>
  <si>
    <t>PLTR</t>
  </si>
  <si>
    <t>AI Software</t>
  </si>
  <si>
    <t>TMICY</t>
  </si>
  <si>
    <t>LSCC</t>
  </si>
  <si>
    <t>ON</t>
  </si>
  <si>
    <t>HLIO</t>
  </si>
  <si>
    <t>Industrial AI</t>
  </si>
  <si>
    <t>IONQ</t>
  </si>
  <si>
    <t>Quantum Computing</t>
  </si>
  <si>
    <t>INOD</t>
  </si>
  <si>
    <t>AI Services</t>
  </si>
  <si>
    <t>WCBR</t>
  </si>
  <si>
    <t>AI</t>
  </si>
  <si>
    <t>SYM</t>
  </si>
  <si>
    <t>AI Robotics</t>
  </si>
  <si>
    <t>S</t>
  </si>
  <si>
    <t>U</t>
  </si>
  <si>
    <t>INTC</t>
  </si>
  <si>
    <t>SOUN</t>
  </si>
  <si>
    <t>AI Voice</t>
  </si>
  <si>
    <t>PATH</t>
  </si>
  <si>
    <t>AI Automation</t>
  </si>
  <si>
    <t>RGTI</t>
  </si>
  <si>
    <t>MITK</t>
  </si>
  <si>
    <t>AI Security</t>
  </si>
  <si>
    <t>QBTS</t>
  </si>
  <si>
    <t>WOLF</t>
  </si>
  <si>
    <t>LUMN</t>
  </si>
  <si>
    <t>BBAI</t>
  </si>
  <si>
    <t>NRDY</t>
  </si>
  <si>
    <t>EdTech AI</t>
  </si>
  <si>
    <t>ROBT</t>
  </si>
  <si>
    <t>AI Robotics ETF</t>
  </si>
  <si>
    <t>ARKQ</t>
  </si>
  <si>
    <t>AI &amp; Robotics ETF</t>
  </si>
  <si>
    <t>ARTY</t>
  </si>
  <si>
    <t>AI ETF</t>
  </si>
  <si>
    <t>ROBO</t>
  </si>
  <si>
    <t>BOTZ</t>
  </si>
  <si>
    <t>HON</t>
  </si>
  <si>
    <t>OUST</t>
  </si>
  <si>
    <t>Lidar &amp; AI</t>
  </si>
  <si>
    <t>KITT</t>
  </si>
  <si>
    <t>AI Defense Tech</t>
  </si>
  <si>
    <t>ARBE</t>
  </si>
  <si>
    <t>AI Radar</t>
  </si>
  <si>
    <t>SERV</t>
  </si>
  <si>
    <t>AI Consulting</t>
  </si>
  <si>
    <t>RR</t>
  </si>
  <si>
    <t>BSX</t>
  </si>
  <si>
    <t>ARKG</t>
  </si>
  <si>
    <t>Genomic industry</t>
  </si>
  <si>
    <t>BCLI</t>
  </si>
  <si>
    <t>Biotechnology</t>
  </si>
  <si>
    <t>MDT</t>
  </si>
  <si>
    <t>NPCE</t>
  </si>
  <si>
    <t>Epilepsy</t>
  </si>
  <si>
    <t>NKE</t>
  </si>
  <si>
    <t>MRNA</t>
  </si>
  <si>
    <t>Theme</t>
  </si>
  <si>
    <t>Ticker</t>
  </si>
  <si>
    <t>InvestmentUSD</t>
  </si>
  <si>
    <t>AI &amp; Semiconductors</t>
  </si>
  <si>
    <t>CRSP</t>
  </si>
  <si>
    <t>amazon</t>
  </si>
  <si>
    <t>iyi fiyat</t>
  </si>
  <si>
    <t>okta</t>
  </si>
  <si>
    <t>adobe</t>
  </si>
  <si>
    <t>ILMN</t>
  </si>
  <si>
    <t>nke</t>
  </si>
  <si>
    <t>team</t>
  </si>
  <si>
    <t>NEE</t>
  </si>
  <si>
    <t>microsoft</t>
  </si>
  <si>
    <t>nvda</t>
  </si>
  <si>
    <t>Cloud &amp; Software</t>
  </si>
  <si>
    <t>GOOGL</t>
  </si>
  <si>
    <t>NET</t>
  </si>
  <si>
    <t>Healthcare &amp; Biotech</t>
  </si>
  <si>
    <t>VRTX</t>
  </si>
  <si>
    <t>REGN</t>
  </si>
  <si>
    <t>RXRX</t>
  </si>
  <si>
    <t>Quantum &amp; Next Gen</t>
  </si>
  <si>
    <t>Robotics &amp; Automation</t>
  </si>
  <si>
    <t>Solar Energy</t>
  </si>
  <si>
    <t>Apparel</t>
  </si>
  <si>
    <t>UA</t>
  </si>
  <si>
    <t>SHOPPING</t>
  </si>
  <si>
    <t>BBY</t>
  </si>
  <si>
    <t>TELECOMUNICATION</t>
  </si>
  <si>
    <t>VERIZON</t>
  </si>
  <si>
    <t>CAR</t>
  </si>
  <si>
    <t>TM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</si>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</sst>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theme="1"/>
      <name val="Calibri"/>
    </font>
    <font>
      <color theme="1"/>
      <name val="Arial"/>
      <scheme val="minor"/>
    </font>
    <font>
      <sz val="8.0"/>
      <color rgb="FF000000"/>
      <name val="Calibri"/>
    </font>
    <font>
      <color rgb="FF38761D"/>
      <name val="Arial"/>
      <scheme val="minor"/>
    </font>
    <font>
      <color rgb="FFFF0000"/>
      <name val="Arial"/>
      <scheme val="minor"/>
    </font>
    <font>
      <b/>
      <sz val="8.0"/>
      <color rgb="FF000000"/>
      <name val="&quot;Helvetica Neue&quot;"/>
    </font>
    <font>
      <sz val="11.0"/>
      <color rgb="FF1A1C1E"/>
      <name val="&quot;Google Sans Text&quot;"/>
    </font>
    <font>
      <sz val="8.0"/>
      <color rgb="FF000000"/>
      <name val="&quot;Helvetica Neue&quot;"/>
    </font>
    <font>
      <sz val="12.0"/>
      <color rgb="FF404040"/>
      <name val="DeepSeek-CJK-patch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center" wrapText="0"/>
    </xf>
    <xf borderId="15" fillId="2" fontId="6" numFmtId="0" xfId="0" applyAlignment="1" applyBorder="1" applyFill="1" applyFont="1">
      <alignment readingOrder="0" vertical="top"/>
    </xf>
    <xf borderId="0" fillId="3" fontId="7" numFmtId="0" xfId="0" applyAlignment="1" applyFill="1" applyFont="1">
      <alignment horizontal="left" readingOrder="0"/>
    </xf>
    <xf borderId="15" fillId="4" fontId="6" numFmtId="0" xfId="0" applyAlignment="1" applyBorder="1" applyFill="1" applyFont="1">
      <alignment readingOrder="0" vertical="top"/>
    </xf>
    <xf borderId="15" fillId="0" fontId="8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95" displayName="Table1" name="Table1" id="1">
  <tableColumns count="10">
    <tableColumn name="Symbol" id="1"/>
    <tableColumn name="Company" id="2"/>
    <tableColumn name="Sector" id="3"/>
    <tableColumn name="Current Price" id="4"/>
    <tableColumn name="52W High" id="5"/>
    <tableColumn name="52W Low" id="6"/>
    <tableColumn name="Daily % Change" id="7"/>
    <tableColumn name="Dividend" id="8"/>
    <tableColumn name="EPS - Earnings Per Share" id="9"/>
    <tableColumn name="  P/E Ratio - Price/Earnings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63"/>
    <col customWidth="1" min="3" max="3" width="17.75"/>
    <col customWidth="1" min="4" max="4" width="16.0"/>
    <col customWidth="1" min="5" max="5" width="14.13"/>
    <col customWidth="1" min="6" max="6" width="13.88"/>
    <col customWidth="1" min="7" max="7" width="20.0"/>
    <col customWidth="1" min="9" max="9" width="19.5"/>
    <col customWidth="1" min="10" max="10" width="2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</row>
    <row r="2">
      <c r="A2" s="6" t="s">
        <v>10</v>
      </c>
      <c r="B2" s="6" t="str">
        <f>IFERROR(__xludf.DUMMYFUNCTION("GOOGLEFINANCE(A2, ""name"")"),"ASML Holding NV")</f>
        <v>ASML Holding NV</v>
      </c>
      <c r="C2" s="6" t="s">
        <v>11</v>
      </c>
      <c r="D2" s="7">
        <f>IFERROR(__xludf.DUMMYFUNCTION("GOOGLEFINANCE(A2, ""price"")"),784.39)</f>
        <v>784.39</v>
      </c>
      <c r="E2" s="8">
        <f>IFERROR(__xludf.DUMMYFUNCTION("GOOGLEFINANCE(A2, ""high52"")"),1110.09)</f>
        <v>1110.09</v>
      </c>
      <c r="F2" s="9">
        <f>IFERROR(__xludf.DUMMYFUNCTION("GOOGLEFINANCE(A2, ""low52"")"),578.51)</f>
        <v>578.51</v>
      </c>
      <c r="G2" s="10">
        <f>IFERROR(__xludf.DUMMYFUNCTION("((GOOGLEFINANCE(A2, ""price"") - GOOGLEFINANCE(A2, ""closeyest"")) / GOOGLEFINANCE(A2, ""closeyest"")) * 100"),-0.7691626500689515)</f>
        <v>-0.7691626501</v>
      </c>
      <c r="H2" s="11">
        <v>0.9</v>
      </c>
      <c r="I2" s="12">
        <f>IFERROR(__xludf.DUMMYFUNCTION("GOOGLEFINANCE(A2, ""eps"")"),26.12)</f>
        <v>26.12</v>
      </c>
      <c r="J2" s="13">
        <f>IFERROR(__xludf.DUMMYFUNCTION("GOOGLEFINANCE(A2, ""pe"")"),30.03)</f>
        <v>30.03</v>
      </c>
    </row>
    <row r="3">
      <c r="A3" s="14" t="s">
        <v>12</v>
      </c>
      <c r="B3" s="6" t="str">
        <f>IFERROR(__xludf.DUMMYFUNCTION("GOOGLEFINANCE(A3, ""name"")"),"Meta Platforms Inc")</f>
        <v>Meta Platforms Inc</v>
      </c>
      <c r="C3" s="14" t="s">
        <v>13</v>
      </c>
      <c r="D3" s="7">
        <f>IFERROR(__xludf.DUMMYFUNCTION("GOOGLEFINANCE(A3, ""price"")"),718.45)</f>
        <v>718.45</v>
      </c>
      <c r="E3" s="8">
        <f>IFERROR(__xludf.DUMMYFUNCTION("GOOGLEFINANCE(A3, ""high52"")"),747.9)</f>
        <v>747.9</v>
      </c>
      <c r="F3" s="9">
        <f>IFERROR(__xludf.DUMMYFUNCTION("GOOGLEFINANCE(A3, ""low52"")"),442.65)</f>
        <v>442.65</v>
      </c>
      <c r="G3" s="15">
        <f>IFERROR(__xludf.DUMMYFUNCTION("((GOOGLEFINANCE(A3, ""price"") - GOOGLEFINANCE(A3, ""closeyest"")) / GOOGLEFINANCE(A3, ""closeyest"")) * 100"),-0.10706042657322958)</f>
        <v>-0.1070604266</v>
      </c>
      <c r="I3" s="16">
        <f>IFERROR(__xludf.DUMMYFUNCTION("GOOGLEFINANCE(A3, ""eps"")"),25.6)</f>
        <v>25.6</v>
      </c>
      <c r="J3" s="17">
        <f>IFERROR(__xludf.DUMMYFUNCTION("GOOGLEFINANCE(A3, ""pe"")"),28.09)</f>
        <v>28.09</v>
      </c>
    </row>
    <row r="4">
      <c r="A4" s="14" t="s">
        <v>14</v>
      </c>
      <c r="B4" s="6" t="str">
        <f>IFERROR(__xludf.DUMMYFUNCTION("GOOGLEFINANCE(A4, ""name"")"),"Intuitive Surgical Inc")</f>
        <v>Intuitive Surgical Inc</v>
      </c>
      <c r="C4" s="14" t="s">
        <v>15</v>
      </c>
      <c r="D4" s="7">
        <f>IFERROR(__xludf.DUMMYFUNCTION("GOOGLEFINANCE(A4, ""price"")"),548.03)</f>
        <v>548.03</v>
      </c>
      <c r="E4" s="8">
        <f>IFERROR(__xludf.DUMMYFUNCTION("GOOGLEFINANCE(A4, ""high52"")"),616.0)</f>
        <v>616</v>
      </c>
      <c r="F4" s="9">
        <f>IFERROR(__xludf.DUMMYFUNCTION("GOOGLEFINANCE(A4, ""low52"")"),413.82)</f>
        <v>413.82</v>
      </c>
      <c r="G4" s="10">
        <f>IFERROR(__xludf.DUMMYFUNCTION("((GOOGLEFINANCE(A4, ""price"") - GOOGLEFINANCE(A4, ""closeyest"")) / GOOGLEFINANCE(A4, ""closeyest"")) * 100"),1.8662056915555985)</f>
        <v>1.866205692</v>
      </c>
      <c r="I4" s="12">
        <f>IFERROR(__xludf.DUMMYFUNCTION("GOOGLEFINANCE(A4, ""eps"")"),6.82)</f>
        <v>6.82</v>
      </c>
      <c r="J4" s="13">
        <f>IFERROR(__xludf.DUMMYFUNCTION("GOOGLEFINANCE(A4, ""pe"")"),80.35)</f>
        <v>80.35</v>
      </c>
    </row>
    <row r="5">
      <c r="A5" s="14" t="s">
        <v>16</v>
      </c>
      <c r="B5" s="6" t="str">
        <f>IFERROR(__xludf.DUMMYFUNCTION("GOOGLEFINANCE(A5, ""name"")"),"Adobe Inc")</f>
        <v>Adobe Inc</v>
      </c>
      <c r="C5" s="14" t="s">
        <v>17</v>
      </c>
      <c r="D5" s="7">
        <f>IFERROR(__xludf.DUMMYFUNCTION("GOOGLEFINANCE(A5, ""price"")"),374.69)</f>
        <v>374.69</v>
      </c>
      <c r="E5" s="8">
        <f>IFERROR(__xludf.DUMMYFUNCTION("GOOGLEFINANCE(A5, ""high52"")"),587.75)</f>
        <v>587.75</v>
      </c>
      <c r="F5" s="9">
        <f>IFERROR(__xludf.DUMMYFUNCTION("GOOGLEFINANCE(A5, ""low52"")"),332.01)</f>
        <v>332.01</v>
      </c>
      <c r="G5" s="15">
        <f>IFERROR(__xludf.DUMMYFUNCTION("((GOOGLEFINANCE(A5, ""price"") - GOOGLEFINANCE(A5, ""closeyest"")) / GOOGLEFINANCE(A5, ""closeyest"")) * 100"),-4.440193828105081)</f>
        <v>-4.440193828</v>
      </c>
      <c r="I5" s="16">
        <f>IFERROR(__xludf.DUMMYFUNCTION("GOOGLEFINANCE(A5, ""eps"")"),15.63)</f>
        <v>15.63</v>
      </c>
      <c r="J5" s="17">
        <f>IFERROR(__xludf.DUMMYFUNCTION("GOOGLEFINANCE(A5, ""pe"")"),23.97)</f>
        <v>23.97</v>
      </c>
    </row>
    <row r="6">
      <c r="A6" s="14" t="s">
        <v>18</v>
      </c>
      <c r="B6" s="6" t="str">
        <f>IFERROR(__xludf.DUMMYFUNCTION("GOOGLEFINANCE(A6, ""name"")"),"Microsoft Corp")</f>
        <v>Microsoft Corp</v>
      </c>
      <c r="C6" s="14" t="s">
        <v>13</v>
      </c>
      <c r="D6" s="7">
        <f>IFERROR(__xludf.DUMMYFUNCTION("GOOGLEFINANCE(A6, ""price"")"),491.44)</f>
        <v>491.44</v>
      </c>
      <c r="E6" s="8">
        <f>IFERROR(__xludf.DUMMYFUNCTION("GOOGLEFINANCE(A6, ""high52"")"),500.76)</f>
        <v>500.76</v>
      </c>
      <c r="F6" s="9">
        <f>IFERROR(__xludf.DUMMYFUNCTION("GOOGLEFINANCE(A6, ""low52"")"),344.79)</f>
        <v>344.79</v>
      </c>
      <c r="G6" s="10">
        <f>IFERROR(__xludf.DUMMYFUNCTION("((GOOGLEFINANCE(A6, ""price"") - GOOGLEFINANCE(A6, ""closeyest"")) / GOOGLEFINANCE(A6, ""closeyest"")) * 100"),-0.12397114114419544)</f>
        <v>-0.1239711411</v>
      </c>
      <c r="H6" s="11">
        <v>0.83</v>
      </c>
      <c r="I6" s="12">
        <f>IFERROR(__xludf.DUMMYFUNCTION("GOOGLEFINANCE(A6, ""eps"")"),12.94)</f>
        <v>12.94</v>
      </c>
      <c r="J6" s="13">
        <f>IFERROR(__xludf.DUMMYFUNCTION("GOOGLEFINANCE(A6, ""pe"")"),37.99)</f>
        <v>37.99</v>
      </c>
    </row>
    <row r="7">
      <c r="A7" s="14" t="s">
        <v>19</v>
      </c>
      <c r="B7" s="6" t="str">
        <f>IFERROR(__xludf.DUMMYFUNCTION("GOOGLEFINANCE(A7, ""name"")"),"Tesla Inc")</f>
        <v>Tesla Inc</v>
      </c>
      <c r="C7" s="14" t="s">
        <v>20</v>
      </c>
      <c r="D7" s="7">
        <f>IFERROR(__xludf.DUMMYFUNCTION("GOOGLEFINANCE(A7, ""price"")"),311.84)</f>
        <v>311.84</v>
      </c>
      <c r="E7" s="8">
        <f>IFERROR(__xludf.DUMMYFUNCTION("GOOGLEFINANCE(A7, ""high52"")"),488.54)</f>
        <v>488.54</v>
      </c>
      <c r="F7" s="9">
        <f>IFERROR(__xludf.DUMMYFUNCTION("GOOGLEFINANCE(A7, ""low52"")"),182.0)</f>
        <v>182</v>
      </c>
      <c r="G7" s="15">
        <f>IFERROR(__xludf.DUMMYFUNCTION("((GOOGLEFINANCE(A7, ""price"") - GOOGLEFINANCE(A7, ""closeyest"")) / GOOGLEFINANCE(A7, ""closeyest"")) * 100"),3.701240397725382)</f>
        <v>3.701240398</v>
      </c>
      <c r="I7" s="16">
        <f>IFERROR(__xludf.DUMMYFUNCTION("GOOGLEFINANCE(A7, ""eps"")"),1.82)</f>
        <v>1.82</v>
      </c>
      <c r="J7" s="17">
        <f>IFERROR(__xludf.DUMMYFUNCTION("GOOGLEFINANCE(A7, ""pe"")"),171.72)</f>
        <v>171.72</v>
      </c>
    </row>
    <row r="8">
      <c r="A8" s="14" t="s">
        <v>21</v>
      </c>
      <c r="B8" s="6" t="str">
        <f>IFERROR(__xludf.DUMMYFUNCTION("GOOGLEFINANCE(A8, ""name"")"),"Crowdstrike Holdings Inc")</f>
        <v>Crowdstrike Holdings Inc</v>
      </c>
      <c r="C8" s="14" t="s">
        <v>22</v>
      </c>
      <c r="D8" s="7">
        <f>IFERROR(__xludf.DUMMYFUNCTION("GOOGLEFINANCE(A8, ""price"")"),495.22)</f>
        <v>495.22</v>
      </c>
      <c r="E8" s="8">
        <f>IFERROR(__xludf.DUMMYFUNCTION("GOOGLEFINANCE(A8, ""high52"")"),516.62)</f>
        <v>516.62</v>
      </c>
      <c r="F8" s="9">
        <f>IFERROR(__xludf.DUMMYFUNCTION("GOOGLEFINANCE(A8, ""low52"")"),200.81)</f>
        <v>200.81</v>
      </c>
      <c r="G8" s="10">
        <f>IFERROR(__xludf.DUMMYFUNCTION("((GOOGLEFINANCE(A8, ""price"") - GOOGLEFINANCE(A8, ""closeyest"")) / GOOGLEFINANCE(A8, ""closeyest"")) * 100"),0.6401528237852407)</f>
        <v>0.6401528238</v>
      </c>
      <c r="I8" s="12">
        <f>IFERROR(__xludf.DUMMYFUNCTION("GOOGLEFINANCE(A8, ""eps"")"),-0.7)</f>
        <v>-0.7</v>
      </c>
      <c r="J8" s="13" t="str">
        <f>IFERROR(__xludf.DUMMYFUNCTION("GOOGLEFINANCE(A8, ""pe"")"),"#N/A")</f>
        <v>#N/A</v>
      </c>
    </row>
    <row r="9">
      <c r="A9" s="14" t="s">
        <v>23</v>
      </c>
      <c r="B9" s="6" t="str">
        <f>IFERROR(__xludf.DUMMYFUNCTION("GOOGLEFINANCE(A9, ""name"")"),"Accenture Plc")</f>
        <v>Accenture Plc</v>
      </c>
      <c r="C9" s="14" t="s">
        <v>24</v>
      </c>
      <c r="D9" s="7">
        <f>IFERROR(__xludf.DUMMYFUNCTION("GOOGLEFINANCE(A9, ""price"")"),299.27)</f>
        <v>299.27</v>
      </c>
      <c r="E9" s="8">
        <f>IFERROR(__xludf.DUMMYFUNCTION("GOOGLEFINANCE(A9, ""high52"")"),398.35)</f>
        <v>398.35</v>
      </c>
      <c r="F9" s="9">
        <f>IFERROR(__xludf.DUMMYFUNCTION("GOOGLEFINANCE(A9, ""low52"")"),273.19)</f>
        <v>273.19</v>
      </c>
      <c r="G9" s="15">
        <f>IFERROR(__xludf.DUMMYFUNCTION("((GOOGLEFINANCE(A9, ""price"") - GOOGLEFINANCE(A9, ""closeyest"")) / GOOGLEFINANCE(A9, ""closeyest"")) * 100"),-1.1069988764787597)</f>
        <v>-1.106998876</v>
      </c>
      <c r="H9" s="18">
        <v>1.47</v>
      </c>
      <c r="I9" s="16">
        <f>IFERROR(__xludf.DUMMYFUNCTION("GOOGLEFINANCE(A9, ""eps"")"),12.56)</f>
        <v>12.56</v>
      </c>
      <c r="J9" s="17">
        <f>IFERROR(__xludf.DUMMYFUNCTION("GOOGLEFINANCE(A9, ""pe"")"),23.82)</f>
        <v>23.82</v>
      </c>
    </row>
    <row r="10">
      <c r="A10" s="14" t="s">
        <v>25</v>
      </c>
      <c r="B10" s="6" t="str">
        <f>IFERROR(__xludf.DUMMYFUNCTION("GOOGLEFINANCE(A10, ""name"")"),"Atlassian Corp")</f>
        <v>Atlassian Corp</v>
      </c>
      <c r="C10" s="14" t="s">
        <v>17</v>
      </c>
      <c r="D10" s="7">
        <f>IFERROR(__xludf.DUMMYFUNCTION("GOOGLEFINANCE(A10, ""price"")"),205.2)</f>
        <v>205.2</v>
      </c>
      <c r="E10" s="8">
        <f>IFERROR(__xludf.DUMMYFUNCTION("GOOGLEFINANCE(A10, ""high52"")"),326.0)</f>
        <v>326</v>
      </c>
      <c r="F10" s="9">
        <f>IFERROR(__xludf.DUMMYFUNCTION("GOOGLEFINANCE(A10, ""low52"")"),135.29)</f>
        <v>135.29</v>
      </c>
      <c r="G10" s="10">
        <f>IFERROR(__xludf.DUMMYFUNCTION("((GOOGLEFINANCE(A10, ""price"") - GOOGLEFINANCE(A10, ""closeyest"")) / GOOGLEFINANCE(A10, ""closeyest"")) * 100"),-1.2084155794136149)</f>
        <v>-1.208415579</v>
      </c>
      <c r="I10" s="12">
        <f>IFERROR(__xludf.DUMMYFUNCTION("GOOGLEFINANCE(A10, ""eps"")"),-1.65)</f>
        <v>-1.65</v>
      </c>
      <c r="J10" s="13" t="str">
        <f>IFERROR(__xludf.DUMMYFUNCTION("GOOGLEFINANCE(A10, ""pe"")"),"#N/A")</f>
        <v>#N/A</v>
      </c>
    </row>
    <row r="11">
      <c r="A11" s="14" t="s">
        <v>26</v>
      </c>
      <c r="B11" s="6" t="str">
        <f>IFERROR(__xludf.DUMMYFUNCTION("GOOGLEFINANCE(A11, ""name"")"),"Mongodb Inc")</f>
        <v>Mongodb Inc</v>
      </c>
      <c r="C11" s="14" t="s">
        <v>27</v>
      </c>
      <c r="D11" s="7">
        <f>IFERROR(__xludf.DUMMYFUNCTION("GOOGLEFINANCE(A11, ""price"")"),206.31)</f>
        <v>206.31</v>
      </c>
      <c r="E11" s="8">
        <f>IFERROR(__xludf.DUMMYFUNCTION("GOOGLEFINANCE(A11, ""high52"")"),370.0)</f>
        <v>370</v>
      </c>
      <c r="F11" s="9">
        <f>IFERROR(__xludf.DUMMYFUNCTION("GOOGLEFINANCE(A11, ""low52"")"),140.78)</f>
        <v>140.78</v>
      </c>
      <c r="G11" s="15">
        <f>IFERROR(__xludf.DUMMYFUNCTION("((GOOGLEFINANCE(A11, ""price"") - GOOGLEFINANCE(A11, ""closeyest"")) / GOOGLEFINANCE(A11, ""closeyest"")) * 100"),0.13104251601631248)</f>
        <v>0.131042516</v>
      </c>
      <c r="I11" s="16">
        <f>IFERROR(__xludf.DUMMYFUNCTION("GOOGLEFINANCE(A11, ""eps"")"),-1.13)</f>
        <v>-1.13</v>
      </c>
      <c r="J11" s="17" t="str">
        <f>IFERROR(__xludf.DUMMYFUNCTION("GOOGLEFINANCE(A11, ""pe"")"),"#N/A")</f>
        <v>#N/A</v>
      </c>
    </row>
    <row r="12">
      <c r="A12" s="14" t="s">
        <v>28</v>
      </c>
      <c r="B12" s="6" t="str">
        <f>IFERROR(__xludf.DUMMYFUNCTION("GOOGLEFINANCE(A12, ""name"")"),"IBM Common Stock")</f>
        <v>IBM Common Stock</v>
      </c>
      <c r="C12" s="14" t="s">
        <v>13</v>
      </c>
      <c r="D12" s="7">
        <f>IFERROR(__xludf.DUMMYFUNCTION("GOOGLEFINANCE(A12, ""price"")"),289.38)</f>
        <v>289.38</v>
      </c>
      <c r="E12" s="8">
        <f>IFERROR(__xludf.DUMMYFUNCTION("GOOGLEFINANCE(A12, ""high52"")"),296.16)</f>
        <v>296.16</v>
      </c>
      <c r="F12" s="9">
        <f>IFERROR(__xludf.DUMMYFUNCTION("GOOGLEFINANCE(A12, ""low52"")"),173.95)</f>
        <v>173.95</v>
      </c>
      <c r="G12" s="10">
        <f>IFERROR(__xludf.DUMMYFUNCTION("((GOOGLEFINANCE(A12, ""price"") - GOOGLEFINANCE(A12, ""closeyest"")) / GOOGLEFINANCE(A12, ""closeyest"")) * 100"),-0.6249999999999977)</f>
        <v>-0.625</v>
      </c>
      <c r="H12" s="11">
        <v>4.7</v>
      </c>
      <c r="I12" s="12">
        <f>IFERROR(__xludf.DUMMYFUNCTION("GOOGLEFINANCE(A12, ""eps"")"),5.81)</f>
        <v>5.81</v>
      </c>
      <c r="J12" s="13">
        <f>IFERROR(__xludf.DUMMYFUNCTION("GOOGLEFINANCE(A12, ""pe"")"),49.78)</f>
        <v>49.78</v>
      </c>
    </row>
    <row r="13">
      <c r="A13" s="14" t="s">
        <v>29</v>
      </c>
      <c r="B13" s="6" t="str">
        <f>IFERROR(__xludf.DUMMYFUNCTION("GOOGLEFINANCE(A13, ""name"")"),"Amazon.com Inc")</f>
        <v>Amazon.com Inc</v>
      </c>
      <c r="C13" s="14" t="s">
        <v>30</v>
      </c>
      <c r="D13" s="7">
        <f>IFERROR(__xludf.DUMMYFUNCTION("GOOGLEFINANCE(A13, ""price"")"),220.04)</f>
        <v>220.04</v>
      </c>
      <c r="E13" s="8">
        <f>IFERROR(__xludf.DUMMYFUNCTION("GOOGLEFINANCE(A13, ""high52"")"),242.52)</f>
        <v>242.52</v>
      </c>
      <c r="F13" s="9">
        <f>IFERROR(__xludf.DUMMYFUNCTION("GOOGLEFINANCE(A13, ""low52"")"),151.61)</f>
        <v>151.61</v>
      </c>
      <c r="G13" s="15">
        <f>IFERROR(__xludf.DUMMYFUNCTION("((GOOGLEFINANCE(A13, ""price"") - GOOGLEFINANCE(A13, ""closeyest"")) / GOOGLEFINANCE(A13, ""closeyest"")) * 100"),-0.19051075024948558)</f>
        <v>-0.1905107502</v>
      </c>
      <c r="I13" s="16">
        <f>IFERROR(__xludf.DUMMYFUNCTION("GOOGLEFINANCE(A13, ""eps"")"),6.13)</f>
        <v>6.13</v>
      </c>
      <c r="J13" s="17">
        <f>IFERROR(__xludf.DUMMYFUNCTION("GOOGLEFINANCE(A13, ""pe"")"),35.89)</f>
        <v>35.89</v>
      </c>
    </row>
    <row r="14">
      <c r="A14" s="14" t="s">
        <v>31</v>
      </c>
      <c r="B14" s="6" t="str">
        <f>IFERROR(__xludf.DUMMYFUNCTION("GOOGLEFINANCE(A14, ""name"")"),"Apple Inc")</f>
        <v>Apple Inc</v>
      </c>
      <c r="C14" s="14" t="s">
        <v>13</v>
      </c>
      <c r="D14" s="7">
        <f>IFERROR(__xludf.DUMMYFUNCTION("GOOGLEFINANCE(A14, ""price"")"),211.68)</f>
        <v>211.68</v>
      </c>
      <c r="E14" s="8">
        <f>IFERROR(__xludf.DUMMYFUNCTION("GOOGLEFINANCE(A14, ""high52"")"),260.1)</f>
        <v>260.1</v>
      </c>
      <c r="F14" s="9">
        <f>IFERROR(__xludf.DUMMYFUNCTION("GOOGLEFINANCE(A14, ""low52"")"),169.21)</f>
        <v>169.21</v>
      </c>
      <c r="G14" s="10">
        <f>IFERROR(__xludf.DUMMYFUNCTION("((GOOGLEFINANCE(A14, ""price"") - GOOGLEFINANCE(A14, ""closeyest"")) / GOOGLEFINANCE(A14, ""closeyest"")) * 100"),1.8573765758829826)</f>
        <v>1.857376576</v>
      </c>
      <c r="H14" s="11">
        <v>0.55</v>
      </c>
      <c r="I14" s="12">
        <f>IFERROR(__xludf.DUMMYFUNCTION("GOOGLEFINANCE(A14, ""eps"")"),6.41)</f>
        <v>6.41</v>
      </c>
      <c r="J14" s="13">
        <f>IFERROR(__xludf.DUMMYFUNCTION("GOOGLEFINANCE(A14, ""pe"")"),33.03)</f>
        <v>33.03</v>
      </c>
    </row>
    <row r="15">
      <c r="A15" s="14" t="s">
        <v>32</v>
      </c>
      <c r="B15" s="6" t="str">
        <f>IFERROR(__xludf.DUMMYFUNCTION("GOOGLEFINANCE(A15, ""name"")"),"Broadcom Inc")</f>
        <v>Broadcom Inc</v>
      </c>
      <c r="C15" s="14" t="s">
        <v>11</v>
      </c>
      <c r="D15" s="7">
        <f>IFERROR(__xludf.DUMMYFUNCTION("GOOGLEFINANCE(A15, ""price"")"),267.01)</f>
        <v>267.01</v>
      </c>
      <c r="E15" s="8">
        <f>IFERROR(__xludf.DUMMYFUNCTION("GOOGLEFINANCE(A15, ""high52"")"),277.71)</f>
        <v>277.71</v>
      </c>
      <c r="F15" s="9">
        <f>IFERROR(__xludf.DUMMYFUNCTION("GOOGLEFINANCE(A15, ""low52"")"),128.5)</f>
        <v>128.5</v>
      </c>
      <c r="G15" s="15">
        <f>IFERROR(__xludf.DUMMYFUNCTION("((GOOGLEFINANCE(A15, ""price"") - GOOGLEFINANCE(A15, ""closeyest"")) / GOOGLEFINANCE(A15, ""closeyest"")) * 100"),0.857445040417006)</f>
        <v>0.8574450404</v>
      </c>
      <c r="H15" s="18">
        <v>2.9</v>
      </c>
      <c r="I15" s="16">
        <f>IFERROR(__xludf.DUMMYFUNCTION("GOOGLEFINANCE(A15, ""eps"")"),2.66)</f>
        <v>2.66</v>
      </c>
      <c r="J15" s="17">
        <f>IFERROR(__xludf.DUMMYFUNCTION("GOOGLEFINANCE(A15, ""pe"")"),100.36)</f>
        <v>100.36</v>
      </c>
    </row>
    <row r="16">
      <c r="A16" s="14" t="s">
        <v>33</v>
      </c>
      <c r="B16" s="6" t="str">
        <f>IFERROR(__xludf.DUMMYFUNCTION("GOOGLEFINANCE(A16, ""name"")"),"iShares Semiconductor ETF")</f>
        <v>iShares Semiconductor ETF</v>
      </c>
      <c r="C16" s="14" t="s">
        <v>34</v>
      </c>
      <c r="D16" s="7">
        <f>IFERROR(__xludf.DUMMYFUNCTION("GOOGLEFINANCE(A16, ""price"")"),238.49)</f>
        <v>238.49</v>
      </c>
      <c r="E16" s="8">
        <f>IFERROR(__xludf.DUMMYFUNCTION("GOOGLEFINANCE(A16, ""high52"")"),267.24)</f>
        <v>267.24</v>
      </c>
      <c r="F16" s="9">
        <f>IFERROR(__xludf.DUMMYFUNCTION("GOOGLEFINANCE(A16, ""low52"")"),148.31)</f>
        <v>148.31</v>
      </c>
      <c r="G16" s="10">
        <f>IFERROR(__xludf.DUMMYFUNCTION("((GOOGLEFINANCE(A16, ""price"") - GOOGLEFINANCE(A16, ""closeyest"")) / GOOGLEFINANCE(A16, ""closeyest"")) * 100"),0.3661307970709555)</f>
        <v>0.3661307971</v>
      </c>
      <c r="H16" s="11">
        <v>1.0</v>
      </c>
      <c r="I16" s="12" t="str">
        <f>IFERROR(__xludf.DUMMYFUNCTION("GOOGLEFINANCE(A16, ""eps"")"),"#N/A")</f>
        <v>#N/A</v>
      </c>
      <c r="J16" s="13" t="str">
        <f>IFERROR(__xludf.DUMMYFUNCTION("GOOGLEFINANCE(A16, ""pe"")"),"#N/A")</f>
        <v>#N/A</v>
      </c>
    </row>
    <row r="17">
      <c r="A17" s="14" t="s">
        <v>35</v>
      </c>
      <c r="B17" s="6" t="str">
        <f>IFERROR(__xludf.DUMMYFUNCTION("GOOGLEFINANCE(A17, ""name"")"),"Taiwan Semicndctr Mnufctrng Co Ltd")</f>
        <v>Taiwan Semicndctr Mnufctrng Co Ltd</v>
      </c>
      <c r="C17" s="14" t="s">
        <v>11</v>
      </c>
      <c r="D17" s="7">
        <f>IFERROR(__xludf.DUMMYFUNCTION("GOOGLEFINANCE(A17, ""price"")"),229.88)</f>
        <v>229.88</v>
      </c>
      <c r="E17" s="8">
        <f>IFERROR(__xludf.DUMMYFUNCTION("GOOGLEFINANCE(A17, ""high52"")"),230.31)</f>
        <v>230.31</v>
      </c>
      <c r="F17" s="9">
        <f>IFERROR(__xludf.DUMMYFUNCTION("GOOGLEFINANCE(A17, ""low52"")"),133.57)</f>
        <v>133.57</v>
      </c>
      <c r="G17" s="15">
        <f>IFERROR(__xludf.DUMMYFUNCTION("((GOOGLEFINANCE(A17, ""price"") - GOOGLEFINANCE(A17, ""closeyest"")) / GOOGLEFINANCE(A17, ""closeyest"")) * 100"),2.3144027060708514)</f>
        <v>2.314402706</v>
      </c>
      <c r="H17" s="18">
        <v>1.5</v>
      </c>
      <c r="I17" s="16">
        <f>IFERROR(__xludf.DUMMYFUNCTION("GOOGLEFINANCE(A17, ""eps"")"),8.62)</f>
        <v>8.62</v>
      </c>
      <c r="J17" s="17">
        <f>IFERROR(__xludf.DUMMYFUNCTION("GOOGLEFINANCE(A17, ""pe"")"),26.67)</f>
        <v>26.67</v>
      </c>
    </row>
    <row r="18">
      <c r="A18" s="14" t="s">
        <v>36</v>
      </c>
      <c r="B18" s="6" t="str">
        <f>IFERROR(__xludf.DUMMYFUNCTION("GOOGLEFINANCE(A18, ""name"")"),"Alphabet Inc Class C")</f>
        <v>Alphabet Inc Class C</v>
      </c>
      <c r="C18" s="14" t="s">
        <v>13</v>
      </c>
      <c r="D18" s="7">
        <f>IFERROR(__xludf.DUMMYFUNCTION("GOOGLEFINANCE(A18, ""price"")"),177.68)</f>
        <v>177.68</v>
      </c>
      <c r="E18" s="8">
        <f>IFERROR(__xludf.DUMMYFUNCTION("GOOGLEFINANCE(A18, ""high52"")"),208.7)</f>
        <v>208.7</v>
      </c>
      <c r="F18" s="9">
        <f>IFERROR(__xludf.DUMMYFUNCTION("GOOGLEFINANCE(A18, ""low52"")"),142.66)</f>
        <v>142.66</v>
      </c>
      <c r="G18" s="10">
        <f>IFERROR(__xludf.DUMMYFUNCTION("((GOOGLEFINANCE(A18, ""price"") - GOOGLEFINANCE(A18, ""closeyest"")) / GOOGLEFINANCE(A18, ""closeyest"")) * 100"),0.435249561924148)</f>
        <v>0.4352495619</v>
      </c>
      <c r="I18" s="12">
        <f>IFERROR(__xludf.DUMMYFUNCTION("GOOGLEFINANCE(A18, ""eps"")"),8.83)</f>
        <v>8.83</v>
      </c>
      <c r="J18" s="13">
        <f>IFERROR(__xludf.DUMMYFUNCTION("GOOGLEFINANCE(A18, ""pe"")"),20.13)</f>
        <v>20.13</v>
      </c>
    </row>
    <row r="19">
      <c r="A19" s="14" t="s">
        <v>37</v>
      </c>
      <c r="B19" s="6" t="str">
        <f>IFERROR(__xludf.DUMMYFUNCTION("GOOGLEFINANCE(A19, ""name"")"),"Zscaler Inc")</f>
        <v>Zscaler Inc</v>
      </c>
      <c r="C19" s="14" t="s">
        <v>22</v>
      </c>
      <c r="D19" s="7">
        <f>IFERROR(__xludf.DUMMYFUNCTION("GOOGLEFINANCE(A19, ""price"")"),311.64)</f>
        <v>311.64</v>
      </c>
      <c r="E19" s="8">
        <f>IFERROR(__xludf.DUMMYFUNCTION("GOOGLEFINANCE(A19, ""high52"")"),317.26)</f>
        <v>317.26</v>
      </c>
      <c r="F19" s="9">
        <f>IFERROR(__xludf.DUMMYFUNCTION("GOOGLEFINANCE(A19, ""low52"")"),153.45)</f>
        <v>153.45</v>
      </c>
      <c r="G19" s="15">
        <f>IFERROR(__xludf.DUMMYFUNCTION("((GOOGLEFINANCE(A19, ""price"") - GOOGLEFINANCE(A19, ""closeyest"")) / GOOGLEFINANCE(A19, ""closeyest"")) * 100"),1.4057008980866825)</f>
        <v>1.405700898</v>
      </c>
      <c r="I19" s="16">
        <f>IFERROR(__xludf.DUMMYFUNCTION("GOOGLEFINANCE(A19, ""eps"")"),-0.25)</f>
        <v>-0.25</v>
      </c>
      <c r="J19" s="17" t="str">
        <f>IFERROR(__xludf.DUMMYFUNCTION("GOOGLEFINANCE(A19, ""pe"")"),"#N/A")</f>
        <v>#N/A</v>
      </c>
    </row>
    <row r="20">
      <c r="A20" s="14" t="s">
        <v>38</v>
      </c>
      <c r="B20" s="6" t="str">
        <f>IFERROR(__xludf.DUMMYFUNCTION("GOOGLEFINANCE(A20, ""name"")"),"Palo Alto Networks Inc")</f>
        <v>Palo Alto Networks Inc</v>
      </c>
      <c r="C20" s="14" t="s">
        <v>22</v>
      </c>
      <c r="D20" s="7">
        <f>IFERROR(__xludf.DUMMYFUNCTION("GOOGLEFINANCE(A20, ""price"")"),197.61)</f>
        <v>197.61</v>
      </c>
      <c r="E20" s="8">
        <f>IFERROR(__xludf.DUMMYFUNCTION("GOOGLEFINANCE(A20, ""high52"")"),208.39)</f>
        <v>208.39</v>
      </c>
      <c r="F20" s="9">
        <f>IFERROR(__xludf.DUMMYFUNCTION("GOOGLEFINANCE(A20, ""low52"")"),142.01)</f>
        <v>142.01</v>
      </c>
      <c r="G20" s="10">
        <f>IFERROR(__xludf.DUMMYFUNCTION("((GOOGLEFINANCE(A20, ""price"") - GOOGLEFINANCE(A20, ""closeyest"")) / GOOGLEFINANCE(A20, ""closeyest"")) * 100"),0.015183723048892164)</f>
        <v>0.01518372305</v>
      </c>
      <c r="I20" s="12">
        <f>IFERROR(__xludf.DUMMYFUNCTION("GOOGLEFINANCE(A20, ""eps"")"),1.75)</f>
        <v>1.75</v>
      </c>
      <c r="J20" s="13">
        <f>IFERROR(__xludf.DUMMYFUNCTION("GOOGLEFINANCE(A20, ""pe"")"),113.06)</f>
        <v>113.06</v>
      </c>
    </row>
    <row r="21">
      <c r="A21" s="14" t="s">
        <v>39</v>
      </c>
      <c r="B21" s="6" t="str">
        <f>IFERROR(__xludf.DUMMYFUNCTION("GOOGLEFINANCE(A21, ""name"")"),"Boeing Co")</f>
        <v>Boeing Co</v>
      </c>
      <c r="C21" s="14" t="s">
        <v>40</v>
      </c>
      <c r="D21" s="7">
        <f>IFERROR(__xludf.DUMMYFUNCTION("GOOGLEFINANCE(A21, ""price"")"),210.09)</f>
        <v>210.09</v>
      </c>
      <c r="E21" s="8">
        <f>IFERROR(__xludf.DUMMYFUNCTION("GOOGLEFINANCE(A21, ""high52"")"),218.8)</f>
        <v>218.8</v>
      </c>
      <c r="F21" s="9">
        <f>IFERROR(__xludf.DUMMYFUNCTION("GOOGLEFINANCE(A21, ""low52"")"),128.88)</f>
        <v>128.88</v>
      </c>
      <c r="G21" s="15">
        <f>IFERROR(__xludf.DUMMYFUNCTION("((GOOGLEFINANCE(A21, ""price"") - GOOGLEFINANCE(A21, ""closeyest"")) / GOOGLEFINANCE(A21, ""closeyest"")) * 100"),0.14300014300014843)</f>
        <v>0.143000143</v>
      </c>
      <c r="I21" s="16">
        <f>IFERROR(__xludf.DUMMYFUNCTION("GOOGLEFINANCE(A21, ""eps"")"),-17.77)</f>
        <v>-17.77</v>
      </c>
      <c r="J21" s="17" t="str">
        <f>IFERROR(__xludf.DUMMYFUNCTION("GOOGLEFINANCE(A21, ""pe"")"),"#N/A")</f>
        <v>#N/A</v>
      </c>
    </row>
    <row r="22">
      <c r="A22" s="14" t="s">
        <v>41</v>
      </c>
      <c r="B22" s="6" t="str">
        <f>IFERROR(__xludf.DUMMYFUNCTION("GOOGLEFINANCE(A22, ""name"")"),"AeroVironment, Inc.")</f>
        <v>AeroVironment, Inc.</v>
      </c>
      <c r="C22" s="14" t="s">
        <v>42</v>
      </c>
      <c r="D22" s="7">
        <f>IFERROR(__xludf.DUMMYFUNCTION("GOOGLEFINANCE(A22, ""price"")"),246.53)</f>
        <v>246.53</v>
      </c>
      <c r="E22" s="8">
        <f>IFERROR(__xludf.DUMMYFUNCTION("GOOGLEFINANCE(A22, ""high52"")"),295.9)</f>
        <v>295.9</v>
      </c>
      <c r="F22" s="9">
        <f>IFERROR(__xludf.DUMMYFUNCTION("GOOGLEFINANCE(A22, ""low52"")"),102.25)</f>
        <v>102.25</v>
      </c>
      <c r="G22" s="10">
        <f>IFERROR(__xludf.DUMMYFUNCTION("((GOOGLEFINANCE(A22, ""price"") - GOOGLEFINANCE(A22, ""closeyest"")) / GOOGLEFINANCE(A22, ""closeyest"")) * 100"),-2.325673534072902)</f>
        <v>-2.325673534</v>
      </c>
      <c r="I22" s="12">
        <f>IFERROR(__xludf.DUMMYFUNCTION("GOOGLEFINANCE(A22, ""eps"")"),1.55)</f>
        <v>1.55</v>
      </c>
      <c r="J22" s="13">
        <f>IFERROR(__xludf.DUMMYFUNCTION("GOOGLEFINANCE(A22, ""pe"")"),159.18)</f>
        <v>159.18</v>
      </c>
    </row>
    <row r="23">
      <c r="A23" s="14" t="s">
        <v>43</v>
      </c>
      <c r="B23" s="6" t="str">
        <f>IFERROR(__xludf.DUMMYFUNCTION("GOOGLEFINANCE(A23, ""name"")"),"Qualcomm Inc")</f>
        <v>Qualcomm Inc</v>
      </c>
      <c r="C23" s="14" t="s">
        <v>11</v>
      </c>
      <c r="D23" s="7">
        <f>IFERROR(__xludf.DUMMYFUNCTION("GOOGLEFINANCE(A23, ""price"")"),158.93)</f>
        <v>158.93</v>
      </c>
      <c r="E23" s="8">
        <f>IFERROR(__xludf.DUMMYFUNCTION("GOOGLEFINANCE(A23, ""high52"")"),211.09)</f>
        <v>211.09</v>
      </c>
      <c r="F23" s="9">
        <f>IFERROR(__xludf.DUMMYFUNCTION("GOOGLEFINANCE(A23, ""low52"")"),120.8)</f>
        <v>120.8</v>
      </c>
      <c r="G23" s="15">
        <f>IFERROR(__xludf.DUMMYFUNCTION("((GOOGLEFINANCE(A23, ""price"") - GOOGLEFINANCE(A23, ""closeyest"")) / GOOGLEFINANCE(A23, ""closeyest"")) * 100"),-0.2948557089084058)</f>
        <v>-0.2948557089</v>
      </c>
      <c r="H23" s="18">
        <v>2.7</v>
      </c>
      <c r="I23" s="16">
        <f>IFERROR(__xludf.DUMMYFUNCTION("GOOGLEFINANCE(A23, ""eps"")"),9.82)</f>
        <v>9.82</v>
      </c>
      <c r="J23" s="17">
        <f>IFERROR(__xludf.DUMMYFUNCTION("GOOGLEFINANCE(A23, ""pe"")"),16.19)</f>
        <v>16.19</v>
      </c>
    </row>
    <row r="24">
      <c r="A24" s="14" t="s">
        <v>44</v>
      </c>
      <c r="B24" s="6" t="str">
        <f>IFERROR(__xludf.DUMMYFUNCTION("GOOGLEFINANCE(A24, ""name"")"),"Oracle Corp")</f>
        <v>Oracle Corp</v>
      </c>
      <c r="C24" s="14" t="s">
        <v>45</v>
      </c>
      <c r="D24" s="7">
        <f>IFERROR(__xludf.DUMMYFUNCTION("GOOGLEFINANCE(A24, ""price"")"),220.62)</f>
        <v>220.62</v>
      </c>
      <c r="E24" s="8">
        <f>IFERROR(__xludf.DUMMYFUNCTION("GOOGLEFINANCE(A24, ""high52"")"),228.22)</f>
        <v>228.22</v>
      </c>
      <c r="F24" s="9">
        <f>IFERROR(__xludf.DUMMYFUNCTION("GOOGLEFINANCE(A24, ""low52"")"),118.86)</f>
        <v>118.86</v>
      </c>
      <c r="G24" s="10">
        <f>IFERROR(__xludf.DUMMYFUNCTION("((GOOGLEFINANCE(A24, ""price"") - GOOGLEFINANCE(A24, ""closeyest"")) / GOOGLEFINANCE(A24, ""closeyest"")) * 100"),0.758129338691997)</f>
        <v>0.7581293387</v>
      </c>
      <c r="H24" s="11">
        <v>1.5</v>
      </c>
      <c r="I24" s="12">
        <f>IFERROR(__xludf.DUMMYFUNCTION("GOOGLEFINANCE(A24, ""eps"")"),4.34)</f>
        <v>4.34</v>
      </c>
      <c r="J24" s="13">
        <f>IFERROR(__xludf.DUMMYFUNCTION("GOOGLEFINANCE(A24, ""pe"")"),50.81)</f>
        <v>50.81</v>
      </c>
    </row>
    <row r="25">
      <c r="A25" s="14" t="s">
        <v>46</v>
      </c>
      <c r="B25" s="6" t="str">
        <f>IFERROR(__xludf.DUMMYFUNCTION("GOOGLEFINANCE(A25, ""name"")"),"Arm Holdings PLC - ADR")</f>
        <v>Arm Holdings PLC - ADR</v>
      </c>
      <c r="C25" s="14" t="s">
        <v>11</v>
      </c>
      <c r="D25" s="7">
        <f>IFERROR(__xludf.DUMMYFUNCTION("GOOGLEFINANCE(A25, ""price"")"),152.43)</f>
        <v>152.43</v>
      </c>
      <c r="E25" s="8">
        <f>IFERROR(__xludf.DUMMYFUNCTION("GOOGLEFINANCE(A25, ""high52"")"),188.75)</f>
        <v>188.75</v>
      </c>
      <c r="F25" s="9">
        <f>IFERROR(__xludf.DUMMYFUNCTION("GOOGLEFINANCE(A25, ""low52"")"),80.0)</f>
        <v>80</v>
      </c>
      <c r="G25" s="15">
        <f>IFERROR(__xludf.DUMMYFUNCTION("((GOOGLEFINANCE(A25, ""price"") - GOOGLEFINANCE(A25, ""closeyest"")) / GOOGLEFINANCE(A25, ""closeyest"")) * 100"),-2.4947227019765914)</f>
        <v>-2.494722702</v>
      </c>
      <c r="I25" s="16">
        <f>IFERROR(__xludf.DUMMYFUNCTION("GOOGLEFINANCE(A25, ""eps"")"),0.75)</f>
        <v>0.75</v>
      </c>
      <c r="J25" s="17">
        <f>IFERROR(__xludf.DUMMYFUNCTION("GOOGLEFINANCE(A25, ""pe"")"),204.59)</f>
        <v>204.59</v>
      </c>
    </row>
    <row r="26">
      <c r="A26" s="14" t="s">
        <v>47</v>
      </c>
      <c r="B26" s="6" t="str">
        <f>IFERROR(__xludf.DUMMYFUNCTION("GOOGLEFINANCE(A26, ""name"")"),"NVIDIA Corp")</f>
        <v>NVIDIA Corp</v>
      </c>
      <c r="C26" s="14" t="s">
        <v>11</v>
      </c>
      <c r="D26" s="7">
        <f>IFERROR(__xludf.DUMMYFUNCTION("GOOGLEFINANCE(A26, ""price"")"),155.68)</f>
        <v>155.68</v>
      </c>
      <c r="E26" s="8">
        <f>IFERROR(__xludf.DUMMYFUNCTION("GOOGLEFINANCE(A26, ""high52"")"),158.71)</f>
        <v>158.71</v>
      </c>
      <c r="F26" s="9">
        <f>IFERROR(__xludf.DUMMYFUNCTION("GOOGLEFINANCE(A26, ""low52"")"),86.62)</f>
        <v>86.62</v>
      </c>
      <c r="G26" s="10">
        <f>IFERROR(__xludf.DUMMYFUNCTION("((GOOGLEFINANCE(A26, ""price"") - GOOGLEFINANCE(A26, ""closeyest"")) / GOOGLEFINANCE(A26, ""closeyest"")) * 100"),1.552511415525111)</f>
        <v>1.552511416</v>
      </c>
      <c r="I26" s="12">
        <f>IFERROR(__xludf.DUMMYFUNCTION("GOOGLEFINANCE(A26, ""eps"")"),3.1)</f>
        <v>3.1</v>
      </c>
      <c r="J26" s="13">
        <f>IFERROR(__xludf.DUMMYFUNCTION("GOOGLEFINANCE(A26, ""pe"")"),50.17)</f>
        <v>50.17</v>
      </c>
    </row>
    <row r="27">
      <c r="A27" s="14" t="s">
        <v>48</v>
      </c>
      <c r="B27" s="6" t="str">
        <f>IFERROR(__xludf.DUMMYFUNCTION("GOOGLEFINANCE(A27, ""name"")"),"Advanced Micro Devices Inc")</f>
        <v>Advanced Micro Devices Inc</v>
      </c>
      <c r="C27" s="14" t="s">
        <v>11</v>
      </c>
      <c r="D27" s="7">
        <f>IFERROR(__xludf.DUMMYFUNCTION("GOOGLEFINANCE(A27, ""price"")"),136.66)</f>
        <v>136.66</v>
      </c>
      <c r="E27" s="8">
        <f>IFERROR(__xludf.DUMMYFUNCTION("GOOGLEFINANCE(A27, ""high52"")"),187.28)</f>
        <v>187.28</v>
      </c>
      <c r="F27" s="9">
        <f>IFERROR(__xludf.DUMMYFUNCTION("GOOGLEFINANCE(A27, ""low52"")"),76.48)</f>
        <v>76.48</v>
      </c>
      <c r="G27" s="15">
        <f>IFERROR(__xludf.DUMMYFUNCTION("((GOOGLEFINANCE(A27, ""price"") - GOOGLEFINANCE(A27, ""closeyest"")) / GOOGLEFINANCE(A27, ""closeyest"")) * 100"),0.4040849313055491)</f>
        <v>0.4040849313</v>
      </c>
      <c r="I27" s="16">
        <f>IFERROR(__xludf.DUMMYFUNCTION("GOOGLEFINANCE(A27, ""eps"")"),1.36)</f>
        <v>1.36</v>
      </c>
      <c r="J27" s="17">
        <f>IFERROR(__xludf.DUMMYFUNCTION("GOOGLEFINANCE(A27, ""pe"")"),100.19)</f>
        <v>100.19</v>
      </c>
    </row>
    <row r="28">
      <c r="A28" s="14" t="s">
        <v>49</v>
      </c>
      <c r="B28" s="6" t="str">
        <f>IFERROR(__xludf.DUMMYFUNCTION("GOOGLEFINANCE(A28, ""name"")"),"Teradyne Inc")</f>
        <v>Teradyne Inc</v>
      </c>
      <c r="C28" s="14" t="s">
        <v>11</v>
      </c>
      <c r="D28" s="7">
        <f>IFERROR(__xludf.DUMMYFUNCTION("GOOGLEFINANCE(A28, ""price"")"),92.95)</f>
        <v>92.95</v>
      </c>
      <c r="E28" s="8">
        <f>IFERROR(__xludf.DUMMYFUNCTION("GOOGLEFINANCE(A28, ""high52"")"),163.21)</f>
        <v>163.21</v>
      </c>
      <c r="F28" s="9">
        <f>IFERROR(__xludf.DUMMYFUNCTION("GOOGLEFINANCE(A28, ""low52"")"),65.77)</f>
        <v>65.77</v>
      </c>
      <c r="G28" s="10">
        <f>IFERROR(__xludf.DUMMYFUNCTION("((GOOGLEFINANCE(A28, ""price"") - GOOGLEFINANCE(A28, ""closeyest"")) / GOOGLEFINANCE(A28, ""closeyest"")) * 100"),1.1205395996518723)</f>
        <v>1.1205396</v>
      </c>
      <c r="H28" s="11">
        <v>0.4</v>
      </c>
      <c r="I28" s="12">
        <f>IFERROR(__xludf.DUMMYFUNCTION("GOOGLEFINANCE(A28, ""eps"")"),3.53)</f>
        <v>3.53</v>
      </c>
      <c r="J28" s="13">
        <f>IFERROR(__xludf.DUMMYFUNCTION("GOOGLEFINANCE(A28, ""pe"")"),26.32)</f>
        <v>26.32</v>
      </c>
    </row>
    <row r="29">
      <c r="A29" s="14" t="s">
        <v>50</v>
      </c>
      <c r="B29" s="6" t="str">
        <f>IFERROR(__xludf.DUMMYFUNCTION("GOOGLEFINANCE(A29, ""name"")"),"Irhythm Technologies Inc")</f>
        <v>Irhythm Technologies Inc</v>
      </c>
      <c r="C29" s="14" t="s">
        <v>15</v>
      </c>
      <c r="D29" s="7">
        <f>IFERROR(__xludf.DUMMYFUNCTION("GOOGLEFINANCE(A29, ""price"")"),144.35)</f>
        <v>144.35</v>
      </c>
      <c r="E29" s="8">
        <f>IFERROR(__xludf.DUMMYFUNCTION("GOOGLEFINANCE(A29, ""high52"")"),157.13)</f>
        <v>157.13</v>
      </c>
      <c r="F29" s="9">
        <f>IFERROR(__xludf.DUMMYFUNCTION("GOOGLEFINANCE(A29, ""low52"")"),55.92)</f>
        <v>55.92</v>
      </c>
      <c r="G29" s="15">
        <f>IFERROR(__xludf.DUMMYFUNCTION("((GOOGLEFINANCE(A29, ""price"") - GOOGLEFINANCE(A29, ""closeyest"")) / GOOGLEFINANCE(A29, ""closeyest"")) * 100"),-1.0962658444672795)</f>
        <v>-1.096265844</v>
      </c>
      <c r="I29" s="16">
        <f>IFERROR(__xludf.DUMMYFUNCTION("GOOGLEFINANCE(A29, ""eps"")"),-3.14)</f>
        <v>-3.14</v>
      </c>
      <c r="J29" s="17" t="str">
        <f>IFERROR(__xludf.DUMMYFUNCTION("GOOGLEFINANCE(A29, ""pe"")"),"#N/A")</f>
        <v>#N/A</v>
      </c>
    </row>
    <row r="30">
      <c r="A30" s="14" t="s">
        <v>51</v>
      </c>
      <c r="B30" s="6" t="str">
        <f>IFERROR(__xludf.DUMMYFUNCTION("GOOGLEFINANCE(A30, ""name"")"),"Marvell Technology Inc")</f>
        <v>Marvell Technology Inc</v>
      </c>
      <c r="C30" s="14" t="s">
        <v>11</v>
      </c>
      <c r="D30" s="7">
        <f>IFERROR(__xludf.DUMMYFUNCTION("GOOGLEFINANCE(A30, ""price"")"),77.96)</f>
        <v>77.96</v>
      </c>
      <c r="E30" s="8">
        <f>IFERROR(__xludf.DUMMYFUNCTION("GOOGLEFINANCE(A30, ""high52"")"),127.48)</f>
        <v>127.48</v>
      </c>
      <c r="F30" s="9">
        <f>IFERROR(__xludf.DUMMYFUNCTION("GOOGLEFINANCE(A30, ""low52"")"),47.09)</f>
        <v>47.09</v>
      </c>
      <c r="G30" s="10">
        <f>IFERROR(__xludf.DUMMYFUNCTION("((GOOGLEFINANCE(A30, ""price"") - GOOGLEFINANCE(A30, ""closeyest"")) / GOOGLEFINANCE(A30, ""closeyest"")) * 100"),2.256033578174186)</f>
        <v>2.256033578</v>
      </c>
      <c r="I30" s="12">
        <f>IFERROR(__xludf.DUMMYFUNCTION("GOOGLEFINANCE(A30, ""eps"")"),-0.57)</f>
        <v>-0.57</v>
      </c>
      <c r="J30" s="13" t="str">
        <f>IFERROR(__xludf.DUMMYFUNCTION("GOOGLEFINANCE(A30, ""pe"")"),"#N/A")</f>
        <v>#N/A</v>
      </c>
    </row>
    <row r="31">
      <c r="A31" s="14" t="s">
        <v>52</v>
      </c>
      <c r="B31" s="6" t="str">
        <f>IFERROR(__xludf.DUMMYFUNCTION("GOOGLEFINANCE(A31, ""name"")"),"Vertiv Holdings Co")</f>
        <v>Vertiv Holdings Co</v>
      </c>
      <c r="C31" s="14" t="s">
        <v>53</v>
      </c>
      <c r="D31" s="7">
        <f>IFERROR(__xludf.DUMMYFUNCTION("GOOGLEFINANCE(A31, ""price"")"),125.5)</f>
        <v>125.5</v>
      </c>
      <c r="E31" s="8">
        <f>IFERROR(__xludf.DUMMYFUNCTION("GOOGLEFINANCE(A31, ""high52"")"),155.84)</f>
        <v>155.84</v>
      </c>
      <c r="F31" s="9">
        <f>IFERROR(__xludf.DUMMYFUNCTION("GOOGLEFINANCE(A31, ""low52"")"),53.6)</f>
        <v>53.6</v>
      </c>
      <c r="G31" s="15">
        <f>IFERROR(__xludf.DUMMYFUNCTION("((GOOGLEFINANCE(A31, ""price"") - GOOGLEFINANCE(A31, ""closeyest"")) / GOOGLEFINANCE(A31, ""closeyest"")) * 100"),2.4155377835808665)</f>
        <v>2.415537784</v>
      </c>
      <c r="I31" s="16">
        <f>IFERROR(__xludf.DUMMYFUNCTION("GOOGLEFINANCE(A31, ""eps"")"),1.72)</f>
        <v>1.72</v>
      </c>
      <c r="J31" s="17">
        <f>IFERROR(__xludf.DUMMYFUNCTION("GOOGLEFINANCE(A31, ""pe"")"),72.78)</f>
        <v>72.78</v>
      </c>
    </row>
    <row r="32">
      <c r="A32" s="14" t="s">
        <v>54</v>
      </c>
      <c r="B32" s="6" t="str">
        <f>IFERROR(__xludf.DUMMYFUNCTION("GOOGLEFINANCE(A32, ""name"")"),"Okta Inc")</f>
        <v>Okta Inc</v>
      </c>
      <c r="C32" s="14" t="s">
        <v>22</v>
      </c>
      <c r="D32" s="7">
        <f>IFERROR(__xludf.DUMMYFUNCTION("GOOGLEFINANCE(A32, ""price"")"),98.08)</f>
        <v>98.08</v>
      </c>
      <c r="E32" s="8">
        <f>IFERROR(__xludf.DUMMYFUNCTION("GOOGLEFINANCE(A32, ""high52"")"),127.57)</f>
        <v>127.57</v>
      </c>
      <c r="F32" s="9">
        <f>IFERROR(__xludf.DUMMYFUNCTION("GOOGLEFINANCE(A32, ""low52"")"),70.56)</f>
        <v>70.56</v>
      </c>
      <c r="G32" s="10">
        <f>IFERROR(__xludf.DUMMYFUNCTION("((GOOGLEFINANCE(A32, ""price"") - GOOGLEFINANCE(A32, ""closeyest"")) / GOOGLEFINANCE(A32, ""closeyest"")) * 100"),-0.47691527143581824)</f>
        <v>-0.4769152714</v>
      </c>
      <c r="I32" s="12">
        <f>IFERROR(__xludf.DUMMYFUNCTION("GOOGLEFINANCE(A32, ""eps"")"),0.73)</f>
        <v>0.73</v>
      </c>
      <c r="J32" s="13">
        <f>IFERROR(__xludf.DUMMYFUNCTION("GOOGLEFINANCE(A32, ""pe"")"),133.67)</f>
        <v>133.67</v>
      </c>
    </row>
    <row r="33">
      <c r="A33" s="14" t="s">
        <v>55</v>
      </c>
      <c r="B33" s="6" t="str">
        <f>IFERROR(__xludf.DUMMYFUNCTION("GOOGLEFINANCE(A33, ""name"")"),"Micron Technology Inc")</f>
        <v>Micron Technology Inc</v>
      </c>
      <c r="C33" s="14" t="s">
        <v>56</v>
      </c>
      <c r="D33" s="7">
        <f>IFERROR(__xludf.DUMMYFUNCTION("GOOGLEFINANCE(A33, ""price"")"),119.99)</f>
        <v>119.99</v>
      </c>
      <c r="E33" s="8">
        <f>IFERROR(__xludf.DUMMYFUNCTION("GOOGLEFINANCE(A33, ""high52"")"),137.13)</f>
        <v>137.13</v>
      </c>
      <c r="F33" s="9">
        <f>IFERROR(__xludf.DUMMYFUNCTION("GOOGLEFINANCE(A33, ""low52"")"),61.54)</f>
        <v>61.54</v>
      </c>
      <c r="G33" s="15">
        <f>IFERROR(__xludf.DUMMYFUNCTION("((GOOGLEFINANCE(A33, ""price"") - GOOGLEFINANCE(A33, ""closeyest"")) / GOOGLEFINANCE(A33, ""closeyest"")) * 100"),-0.7444784514848256)</f>
        <v>-0.7444784515</v>
      </c>
      <c r="I33" s="16">
        <f>IFERROR(__xludf.DUMMYFUNCTION("GOOGLEFINANCE(A33, ""eps"")"),5.52)</f>
        <v>5.52</v>
      </c>
      <c r="J33" s="17">
        <f>IFERROR(__xludf.DUMMYFUNCTION("GOOGLEFINANCE(A33, ""pe"")"),21.77)</f>
        <v>21.77</v>
      </c>
    </row>
    <row r="34">
      <c r="A34" s="14" t="s">
        <v>57</v>
      </c>
      <c r="B34" s="6" t="str">
        <f>IFERROR(__xludf.DUMMYFUNCTION("GOOGLEFINANCE(A34, ""name"")"),"Palantir Technologies Inc")</f>
        <v>Palantir Technologies Inc</v>
      </c>
      <c r="C34" s="14" t="s">
        <v>58</v>
      </c>
      <c r="D34" s="7">
        <f>IFERROR(__xludf.DUMMYFUNCTION("GOOGLEFINANCE(A34, ""price"")"),131.62)</f>
        <v>131.62</v>
      </c>
      <c r="E34" s="8">
        <f>IFERROR(__xludf.DUMMYFUNCTION("GOOGLEFINANCE(A34, ""high52"")"),148.22)</f>
        <v>148.22</v>
      </c>
      <c r="F34" s="9">
        <f>IFERROR(__xludf.DUMMYFUNCTION("GOOGLEFINANCE(A34, ""low52"")"),21.23)</f>
        <v>21.23</v>
      </c>
      <c r="G34" s="10">
        <f>IFERROR(__xludf.DUMMYFUNCTION("((GOOGLEFINANCE(A34, ""price"") - GOOGLEFINANCE(A34, ""closeyest"")) / GOOGLEFINANCE(A34, ""closeyest"")) * 100"),0.7193143556779903)</f>
        <v>0.7193143557</v>
      </c>
      <c r="I34" s="12">
        <f>IFERROR(__xludf.DUMMYFUNCTION("GOOGLEFINANCE(A34, ""eps"")"),0.23)</f>
        <v>0.23</v>
      </c>
      <c r="J34" s="13">
        <f>IFERROR(__xludf.DUMMYFUNCTION("GOOGLEFINANCE(A34, ""pe"")"),575.09)</f>
        <v>575.09</v>
      </c>
    </row>
    <row r="35">
      <c r="A35" s="14" t="s">
        <v>59</v>
      </c>
      <c r="B35" s="6" t="str">
        <f>IFERROR(__xludf.DUMMYFUNCTION("GOOGLEFINANCE(A35, ""name"")"),"Trend Micro Inc")</f>
        <v>Trend Micro Inc</v>
      </c>
      <c r="C35" s="14" t="s">
        <v>11</v>
      </c>
      <c r="D35" s="7">
        <f>IFERROR(__xludf.DUMMYFUNCTION("GOOGLEFINANCE(A35, ""price"")"),67.5)</f>
        <v>67.5</v>
      </c>
      <c r="E35" s="8">
        <f>IFERROR(__xludf.DUMMYFUNCTION("GOOGLEFINANCE(A35, ""high52"")"),79.99)</f>
        <v>79.99</v>
      </c>
      <c r="F35" s="9">
        <f>IFERROR(__xludf.DUMMYFUNCTION("GOOGLEFINANCE(A35, ""low52"")"),41.8)</f>
        <v>41.8</v>
      </c>
      <c r="G35" s="15">
        <f>IFERROR(__xludf.DUMMYFUNCTION("((GOOGLEFINANCE(A35, ""price"") - GOOGLEFINANCE(A35, ""closeyest"")) / GOOGLEFINANCE(A35, ""closeyest"")) * 100"),0.0)</f>
        <v>0</v>
      </c>
      <c r="H35" s="18">
        <v>2.0</v>
      </c>
      <c r="I35" s="16">
        <f>IFERROR(__xludf.DUMMYFUNCTION("GOOGLEFINANCE(A35, ""eps"")"),1.71)</f>
        <v>1.71</v>
      </c>
      <c r="J35" s="17">
        <f>IFERROR(__xludf.DUMMYFUNCTION("GOOGLEFINANCE(A35, ""pe"")"),39.45)</f>
        <v>39.45</v>
      </c>
    </row>
    <row r="36">
      <c r="A36" s="14" t="s">
        <v>60</v>
      </c>
      <c r="B36" s="6" t="str">
        <f>IFERROR(__xludf.DUMMYFUNCTION("GOOGLEFINANCE(A36, ""name"")"),"Lattice Semiconductor Corp")</f>
        <v>Lattice Semiconductor Corp</v>
      </c>
      <c r="C36" s="14" t="s">
        <v>11</v>
      </c>
      <c r="D36" s="7">
        <f>IFERROR(__xludf.DUMMYFUNCTION("GOOGLEFINANCE(A36, ""price"")"),50.34)</f>
        <v>50.34</v>
      </c>
      <c r="E36" s="8">
        <f>IFERROR(__xludf.DUMMYFUNCTION("GOOGLEFINANCE(A36, ""high52"")"),70.55)</f>
        <v>70.55</v>
      </c>
      <c r="F36" s="9">
        <f>IFERROR(__xludf.DUMMYFUNCTION("GOOGLEFINANCE(A36, ""low52"")"),34.69)</f>
        <v>34.69</v>
      </c>
      <c r="G36" s="10">
        <f>IFERROR(__xludf.DUMMYFUNCTION("((GOOGLEFINANCE(A36, ""price"") - GOOGLEFINANCE(A36, ""closeyest"")) / GOOGLEFINANCE(A36, ""closeyest"")) * 100"),0.39888312724372327)</f>
        <v>0.3988831272</v>
      </c>
      <c r="I36" s="12">
        <f>IFERROR(__xludf.DUMMYFUNCTION("GOOGLEFINANCE(A36, ""eps"")"),0.37)</f>
        <v>0.37</v>
      </c>
      <c r="J36" s="13">
        <f>IFERROR(__xludf.DUMMYFUNCTION("GOOGLEFINANCE(A36, ""pe"")"),135.54)</f>
        <v>135.54</v>
      </c>
    </row>
    <row r="37">
      <c r="A37" s="14" t="s">
        <v>61</v>
      </c>
      <c r="B37" s="6" t="str">
        <f>IFERROR(__xludf.DUMMYFUNCTION("GOOGLEFINANCE(A37, ""name"")"),"ON Semiconductor Corp")</f>
        <v>ON Semiconductor Corp</v>
      </c>
      <c r="C37" s="14" t="s">
        <v>11</v>
      </c>
      <c r="D37" s="7">
        <f>IFERROR(__xludf.DUMMYFUNCTION("GOOGLEFINANCE(A37, ""price"")"),54.02)</f>
        <v>54.02</v>
      </c>
      <c r="E37" s="8">
        <f>IFERROR(__xludf.DUMMYFUNCTION("GOOGLEFINANCE(A37, ""high52"")"),80.08)</f>
        <v>80.08</v>
      </c>
      <c r="F37" s="9">
        <f>IFERROR(__xludf.DUMMYFUNCTION("GOOGLEFINANCE(A37, ""low52"")"),31.04)</f>
        <v>31.04</v>
      </c>
      <c r="G37" s="15">
        <f>IFERROR(__xludf.DUMMYFUNCTION("((GOOGLEFINANCE(A37, ""price"") - GOOGLEFINANCE(A37, ""closeyest"")) / GOOGLEFINANCE(A37, ""closeyest"")) * 100"),0.7835820895522421)</f>
        <v>0.7835820896</v>
      </c>
      <c r="I37" s="16">
        <f>IFERROR(__xludf.DUMMYFUNCTION("GOOGLEFINANCE(A37, ""eps"")"),1.44)</f>
        <v>1.44</v>
      </c>
      <c r="J37" s="17">
        <f>IFERROR(__xludf.DUMMYFUNCTION("GOOGLEFINANCE(A37, ""pe"")"),37.46)</f>
        <v>37.46</v>
      </c>
    </row>
    <row r="38">
      <c r="A38" s="14" t="s">
        <v>62</v>
      </c>
      <c r="B38" s="6" t="str">
        <f>IFERROR(__xludf.DUMMYFUNCTION("GOOGLEFINANCE(A38, ""name"")"),"Helios Technologies Inc")</f>
        <v>Helios Technologies Inc</v>
      </c>
      <c r="C38" s="14" t="s">
        <v>63</v>
      </c>
      <c r="D38" s="7">
        <f>IFERROR(__xludf.DUMMYFUNCTION("GOOGLEFINANCE(A38, ""price"")"),34.71)</f>
        <v>34.71</v>
      </c>
      <c r="E38" s="8">
        <f>IFERROR(__xludf.DUMMYFUNCTION("GOOGLEFINANCE(A38, ""high52"")"),57.29)</f>
        <v>57.29</v>
      </c>
      <c r="F38" s="9">
        <f>IFERROR(__xludf.DUMMYFUNCTION("GOOGLEFINANCE(A38, ""low52"")"),24.76)</f>
        <v>24.76</v>
      </c>
      <c r="G38" s="10">
        <f>IFERROR(__xludf.DUMMYFUNCTION("((GOOGLEFINANCE(A38, ""price"") - GOOGLEFINANCE(A38, ""closeyest"")) / GOOGLEFINANCE(A38, ""closeyest"")) * 100"),-0.5159071367153903)</f>
        <v>-0.5159071367</v>
      </c>
      <c r="I38" s="12">
        <f>IFERROR(__xludf.DUMMYFUNCTION("GOOGLEFINANCE(A38, ""eps"")"),1.11)</f>
        <v>1.11</v>
      </c>
      <c r="J38" s="13">
        <f>IFERROR(__xludf.DUMMYFUNCTION("GOOGLEFINANCE(A38, ""pe"")"),31.18)</f>
        <v>31.18</v>
      </c>
    </row>
    <row r="39">
      <c r="A39" s="14" t="s">
        <v>64</v>
      </c>
      <c r="B39" s="6" t="str">
        <f>IFERROR(__xludf.DUMMYFUNCTION("GOOGLEFINANCE(A39, ""name"")"),"IONQ Inc")</f>
        <v>IONQ Inc</v>
      </c>
      <c r="C39" s="14" t="s">
        <v>65</v>
      </c>
      <c r="D39" s="7">
        <f>IFERROR(__xludf.DUMMYFUNCTION("GOOGLEFINANCE(A39, ""price"")"),41.6)</f>
        <v>41.6</v>
      </c>
      <c r="E39" s="8">
        <f>IFERROR(__xludf.DUMMYFUNCTION("GOOGLEFINANCE(A39, ""high52"")"),54.74)</f>
        <v>54.74</v>
      </c>
      <c r="F39" s="9">
        <f>IFERROR(__xludf.DUMMYFUNCTION("GOOGLEFINANCE(A39, ""low52"")"),6.22)</f>
        <v>6.22</v>
      </c>
      <c r="G39" s="15">
        <f>IFERROR(__xludf.DUMMYFUNCTION("((GOOGLEFINANCE(A39, ""price"") - GOOGLEFINANCE(A39, ""closeyest"")) / GOOGLEFINANCE(A39, ""closeyest"")) * 100"),3.7406483790523692)</f>
        <v>3.740648379</v>
      </c>
      <c r="I39" s="16">
        <f>IFERROR(__xludf.DUMMYFUNCTION("GOOGLEFINANCE(A39, ""eps"")"),-1.49)</f>
        <v>-1.49</v>
      </c>
      <c r="J39" s="17" t="str">
        <f>IFERROR(__xludf.DUMMYFUNCTION("GOOGLEFINANCE(A39, ""pe"")"),"#N/A")</f>
        <v>#N/A</v>
      </c>
    </row>
    <row r="40">
      <c r="A40" s="14" t="s">
        <v>66</v>
      </c>
      <c r="B40" s="6" t="str">
        <f>IFERROR(__xludf.DUMMYFUNCTION("GOOGLEFINANCE(A40, ""name"")"),"Innodata Inc")</f>
        <v>Innodata Inc</v>
      </c>
      <c r="C40" s="14" t="s">
        <v>67</v>
      </c>
      <c r="D40" s="7">
        <f>IFERROR(__xludf.DUMMYFUNCTION("GOOGLEFINANCE(A40, ""price"")"),47.74)</f>
        <v>47.74</v>
      </c>
      <c r="E40" s="8">
        <f>IFERROR(__xludf.DUMMYFUNCTION("GOOGLEFINANCE(A40, ""high52"")"),71.0)</f>
        <v>71</v>
      </c>
      <c r="F40" s="9">
        <f>IFERROR(__xludf.DUMMYFUNCTION("GOOGLEFINANCE(A40, ""low52"")"),13.02)</f>
        <v>13.02</v>
      </c>
      <c r="G40" s="10">
        <f>IFERROR(__xludf.DUMMYFUNCTION("((GOOGLEFINANCE(A40, ""price"") - GOOGLEFINANCE(A40, ""closeyest"")) / GOOGLEFINANCE(A40, ""closeyest"")) * 100"),0.7385524372230459)</f>
        <v>0.7385524372</v>
      </c>
      <c r="I40" s="12">
        <f>IFERROR(__xludf.DUMMYFUNCTION("GOOGLEFINANCE(A40, ""eps"")"),1.08)</f>
        <v>1.08</v>
      </c>
      <c r="J40" s="13">
        <f>IFERROR(__xludf.DUMMYFUNCTION("GOOGLEFINANCE(A40, ""pe"")"),44.23)</f>
        <v>44.23</v>
      </c>
    </row>
    <row r="41">
      <c r="A41" s="14" t="s">
        <v>68</v>
      </c>
      <c r="B41" s="6" t="str">
        <f>IFERROR(__xludf.DUMMYFUNCTION("GOOGLEFINANCE(A41, ""name"")"),"WisdomTree Cybersecurity Fund")</f>
        <v>WisdomTree Cybersecurity Fund</v>
      </c>
      <c r="C41" s="14" t="s">
        <v>22</v>
      </c>
      <c r="D41" s="7">
        <f>IFERROR(__xludf.DUMMYFUNCTION("GOOGLEFINANCE(A41, ""price"")"),31.32)</f>
        <v>31.32</v>
      </c>
      <c r="E41" s="8">
        <f>IFERROR(__xludf.DUMMYFUNCTION("GOOGLEFINANCE(A41, ""high52"")"),32.71)</f>
        <v>32.71</v>
      </c>
      <c r="F41" s="9">
        <f>IFERROR(__xludf.DUMMYFUNCTION("GOOGLEFINANCE(A41, ""low52"")"),22.2)</f>
        <v>22.2</v>
      </c>
      <c r="G41" s="15">
        <f>IFERROR(__xludf.DUMMYFUNCTION("((GOOGLEFINANCE(A41, ""price"") - GOOGLEFINANCE(A41, ""closeyest"")) / GOOGLEFINANCE(A41, ""closeyest"")) * 100"),0.0)</f>
        <v>0</v>
      </c>
      <c r="I41" s="16" t="str">
        <f>IFERROR(__xludf.DUMMYFUNCTION("GOOGLEFINANCE(A41, ""eps"")"),"#N/A")</f>
        <v>#N/A</v>
      </c>
      <c r="J41" s="17" t="str">
        <f>IFERROR(__xludf.DUMMYFUNCTION("GOOGLEFINANCE(A41, ""pe"")"),"#N/A")</f>
        <v>#N/A</v>
      </c>
    </row>
    <row r="42">
      <c r="A42" s="14" t="s">
        <v>69</v>
      </c>
      <c r="B42" s="6" t="str">
        <f>IFERROR(__xludf.DUMMYFUNCTION("GOOGLEFINANCE(A42, ""name"")"),"C3.ai Inc")</f>
        <v>C3.ai Inc</v>
      </c>
      <c r="C42" s="14" t="s">
        <v>58</v>
      </c>
      <c r="D42" s="7">
        <f>IFERROR(__xludf.DUMMYFUNCTION("GOOGLEFINANCE(A42, ""price"")"),25.09)</f>
        <v>25.09</v>
      </c>
      <c r="E42" s="8">
        <f>IFERROR(__xludf.DUMMYFUNCTION("GOOGLEFINANCE(A42, ""high52"")"),45.08)</f>
        <v>45.08</v>
      </c>
      <c r="F42" s="9">
        <f>IFERROR(__xludf.DUMMYFUNCTION("GOOGLEFINANCE(A42, ""low52"")"),17.03)</f>
        <v>17.03</v>
      </c>
      <c r="G42" s="10">
        <f>IFERROR(__xludf.DUMMYFUNCTION("((GOOGLEFINANCE(A42, ""price"") - GOOGLEFINANCE(A42, ""closeyest"")) / GOOGLEFINANCE(A42, ""closeyest"")) * 100"),2.1164021164021145)</f>
        <v>2.116402116</v>
      </c>
      <c r="I42" s="12">
        <f>IFERROR(__xludf.DUMMYFUNCTION("GOOGLEFINANCE(A42, ""eps"")"),-2.24)</f>
        <v>-2.24</v>
      </c>
      <c r="J42" s="13" t="str">
        <f>IFERROR(__xludf.DUMMYFUNCTION("GOOGLEFINANCE(A42, ""pe"")"),"#N/A")</f>
        <v>#N/A</v>
      </c>
    </row>
    <row r="43">
      <c r="A43" s="14" t="s">
        <v>70</v>
      </c>
      <c r="B43" s="6" t="str">
        <f>IFERROR(__xludf.DUMMYFUNCTION("GOOGLEFINANCE(A43, ""name"")"),"Symbotic Inc")</f>
        <v>Symbotic Inc</v>
      </c>
      <c r="C43" s="14" t="s">
        <v>71</v>
      </c>
      <c r="D43" s="7">
        <f>IFERROR(__xludf.DUMMYFUNCTION("GOOGLEFINANCE(A43, ""price"")"),40.27)</f>
        <v>40.27</v>
      </c>
      <c r="E43" s="8">
        <f>IFERROR(__xludf.DUMMYFUNCTION("GOOGLEFINANCE(A43, ""high52"")"),41.76)</f>
        <v>41.76</v>
      </c>
      <c r="F43" s="9">
        <f>IFERROR(__xludf.DUMMYFUNCTION("GOOGLEFINANCE(A43, ""low52"")"),16.32)</f>
        <v>16.32</v>
      </c>
      <c r="G43" s="15">
        <f>IFERROR(__xludf.DUMMYFUNCTION("((GOOGLEFINANCE(A43, ""price"") - GOOGLEFINANCE(A43, ""closeyest"")) / GOOGLEFINANCE(A43, ""closeyest"")) * 100"),1.4868951612903312)</f>
        <v>1.486895161</v>
      </c>
      <c r="I43" s="16">
        <f>IFERROR(__xludf.DUMMYFUNCTION("GOOGLEFINANCE(A43, ""eps"")"),-0.12)</f>
        <v>-0.12</v>
      </c>
      <c r="J43" s="17" t="str">
        <f>IFERROR(__xludf.DUMMYFUNCTION("GOOGLEFINANCE(A43, ""pe"")"),"#N/A")</f>
        <v>#N/A</v>
      </c>
    </row>
    <row r="44">
      <c r="A44" s="14" t="s">
        <v>72</v>
      </c>
      <c r="B44" s="6" t="str">
        <f>IFERROR(__xludf.DUMMYFUNCTION("GOOGLEFINANCE(A44, ""name"")"),"SentinelOne Inc")</f>
        <v>SentinelOne Inc</v>
      </c>
      <c r="C44" s="14" t="s">
        <v>22</v>
      </c>
      <c r="D44" s="7">
        <f>IFERROR(__xludf.DUMMYFUNCTION("GOOGLEFINANCE(A44, ""price"")"),18.2)</f>
        <v>18.2</v>
      </c>
      <c r="E44" s="8">
        <f>IFERROR(__xludf.DUMMYFUNCTION("GOOGLEFINANCE(A44, ""high52"")"),29.29)</f>
        <v>29.29</v>
      </c>
      <c r="F44" s="9">
        <f>IFERROR(__xludf.DUMMYFUNCTION("GOOGLEFINANCE(A44, ""low52"")"),15.36)</f>
        <v>15.36</v>
      </c>
      <c r="G44" s="10">
        <f>IFERROR(__xludf.DUMMYFUNCTION("((GOOGLEFINANCE(A44, ""price"") - GOOGLEFINANCE(A44, ""closeyest"")) / GOOGLEFINANCE(A44, ""closeyest"")) * 100"),0.11001100110010767)</f>
        <v>0.1100110011</v>
      </c>
      <c r="I44" s="12">
        <f>IFERROR(__xludf.DUMMYFUNCTION("GOOGLEFINANCE(A44, ""eps"")"),-1.32)</f>
        <v>-1.32</v>
      </c>
      <c r="J44" s="13" t="str">
        <f>IFERROR(__xludf.DUMMYFUNCTION("GOOGLEFINANCE(A44, ""pe"")"),"#N/A")</f>
        <v>#N/A</v>
      </c>
    </row>
    <row r="45">
      <c r="A45" s="14" t="s">
        <v>73</v>
      </c>
      <c r="B45" s="6" t="str">
        <f>IFERROR(__xludf.DUMMYFUNCTION("GOOGLEFINANCE(A45, ""name"")"),"Unity Software Inc")</f>
        <v>Unity Software Inc</v>
      </c>
      <c r="C45" s="14" t="s">
        <v>58</v>
      </c>
      <c r="D45" s="7">
        <f>IFERROR(__xludf.DUMMYFUNCTION("GOOGLEFINANCE(A45, ""price"")"),24.2)</f>
        <v>24.2</v>
      </c>
      <c r="E45" s="8">
        <f>IFERROR(__xludf.DUMMYFUNCTION("GOOGLEFINANCE(A45, ""high52"")"),30.88)</f>
        <v>30.88</v>
      </c>
      <c r="F45" s="9">
        <f>IFERROR(__xludf.DUMMYFUNCTION("GOOGLEFINANCE(A45, ""low52"")"),13.9)</f>
        <v>13.9</v>
      </c>
      <c r="G45" s="15">
        <f>IFERROR(__xludf.DUMMYFUNCTION("((GOOGLEFINANCE(A45, ""price"") - GOOGLEFINANCE(A45, ""closeyest"")) / GOOGLEFINANCE(A45, ""closeyest"")) * 100"),0.7913369429404319)</f>
        <v>0.7913369429</v>
      </c>
      <c r="I45" s="16">
        <f>IFERROR(__xludf.DUMMYFUNCTION("GOOGLEFINANCE(A45, ""eps"")"),-1.12)</f>
        <v>-1.12</v>
      </c>
      <c r="J45" s="17" t="str">
        <f>IFERROR(__xludf.DUMMYFUNCTION("GOOGLEFINANCE(A45, ""pe"")"),"#N/A")</f>
        <v>#N/A</v>
      </c>
    </row>
    <row r="46">
      <c r="A46" s="14" t="s">
        <v>74</v>
      </c>
      <c r="B46" s="6" t="str">
        <f>IFERROR(__xludf.DUMMYFUNCTION("GOOGLEFINANCE(A46, ""name"")"),"Intel Corp")</f>
        <v>Intel Corp</v>
      </c>
      <c r="C46" s="14" t="s">
        <v>11</v>
      </c>
      <c r="D46" s="7">
        <f>IFERROR(__xludf.DUMMYFUNCTION("GOOGLEFINANCE(A46, ""price"")"),21.53)</f>
        <v>21.53</v>
      </c>
      <c r="E46" s="8">
        <f>IFERROR(__xludf.DUMMYFUNCTION("GOOGLEFINANCE(A46, ""high52"")"),37.16)</f>
        <v>37.16</v>
      </c>
      <c r="F46" s="9">
        <f>IFERROR(__xludf.DUMMYFUNCTION("GOOGLEFINANCE(A46, ""low52"")"),17.67)</f>
        <v>17.67</v>
      </c>
      <c r="G46" s="10">
        <f>IFERROR(__xludf.DUMMYFUNCTION("((GOOGLEFINANCE(A46, ""price"") - GOOGLEFINANCE(A46, ""closeyest"")) / GOOGLEFINANCE(A46, ""closeyest"")) * 100"),-5.776805251641139)</f>
        <v>-5.776805252</v>
      </c>
      <c r="H46" s="11">
        <v>1.2</v>
      </c>
      <c r="I46" s="12">
        <f>IFERROR(__xludf.DUMMYFUNCTION("GOOGLEFINANCE(A46, ""eps"")"),-4.47)</f>
        <v>-4.47</v>
      </c>
      <c r="J46" s="13" t="str">
        <f>IFERROR(__xludf.DUMMYFUNCTION("GOOGLEFINANCE(A46, ""pe"")"),"#N/A")</f>
        <v>#N/A</v>
      </c>
    </row>
    <row r="47">
      <c r="A47" s="14" t="s">
        <v>75</v>
      </c>
      <c r="B47" s="6" t="str">
        <f>IFERROR(__xludf.DUMMYFUNCTION("GOOGLEFINANCE(A47, ""name"")"),"SoundHound AI Inc")</f>
        <v>SoundHound AI Inc</v>
      </c>
      <c r="C47" s="14" t="s">
        <v>76</v>
      </c>
      <c r="D47" s="7">
        <f>IFERROR(__xludf.DUMMYFUNCTION("GOOGLEFINANCE(A47, ""price"")"),11.22)</f>
        <v>11.22</v>
      </c>
      <c r="E47" s="8">
        <f>IFERROR(__xludf.DUMMYFUNCTION("GOOGLEFINANCE(A47, ""high52"")"),24.98)</f>
        <v>24.98</v>
      </c>
      <c r="F47" s="9">
        <f>IFERROR(__xludf.DUMMYFUNCTION("GOOGLEFINANCE(A47, ""low52"")"),3.86)</f>
        <v>3.86</v>
      </c>
      <c r="G47" s="15">
        <f>IFERROR(__xludf.DUMMYFUNCTION("((GOOGLEFINANCE(A47, ""price"") - GOOGLEFINANCE(A47, ""closeyest"")) / GOOGLEFINANCE(A47, ""closeyest"")) * 100"),7.061068702290078)</f>
        <v>7.061068702</v>
      </c>
      <c r="I47" s="16">
        <f>IFERROR(__xludf.DUMMYFUNCTION("GOOGLEFINANCE(A47, ""eps"")"),-0.55)</f>
        <v>-0.55</v>
      </c>
      <c r="J47" s="17" t="str">
        <f>IFERROR(__xludf.DUMMYFUNCTION("GOOGLEFINANCE(A47, ""pe"")"),"#N/A")</f>
        <v>#N/A</v>
      </c>
    </row>
    <row r="48">
      <c r="A48" s="14" t="s">
        <v>77</v>
      </c>
      <c r="B48" s="6" t="str">
        <f>IFERROR(__xludf.DUMMYFUNCTION("GOOGLEFINANCE(A48, ""name"")"),"UiPath Inc")</f>
        <v>UiPath Inc</v>
      </c>
      <c r="C48" s="14" t="s">
        <v>78</v>
      </c>
      <c r="D48" s="7">
        <f>IFERROR(__xludf.DUMMYFUNCTION("GOOGLEFINANCE(A48, ""price"")"),12.7)</f>
        <v>12.7</v>
      </c>
      <c r="E48" s="8">
        <f>IFERROR(__xludf.DUMMYFUNCTION("GOOGLEFINANCE(A48, ""high52"")"),15.93)</f>
        <v>15.93</v>
      </c>
      <c r="F48" s="9">
        <f>IFERROR(__xludf.DUMMYFUNCTION("GOOGLEFINANCE(A48, ""low52"")"),9.38)</f>
        <v>9.38</v>
      </c>
      <c r="G48" s="10">
        <f>IFERROR(__xludf.DUMMYFUNCTION("((GOOGLEFINANCE(A48, ""price"") - GOOGLEFINANCE(A48, ""closeyest"")) / GOOGLEFINANCE(A48, ""closeyest"")) * 100"),0.07880220646177925)</f>
        <v>0.07880220646</v>
      </c>
      <c r="I48" s="12">
        <f>IFERROR(__xludf.DUMMYFUNCTION("GOOGLEFINANCE(A48, ""eps"")"),-0.12)</f>
        <v>-0.12</v>
      </c>
      <c r="J48" s="13" t="str">
        <f>IFERROR(__xludf.DUMMYFUNCTION("GOOGLEFINANCE(A48, ""pe"")"),"#N/A")</f>
        <v>#N/A</v>
      </c>
    </row>
    <row r="49">
      <c r="A49" s="14" t="s">
        <v>79</v>
      </c>
      <c r="B49" s="6" t="str">
        <f>IFERROR(__xludf.DUMMYFUNCTION("GOOGLEFINANCE(A49, ""name"")"),"Rigetti Computing Inc")</f>
        <v>Rigetti Computing Inc</v>
      </c>
      <c r="C49" s="14" t="s">
        <v>65</v>
      </c>
      <c r="D49" s="7">
        <f>IFERROR(__xludf.DUMMYFUNCTION("GOOGLEFINANCE(A49, ""price"")"),12.38)</f>
        <v>12.38</v>
      </c>
      <c r="E49" s="8">
        <f>IFERROR(__xludf.DUMMYFUNCTION("GOOGLEFINANCE(A49, ""high52"")"),21.42)</f>
        <v>21.42</v>
      </c>
      <c r="F49" s="9">
        <f>IFERROR(__xludf.DUMMYFUNCTION("GOOGLEFINANCE(A49, ""low52"")"),0.66)</f>
        <v>0.66</v>
      </c>
      <c r="G49" s="15">
        <f>IFERROR(__xludf.DUMMYFUNCTION("((GOOGLEFINANCE(A49, ""price"") - GOOGLEFINANCE(A49, ""closeyest"")) / GOOGLEFINANCE(A49, ""closeyest"")) * 100"),9.267431597528692)</f>
        <v>9.267431598</v>
      </c>
      <c r="I49" s="16">
        <f>IFERROR(__xludf.DUMMYFUNCTION("GOOGLEFINANCE(A49, ""eps"")"),-0.68)</f>
        <v>-0.68</v>
      </c>
      <c r="J49" s="17" t="str">
        <f>IFERROR(__xludf.DUMMYFUNCTION("GOOGLEFINANCE(A49, ""pe"")"),"#N/A")</f>
        <v>#N/A</v>
      </c>
    </row>
    <row r="50">
      <c r="A50" s="14" t="s">
        <v>80</v>
      </c>
      <c r="B50" s="6" t="str">
        <f>IFERROR(__xludf.DUMMYFUNCTION("GOOGLEFINANCE(A50, ""name"")"),"Mitek Systems Inc")</f>
        <v>Mitek Systems Inc</v>
      </c>
      <c r="C50" s="14" t="s">
        <v>81</v>
      </c>
      <c r="D50" s="7">
        <f>IFERROR(__xludf.DUMMYFUNCTION("GOOGLEFINANCE(A50, ""price"")"),10.21)</f>
        <v>10.21</v>
      </c>
      <c r="E50" s="8">
        <f>IFERROR(__xludf.DUMMYFUNCTION("GOOGLEFINANCE(A50, ""high52"")"),13.72)</f>
        <v>13.72</v>
      </c>
      <c r="F50" s="9">
        <f>IFERROR(__xludf.DUMMYFUNCTION("GOOGLEFINANCE(A50, ""low52"")"),6.93)</f>
        <v>6.93</v>
      </c>
      <c r="G50" s="10">
        <f>IFERROR(__xludf.DUMMYFUNCTION("((GOOGLEFINANCE(A50, ""price"") - GOOGLEFINANCE(A50, ""closeyest"")) / GOOGLEFINANCE(A50, ""closeyest"")) * 100"),0.294695481335964)</f>
        <v>0.2946954813</v>
      </c>
      <c r="I50" s="12">
        <f>IFERROR(__xludf.DUMMYFUNCTION("GOOGLEFINANCE(A50, ""eps"")"),0.27)</f>
        <v>0.27</v>
      </c>
      <c r="J50" s="13">
        <f>IFERROR(__xludf.DUMMYFUNCTION("GOOGLEFINANCE(A50, ""pe"")"),37.65)</f>
        <v>37.65</v>
      </c>
    </row>
    <row r="51">
      <c r="A51" s="14" t="s">
        <v>82</v>
      </c>
      <c r="B51" s="6" t="str">
        <f>IFERROR(__xludf.DUMMYFUNCTION("GOOGLEFINANCE(A51, ""name"")"),"D-Wave Quantum Inc")</f>
        <v>D-Wave Quantum Inc</v>
      </c>
      <c r="C51" s="14" t="s">
        <v>65</v>
      </c>
      <c r="D51" s="7">
        <f>IFERROR(__xludf.DUMMYFUNCTION("GOOGLEFINANCE(A51, ""price"")"),15.46)</f>
        <v>15.46</v>
      </c>
      <c r="E51" s="8">
        <f>IFERROR(__xludf.DUMMYFUNCTION("GOOGLEFINANCE(A51, ""high52"")"),19.77)</f>
        <v>19.77</v>
      </c>
      <c r="F51" s="9">
        <f>IFERROR(__xludf.DUMMYFUNCTION("GOOGLEFINANCE(A51, ""low52"")"),0.75)</f>
        <v>0.75</v>
      </c>
      <c r="G51" s="15">
        <f>IFERROR(__xludf.DUMMYFUNCTION("((GOOGLEFINANCE(A51, ""price"") - GOOGLEFINANCE(A51, ""closeyest"")) / GOOGLEFINANCE(A51, ""closeyest"")) * 100"),4.318488529014849)</f>
        <v>4.318488529</v>
      </c>
      <c r="I51" s="16">
        <f>IFERROR(__xludf.DUMMYFUNCTION("GOOGLEFINANCE(A51, ""eps"")"),-0.6)</f>
        <v>-0.6</v>
      </c>
      <c r="J51" s="17" t="str">
        <f>IFERROR(__xludf.DUMMYFUNCTION("GOOGLEFINANCE(A51, ""pe"")"),"#N/A")</f>
        <v>#N/A</v>
      </c>
    </row>
    <row r="52">
      <c r="A52" s="14" t="s">
        <v>83</v>
      </c>
      <c r="B52" s="6" t="str">
        <f>IFERROR(__xludf.DUMMYFUNCTION("GOOGLEFINANCE(A52, ""name"")"),"Wolfspeed Inc")</f>
        <v>Wolfspeed Inc</v>
      </c>
      <c r="C52" s="14" t="s">
        <v>11</v>
      </c>
      <c r="D52" s="7">
        <f>IFERROR(__xludf.DUMMYFUNCTION("GOOGLEFINANCE(A52, ""price"")"),0.79)</f>
        <v>0.79</v>
      </c>
      <c r="E52" s="8">
        <f>IFERROR(__xludf.DUMMYFUNCTION("GOOGLEFINANCE(A52, ""high52"")"),25.49)</f>
        <v>25.49</v>
      </c>
      <c r="F52" s="9">
        <f>IFERROR(__xludf.DUMMYFUNCTION("GOOGLEFINANCE(A52, ""low52"")"),0.39)</f>
        <v>0.39</v>
      </c>
      <c r="G52" s="10">
        <f>IFERROR(__xludf.DUMMYFUNCTION("((GOOGLEFINANCE(A52, ""price"") - GOOGLEFINANCE(A52, ""closeyest"")) / GOOGLEFINANCE(A52, ""closeyest"")) * 100"),0.0)</f>
        <v>0</v>
      </c>
      <c r="I52" s="12">
        <f>IFERROR(__xludf.DUMMYFUNCTION("GOOGLEFINANCE(A52, ""eps"")"),-130765.0)</f>
        <v>-130765</v>
      </c>
      <c r="J52" s="13" t="str">
        <f>IFERROR(__xludf.DUMMYFUNCTION("GOOGLEFINANCE(A52, ""pe"")"),"#N/A")</f>
        <v>#N/A</v>
      </c>
    </row>
    <row r="53">
      <c r="A53" s="14" t="s">
        <v>84</v>
      </c>
      <c r="B53" s="6" t="str">
        <f>IFERROR(__xludf.DUMMYFUNCTION("GOOGLEFINANCE(A53, ""name"")"),"Lumen Technologies Inc")</f>
        <v>Lumen Technologies Inc</v>
      </c>
      <c r="C53" s="14" t="s">
        <v>53</v>
      </c>
      <c r="D53" s="7">
        <f>IFERROR(__xludf.DUMMYFUNCTION("GOOGLEFINANCE(A53, ""price"")"),4.47)</f>
        <v>4.47</v>
      </c>
      <c r="E53" s="8">
        <f>IFERROR(__xludf.DUMMYFUNCTION("GOOGLEFINANCE(A53, ""high52"")"),10.33)</f>
        <v>10.33</v>
      </c>
      <c r="F53" s="9">
        <f>IFERROR(__xludf.DUMMYFUNCTION("GOOGLEFINANCE(A53, ""low52"")"),1.0)</f>
        <v>1</v>
      </c>
      <c r="G53" s="15">
        <f>IFERROR(__xludf.DUMMYFUNCTION("((GOOGLEFINANCE(A53, ""price"") - GOOGLEFINANCE(A53, ""closeyest"")) / GOOGLEFINANCE(A53, ""closeyest"")) * 100"),-0.8869179600886926)</f>
        <v>-0.8869179601</v>
      </c>
      <c r="I53" s="16">
        <f>IFERROR(__xludf.DUMMYFUNCTION("GOOGLEFINANCE(A53, ""eps"")"),-0.32)</f>
        <v>-0.32</v>
      </c>
      <c r="J53" s="17" t="str">
        <f>IFERROR(__xludf.DUMMYFUNCTION("GOOGLEFINANCE(A53, ""pe"")"),"#N/A")</f>
        <v>#N/A</v>
      </c>
    </row>
    <row r="54">
      <c r="A54" s="14" t="s">
        <v>85</v>
      </c>
      <c r="B54" s="6" t="str">
        <f>IFERROR(__xludf.DUMMYFUNCTION("GOOGLEFINANCE(A54, ""name"")"),"BigBear.ai Holdings Inc")</f>
        <v>BigBear.ai Holdings Inc</v>
      </c>
      <c r="C54" s="14" t="s">
        <v>58</v>
      </c>
      <c r="D54" s="7">
        <f>IFERROR(__xludf.DUMMYFUNCTION("GOOGLEFINANCE(A54, ""price"")"),7.3)</f>
        <v>7.3</v>
      </c>
      <c r="E54" s="8">
        <f>IFERROR(__xludf.DUMMYFUNCTION("GOOGLEFINANCE(A54, ""high52"")"),10.36)</f>
        <v>10.36</v>
      </c>
      <c r="F54" s="9">
        <f>IFERROR(__xludf.DUMMYFUNCTION("GOOGLEFINANCE(A54, ""low52"")"),1.17)</f>
        <v>1.17</v>
      </c>
      <c r="G54" s="10">
        <f>IFERROR(__xludf.DUMMYFUNCTION("((GOOGLEFINANCE(A54, ""price"") - GOOGLEFINANCE(A54, ""closeyest"")) / GOOGLEFINANCE(A54, ""closeyest"")) * 100"),9.774436090225555)</f>
        <v>9.77443609</v>
      </c>
      <c r="I54" s="12">
        <f>IFERROR(__xludf.DUMMYFUNCTION("GOOGLEFINANCE(A54, ""eps"")"),-0.93)</f>
        <v>-0.93</v>
      </c>
      <c r="J54" s="13" t="str">
        <f>IFERROR(__xludf.DUMMYFUNCTION("GOOGLEFINANCE(A54, ""pe"")"),"#N/A")</f>
        <v>#N/A</v>
      </c>
    </row>
    <row r="55">
      <c r="A55" s="14" t="s">
        <v>86</v>
      </c>
      <c r="B55" s="6" t="str">
        <f>IFERROR(__xludf.DUMMYFUNCTION("GOOGLEFINANCE(A55, ""name"")"),"Nerdy Inc")</f>
        <v>Nerdy Inc</v>
      </c>
      <c r="C55" s="14" t="s">
        <v>87</v>
      </c>
      <c r="D55" s="7">
        <f>IFERROR(__xludf.DUMMYFUNCTION("GOOGLEFINANCE(A55, ""price"")"),1.66)</f>
        <v>1.66</v>
      </c>
      <c r="E55" s="8">
        <f>IFERROR(__xludf.DUMMYFUNCTION("GOOGLEFINANCE(A55, ""high52"")"),2.18)</f>
        <v>2.18</v>
      </c>
      <c r="F55" s="9">
        <f>IFERROR(__xludf.DUMMYFUNCTION("GOOGLEFINANCE(A55, ""low52"")"),0.73)</f>
        <v>0.73</v>
      </c>
      <c r="G55" s="15">
        <f>IFERROR(__xludf.DUMMYFUNCTION("((GOOGLEFINANCE(A55, ""price"") - GOOGLEFINANCE(A55, ""closeyest"")) / GOOGLEFINANCE(A55, ""closeyest"")) * 100"),1.840490797546014)</f>
        <v>1.840490798</v>
      </c>
      <c r="I55" s="16">
        <f>IFERROR(__xludf.DUMMYFUNCTION("GOOGLEFINANCE(A55, ""eps"")"),-0.4)</f>
        <v>-0.4</v>
      </c>
      <c r="J55" s="17" t="str">
        <f>IFERROR(__xludf.DUMMYFUNCTION("GOOGLEFINANCE(A55, ""pe"")"),"#N/A")</f>
        <v>#N/A</v>
      </c>
    </row>
    <row r="56">
      <c r="A56" s="14" t="s">
        <v>83</v>
      </c>
      <c r="B56" s="6" t="str">
        <f>IFERROR(__xludf.DUMMYFUNCTION("GOOGLEFINANCE(A56, ""name"")"),"Wolfspeed Inc")</f>
        <v>Wolfspeed Inc</v>
      </c>
      <c r="C56" s="14" t="s">
        <v>11</v>
      </c>
      <c r="D56" s="7">
        <f>IFERROR(__xludf.DUMMYFUNCTION("GOOGLEFINANCE(A56, ""price"")"),0.79)</f>
        <v>0.79</v>
      </c>
      <c r="E56" s="8">
        <f>IFERROR(__xludf.DUMMYFUNCTION("GOOGLEFINANCE(A56, ""high52"")"),25.49)</f>
        <v>25.49</v>
      </c>
      <c r="F56" s="9">
        <f>IFERROR(__xludf.DUMMYFUNCTION("GOOGLEFINANCE(A56, ""low52"")"),0.39)</f>
        <v>0.39</v>
      </c>
      <c r="G56" s="10">
        <f>IFERROR(__xludf.DUMMYFUNCTION("((GOOGLEFINANCE(A56, ""price"") - GOOGLEFINANCE(A56, ""closeyest"")) / GOOGLEFINANCE(A56, ""closeyest"")) * 100"),0.0)</f>
        <v>0</v>
      </c>
      <c r="I56" s="12">
        <f>IFERROR(__xludf.DUMMYFUNCTION("GOOGLEFINANCE(A56, ""eps"")"),-130765.0)</f>
        <v>-130765</v>
      </c>
      <c r="J56" s="13" t="str">
        <f>IFERROR(__xludf.DUMMYFUNCTION("GOOGLEFINANCE(A56, ""pe"")"),"#N/A")</f>
        <v>#N/A</v>
      </c>
    </row>
    <row r="57">
      <c r="A57" s="14" t="s">
        <v>33</v>
      </c>
      <c r="B57" s="6" t="str">
        <f>IFERROR(__xludf.DUMMYFUNCTION("GOOGLEFINANCE(A57, ""name"")"),"iShares Semiconductor ETF")</f>
        <v>iShares Semiconductor ETF</v>
      </c>
      <c r="C57" s="14" t="s">
        <v>34</v>
      </c>
      <c r="D57" s="7">
        <f>IFERROR(__xludf.DUMMYFUNCTION("GOOGLEFINANCE(A57, ""price"")"),238.49)</f>
        <v>238.49</v>
      </c>
      <c r="E57" s="8">
        <f>IFERROR(__xludf.DUMMYFUNCTION("GOOGLEFINANCE(A57, ""high52"")"),267.24)</f>
        <v>267.24</v>
      </c>
      <c r="F57" s="9">
        <f>IFERROR(__xludf.DUMMYFUNCTION("GOOGLEFINANCE(A57, ""low52"")"),148.31)</f>
        <v>148.31</v>
      </c>
      <c r="G57" s="15">
        <f>IFERROR(__xludf.DUMMYFUNCTION("((GOOGLEFINANCE(A57, ""price"") - GOOGLEFINANCE(A57, ""closeyest"")) / GOOGLEFINANCE(A57, ""closeyest"")) * 100"),0.3661307970709555)</f>
        <v>0.3661307971</v>
      </c>
      <c r="I57" s="16" t="str">
        <f>IFERROR(__xludf.DUMMYFUNCTION("GOOGLEFINANCE(A57, ""eps"")"),"#N/A")</f>
        <v>#N/A</v>
      </c>
      <c r="J57" s="17" t="str">
        <f>IFERROR(__xludf.DUMMYFUNCTION("GOOGLEFINANCE(A57, ""pe"")"),"#N/A")</f>
        <v>#N/A</v>
      </c>
    </row>
    <row r="58">
      <c r="A58" s="14" t="s">
        <v>88</v>
      </c>
      <c r="B58" s="6" t="str">
        <f>IFERROR(__xludf.DUMMYFUNCTION("GOOGLEFINANCE(A58, ""name"")"),"First Trust Nasdaq AI and Robotics ETF")</f>
        <v>First Trust Nasdaq AI and Robotics ETF</v>
      </c>
      <c r="C58" s="14" t="s">
        <v>89</v>
      </c>
      <c r="D58" s="7">
        <f>IFERROR(__xludf.DUMMYFUNCTION("GOOGLEFINANCE(A58, ""price"")"),48.14)</f>
        <v>48.14</v>
      </c>
      <c r="E58" s="8">
        <f>IFERROR(__xludf.DUMMYFUNCTION("GOOGLEFINANCE(A58, ""high52"")"),49.0)</f>
        <v>49</v>
      </c>
      <c r="F58" s="9">
        <f>IFERROR(__xludf.DUMMYFUNCTION("GOOGLEFINANCE(A58, ""low52"")"),34.38)</f>
        <v>34.38</v>
      </c>
      <c r="G58" s="10">
        <f>IFERROR(__xludf.DUMMYFUNCTION("((GOOGLEFINANCE(A58, ""price"") - GOOGLEFINANCE(A58, ""closeyest"")) / GOOGLEFINANCE(A58, ""closeyest"")) * 100"),0.2498958767180288)</f>
        <v>0.2498958767</v>
      </c>
      <c r="I58" s="12" t="str">
        <f>IFERROR(__xludf.DUMMYFUNCTION("GOOGLEFINANCE(A58, ""eps"")"),"#N/A")</f>
        <v>#N/A</v>
      </c>
      <c r="J58" s="13" t="str">
        <f>IFERROR(__xludf.DUMMYFUNCTION("GOOGLEFINANCE(A58, ""pe"")"),"#N/A")</f>
        <v>#N/A</v>
      </c>
    </row>
    <row r="59">
      <c r="A59" s="14" t="s">
        <v>90</v>
      </c>
      <c r="B59" s="6" t="str">
        <f>IFERROR(__xludf.DUMMYFUNCTION("GOOGLEFINANCE(A59, ""name"")"),"ARK Autonomous Technology &amp; Robotics ETF")</f>
        <v>ARK Autonomous Technology &amp; Robotics ETF</v>
      </c>
      <c r="C59" s="14" t="s">
        <v>91</v>
      </c>
      <c r="D59" s="7">
        <f>IFERROR(__xludf.DUMMYFUNCTION("GOOGLEFINANCE(A59, ""price"")"),86.57)</f>
        <v>86.57</v>
      </c>
      <c r="E59" s="8">
        <f>IFERROR(__xludf.DUMMYFUNCTION("GOOGLEFINANCE(A59, ""high52"")"),89.89)</f>
        <v>89.89</v>
      </c>
      <c r="F59" s="9">
        <f>IFERROR(__xludf.DUMMYFUNCTION("GOOGLEFINANCE(A59, ""low52"")"),48.25)</f>
        <v>48.25</v>
      </c>
      <c r="G59" s="15">
        <f>IFERROR(__xludf.DUMMYFUNCTION("((GOOGLEFINANCE(A59, ""price"") - GOOGLEFINANCE(A59, ""closeyest"")) / GOOGLEFINANCE(A59, ""closeyest"")) * 100"),0.4292343387470886)</f>
        <v>0.4292343387</v>
      </c>
      <c r="I59" s="16" t="str">
        <f>IFERROR(__xludf.DUMMYFUNCTION("GOOGLEFINANCE(A59, ""eps"")"),"#N/A")</f>
        <v>#N/A</v>
      </c>
      <c r="J59" s="17" t="str">
        <f>IFERROR(__xludf.DUMMYFUNCTION("GOOGLEFINANCE(A59, ""pe"")"),"#N/A")</f>
        <v>#N/A</v>
      </c>
    </row>
    <row r="60">
      <c r="A60" s="14" t="s">
        <v>92</v>
      </c>
      <c r="B60" s="6" t="str">
        <f>IFERROR(__xludf.DUMMYFUNCTION("GOOGLEFINANCE(A60, ""name"")"),"iShares Future AI &amp; Tech ETF")</f>
        <v>iShares Future AI &amp; Tech ETF</v>
      </c>
      <c r="C60" s="14" t="s">
        <v>93</v>
      </c>
      <c r="D60" s="7">
        <f>IFERROR(__xludf.DUMMYFUNCTION("GOOGLEFINANCE(A60, ""price"")"),40.49)</f>
        <v>40.49</v>
      </c>
      <c r="E60" s="8">
        <f>IFERROR(__xludf.DUMMYFUNCTION("GOOGLEFINANCE(A60, ""high52"")"),41.41)</f>
        <v>41.41</v>
      </c>
      <c r="F60" s="9">
        <f>IFERROR(__xludf.DUMMYFUNCTION("GOOGLEFINANCE(A60, ""low52"")"),26.36)</f>
        <v>26.36</v>
      </c>
      <c r="G60" s="10">
        <f>IFERROR(__xludf.DUMMYFUNCTION("((GOOGLEFINANCE(A60, ""price"") - GOOGLEFINANCE(A60, ""closeyest"")) / GOOGLEFINANCE(A60, ""closeyest"")) * 100"),0.17318159327065877)</f>
        <v>0.1731815933</v>
      </c>
      <c r="I60" s="12" t="str">
        <f>IFERROR(__xludf.DUMMYFUNCTION("GOOGLEFINANCE(A60, ""eps"")"),"#N/A")</f>
        <v>#N/A</v>
      </c>
      <c r="J60" s="13" t="str">
        <f>IFERROR(__xludf.DUMMYFUNCTION("GOOGLEFINANCE(A60, ""pe"")"),"#N/A")</f>
        <v>#N/A</v>
      </c>
    </row>
    <row r="61">
      <c r="A61" s="14" t="s">
        <v>94</v>
      </c>
      <c r="B61" s="6" t="str">
        <f>IFERROR(__xludf.DUMMYFUNCTION("GOOGLEFINANCE(A61, ""name"")"),"ROBO Global Robotics and Automation Index ETF")</f>
        <v>ROBO Global Robotics and Automation Index ETF</v>
      </c>
      <c r="C61" s="14" t="s">
        <v>89</v>
      </c>
      <c r="D61" s="7">
        <f>IFERROR(__xludf.DUMMYFUNCTION("GOOGLEFINANCE(A61, ""price"")"),59.44)</f>
        <v>59.44</v>
      </c>
      <c r="E61" s="8">
        <f>IFERROR(__xludf.DUMMYFUNCTION("GOOGLEFINANCE(A61, ""high52"")"),61.26)</f>
        <v>61.26</v>
      </c>
      <c r="F61" s="9">
        <f>IFERROR(__xludf.DUMMYFUNCTION("GOOGLEFINANCE(A61, ""low52"")"),43.17)</f>
        <v>43.17</v>
      </c>
      <c r="G61" s="15">
        <f>IFERROR(__xludf.DUMMYFUNCTION("((GOOGLEFINANCE(A61, ""price"") - GOOGLEFINANCE(A61, ""closeyest"")) / GOOGLEFINANCE(A61, ""closeyest"")) * 100"),-0.3186315612946584)</f>
        <v>-0.3186315613</v>
      </c>
      <c r="I61" s="16" t="str">
        <f>IFERROR(__xludf.DUMMYFUNCTION("GOOGLEFINANCE(A61, ""eps"")"),"#N/A")</f>
        <v>#N/A</v>
      </c>
      <c r="J61" s="17" t="str">
        <f>IFERROR(__xludf.DUMMYFUNCTION("GOOGLEFINANCE(A61, ""pe"")"),"#N/A")</f>
        <v>#N/A</v>
      </c>
    </row>
    <row r="62">
      <c r="A62" s="14" t="s">
        <v>95</v>
      </c>
      <c r="B62" s="6" t="str">
        <f>IFERROR(__xludf.DUMMYFUNCTION("GOOGLEFINANCE(A62, ""name"")"),"Global X Robotics and Artificial Intelligence ETF")</f>
        <v>Global X Robotics and Artificial Intelligence ETF</v>
      </c>
      <c r="C62" s="14" t="s">
        <v>89</v>
      </c>
      <c r="D62" s="7">
        <f>IFERROR(__xludf.DUMMYFUNCTION("GOOGLEFINANCE(A62, ""price"")"),32.28)</f>
        <v>32.28</v>
      </c>
      <c r="E62" s="8">
        <f>IFERROR(__xludf.DUMMYFUNCTION("GOOGLEFINANCE(A62, ""high52"")"),34.86)</f>
        <v>34.86</v>
      </c>
      <c r="F62" s="9">
        <f>IFERROR(__xludf.DUMMYFUNCTION("GOOGLEFINANCE(A62, ""low52"")"),23.82)</f>
        <v>23.82</v>
      </c>
      <c r="G62" s="10">
        <f>IFERROR(__xludf.DUMMYFUNCTION("((GOOGLEFINANCE(A62, ""price"") - GOOGLEFINANCE(A62, ""closeyest"")) / GOOGLEFINANCE(A62, ""closeyest"")) * 100"),0.4355942750466726)</f>
        <v>0.435594275</v>
      </c>
      <c r="I62" s="12" t="str">
        <f>IFERROR(__xludf.DUMMYFUNCTION("GOOGLEFINANCE(A62, ""eps"")"),"#N/A")</f>
        <v>#N/A</v>
      </c>
      <c r="J62" s="13" t="str">
        <f>IFERROR(__xludf.DUMMYFUNCTION("GOOGLEFINANCE(A62, ""pe"")"),"#N/A")</f>
        <v>#N/A</v>
      </c>
    </row>
    <row r="63">
      <c r="A63" s="14" t="s">
        <v>96</v>
      </c>
      <c r="B63" s="6" t="str">
        <f>IFERROR(__xludf.DUMMYFUNCTION("GOOGLEFINANCE(A63, ""name"")"),"Honeywell International Inc")</f>
        <v>Honeywell International Inc</v>
      </c>
      <c r="C63" s="14" t="s">
        <v>63</v>
      </c>
      <c r="D63" s="7">
        <f>IFERROR(__xludf.DUMMYFUNCTION("GOOGLEFINANCE(A63, ""price"")"),238.64)</f>
        <v>238.64</v>
      </c>
      <c r="E63" s="8">
        <f>IFERROR(__xludf.DUMMYFUNCTION("GOOGLEFINANCE(A63, ""high52"")"),242.77)</f>
        <v>242.77</v>
      </c>
      <c r="F63" s="9">
        <f>IFERROR(__xludf.DUMMYFUNCTION("GOOGLEFINANCE(A63, ""low52"")"),179.36)</f>
        <v>179.36</v>
      </c>
      <c r="G63" s="15">
        <f>IFERROR(__xludf.DUMMYFUNCTION("((GOOGLEFINANCE(A63, ""price"") - GOOGLEFINANCE(A63, ""closeyest"")) / GOOGLEFINANCE(A63, ""closeyest"")) * 100"),-0.0544457008837056)</f>
        <v>-0.05444570088</v>
      </c>
      <c r="I63" s="16">
        <f>IFERROR(__xludf.DUMMYFUNCTION("GOOGLEFINANCE(A63, ""eps"")"),8.7)</f>
        <v>8.7</v>
      </c>
      <c r="J63" s="17">
        <f>IFERROR(__xludf.DUMMYFUNCTION("GOOGLEFINANCE(A63, ""pe"")"),27.42)</f>
        <v>27.42</v>
      </c>
    </row>
    <row r="64">
      <c r="A64" s="14" t="s">
        <v>14</v>
      </c>
      <c r="B64" s="6" t="str">
        <f>IFERROR(__xludf.DUMMYFUNCTION("GOOGLEFINANCE(A64, ""name"")"),"Intuitive Surgical Inc")</f>
        <v>Intuitive Surgical Inc</v>
      </c>
      <c r="C64" s="14" t="s">
        <v>15</v>
      </c>
      <c r="D64" s="7">
        <f>IFERROR(__xludf.DUMMYFUNCTION("GOOGLEFINANCE(A64, ""price"")"),548.03)</f>
        <v>548.03</v>
      </c>
      <c r="E64" s="8">
        <f>IFERROR(__xludf.DUMMYFUNCTION("GOOGLEFINANCE(A64, ""high52"")"),616.0)</f>
        <v>616</v>
      </c>
      <c r="F64" s="9">
        <f>IFERROR(__xludf.DUMMYFUNCTION("GOOGLEFINANCE(A64, ""low52"")"),413.82)</f>
        <v>413.82</v>
      </c>
      <c r="G64" s="10">
        <f>IFERROR(__xludf.DUMMYFUNCTION("((GOOGLEFINANCE(A64, ""price"") - GOOGLEFINANCE(A64, ""closeyest"")) / GOOGLEFINANCE(A64, ""closeyest"")) * 100"),1.8662056915555985)</f>
        <v>1.866205692</v>
      </c>
      <c r="I64" s="12">
        <f>IFERROR(__xludf.DUMMYFUNCTION("GOOGLEFINANCE(A64, ""eps"")"),6.82)</f>
        <v>6.82</v>
      </c>
      <c r="J64" s="13">
        <f>IFERROR(__xludf.DUMMYFUNCTION("GOOGLEFINANCE(A64, ""pe"")"),80.35)</f>
        <v>80.35</v>
      </c>
    </row>
    <row r="65">
      <c r="A65" s="14" t="s">
        <v>97</v>
      </c>
      <c r="B65" s="6" t="str">
        <f>IFERROR(__xludf.DUMMYFUNCTION("GOOGLEFINANCE(A65, ""name"")"),"Ouster Inc")</f>
        <v>Ouster Inc</v>
      </c>
      <c r="C65" s="14" t="s">
        <v>98</v>
      </c>
      <c r="D65" s="7">
        <f>IFERROR(__xludf.DUMMYFUNCTION("GOOGLEFINANCE(A65, ""price"")"),20.87)</f>
        <v>20.87</v>
      </c>
      <c r="E65" s="8">
        <f>IFERROR(__xludf.DUMMYFUNCTION("GOOGLEFINANCE(A65, ""high52"")"),26.07)</f>
        <v>26.07</v>
      </c>
      <c r="F65" s="9">
        <f>IFERROR(__xludf.DUMMYFUNCTION("GOOGLEFINANCE(A65, ""low52"")"),6.34)</f>
        <v>6.34</v>
      </c>
      <c r="G65" s="15">
        <f>IFERROR(__xludf.DUMMYFUNCTION("((GOOGLEFINANCE(A65, ""price"") - GOOGLEFINANCE(A65, ""closeyest"")) / GOOGLEFINANCE(A65, ""closeyest"")) * 100"),-3.5582255083179275)</f>
        <v>-3.558225508</v>
      </c>
      <c r="I65" s="16">
        <f>IFERROR(__xludf.DUMMYFUNCTION("GOOGLEFINANCE(A65, ""eps"")"),-1.96)</f>
        <v>-1.96</v>
      </c>
      <c r="J65" s="17" t="str">
        <f>IFERROR(__xludf.DUMMYFUNCTION("GOOGLEFINANCE(A65, ""pe"")"),"#N/A")</f>
        <v>#N/A</v>
      </c>
    </row>
    <row r="66">
      <c r="A66" s="14" t="s">
        <v>99</v>
      </c>
      <c r="B66" s="6" t="str">
        <f>IFERROR(__xludf.DUMMYFUNCTION("GOOGLEFINANCE(A66, ""name"")"),"Nauticus Robotics Inc")</f>
        <v>Nauticus Robotics Inc</v>
      </c>
      <c r="C66" s="14" t="s">
        <v>100</v>
      </c>
      <c r="D66" s="7">
        <f>IFERROR(__xludf.DUMMYFUNCTION("GOOGLEFINANCE(A66, ""price"")"),0.9)</f>
        <v>0.9</v>
      </c>
      <c r="E66" s="8">
        <f>IFERROR(__xludf.DUMMYFUNCTION("GOOGLEFINANCE(A66, ""high52"")"),6.13)</f>
        <v>6.13</v>
      </c>
      <c r="F66" s="9">
        <f>IFERROR(__xludf.DUMMYFUNCTION("GOOGLEFINANCE(A66, ""low52"")"),0.82)</f>
        <v>0.82</v>
      </c>
      <c r="G66" s="10">
        <f>IFERROR(__xludf.DUMMYFUNCTION("((GOOGLEFINANCE(A66, ""price"") - GOOGLEFINANCE(A66, ""closeyest"")) / GOOGLEFINANCE(A66, ""closeyest"")) * 100"),0.0)</f>
        <v>0</v>
      </c>
      <c r="I66" s="12">
        <f>IFERROR(__xludf.DUMMYFUNCTION("GOOGLEFINANCE(A66, ""eps"")"),-11.49)</f>
        <v>-11.49</v>
      </c>
      <c r="J66" s="13" t="str">
        <f>IFERROR(__xludf.DUMMYFUNCTION("GOOGLEFINANCE(A66, ""pe"")"),"#N/A")</f>
        <v>#N/A</v>
      </c>
    </row>
    <row r="67">
      <c r="A67" s="14" t="s">
        <v>101</v>
      </c>
      <c r="B67" s="6" t="str">
        <f>IFERROR(__xludf.DUMMYFUNCTION("GOOGLEFINANCE(A67, ""name"")"),"Arbe Robotics Ltd")</f>
        <v>Arbe Robotics Ltd</v>
      </c>
      <c r="C67" s="14" t="s">
        <v>102</v>
      </c>
      <c r="D67" s="7">
        <f>IFERROR(__xludf.DUMMYFUNCTION("GOOGLEFINANCE(A67, ""price"")"),1.71)</f>
        <v>1.71</v>
      </c>
      <c r="E67" s="8">
        <f>IFERROR(__xludf.DUMMYFUNCTION("GOOGLEFINANCE(A67, ""high52"")"),5.09)</f>
        <v>5.09</v>
      </c>
      <c r="F67" s="9">
        <f>IFERROR(__xludf.DUMMYFUNCTION("GOOGLEFINANCE(A67, ""low52"")"),0.85)</f>
        <v>0.85</v>
      </c>
      <c r="G67" s="15">
        <f>IFERROR(__xludf.DUMMYFUNCTION("((GOOGLEFINANCE(A67, ""price"") - GOOGLEFINANCE(A67, ""closeyest"")) / GOOGLEFINANCE(A67, ""closeyest"")) * 100"),2.3952095808383254)</f>
        <v>2.395209581</v>
      </c>
      <c r="I67" s="16">
        <f>IFERROR(__xludf.DUMMYFUNCTION("GOOGLEFINANCE(A67, ""eps"")"),-0.57)</f>
        <v>-0.57</v>
      </c>
      <c r="J67" s="17" t="str">
        <f>IFERROR(__xludf.DUMMYFUNCTION("GOOGLEFINANCE(A67, ""pe"")"),"#N/A")</f>
        <v>#N/A</v>
      </c>
    </row>
    <row r="68">
      <c r="A68" s="14" t="s">
        <v>103</v>
      </c>
      <c r="B68" s="6" t="str">
        <f>IFERROR(__xludf.DUMMYFUNCTION("GOOGLEFINANCE(A68, ""name"")"),"Serve Robotics Inc")</f>
        <v>Serve Robotics Inc</v>
      </c>
      <c r="C68" s="14" t="s">
        <v>104</v>
      </c>
      <c r="D68" s="7">
        <f>IFERROR(__xludf.DUMMYFUNCTION("GOOGLEFINANCE(A68, ""price"")"),10.96)</f>
        <v>10.96</v>
      </c>
      <c r="E68" s="8">
        <f>IFERROR(__xludf.DUMMYFUNCTION("GOOGLEFINANCE(A68, ""high52"")"),24.35)</f>
        <v>24.35</v>
      </c>
      <c r="F68" s="9">
        <f>IFERROR(__xludf.DUMMYFUNCTION("GOOGLEFINANCE(A68, ""low52"")"),1.82)</f>
        <v>1.82</v>
      </c>
      <c r="G68" s="10">
        <f>IFERROR(__xludf.DUMMYFUNCTION("((GOOGLEFINANCE(A68, ""price"") - GOOGLEFINANCE(A68, ""closeyest"")) / GOOGLEFINANCE(A68, ""closeyest"")) * 100"),0.5504587155963349)</f>
        <v>0.5504587156</v>
      </c>
      <c r="I68" s="12">
        <f>IFERROR(__xludf.DUMMYFUNCTION("GOOGLEFINANCE(A68, ""eps"")"),-0.98)</f>
        <v>-0.98</v>
      </c>
      <c r="J68" s="13" t="str">
        <f>IFERROR(__xludf.DUMMYFUNCTION("GOOGLEFINANCE(A68, ""pe"")"),"#N/A")</f>
        <v>#N/A</v>
      </c>
    </row>
    <row r="69">
      <c r="A69" s="14" t="s">
        <v>105</v>
      </c>
      <c r="B69" s="6" t="str">
        <f>IFERROR(__xludf.DUMMYFUNCTION("GOOGLEFINANCE(A69, ""name"")"),"Richtech Robotics Inc")</f>
        <v>Richtech Robotics Inc</v>
      </c>
      <c r="C69" s="14" t="s">
        <v>40</v>
      </c>
      <c r="D69" s="7">
        <f>IFERROR(__xludf.DUMMYFUNCTION("GOOGLEFINANCE(A69, ""price"")"),1.98)</f>
        <v>1.98</v>
      </c>
      <c r="E69" s="8">
        <f>IFERROR(__xludf.DUMMYFUNCTION("GOOGLEFINANCE(A69, ""high52"")"),5.2)</f>
        <v>5.2</v>
      </c>
      <c r="F69" s="9">
        <f>IFERROR(__xludf.DUMMYFUNCTION("GOOGLEFINANCE(A69, ""low52"")"),0.3)</f>
        <v>0.3</v>
      </c>
      <c r="G69" s="15">
        <f>IFERROR(__xludf.DUMMYFUNCTION("((GOOGLEFINANCE(A69, ""price"") - GOOGLEFINANCE(A69, ""closeyest"")) / GOOGLEFINANCE(A69, ""closeyest"")) * 100"),1.5384615384615399)</f>
        <v>1.538461538</v>
      </c>
      <c r="I69" s="16">
        <f>IFERROR(__xludf.DUMMYFUNCTION("GOOGLEFINANCE(A69, ""eps"")"),-0.14)</f>
        <v>-0.14</v>
      </c>
      <c r="J69" s="17" t="str">
        <f>IFERROR(__xludf.DUMMYFUNCTION("GOOGLEFINANCE(A69, ""pe"")"),"#N/A")</f>
        <v>#N/A</v>
      </c>
    </row>
    <row r="70">
      <c r="A70" s="14" t="s">
        <v>90</v>
      </c>
      <c r="B70" s="6" t="str">
        <f>IFERROR(__xludf.DUMMYFUNCTION("GOOGLEFINANCE(A70, ""name"")"),"ARK Autonomous Technology &amp; Robotics ETF")</f>
        <v>ARK Autonomous Technology &amp; Robotics ETF</v>
      </c>
      <c r="C70" s="14" t="s">
        <v>91</v>
      </c>
      <c r="D70" s="7">
        <f>IFERROR(__xludf.DUMMYFUNCTION("GOOGLEFINANCE(A70, ""price"")"),86.57)</f>
        <v>86.57</v>
      </c>
      <c r="E70" s="8">
        <f>IFERROR(__xludf.DUMMYFUNCTION("GOOGLEFINANCE(A70, ""high52"")"),89.89)</f>
        <v>89.89</v>
      </c>
      <c r="F70" s="9">
        <f>IFERROR(__xludf.DUMMYFUNCTION("GOOGLEFINANCE(A70, ""low52"")"),48.25)</f>
        <v>48.25</v>
      </c>
      <c r="G70" s="10">
        <f>IFERROR(__xludf.DUMMYFUNCTION("((GOOGLEFINANCE(A70, ""price"") - GOOGLEFINANCE(A70, ""closeyest"")) / GOOGLEFINANCE(A70, ""closeyest"")) * 100"),0.4292343387470886)</f>
        <v>0.4292343387</v>
      </c>
      <c r="I70" s="12" t="str">
        <f>IFERROR(__xludf.DUMMYFUNCTION("GOOGLEFINANCE(A70, ""eps"")"),"#N/A")</f>
        <v>#N/A</v>
      </c>
      <c r="J70" s="13" t="str">
        <f>IFERROR(__xludf.DUMMYFUNCTION("GOOGLEFINANCE(A70, ""pe"")"),"#N/A")</f>
        <v>#N/A</v>
      </c>
    </row>
    <row r="71">
      <c r="A71" s="14" t="s">
        <v>106</v>
      </c>
      <c r="B71" s="6" t="str">
        <f>IFERROR(__xludf.DUMMYFUNCTION("GOOGLEFINANCE(A71, ""name"")"),"Boston Scientific Corp")</f>
        <v>Boston Scientific Corp</v>
      </c>
      <c r="C71" s="14" t="s">
        <v>15</v>
      </c>
      <c r="D71" s="7">
        <f>IFERROR(__xludf.DUMMYFUNCTION("GOOGLEFINANCE(A71, ""price"")"),104.63)</f>
        <v>104.63</v>
      </c>
      <c r="E71" s="8">
        <f>IFERROR(__xludf.DUMMYFUNCTION("GOOGLEFINANCE(A71, ""high52"")"),107.53)</f>
        <v>107.53</v>
      </c>
      <c r="F71" s="9">
        <f>IFERROR(__xludf.DUMMYFUNCTION("GOOGLEFINANCE(A71, ""low52"")"),71.88)</f>
        <v>71.88</v>
      </c>
      <c r="G71" s="15">
        <f>IFERROR(__xludf.DUMMYFUNCTION("((GOOGLEFINANCE(A71, ""price"") - GOOGLEFINANCE(A71, ""closeyest"")) / GOOGLEFINANCE(A71, ""closeyest"")) * 100"),-0.14315709104791532)</f>
        <v>-0.143157091</v>
      </c>
      <c r="I71" s="16">
        <f>IFERROR(__xludf.DUMMYFUNCTION("GOOGLEFINANCE(A71, ""eps"")"),1.36)</f>
        <v>1.36</v>
      </c>
      <c r="J71" s="17">
        <f>IFERROR(__xludf.DUMMYFUNCTION("GOOGLEFINANCE(A71, ""pe"")"),76.72)</f>
        <v>76.72</v>
      </c>
    </row>
    <row r="72">
      <c r="A72" s="19" t="s">
        <v>107</v>
      </c>
      <c r="B72" s="6" t="str">
        <f>IFERROR(__xludf.DUMMYFUNCTION("GOOGLEFINANCE(A72, ""name"")"),"ARK Genomic Revolution UCITS ETF USD Acc ETF")</f>
        <v>ARK Genomic Revolution UCITS ETF USD Acc ETF</v>
      </c>
      <c r="C72" s="11" t="s">
        <v>108</v>
      </c>
      <c r="D72" s="7">
        <f>IFERROR(__xludf.DUMMYFUNCTION("GOOGLEFINANCE(A72, ""price"")"),4.63)</f>
        <v>4.63</v>
      </c>
      <c r="E72" s="8">
        <f>IFERROR(__xludf.DUMMYFUNCTION("GOOGLEFINANCE(A72, ""high52"")"),5.81)</f>
        <v>5.81</v>
      </c>
      <c r="F72" s="9">
        <f>IFERROR(__xludf.DUMMYFUNCTION("GOOGLEFINANCE(A72, ""low52"")"),3.25)</f>
        <v>3.25</v>
      </c>
      <c r="G72" s="10">
        <f>IFERROR(__xludf.DUMMYFUNCTION("((GOOGLEFINANCE(A72, ""price"") - GOOGLEFINANCE(A72, ""closeyest"")) / GOOGLEFINANCE(A72, ""closeyest"")) * 100"),2.433628318584078)</f>
        <v>2.433628319</v>
      </c>
      <c r="I72" s="12" t="str">
        <f>IFERROR(__xludf.DUMMYFUNCTION("GOOGLEFINANCE(A72, ""eps"")"),"#N/A")</f>
        <v>#N/A</v>
      </c>
      <c r="J72" s="13" t="str">
        <f>IFERROR(__xludf.DUMMYFUNCTION("GOOGLEFINANCE(A72, ""pe"")"),"#N/A")</f>
        <v>#N/A</v>
      </c>
    </row>
    <row r="73">
      <c r="A73" s="20" t="s">
        <v>109</v>
      </c>
      <c r="B73" s="6" t="str">
        <f>IFERROR(__xludf.DUMMYFUNCTION("GOOGLEFINANCE(A73, ""name"")"),"Brainstorm Cell Therapeutics Inc")</f>
        <v>Brainstorm Cell Therapeutics Inc</v>
      </c>
      <c r="C73" s="18" t="s">
        <v>110</v>
      </c>
      <c r="D73" s="7">
        <f>IFERROR(__xludf.DUMMYFUNCTION("GOOGLEFINANCE(A73, ""price"")"),1.12)</f>
        <v>1.12</v>
      </c>
      <c r="E73" s="8">
        <f>IFERROR(__xludf.DUMMYFUNCTION("GOOGLEFINANCE(A73, ""high52"")"),6.45)</f>
        <v>6.45</v>
      </c>
      <c r="F73" s="7">
        <f>IFERROR(__xludf.DUMMYFUNCTION("GOOGLEFINANCE(A73, ""low52"")"),0.72)</f>
        <v>0.72</v>
      </c>
      <c r="G73" s="15">
        <f>IFERROR(__xludf.DUMMYFUNCTION("((GOOGLEFINANCE(A73, ""price"") - GOOGLEFINANCE(A73, ""closeyest"")) / GOOGLEFINANCE(A73, ""closeyest"")) * 100"),0.9009009009009016)</f>
        <v>0.9009009009</v>
      </c>
      <c r="I73" s="16">
        <f>IFERROR(__xludf.DUMMYFUNCTION("GOOGLEFINANCE(A73, ""eps"")"),-2.02)</f>
        <v>-2.02</v>
      </c>
      <c r="J73" s="17" t="str">
        <f>IFERROR(__xludf.DUMMYFUNCTION("GOOGLEFINANCE(A73, ""pe"")"),"#N/A")</f>
        <v>#N/A</v>
      </c>
    </row>
    <row r="74">
      <c r="A74" s="19" t="s">
        <v>111</v>
      </c>
      <c r="B74" s="6" t="str">
        <f>IFERROR(__xludf.DUMMYFUNCTION("GOOGLEFINANCE(A74, ""name"")"),"Medtronic PLC")</f>
        <v>Medtronic PLC</v>
      </c>
      <c r="C74" s="11" t="s">
        <v>15</v>
      </c>
      <c r="D74" s="7">
        <f>IFERROR(__xludf.DUMMYFUNCTION("GOOGLEFINANCE(A74, ""price"")"),88.81)</f>
        <v>88.81</v>
      </c>
      <c r="E74" s="8">
        <f>IFERROR(__xludf.DUMMYFUNCTION("GOOGLEFINANCE(A74, ""high52"")"),96.25)</f>
        <v>96.25</v>
      </c>
      <c r="F74" s="7">
        <f>IFERROR(__xludf.DUMMYFUNCTION("GOOGLEFINANCE(A74, ""low52"")"),75.96)</f>
        <v>75.96</v>
      </c>
      <c r="G74" s="10">
        <f>IFERROR(__xludf.DUMMYFUNCTION("((GOOGLEFINANCE(A74, ""price"") - GOOGLEFINANCE(A74, ""closeyest"")) / GOOGLEFINANCE(A74, ""closeyest"")) * 100"),0.06760563380281946)</f>
        <v>0.0676056338</v>
      </c>
      <c r="I74" s="12">
        <f>IFERROR(__xludf.DUMMYFUNCTION("GOOGLEFINANCE(A74, ""eps"")"),3.61)</f>
        <v>3.61</v>
      </c>
      <c r="J74" s="13">
        <f>IFERROR(__xludf.DUMMYFUNCTION("GOOGLEFINANCE(A74, ""pe"")"),24.57)</f>
        <v>24.57</v>
      </c>
    </row>
    <row r="75">
      <c r="A75" s="20" t="s">
        <v>112</v>
      </c>
      <c r="B75" s="6" t="str">
        <f>IFERROR(__xludf.DUMMYFUNCTION("GOOGLEFINANCE(A75, ""name"")"),"Neuropace Inc")</f>
        <v>Neuropace Inc</v>
      </c>
      <c r="C75" s="18" t="s">
        <v>113</v>
      </c>
      <c r="D75" s="7">
        <f>IFERROR(__xludf.DUMMYFUNCTION("GOOGLEFINANCE(A75, ""price"")"),10.45)</f>
        <v>10.45</v>
      </c>
      <c r="E75" s="8">
        <f>IFERROR(__xludf.DUMMYFUNCTION("GOOGLEFINANCE(A75, ""high52"")"),18.98)</f>
        <v>18.98</v>
      </c>
      <c r="F75" s="7">
        <f>IFERROR(__xludf.DUMMYFUNCTION("GOOGLEFINANCE(A75, ""low52"")"),5.45)</f>
        <v>5.45</v>
      </c>
      <c r="G75" s="15">
        <f>IFERROR(__xludf.DUMMYFUNCTION("((GOOGLEFINANCE(A75, ""price"") - GOOGLEFINANCE(A75, ""closeyest"")) / GOOGLEFINANCE(A75, ""closeyest"")) * 100"),-0.2862595419847437)</f>
        <v>-0.286259542</v>
      </c>
      <c r="I75" s="16">
        <f>IFERROR(__xludf.DUMMYFUNCTION("GOOGLEFINANCE(A75, ""eps"")"),-0.83)</f>
        <v>-0.83</v>
      </c>
      <c r="J75" s="17" t="str">
        <f>IFERROR(__xludf.DUMMYFUNCTION("GOOGLEFINANCE(A75, ""pe"")"),"#N/A")</f>
        <v>#N/A</v>
      </c>
    </row>
    <row r="76">
      <c r="A76" s="19" t="s">
        <v>114</v>
      </c>
      <c r="B76" s="6" t="str">
        <f>IFERROR(__xludf.DUMMYFUNCTION("GOOGLEFINANCE(A76, ""name"")"),"Nike Inc")</f>
        <v>Nike Inc</v>
      </c>
      <c r="D76" s="7">
        <f>IFERROR(__xludf.DUMMYFUNCTION("GOOGLEFINANCE(A76, ""price"")"),74.65)</f>
        <v>74.65</v>
      </c>
      <c r="E76" s="8">
        <f>IFERROR(__xludf.DUMMYFUNCTION("GOOGLEFINANCE(A76, ""high52"")"),90.62)</f>
        <v>90.62</v>
      </c>
      <c r="F76" s="7">
        <f>IFERROR(__xludf.DUMMYFUNCTION("GOOGLEFINANCE(A76, ""low52"")"),52.28)</f>
        <v>52.28</v>
      </c>
      <c r="G76" s="10">
        <f>IFERROR(__xludf.DUMMYFUNCTION("((GOOGLEFINANCE(A76, ""price"") - GOOGLEFINANCE(A76, ""closeyest"")) / GOOGLEFINANCE(A76, ""closeyest"")) * 100"),1.6891431685056655)</f>
        <v>1.689143169</v>
      </c>
      <c r="I76" s="12">
        <f>IFERROR(__xludf.DUMMYFUNCTION("GOOGLEFINANCE(A76, ""eps"")"),2.16)</f>
        <v>2.16</v>
      </c>
      <c r="J76" s="13">
        <f>IFERROR(__xludf.DUMMYFUNCTION("GOOGLEFINANCE(A76, ""pe"")"),34.5)</f>
        <v>34.5</v>
      </c>
    </row>
    <row r="77">
      <c r="A77" s="20" t="s">
        <v>115</v>
      </c>
      <c r="B77" s="6" t="str">
        <f>IFERROR(__xludf.DUMMYFUNCTION("GOOGLEFINANCE(A77, ""name"")"),"Moderna Inc")</f>
        <v>Moderna Inc</v>
      </c>
      <c r="D77" s="7">
        <f>IFERROR(__xludf.DUMMYFUNCTION("GOOGLEFINANCE(A77, ""price"")"),29.46)</f>
        <v>29.46</v>
      </c>
      <c r="E77" s="8">
        <f>IFERROR(__xludf.DUMMYFUNCTION("GOOGLEFINANCE(A77, ""high52"")"),129.39)</f>
        <v>129.39</v>
      </c>
      <c r="F77" s="7">
        <f>IFERROR(__xludf.DUMMYFUNCTION("GOOGLEFINANCE(A77, ""low52"")"),23.15)</f>
        <v>23.15</v>
      </c>
      <c r="G77" s="15">
        <f>IFERROR(__xludf.DUMMYFUNCTION("((GOOGLEFINANCE(A77, ""price"") - GOOGLEFINANCE(A77, ""closeyest"")) / GOOGLEFINANCE(A77, ""closeyest"")) * 100"),2.6838619728128252)</f>
        <v>2.683861973</v>
      </c>
      <c r="I77" s="16">
        <f>IFERROR(__xludf.DUMMYFUNCTION("GOOGLEFINANCE(A77, ""eps"")"),-8.71)</f>
        <v>-8.71</v>
      </c>
      <c r="J77" s="17" t="str">
        <f>IFERROR(__xludf.DUMMYFUNCTION("GOOGLEFINANCE(A77, ""pe"")"),"#N/A")</f>
        <v>#N/A</v>
      </c>
    </row>
    <row r="78">
      <c r="A78" s="19"/>
      <c r="B78" s="6" t="str">
        <f>IFERROR(__xludf.DUMMYFUNCTION("GOOGLEFINANCE(A78, ""name"")"),"#N/A")</f>
        <v>#N/A</v>
      </c>
      <c r="D78" s="7" t="str">
        <f>IFERROR(__xludf.DUMMYFUNCTION("GOOGLEFINANCE(A78, ""price"")"),"#N/A")</f>
        <v>#N/A</v>
      </c>
      <c r="E78" s="8" t="str">
        <f>IFERROR(__xludf.DUMMYFUNCTION("GOOGLEFINANCE(A78, ""high52"")"),"#N/A")</f>
        <v>#N/A</v>
      </c>
      <c r="F78" s="7" t="str">
        <f>IFERROR(__xludf.DUMMYFUNCTION("GOOGLEFINANCE(A78, ""low52"")"),"#N/A")</f>
        <v>#N/A</v>
      </c>
      <c r="G78" s="10" t="str">
        <f>IFERROR(__xludf.DUMMYFUNCTION("((GOOGLEFINANCE(A78, ""price"") - GOOGLEFINANCE(A78, ""closeyest"")) / GOOGLEFINANCE(A78, ""closeyest"")) * 100"),"#N/A")</f>
        <v>#N/A</v>
      </c>
      <c r="I78" s="12" t="str">
        <f>IFERROR(__xludf.DUMMYFUNCTION("GOOGLEFINANCE(A78, ""eps"")"),"#N/A")</f>
        <v>#N/A</v>
      </c>
      <c r="J78" s="13" t="str">
        <f>IFERROR(__xludf.DUMMYFUNCTION("GOOGLEFINANCE(A78, ""pe"")"),"#N/A")</f>
        <v>#N/A</v>
      </c>
    </row>
    <row r="79">
      <c r="B79" s="6" t="str">
        <f>IFERROR(__xludf.DUMMYFUNCTION("GOOGLEFINANCE(A79, ""name"")"),"#N/A")</f>
        <v>#N/A</v>
      </c>
      <c r="D79" s="7" t="str">
        <f>IFERROR(__xludf.DUMMYFUNCTION("GOOGLEFINANCE(A79, ""price"")"),"#N/A")</f>
        <v>#N/A</v>
      </c>
      <c r="E79" s="8" t="str">
        <f>IFERROR(__xludf.DUMMYFUNCTION("GOOGLEFINANCE(A79, ""high52"")"),"#N/A")</f>
        <v>#N/A</v>
      </c>
      <c r="F79" s="7" t="str">
        <f>IFERROR(__xludf.DUMMYFUNCTION("GOOGLEFINANCE(A79, ""low52"")"),"#N/A")</f>
        <v>#N/A</v>
      </c>
      <c r="G79" s="15" t="str">
        <f>IFERROR(__xludf.DUMMYFUNCTION("((GOOGLEFINANCE(A79, ""price"") - GOOGLEFINANCE(A79, ""closeyest"")) / GOOGLEFINANCE(A79, ""closeyest"")) * 100"),"#N/A")</f>
        <v>#N/A</v>
      </c>
      <c r="I79" s="16" t="str">
        <f>IFERROR(__xludf.DUMMYFUNCTION("GOOGLEFINANCE(A79, ""eps"")"),"#N/A")</f>
        <v>#N/A</v>
      </c>
      <c r="J79" s="17" t="str">
        <f>IFERROR(__xludf.DUMMYFUNCTION("GOOGLEFINANCE(A79, ""pe"")"),"#N/A")</f>
        <v>#N/A</v>
      </c>
    </row>
    <row r="80">
      <c r="B80" s="6" t="str">
        <f>IFERROR(__xludf.DUMMYFUNCTION("GOOGLEFINANCE(A80, ""name"")"),"#N/A")</f>
        <v>#N/A</v>
      </c>
      <c r="D80" s="7" t="str">
        <f>IFERROR(__xludf.DUMMYFUNCTION("GOOGLEFINANCE(A80, ""price"")"),"#N/A")</f>
        <v>#N/A</v>
      </c>
      <c r="E80" s="8" t="str">
        <f>IFERROR(__xludf.DUMMYFUNCTION("GOOGLEFINANCE(A80, ""high52"")"),"#N/A")</f>
        <v>#N/A</v>
      </c>
      <c r="F80" s="7" t="str">
        <f>IFERROR(__xludf.DUMMYFUNCTION("GOOGLEFINANCE(A80, ""low52"")"),"#N/A")</f>
        <v>#N/A</v>
      </c>
      <c r="G80" s="10" t="str">
        <f>IFERROR(__xludf.DUMMYFUNCTION("((GOOGLEFINANCE(A80, ""price"") - GOOGLEFINANCE(A80, ""closeyest"")) / GOOGLEFINANCE(A80, ""closeyest"")) * 100"),"#N/A")</f>
        <v>#N/A</v>
      </c>
      <c r="I80" s="12" t="str">
        <f>IFERROR(__xludf.DUMMYFUNCTION("GOOGLEFINANCE(A80, ""eps"")"),"#N/A")</f>
        <v>#N/A</v>
      </c>
      <c r="J80" s="13" t="str">
        <f>IFERROR(__xludf.DUMMYFUNCTION("GOOGLEFINANCE(A80, ""pe"")"),"#N/A")</f>
        <v>#N/A</v>
      </c>
    </row>
    <row r="81">
      <c r="B81" s="6" t="str">
        <f>IFERROR(__xludf.DUMMYFUNCTION("GOOGLEFINANCE(A81, ""name"")"),"#N/A")</f>
        <v>#N/A</v>
      </c>
      <c r="D81" s="7" t="str">
        <f>IFERROR(__xludf.DUMMYFUNCTION("GOOGLEFINANCE(A81, ""price"")"),"#N/A")</f>
        <v>#N/A</v>
      </c>
      <c r="E81" s="8" t="str">
        <f>IFERROR(__xludf.DUMMYFUNCTION("GOOGLEFINANCE(A81, ""high52"")"),"#N/A")</f>
        <v>#N/A</v>
      </c>
      <c r="F81" s="7" t="str">
        <f>IFERROR(__xludf.DUMMYFUNCTION("GOOGLEFINANCE(A81, ""low52"")"),"#N/A")</f>
        <v>#N/A</v>
      </c>
      <c r="G81" s="15" t="str">
        <f>IFERROR(__xludf.DUMMYFUNCTION("((GOOGLEFINANCE(A81, ""price"") - GOOGLEFINANCE(A81, ""closeyest"")) / GOOGLEFINANCE(A81, ""closeyest"")) * 100"),"#N/A")</f>
        <v>#N/A</v>
      </c>
      <c r="I81" s="16" t="str">
        <f>IFERROR(__xludf.DUMMYFUNCTION("GOOGLEFINANCE(A81, ""eps"")"),"#N/A")</f>
        <v>#N/A</v>
      </c>
      <c r="J81" s="17" t="str">
        <f>IFERROR(__xludf.DUMMYFUNCTION("GOOGLEFINANCE(A81, ""pe"")"),"#N/A")</f>
        <v>#N/A</v>
      </c>
    </row>
    <row r="82">
      <c r="B82" s="6" t="str">
        <f>IFERROR(__xludf.DUMMYFUNCTION("GOOGLEFINANCE(A82, ""name"")"),"#N/A")</f>
        <v>#N/A</v>
      </c>
      <c r="D82" s="7" t="str">
        <f>IFERROR(__xludf.DUMMYFUNCTION("GOOGLEFINANCE(A82, ""price"")"),"#N/A")</f>
        <v>#N/A</v>
      </c>
      <c r="E82" s="8" t="str">
        <f>IFERROR(__xludf.DUMMYFUNCTION("GOOGLEFINANCE(A82, ""high52"")"),"#N/A")</f>
        <v>#N/A</v>
      </c>
      <c r="F82" s="7" t="str">
        <f>IFERROR(__xludf.DUMMYFUNCTION("GOOGLEFINANCE(A82, ""low52"")"),"#N/A")</f>
        <v>#N/A</v>
      </c>
      <c r="G82" s="10" t="str">
        <f>IFERROR(__xludf.DUMMYFUNCTION("((GOOGLEFINANCE(A82, ""price"") - GOOGLEFINANCE(A82, ""closeyest"")) / GOOGLEFINANCE(A82, ""closeyest"")) * 100"),"#N/A")</f>
        <v>#N/A</v>
      </c>
      <c r="I82" s="12" t="str">
        <f>IFERROR(__xludf.DUMMYFUNCTION("GOOGLEFINANCE(A82, ""eps"")"),"#N/A")</f>
        <v>#N/A</v>
      </c>
      <c r="J82" s="13" t="str">
        <f>IFERROR(__xludf.DUMMYFUNCTION("GOOGLEFINANCE(A82, ""pe"")"),"#N/A")</f>
        <v>#N/A</v>
      </c>
    </row>
    <row r="83">
      <c r="B83" s="6" t="str">
        <f>IFERROR(__xludf.DUMMYFUNCTION("GOOGLEFINANCE(A83, ""name"")"),"#N/A")</f>
        <v>#N/A</v>
      </c>
      <c r="D83" s="7" t="str">
        <f>IFERROR(__xludf.DUMMYFUNCTION("GOOGLEFINANCE(A83, ""price"")"),"#N/A")</f>
        <v>#N/A</v>
      </c>
      <c r="E83" s="8" t="str">
        <f>IFERROR(__xludf.DUMMYFUNCTION("GOOGLEFINANCE(A83, ""high52"")"),"#N/A")</f>
        <v>#N/A</v>
      </c>
      <c r="F83" s="7" t="str">
        <f>IFERROR(__xludf.DUMMYFUNCTION("GOOGLEFINANCE(A83, ""low52"")"),"#N/A")</f>
        <v>#N/A</v>
      </c>
      <c r="G83" s="15" t="str">
        <f>IFERROR(__xludf.DUMMYFUNCTION("((GOOGLEFINANCE(A83, ""price"") - GOOGLEFINANCE(A83, ""closeyest"")) / GOOGLEFINANCE(A83, ""closeyest"")) * 100"),"#N/A")</f>
        <v>#N/A</v>
      </c>
      <c r="I83" s="16" t="str">
        <f>IFERROR(__xludf.DUMMYFUNCTION("GOOGLEFINANCE(A83, ""eps"")"),"#N/A")</f>
        <v>#N/A</v>
      </c>
      <c r="J83" s="17" t="str">
        <f>IFERROR(__xludf.DUMMYFUNCTION("GOOGLEFINANCE(A83, ""pe"")"),"#N/A")</f>
        <v>#N/A</v>
      </c>
    </row>
    <row r="84">
      <c r="B84" s="6" t="str">
        <f>IFERROR(__xludf.DUMMYFUNCTION("GOOGLEFINANCE(A84, ""name"")"),"#N/A")</f>
        <v>#N/A</v>
      </c>
      <c r="D84" s="7" t="str">
        <f>IFERROR(__xludf.DUMMYFUNCTION("GOOGLEFINANCE(A84, ""price"")"),"#N/A")</f>
        <v>#N/A</v>
      </c>
      <c r="E84" s="8" t="str">
        <f>IFERROR(__xludf.DUMMYFUNCTION("GOOGLEFINANCE(A84, ""high52"")"),"#N/A")</f>
        <v>#N/A</v>
      </c>
      <c r="F84" s="7" t="str">
        <f>IFERROR(__xludf.DUMMYFUNCTION("GOOGLEFINANCE(A84, ""low52"")"),"#N/A")</f>
        <v>#N/A</v>
      </c>
      <c r="G84" s="10" t="str">
        <f>IFERROR(__xludf.DUMMYFUNCTION("((GOOGLEFINANCE(A84, ""price"") - GOOGLEFINANCE(A84, ""closeyest"")) / GOOGLEFINANCE(A84, ""closeyest"")) * 100"),"#N/A")</f>
        <v>#N/A</v>
      </c>
      <c r="I84" s="12" t="str">
        <f>IFERROR(__xludf.DUMMYFUNCTION("GOOGLEFINANCE(A84, ""eps"")"),"#N/A")</f>
        <v>#N/A</v>
      </c>
      <c r="J84" s="13" t="str">
        <f>IFERROR(__xludf.DUMMYFUNCTION("GOOGLEFINANCE(A84, ""pe"")"),"#N/A")</f>
        <v>#N/A</v>
      </c>
    </row>
    <row r="85">
      <c r="B85" s="6" t="str">
        <f>IFERROR(__xludf.DUMMYFUNCTION("GOOGLEFINANCE(A85, ""name"")"),"#N/A")</f>
        <v>#N/A</v>
      </c>
      <c r="D85" s="7" t="str">
        <f>IFERROR(__xludf.DUMMYFUNCTION("GOOGLEFINANCE(A85, ""price"")"),"#N/A")</f>
        <v>#N/A</v>
      </c>
      <c r="E85" s="8" t="str">
        <f>IFERROR(__xludf.DUMMYFUNCTION("GOOGLEFINANCE(A85, ""high52"")"),"#N/A")</f>
        <v>#N/A</v>
      </c>
      <c r="F85" s="15"/>
      <c r="G85" s="15"/>
      <c r="I85" s="16" t="str">
        <f>IFERROR(__xludf.DUMMYFUNCTION("GOOGLEFINANCE(A85, ""eps"")"),"#N/A")</f>
        <v>#N/A</v>
      </c>
      <c r="J85" s="17" t="str">
        <f>IFERROR(__xludf.DUMMYFUNCTION("GOOGLEFINANCE(A85, ""pe"")"),"#N/A")</f>
        <v>#N/A</v>
      </c>
    </row>
    <row r="86">
      <c r="B86" s="6" t="str">
        <f>IFERROR(__xludf.DUMMYFUNCTION("GOOGLEFINANCE(A86, ""name"")"),"#N/A")</f>
        <v>#N/A</v>
      </c>
      <c r="D86" s="7" t="str">
        <f>IFERROR(__xludf.DUMMYFUNCTION("GOOGLEFINANCE(A86, ""price"")"),"#N/A")</f>
        <v>#N/A</v>
      </c>
      <c r="E86" s="8" t="str">
        <f>IFERROR(__xludf.DUMMYFUNCTION("GOOGLEFINANCE(A86, ""high52"")"),"#N/A")</f>
        <v>#N/A</v>
      </c>
      <c r="F86" s="10"/>
      <c r="G86" s="10"/>
      <c r="I86" s="12" t="str">
        <f>IFERROR(__xludf.DUMMYFUNCTION("GOOGLEFINANCE(A86, ""eps"")"),"#N/A")</f>
        <v>#N/A</v>
      </c>
      <c r="J86" s="13" t="str">
        <f>IFERROR(__xludf.DUMMYFUNCTION("GOOGLEFINANCE(A86, ""pe"")"),"#N/A")</f>
        <v>#N/A</v>
      </c>
    </row>
    <row r="87">
      <c r="D87" s="15"/>
      <c r="E87" s="8" t="str">
        <f>IFERROR(__xludf.DUMMYFUNCTION("GOOGLEFINANCE(A87, ""high52"")"),"#N/A")</f>
        <v>#N/A</v>
      </c>
      <c r="F87" s="15"/>
      <c r="G87" s="15"/>
      <c r="I87" s="16" t="str">
        <f>IFERROR(__xludf.DUMMYFUNCTION("GOOGLEFINANCE(A87, ""eps"")"),"#N/A")</f>
        <v>#N/A</v>
      </c>
      <c r="J87" s="17" t="str">
        <f>IFERROR(__xludf.DUMMYFUNCTION("GOOGLEFINANCE(A87, ""pe"")"),"#N/A")</f>
        <v>#N/A</v>
      </c>
    </row>
    <row r="88">
      <c r="D88" s="10"/>
      <c r="E88" s="8" t="str">
        <f>IFERROR(__xludf.DUMMYFUNCTION("GOOGLEFINANCE(A88, ""high52"")"),"#N/A")</f>
        <v>#N/A</v>
      </c>
      <c r="F88" s="10"/>
      <c r="G88" s="10"/>
      <c r="I88" s="12" t="str">
        <f>IFERROR(__xludf.DUMMYFUNCTION("GOOGLEFINANCE(A88, ""eps"")"),"#N/A")</f>
        <v>#N/A</v>
      </c>
      <c r="J88" s="13" t="str">
        <f>IFERROR(__xludf.DUMMYFUNCTION("GOOGLEFINANCE(A88, ""pe"")"),"#N/A")</f>
        <v>#N/A</v>
      </c>
    </row>
    <row r="89">
      <c r="D89" s="15"/>
      <c r="E89" s="8" t="str">
        <f>IFERROR(__xludf.DUMMYFUNCTION("GOOGLEFINANCE(A89, ""high52"")"),"#N/A")</f>
        <v>#N/A</v>
      </c>
      <c r="F89" s="15"/>
      <c r="G89" s="15"/>
      <c r="I89" s="16" t="str">
        <f>IFERROR(__xludf.DUMMYFUNCTION("GOOGLEFINANCE(A89, ""eps"")"),"#N/A")</f>
        <v>#N/A</v>
      </c>
      <c r="J89" s="17" t="str">
        <f>IFERROR(__xludf.DUMMYFUNCTION("GOOGLEFINANCE(A89, ""pe"")"),"#N/A")</f>
        <v>#N/A</v>
      </c>
    </row>
    <row r="90">
      <c r="D90" s="10"/>
      <c r="E90" s="8" t="str">
        <f>IFERROR(__xludf.DUMMYFUNCTION("GOOGLEFINANCE(A90, ""high52"")"),"#N/A")</f>
        <v>#N/A</v>
      </c>
      <c r="F90" s="10"/>
      <c r="G90" s="10"/>
      <c r="I90" s="12"/>
      <c r="J90" s="13" t="str">
        <f>IFERROR(__xludf.DUMMYFUNCTION("GOOGLEFINANCE(A90, ""pe"")"),"#N/A")</f>
        <v>#N/A</v>
      </c>
    </row>
    <row r="91">
      <c r="D91" s="15"/>
      <c r="E91" s="7" t="str">
        <f>IFERROR(__xludf.DUMMYFUNCTION("GOOGLEFINANCE(A91, ""high52"")"),"#N/A")</f>
        <v>#N/A</v>
      </c>
      <c r="F91" s="15"/>
      <c r="G91" s="15"/>
      <c r="I91" s="16"/>
      <c r="J91" s="17" t="str">
        <f>IFERROR(__xludf.DUMMYFUNCTION("GOOGLEFINANCE(A91, ""pe"")"),"#N/A")</f>
        <v>#N/A</v>
      </c>
    </row>
    <row r="92">
      <c r="A92" s="21"/>
      <c r="B92" s="12"/>
      <c r="C92" s="12"/>
      <c r="D92" s="22"/>
      <c r="E92" s="23" t="str">
        <f>IFERROR(__xludf.DUMMYFUNCTION("GOOGLEFINANCE(A92, ""high52"")"),"#N/A")</f>
        <v>#N/A</v>
      </c>
      <c r="F92" s="22"/>
      <c r="G92" s="22"/>
      <c r="H92" s="12"/>
      <c r="I92" s="12"/>
      <c r="J92" s="13" t="str">
        <f>IFERROR(__xludf.DUMMYFUNCTION("GOOGLEFINANCE(A92, ""pe"")"),"#N/A")</f>
        <v>#N/A</v>
      </c>
    </row>
    <row r="93">
      <c r="A93" s="24"/>
      <c r="B93" s="16"/>
      <c r="C93" s="16"/>
      <c r="D93" s="25"/>
      <c r="E93" s="26" t="str">
        <f>IFERROR(__xludf.DUMMYFUNCTION("GOOGLEFINANCE(A93, ""high52"")"),"#N/A")</f>
        <v>#N/A</v>
      </c>
      <c r="F93" s="25"/>
      <c r="G93" s="25"/>
      <c r="H93" s="16"/>
      <c r="I93" s="16"/>
      <c r="J93" s="17" t="str">
        <f>IFERROR(__xludf.DUMMYFUNCTION("GOOGLEFINANCE(A93, ""pe"")"),"#N/A")</f>
        <v>#N/A</v>
      </c>
    </row>
    <row r="94">
      <c r="A94" s="21"/>
      <c r="B94" s="12"/>
      <c r="C94" s="12"/>
      <c r="D94" s="22"/>
      <c r="E94" s="23" t="str">
        <f>IFERROR(__xludf.DUMMYFUNCTION("GOOGLEFINANCE(A94, ""high52"")"),"#N/A")</f>
        <v>#N/A</v>
      </c>
      <c r="F94" s="22"/>
      <c r="G94" s="22"/>
      <c r="H94" s="12"/>
      <c r="I94" s="12"/>
      <c r="J94" s="13" t="str">
        <f>IFERROR(__xludf.DUMMYFUNCTION("GOOGLEFINANCE(A94, ""pe"")"),"#N/A")</f>
        <v>#N/A</v>
      </c>
    </row>
    <row r="95">
      <c r="A95" s="27"/>
      <c r="B95" s="28"/>
      <c r="C95" s="28"/>
      <c r="D95" s="29"/>
      <c r="E95" s="30" t="str">
        <f>IFERROR(__xludf.DUMMYFUNCTION("GOOGLEFINANCE(A95, ""high52"")"),"#N/A")</f>
        <v>#N/A</v>
      </c>
      <c r="F95" s="29"/>
      <c r="G95" s="29"/>
      <c r="H95" s="28"/>
      <c r="I95" s="28"/>
      <c r="J95" s="31" t="str">
        <f>IFERROR(__xludf.DUMMYFUNCTION("GOOGLEFINANCE(A95, ""pe"")"),"#N/A")</f>
        <v>#N/A</v>
      </c>
    </row>
  </sheetData>
  <dataValidations>
    <dataValidation type="custom" allowBlank="1" showDropDown="1" sqref="D2:G95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5.88"/>
    <col customWidth="1" min="3" max="3" width="31.25"/>
  </cols>
  <sheetData>
    <row r="1">
      <c r="A1" s="32" t="s">
        <v>116</v>
      </c>
      <c r="B1" s="32" t="s">
        <v>117</v>
      </c>
      <c r="C1" s="32" t="s">
        <v>118</v>
      </c>
      <c r="F1" s="33" t="s">
        <v>14</v>
      </c>
    </row>
    <row r="2">
      <c r="A2" s="34" t="s">
        <v>119</v>
      </c>
      <c r="B2" s="35" t="s">
        <v>47</v>
      </c>
      <c r="C2" s="35">
        <v>52.0</v>
      </c>
      <c r="F2" s="36" t="s">
        <v>120</v>
      </c>
      <c r="H2" s="36" t="s">
        <v>121</v>
      </c>
      <c r="I2" s="36" t="s">
        <v>122</v>
      </c>
    </row>
    <row r="3">
      <c r="A3" s="34" t="s">
        <v>119</v>
      </c>
      <c r="B3" s="35" t="s">
        <v>48</v>
      </c>
      <c r="C3" s="35">
        <v>35.0</v>
      </c>
      <c r="F3" s="36" t="s">
        <v>123</v>
      </c>
      <c r="H3" s="36" t="s">
        <v>124</v>
      </c>
    </row>
    <row r="4">
      <c r="A4" s="34" t="s">
        <v>119</v>
      </c>
      <c r="B4" s="35" t="s">
        <v>74</v>
      </c>
      <c r="C4" s="35">
        <v>154.0</v>
      </c>
      <c r="F4" s="37" t="s">
        <v>125</v>
      </c>
      <c r="H4" s="36" t="s">
        <v>126</v>
      </c>
    </row>
    <row r="5">
      <c r="A5" s="34" t="s">
        <v>119</v>
      </c>
      <c r="B5" s="35" t="s">
        <v>46</v>
      </c>
      <c r="C5" s="35">
        <v>39.0</v>
      </c>
      <c r="F5" s="36" t="s">
        <v>127</v>
      </c>
    </row>
    <row r="6">
      <c r="A6" s="34" t="s">
        <v>119</v>
      </c>
      <c r="B6" s="35" t="s">
        <v>61</v>
      </c>
      <c r="C6" s="35">
        <v>103.0</v>
      </c>
      <c r="F6" s="36" t="s">
        <v>128</v>
      </c>
    </row>
    <row r="7">
      <c r="A7" s="34" t="s">
        <v>119</v>
      </c>
      <c r="B7" s="35" t="s">
        <v>33</v>
      </c>
      <c r="C7" s="35">
        <v>84.0</v>
      </c>
      <c r="F7" s="36" t="s">
        <v>129</v>
      </c>
    </row>
    <row r="8">
      <c r="A8" s="34" t="s">
        <v>119</v>
      </c>
      <c r="B8" s="35" t="s">
        <v>10</v>
      </c>
      <c r="C8" s="35">
        <v>0.0</v>
      </c>
      <c r="F8" s="36" t="s">
        <v>130</v>
      </c>
    </row>
    <row r="9">
      <c r="A9" s="34" t="s">
        <v>119</v>
      </c>
      <c r="B9" s="35" t="s">
        <v>69</v>
      </c>
      <c r="C9" s="35">
        <v>0.0</v>
      </c>
      <c r="F9" s="36" t="s">
        <v>124</v>
      </c>
    </row>
    <row r="10">
      <c r="A10" s="34" t="s">
        <v>119</v>
      </c>
      <c r="B10" s="35" t="s">
        <v>32</v>
      </c>
      <c r="C10" s="35">
        <v>0.0</v>
      </c>
    </row>
    <row r="11">
      <c r="A11" s="34" t="s">
        <v>119</v>
      </c>
      <c r="B11" s="35" t="s">
        <v>12</v>
      </c>
      <c r="C11" s="35">
        <v>22.0</v>
      </c>
    </row>
    <row r="12">
      <c r="A12" s="34" t="s">
        <v>131</v>
      </c>
      <c r="B12" s="35" t="s">
        <v>18</v>
      </c>
      <c r="C12" s="35">
        <v>0.0</v>
      </c>
    </row>
    <row r="13">
      <c r="A13" s="34" t="s">
        <v>131</v>
      </c>
      <c r="B13" s="35" t="s">
        <v>16</v>
      </c>
      <c r="C13" s="35">
        <v>121.0</v>
      </c>
    </row>
    <row r="14">
      <c r="A14" s="34" t="s">
        <v>131</v>
      </c>
      <c r="B14" s="35" t="s">
        <v>36</v>
      </c>
      <c r="C14" s="35">
        <v>0.0</v>
      </c>
    </row>
    <row r="15">
      <c r="A15" s="34" t="s">
        <v>131</v>
      </c>
      <c r="B15" s="35" t="s">
        <v>132</v>
      </c>
      <c r="C15" s="35">
        <v>0.0</v>
      </c>
    </row>
    <row r="16">
      <c r="A16" s="34" t="s">
        <v>131</v>
      </c>
      <c r="B16" s="35" t="s">
        <v>133</v>
      </c>
      <c r="C16" s="35">
        <v>0.0</v>
      </c>
    </row>
    <row r="17">
      <c r="A17" s="34" t="s">
        <v>131</v>
      </c>
      <c r="B17" s="35" t="s">
        <v>29</v>
      </c>
      <c r="C17" s="35">
        <v>142.0</v>
      </c>
    </row>
    <row r="18">
      <c r="A18" s="34" t="s">
        <v>131</v>
      </c>
      <c r="B18" s="35" t="s">
        <v>57</v>
      </c>
      <c r="C18" s="35">
        <v>0.0</v>
      </c>
    </row>
    <row r="19">
      <c r="A19" s="34" t="s">
        <v>131</v>
      </c>
      <c r="B19" s="35" t="s">
        <v>25</v>
      </c>
      <c r="C19" s="35">
        <v>0.0</v>
      </c>
    </row>
    <row r="20">
      <c r="A20" s="34" t="s">
        <v>134</v>
      </c>
      <c r="B20" s="35" t="s">
        <v>14</v>
      </c>
      <c r="C20" s="35">
        <v>0.0</v>
      </c>
    </row>
    <row r="21">
      <c r="A21" s="34" t="s">
        <v>134</v>
      </c>
      <c r="B21" s="35" t="s">
        <v>135</v>
      </c>
      <c r="C21" s="35">
        <v>0.0</v>
      </c>
    </row>
    <row r="22">
      <c r="A22" s="34" t="s">
        <v>134</v>
      </c>
      <c r="B22" s="35" t="s">
        <v>136</v>
      </c>
      <c r="C22" s="35">
        <v>0.0</v>
      </c>
    </row>
    <row r="23">
      <c r="A23" s="34" t="s">
        <v>134</v>
      </c>
      <c r="B23" s="35" t="s">
        <v>111</v>
      </c>
      <c r="C23" s="35">
        <v>82.0</v>
      </c>
    </row>
    <row r="24">
      <c r="A24" s="34" t="s">
        <v>134</v>
      </c>
      <c r="B24" s="35" t="s">
        <v>115</v>
      </c>
      <c r="C24" s="35">
        <v>51.0</v>
      </c>
    </row>
    <row r="25">
      <c r="A25" s="34" t="s">
        <v>134</v>
      </c>
      <c r="B25" s="35" t="s">
        <v>137</v>
      </c>
      <c r="C25" s="35">
        <v>60.0</v>
      </c>
    </row>
    <row r="26">
      <c r="A26" s="34" t="s">
        <v>134</v>
      </c>
      <c r="B26" s="35" t="s">
        <v>120</v>
      </c>
      <c r="C26" s="35">
        <v>37.0</v>
      </c>
    </row>
    <row r="27">
      <c r="A27" s="34" t="s">
        <v>134</v>
      </c>
      <c r="B27" s="35" t="s">
        <v>125</v>
      </c>
      <c r="C27" s="35">
        <v>133.33</v>
      </c>
    </row>
    <row r="28">
      <c r="A28" s="34" t="s">
        <v>138</v>
      </c>
      <c r="B28" s="35" t="s">
        <v>64</v>
      </c>
      <c r="C28" s="35">
        <v>142.0</v>
      </c>
    </row>
    <row r="29">
      <c r="A29" s="34" t="s">
        <v>138</v>
      </c>
      <c r="B29" s="35" t="s">
        <v>77</v>
      </c>
      <c r="C29" s="35">
        <v>51.0</v>
      </c>
    </row>
    <row r="30">
      <c r="A30" s="34" t="s">
        <v>138</v>
      </c>
      <c r="B30" s="35" t="s">
        <v>79</v>
      </c>
      <c r="C30" s="35">
        <v>75.0</v>
      </c>
    </row>
    <row r="31">
      <c r="A31" s="34" t="s">
        <v>138</v>
      </c>
      <c r="B31" s="35" t="s">
        <v>82</v>
      </c>
      <c r="C31" s="35">
        <v>67.0</v>
      </c>
    </row>
    <row r="32">
      <c r="A32" s="34" t="s">
        <v>139</v>
      </c>
      <c r="B32" s="35" t="s">
        <v>88</v>
      </c>
      <c r="C32" s="35">
        <v>24.0</v>
      </c>
    </row>
    <row r="33">
      <c r="A33" s="34" t="s">
        <v>139</v>
      </c>
      <c r="B33" s="35" t="s">
        <v>94</v>
      </c>
      <c r="C33" s="35">
        <v>133.33</v>
      </c>
    </row>
    <row r="34">
      <c r="A34" s="34" t="s">
        <v>139</v>
      </c>
      <c r="B34" s="35" t="s">
        <v>103</v>
      </c>
      <c r="C34" s="35">
        <v>133.0</v>
      </c>
    </row>
    <row r="35">
      <c r="A35" s="34" t="s">
        <v>139</v>
      </c>
      <c r="B35" s="35" t="s">
        <v>90</v>
      </c>
      <c r="C35" s="35">
        <v>133.33</v>
      </c>
    </row>
    <row r="36">
      <c r="A36" s="34" t="s">
        <v>140</v>
      </c>
      <c r="B36" s="35" t="s">
        <v>128</v>
      </c>
      <c r="C36" s="35">
        <v>133.33</v>
      </c>
    </row>
    <row r="37">
      <c r="A37" s="34" t="s">
        <v>141</v>
      </c>
      <c r="B37" s="35" t="s">
        <v>142</v>
      </c>
      <c r="C37" s="35">
        <v>131.0</v>
      </c>
    </row>
    <row r="38">
      <c r="A38" s="34" t="s">
        <v>141</v>
      </c>
      <c r="B38" s="35" t="s">
        <v>114</v>
      </c>
      <c r="C38" s="35">
        <v>572.14</v>
      </c>
    </row>
    <row r="39">
      <c r="A39" s="34" t="s">
        <v>69</v>
      </c>
      <c r="B39" s="35" t="s">
        <v>86</v>
      </c>
      <c r="C39" s="35">
        <v>75.0</v>
      </c>
    </row>
    <row r="40">
      <c r="A40" s="34" t="s">
        <v>69</v>
      </c>
      <c r="B40" s="35" t="s">
        <v>75</v>
      </c>
      <c r="C40" s="35">
        <v>260.48</v>
      </c>
    </row>
    <row r="41">
      <c r="A41" s="34" t="s">
        <v>143</v>
      </c>
      <c r="B41" s="35" t="s">
        <v>144</v>
      </c>
      <c r="C41" s="35">
        <v>180.0</v>
      </c>
    </row>
    <row r="42">
      <c r="A42" s="34" t="s">
        <v>139</v>
      </c>
      <c r="B42" s="35" t="s">
        <v>70</v>
      </c>
      <c r="C42" s="35">
        <v>160.0</v>
      </c>
    </row>
    <row r="43">
      <c r="A43" s="34" t="s">
        <v>138</v>
      </c>
      <c r="B43" s="35" t="s">
        <v>64</v>
      </c>
      <c r="C43" s="35">
        <v>142.0</v>
      </c>
    </row>
    <row r="44">
      <c r="A44" s="34" t="s">
        <v>145</v>
      </c>
      <c r="B44" s="35" t="s">
        <v>146</v>
      </c>
      <c r="C44" s="35">
        <v>22.0</v>
      </c>
    </row>
    <row r="45">
      <c r="A45" s="34" t="s">
        <v>147</v>
      </c>
      <c r="B45" s="35" t="s">
        <v>148</v>
      </c>
      <c r="C45" s="35">
        <v>46.0</v>
      </c>
    </row>
    <row r="46">
      <c r="A46" s="34" t="s">
        <v>139</v>
      </c>
      <c r="B46" s="35" t="s">
        <v>49</v>
      </c>
      <c r="C46" s="35"/>
    </row>
    <row r="47">
      <c r="A47" s="34" t="s">
        <v>139</v>
      </c>
      <c r="B47" s="35" t="s">
        <v>49</v>
      </c>
      <c r="C47" s="35"/>
    </row>
    <row r="48">
      <c r="A48" s="34" t="s">
        <v>139</v>
      </c>
      <c r="B48" s="35" t="s">
        <v>49</v>
      </c>
      <c r="C48" s="35"/>
    </row>
    <row r="49">
      <c r="A49" s="34" t="s">
        <v>139</v>
      </c>
      <c r="B49" s="35" t="s">
        <v>49</v>
      </c>
      <c r="C49" s="35"/>
    </row>
    <row r="50">
      <c r="A50" s="34" t="s">
        <v>147</v>
      </c>
      <c r="B50" s="35" t="s">
        <v>149</v>
      </c>
      <c r="C50" s="35"/>
    </row>
    <row r="51">
      <c r="A51" s="34" t="s">
        <v>147</v>
      </c>
      <c r="B51" s="35" t="s">
        <v>149</v>
      </c>
      <c r="C51" s="35"/>
    </row>
    <row r="52">
      <c r="A52" s="34" t="s">
        <v>147</v>
      </c>
      <c r="B52" s="35" t="s">
        <v>149</v>
      </c>
      <c r="C52" s="35"/>
    </row>
    <row r="53">
      <c r="A53" s="34" t="s">
        <v>147</v>
      </c>
      <c r="B53" s="35" t="s">
        <v>149</v>
      </c>
      <c r="C53" s="35"/>
    </row>
    <row r="54">
      <c r="A54" s="34" t="s">
        <v>147</v>
      </c>
      <c r="B54" s="35" t="s">
        <v>149</v>
      </c>
      <c r="C54" s="35"/>
    </row>
    <row r="55">
      <c r="A55" s="34" t="s">
        <v>147</v>
      </c>
      <c r="B55" s="35" t="s">
        <v>149</v>
      </c>
      <c r="C55" s="35"/>
    </row>
    <row r="56">
      <c r="A56" s="34" t="s">
        <v>147</v>
      </c>
      <c r="B56" s="35" t="s">
        <v>149</v>
      </c>
      <c r="C56" s="35"/>
    </row>
    <row r="57">
      <c r="A57" s="34" t="s">
        <v>147</v>
      </c>
      <c r="B57" s="35" t="s">
        <v>149</v>
      </c>
      <c r="C57" s="35"/>
    </row>
    <row r="58">
      <c r="A58" s="34" t="s">
        <v>147</v>
      </c>
      <c r="B58" s="35" t="s">
        <v>149</v>
      </c>
      <c r="C58" s="35"/>
    </row>
    <row r="59">
      <c r="A59" s="34" t="s">
        <v>147</v>
      </c>
      <c r="B59" s="35" t="s">
        <v>149</v>
      </c>
      <c r="C59" s="35"/>
    </row>
    <row r="60">
      <c r="A60" s="34" t="s">
        <v>147</v>
      </c>
      <c r="B60" s="35" t="s">
        <v>149</v>
      </c>
      <c r="C60" s="35"/>
    </row>
    <row r="61">
      <c r="A61" s="34" t="s">
        <v>147</v>
      </c>
      <c r="B61" s="35" t="s">
        <v>149</v>
      </c>
      <c r="C61" s="35"/>
    </row>
    <row r="62">
      <c r="A62" s="34" t="s">
        <v>147</v>
      </c>
      <c r="B62" s="35" t="s">
        <v>149</v>
      </c>
      <c r="C62" s="35"/>
    </row>
    <row r="63">
      <c r="A63" s="34" t="s">
        <v>147</v>
      </c>
      <c r="B63" s="35" t="s">
        <v>149</v>
      </c>
      <c r="C63" s="35"/>
    </row>
    <row r="64">
      <c r="A64" s="34" t="s">
        <v>147</v>
      </c>
      <c r="B64" s="35" t="s">
        <v>149</v>
      </c>
      <c r="C64" s="35"/>
    </row>
    <row r="65">
      <c r="C65" s="35"/>
    </row>
    <row r="66">
      <c r="C66" s="35"/>
    </row>
    <row r="67">
      <c r="C67" s="35"/>
    </row>
  </sheetData>
  <drawing r:id="rId1"/>
</worksheet>
</file>