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User\Documents\GitHub\CCHW\other\"/>
    </mc:Choice>
  </mc:AlternateContent>
  <xr:revisionPtr revIDLastSave="0" documentId="13_ncr:1_{7B1A192B-9ABB-4F7C-A530-CB00F3692B08}" xr6:coauthVersionLast="46" xr6:coauthVersionMax="46" xr10:uidLastSave="{00000000-0000-0000-0000-000000000000}"/>
  <bookViews>
    <workbookView xWindow="-28920" yWindow="-120" windowWidth="29040" windowHeight="15840" xr2:uid="{9DBF0F91-83D7-4F64-B04C-B7CB81DC62E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2" i="1" l="1"/>
  <c r="J109" i="1"/>
  <c r="H109" i="1"/>
  <c r="I109" i="1" s="1"/>
  <c r="K109" i="1" s="1" a="1"/>
  <c r="K109" i="1" s="1"/>
  <c r="B51" i="1"/>
  <c r="C51" i="1" s="1"/>
  <c r="I50" i="1"/>
  <c r="G50" i="1" s="1"/>
  <c r="I51" i="1"/>
  <c r="G51" i="1" s="1"/>
  <c r="I52" i="1"/>
  <c r="G52" i="1" s="1"/>
  <c r="O57" i="1"/>
  <c r="N56" i="1"/>
  <c r="N55" i="1"/>
  <c r="O52" i="1"/>
  <c r="O51" i="1"/>
  <c r="M54" i="1"/>
  <c r="M53" i="1"/>
  <c r="E44" i="1"/>
  <c r="E46" i="1"/>
  <c r="E45" i="1"/>
  <c r="C39" i="1"/>
  <c r="I41" i="1"/>
  <c r="H41" i="1" s="1"/>
  <c r="F37" i="1"/>
  <c r="E37" i="1"/>
  <c r="H37" i="1" s="1"/>
  <c r="I37" i="1" s="1"/>
  <c r="F36" i="1"/>
  <c r="E36" i="1"/>
  <c r="H36" i="1" s="1"/>
  <c r="I36" i="1" s="1"/>
  <c r="F35" i="1"/>
  <c r="E35" i="1"/>
  <c r="H35" i="1" s="1"/>
  <c r="I35" i="1" s="1"/>
  <c r="F34" i="1"/>
  <c r="E34" i="1"/>
  <c r="H34" i="1" s="1"/>
  <c r="I34" i="1" s="1"/>
  <c r="F33" i="1"/>
  <c r="E33" i="1"/>
  <c r="H33" i="1" s="1"/>
  <c r="I33" i="1" s="1"/>
  <c r="F32" i="1"/>
  <c r="E32" i="1"/>
  <c r="H32" i="1" s="1"/>
  <c r="I32" i="1" s="1"/>
  <c r="F31" i="1"/>
  <c r="E31" i="1"/>
  <c r="H31" i="1" s="1"/>
  <c r="I31" i="1" s="1"/>
  <c r="F30" i="1"/>
  <c r="E30" i="1"/>
  <c r="H30" i="1" s="1"/>
  <c r="I30" i="1" s="1"/>
  <c r="F29" i="1"/>
  <c r="E29" i="1"/>
  <c r="H29" i="1" s="1"/>
  <c r="I29" i="1" s="1"/>
  <c r="F28" i="1"/>
  <c r="E28" i="1"/>
  <c r="H28" i="1" s="1"/>
  <c r="I28" i="1" s="1"/>
  <c r="F27" i="1"/>
  <c r="E27" i="1"/>
  <c r="H27" i="1" s="1"/>
  <c r="I27" i="1" s="1"/>
  <c r="F26" i="1"/>
  <c r="E26" i="1"/>
  <c r="H26" i="1" s="1"/>
  <c r="H104" i="1" a="1"/>
  <c r="H97" i="1" a="1"/>
  <c r="H105" i="1" a="1"/>
  <c r="H102" i="1" a="1"/>
  <c r="H90" i="1" a="1"/>
  <c r="H103" i="1" a="1"/>
  <c r="H101" i="1" a="1"/>
  <c r="H91" i="1" a="1"/>
  <c r="H93" i="1" a="1"/>
  <c r="H99" i="1" a="1"/>
  <c r="H89" i="1" a="1"/>
  <c r="H88" i="1" a="1"/>
  <c r="H94" i="1" a="1"/>
  <c r="H100" i="1" a="1"/>
  <c r="H87" i="1" a="1"/>
  <c r="H107" i="1" a="1"/>
  <c r="H98" i="1" a="1"/>
  <c r="H86" i="1" a="1"/>
  <c r="H83" i="1" a="1"/>
  <c r="H108" i="1" a="1"/>
  <c r="H85" i="1" a="1"/>
  <c r="H84" i="1" a="1"/>
  <c r="H106" i="1" a="1"/>
  <c r="H92" i="1" a="1"/>
  <c r="L109" i="1" l="1" a="1"/>
  <c r="L109" i="1" s="1"/>
  <c r="M109" i="1" s="1"/>
  <c r="N109" i="1" s="1"/>
  <c r="O109" i="1" s="1"/>
  <c r="P109" i="1" s="1"/>
  <c r="Q109" i="1" s="1"/>
  <c r="E109" i="1" s="1"/>
  <c r="H107" i="1"/>
  <c r="I107" i="1" s="1"/>
  <c r="H105" i="1"/>
  <c r="I105" i="1" s="1"/>
  <c r="H103" i="1"/>
  <c r="I103" i="1" s="1"/>
  <c r="H101" i="1"/>
  <c r="I101" i="1" s="1"/>
  <c r="H99" i="1"/>
  <c r="I99" i="1" s="1"/>
  <c r="H108" i="1"/>
  <c r="H106" i="1"/>
  <c r="I106" i="1" s="1"/>
  <c r="H104" i="1"/>
  <c r="I104" i="1" s="1"/>
  <c r="H102" i="1"/>
  <c r="I102" i="1" s="1"/>
  <c r="H100" i="1"/>
  <c r="I100" i="1" s="1"/>
  <c r="H98" i="1"/>
  <c r="I98" i="1" s="1"/>
  <c r="H97" i="1"/>
  <c r="H93" i="1"/>
  <c r="H91" i="1"/>
  <c r="H89" i="1"/>
  <c r="H87" i="1"/>
  <c r="H85" i="1"/>
  <c r="H94" i="1"/>
  <c r="H92" i="1"/>
  <c r="H90" i="1"/>
  <c r="H88" i="1"/>
  <c r="H86" i="1"/>
  <c r="H84" i="1"/>
  <c r="H83" i="1"/>
  <c r="K51" i="1"/>
  <c r="J51" i="1"/>
  <c r="H50" i="1"/>
  <c r="H52" i="1"/>
  <c r="H51" i="1"/>
  <c r="G41" i="1"/>
  <c r="J41" i="1"/>
  <c r="D34" i="1"/>
  <c r="G34" i="1" s="1"/>
  <c r="D30" i="1"/>
  <c r="G30" i="1" s="1"/>
  <c r="D37" i="1"/>
  <c r="G37" i="1" s="1"/>
  <c r="D33" i="1"/>
  <c r="G33" i="1" s="1"/>
  <c r="D29" i="1"/>
  <c r="G29" i="1" s="1"/>
  <c r="D36" i="1"/>
  <c r="G36" i="1" s="1"/>
  <c r="D32" i="1"/>
  <c r="G32" i="1" s="1"/>
  <c r="D28" i="1"/>
  <c r="D35" i="1"/>
  <c r="G35" i="1" s="1"/>
  <c r="D31" i="1"/>
  <c r="G31" i="1" s="1"/>
  <c r="D27" i="1"/>
  <c r="G27" i="1" s="1"/>
  <c r="D26" i="1"/>
  <c r="J26" i="1"/>
  <c r="I26" i="1"/>
  <c r="I108" i="1" l="1"/>
  <c r="F97" i="1"/>
  <c r="I97" i="1"/>
  <c r="F108" i="1"/>
  <c r="J108" i="1" s="1"/>
  <c r="K53" i="1"/>
  <c r="K55" i="1" s="1"/>
  <c r="K57" i="1" s="1"/>
  <c r="L51" i="1" s="1"/>
  <c r="F105" i="1"/>
  <c r="J105" i="1" s="1"/>
  <c r="F102" i="1"/>
  <c r="J102" i="1" s="1"/>
  <c r="F99" i="1"/>
  <c r="J99" i="1" s="1"/>
  <c r="F107" i="1"/>
  <c r="J107" i="1" s="1"/>
  <c r="F104" i="1"/>
  <c r="J104" i="1" s="1"/>
  <c r="F101" i="1"/>
  <c r="J101" i="1" s="1"/>
  <c r="F98" i="1"/>
  <c r="J98" i="1" s="1"/>
  <c r="F106" i="1"/>
  <c r="J106" i="1" s="1"/>
  <c r="F103" i="1"/>
  <c r="J103" i="1" s="1"/>
  <c r="F100" i="1"/>
  <c r="J100" i="1" s="1"/>
  <c r="F90" i="1"/>
  <c r="F87" i="1"/>
  <c r="F84" i="1"/>
  <c r="F92" i="1"/>
  <c r="F89" i="1"/>
  <c r="F86" i="1"/>
  <c r="F94" i="1"/>
  <c r="F91" i="1"/>
  <c r="F88" i="1"/>
  <c r="F85" i="1"/>
  <c r="F93" i="1"/>
  <c r="F83" i="1"/>
  <c r="I84" i="1"/>
  <c r="I87" i="1" s="1"/>
  <c r="G26" i="1"/>
  <c r="G28" i="1"/>
  <c r="J53" i="1"/>
  <c r="J55" i="1"/>
  <c r="J45" i="1"/>
  <c r="K41" i="1" s="1"/>
  <c r="J44" i="1"/>
  <c r="J27" i="1"/>
  <c r="J31" i="1" s="1"/>
  <c r="J30" i="1"/>
  <c r="J90" i="1" l="1"/>
  <c r="K90" i="1" s="1"/>
  <c r="L90" i="1" s="1"/>
  <c r="L119" i="1" s="1"/>
  <c r="M119" i="1" s="1"/>
  <c r="N119" i="1" s="1"/>
  <c r="O119" i="1" s="1"/>
  <c r="P119" i="1" s="1"/>
  <c r="K98" i="1" a="1"/>
  <c r="K98" i="1" s="1"/>
  <c r="K99" i="1" a="1"/>
  <c r="K99" i="1" s="1"/>
  <c r="L99" i="1" s="1" a="1"/>
  <c r="L99" i="1" s="1"/>
  <c r="K108" i="1" a="1"/>
  <c r="K108" i="1" s="1"/>
  <c r="K100" i="1" a="1"/>
  <c r="K100" i="1" s="1"/>
  <c r="L100" i="1" s="1" a="1"/>
  <c r="L100" i="1" s="1"/>
  <c r="M100" i="1" s="1"/>
  <c r="N100" i="1" s="1"/>
  <c r="O100" i="1" s="1"/>
  <c r="K101" i="1" a="1"/>
  <c r="K101" i="1" s="1"/>
  <c r="L101" i="1" s="1" a="1"/>
  <c r="L101" i="1" s="1"/>
  <c r="M101" i="1" s="1"/>
  <c r="N101" i="1" s="1"/>
  <c r="O101" i="1" s="1"/>
  <c r="K102" i="1" a="1"/>
  <c r="K102" i="1" s="1"/>
  <c r="L102" i="1" s="1" a="1"/>
  <c r="L102" i="1" s="1"/>
  <c r="M102" i="1" s="1"/>
  <c r="N102" i="1" s="1"/>
  <c r="O102" i="1" s="1"/>
  <c r="K103" i="1" a="1"/>
  <c r="K103" i="1" s="1"/>
  <c r="K104" i="1" a="1"/>
  <c r="K104" i="1" s="1"/>
  <c r="L104" i="1" s="1" a="1"/>
  <c r="L104" i="1" s="1"/>
  <c r="M104" i="1" s="1"/>
  <c r="N104" i="1" s="1"/>
  <c r="O104" i="1" s="1"/>
  <c r="K105" i="1" a="1"/>
  <c r="K105" i="1" s="1"/>
  <c r="L105" i="1" s="1" a="1"/>
  <c r="L105" i="1" s="1"/>
  <c r="M105" i="1" s="1"/>
  <c r="N105" i="1" s="1"/>
  <c r="O105" i="1" s="1"/>
  <c r="K106" i="1" a="1"/>
  <c r="K106" i="1" s="1"/>
  <c r="L106" i="1" s="1" a="1"/>
  <c r="L106" i="1" s="1"/>
  <c r="M106" i="1" s="1"/>
  <c r="N106" i="1" s="1"/>
  <c r="O106" i="1" s="1"/>
  <c r="K107" i="1" a="1"/>
  <c r="K107" i="1" s="1"/>
  <c r="L107" i="1" s="1" a="1"/>
  <c r="L107" i="1" s="1"/>
  <c r="M107" i="1" s="1"/>
  <c r="N107" i="1" s="1"/>
  <c r="O107" i="1" s="1"/>
  <c r="J97" i="1"/>
  <c r="K97" i="1" s="1" a="1"/>
  <c r="K97" i="1" s="1"/>
  <c r="N53" i="1"/>
  <c r="O54" i="1"/>
  <c r="M56" i="1"/>
  <c r="O55" i="1"/>
  <c r="M57" i="1"/>
  <c r="N52" i="1"/>
  <c r="M51" i="1"/>
  <c r="J91" i="1"/>
  <c r="K91" i="1" s="1"/>
  <c r="J85" i="1"/>
  <c r="K85" i="1" s="1"/>
  <c r="J87" i="1"/>
  <c r="K87" i="1" s="1"/>
  <c r="J83" i="1"/>
  <c r="K83" i="1" s="1"/>
  <c r="J92" i="1"/>
  <c r="K92" i="1" s="1"/>
  <c r="J86" i="1"/>
  <c r="K86" i="1" s="1"/>
  <c r="J93" i="1"/>
  <c r="K93" i="1" s="1"/>
  <c r="J88" i="1"/>
  <c r="K88" i="1" s="1"/>
  <c r="J94" i="1"/>
  <c r="K94" i="1" s="1"/>
  <c r="J89" i="1"/>
  <c r="K89" i="1" s="1"/>
  <c r="J84" i="1"/>
  <c r="K84" i="1" s="1"/>
  <c r="I85" i="1"/>
  <c r="I88" i="1" s="1"/>
  <c r="L55" i="1"/>
  <c r="L59" i="1" s="1"/>
  <c r="L53" i="1"/>
  <c r="L57" i="1" s="1"/>
  <c r="H45" i="1"/>
  <c r="H46" i="1"/>
  <c r="H44" i="1"/>
  <c r="K26" i="1"/>
  <c r="M26" i="1" s="1"/>
  <c r="K34" i="1"/>
  <c r="M34" i="1" s="1"/>
  <c r="K30" i="1"/>
  <c r="M30" i="1" s="1"/>
  <c r="K27" i="1"/>
  <c r="M27" i="1" s="1"/>
  <c r="K37" i="1"/>
  <c r="M37" i="1" s="1"/>
  <c r="K36" i="1"/>
  <c r="M36" i="1" s="1"/>
  <c r="K33" i="1"/>
  <c r="M33" i="1" s="1"/>
  <c r="K32" i="1"/>
  <c r="M32" i="1" s="1"/>
  <c r="K35" i="1"/>
  <c r="M35" i="1" s="1"/>
  <c r="K31" i="1"/>
  <c r="M31" i="1" s="1"/>
  <c r="K29" i="1"/>
  <c r="M29" i="1" s="1"/>
  <c r="K28" i="1"/>
  <c r="M28" i="1" s="1"/>
  <c r="P104" i="1" l="1"/>
  <c r="Q104" i="1" s="1"/>
  <c r="P107" i="1"/>
  <c r="Q107" i="1" s="1"/>
  <c r="P106" i="1"/>
  <c r="Q106" i="1" s="1"/>
  <c r="P102" i="1"/>
  <c r="Q102" i="1" s="1"/>
  <c r="P100" i="1"/>
  <c r="Q100" i="1" s="1"/>
  <c r="P105" i="1"/>
  <c r="Q105" i="1" s="1"/>
  <c r="P101" i="1"/>
  <c r="Q101" i="1" s="1"/>
  <c r="M99" i="1"/>
  <c r="L98" i="1" a="1"/>
  <c r="L98" i="1" s="1"/>
  <c r="L108" i="1" a="1"/>
  <c r="L108" i="1" s="1"/>
  <c r="M108" i="1" s="1"/>
  <c r="N108" i="1" s="1"/>
  <c r="O108" i="1" s="1"/>
  <c r="L103" i="1" a="1"/>
  <c r="L103" i="1" s="1"/>
  <c r="L97" i="1" a="1"/>
  <c r="L97" i="1" s="1"/>
  <c r="M97" i="1" s="1"/>
  <c r="N97" i="1" s="1"/>
  <c r="O97" i="1" s="1"/>
  <c r="P97" i="1" s="1"/>
  <c r="N91" i="1"/>
  <c r="L84" i="1"/>
  <c r="L113" i="1" s="1"/>
  <c r="M113" i="1" s="1"/>
  <c r="N113" i="1" s="1"/>
  <c r="O113" i="1" s="1"/>
  <c r="P113" i="1" s="1"/>
  <c r="L86" i="1"/>
  <c r="L115" i="1" s="1"/>
  <c r="M115" i="1" s="1"/>
  <c r="N115" i="1" s="1"/>
  <c r="O115" i="1" s="1"/>
  <c r="P115" i="1" s="1"/>
  <c r="L93" i="1"/>
  <c r="L122" i="1" s="1"/>
  <c r="M122" i="1" s="1"/>
  <c r="N122" i="1" s="1"/>
  <c r="O122" i="1" s="1"/>
  <c r="P122" i="1" s="1"/>
  <c r="L89" i="1"/>
  <c r="L118" i="1" s="1"/>
  <c r="M118" i="1" s="1"/>
  <c r="N118" i="1" s="1"/>
  <c r="O118" i="1" s="1"/>
  <c r="P118" i="1" s="1"/>
  <c r="L85" i="1"/>
  <c r="L114" i="1" s="1"/>
  <c r="M114" i="1" s="1"/>
  <c r="N114" i="1" s="1"/>
  <c r="O114" i="1" s="1"/>
  <c r="P114" i="1" s="1"/>
  <c r="L94" i="1"/>
  <c r="L123" i="1" s="1"/>
  <c r="M123" i="1" s="1"/>
  <c r="N123" i="1" s="1"/>
  <c r="O123" i="1" s="1"/>
  <c r="P123" i="1" s="1"/>
  <c r="L92" i="1"/>
  <c r="L121" i="1" s="1"/>
  <c r="M121" i="1" s="1"/>
  <c r="N121" i="1" s="1"/>
  <c r="O121" i="1" s="1"/>
  <c r="P121" i="1" s="1"/>
  <c r="L91" i="1"/>
  <c r="L120" i="1" s="1"/>
  <c r="M120" i="1" s="1"/>
  <c r="N120" i="1" s="1"/>
  <c r="O120" i="1" s="1"/>
  <c r="P120" i="1" s="1"/>
  <c r="L87" i="1"/>
  <c r="L116" i="1" s="1"/>
  <c r="M116" i="1" s="1"/>
  <c r="N116" i="1" s="1"/>
  <c r="O116" i="1" s="1"/>
  <c r="P116" i="1" s="1"/>
  <c r="L88" i="1"/>
  <c r="L117" i="1" s="1"/>
  <c r="M117" i="1" s="1"/>
  <c r="N117" i="1" s="1"/>
  <c r="O117" i="1" s="1"/>
  <c r="P117" i="1" s="1"/>
  <c r="L83" i="1"/>
  <c r="L112" i="1" s="1"/>
  <c r="M112" i="1" s="1"/>
  <c r="I90" i="1"/>
  <c r="I126" i="1" s="1"/>
  <c r="J127" i="1" s="1"/>
  <c r="O53" i="1"/>
  <c r="P53" i="1" s="1"/>
  <c r="L63" i="1"/>
  <c r="N54" i="1"/>
  <c r="P54" i="1" s="1"/>
  <c r="O56" i="1"/>
  <c r="P56" i="1" s="1"/>
  <c r="N51" i="1"/>
  <c r="P51" i="1" s="1"/>
  <c r="N57" i="1"/>
  <c r="M52" i="1"/>
  <c r="P52" i="1" s="1"/>
  <c r="M55" i="1"/>
  <c r="P55" i="1" s="1"/>
  <c r="K44" i="1"/>
  <c r="K45" i="1" s="1"/>
  <c r="L28" i="1"/>
  <c r="G65" i="1" s="1"/>
  <c r="L32" i="1"/>
  <c r="G69" i="1" s="1"/>
  <c r="L27" i="1"/>
  <c r="G64" i="1" s="1"/>
  <c r="L29" i="1"/>
  <c r="G66" i="1" s="1"/>
  <c r="L33" i="1"/>
  <c r="G70" i="1" s="1"/>
  <c r="L30" i="1"/>
  <c r="G67" i="1" s="1"/>
  <c r="L31" i="1"/>
  <c r="G68" i="1" s="1"/>
  <c r="L36" i="1"/>
  <c r="G73" i="1" s="1"/>
  <c r="L34" i="1"/>
  <c r="G71" i="1" s="1"/>
  <c r="L35" i="1"/>
  <c r="G72" i="1" s="1"/>
  <c r="L37" i="1"/>
  <c r="G74" i="1" s="1"/>
  <c r="L26" i="1"/>
  <c r="G63" i="1" s="1"/>
  <c r="N112" i="1" l="1"/>
  <c r="O112" i="1" s="1"/>
  <c r="P112" i="1" s="1"/>
  <c r="P108" i="1"/>
  <c r="Q108" i="1" s="1"/>
  <c r="N99" i="1"/>
  <c r="O99" i="1" s="1"/>
  <c r="M98" i="1"/>
  <c r="M103" i="1"/>
  <c r="I115" i="1"/>
  <c r="J115" i="1" s="1"/>
  <c r="V115" i="1" s="1" a="1"/>
  <c r="V115" i="1" s="1"/>
  <c r="I121" i="1"/>
  <c r="J121" i="1" s="1"/>
  <c r="I122" i="1"/>
  <c r="J122" i="1" s="1"/>
  <c r="I117" i="1"/>
  <c r="J117" i="1" s="1"/>
  <c r="I120" i="1"/>
  <c r="J120" i="1" s="1"/>
  <c r="W120" i="1" s="1" a="1"/>
  <c r="W120" i="1" s="1"/>
  <c r="I119" i="1"/>
  <c r="J119" i="1" s="1"/>
  <c r="I116" i="1"/>
  <c r="J116" i="1" s="1"/>
  <c r="W116" i="1" s="1" a="1"/>
  <c r="W116" i="1" s="1"/>
  <c r="I112" i="1"/>
  <c r="Q97" i="1"/>
  <c r="J134" i="1"/>
  <c r="J129" i="1"/>
  <c r="J132" i="1"/>
  <c r="J137" i="1"/>
  <c r="J130" i="1"/>
  <c r="J135" i="1"/>
  <c r="J128" i="1"/>
  <c r="J136" i="1"/>
  <c r="J126" i="1"/>
  <c r="J138" i="1"/>
  <c r="J133" i="1"/>
  <c r="J131" i="1"/>
  <c r="H68" i="1"/>
  <c r="H66" i="1"/>
  <c r="H64" i="1"/>
  <c r="H72" i="1"/>
  <c r="H67" i="1"/>
  <c r="H69" i="1"/>
  <c r="H74" i="1"/>
  <c r="H71" i="1"/>
  <c r="H70" i="1"/>
  <c r="H65" i="1"/>
  <c r="H73" i="1"/>
  <c r="H63" i="1"/>
  <c r="P57" i="1"/>
  <c r="M59" i="1" s="1" a="1"/>
  <c r="M59" i="1" s="1"/>
  <c r="K47" i="1"/>
  <c r="L41" i="1" s="1"/>
  <c r="J35" i="1"/>
  <c r="J34" i="1" s="1"/>
  <c r="P99" i="1" l="1"/>
  <c r="Q99" i="1" s="1"/>
  <c r="I114" i="1"/>
  <c r="J114" i="1" s="1"/>
  <c r="N103" i="1"/>
  <c r="O103" i="1" s="1"/>
  <c r="N98" i="1"/>
  <c r="O98" i="1" s="1"/>
  <c r="K115" i="1"/>
  <c r="R115" i="1" s="1"/>
  <c r="T115" i="1" s="1"/>
  <c r="U115" i="1" s="1" a="1"/>
  <c r="U115" i="1" s="1"/>
  <c r="K116" i="1"/>
  <c r="R116" i="1" s="1"/>
  <c r="T116" i="1" s="1"/>
  <c r="U116" i="1" s="1" a="1"/>
  <c r="U116" i="1" s="1"/>
  <c r="K119" i="1"/>
  <c r="R119" i="1" s="1"/>
  <c r="T119" i="1" s="1"/>
  <c r="K120" i="1"/>
  <c r="Q120" i="1" s="1"/>
  <c r="K117" i="1"/>
  <c r="Q117" i="1" s="1"/>
  <c r="K121" i="1"/>
  <c r="Q121" i="1" s="1"/>
  <c r="S121" i="1" s="1"/>
  <c r="U120" i="1" a="1"/>
  <c r="U120" i="1" s="1"/>
  <c r="K122" i="1"/>
  <c r="Q122" i="1" s="1"/>
  <c r="I123" i="1"/>
  <c r="U119" i="1" a="1"/>
  <c r="U119" i="1" s="1"/>
  <c r="J112" i="1"/>
  <c r="K112" i="1"/>
  <c r="H76" i="1"/>
  <c r="L45" i="1"/>
  <c r="W122" i="1" l="1" a="1"/>
  <c r="W122" i="1" s="1"/>
  <c r="S122" i="1"/>
  <c r="S120" i="1"/>
  <c r="V120" i="1" s="1" a="1"/>
  <c r="V120" i="1" s="1"/>
  <c r="X120" i="1" s="1"/>
  <c r="Y120" i="1" s="1"/>
  <c r="U117" i="1" a="1"/>
  <c r="U117" i="1" s="1"/>
  <c r="S117" i="1"/>
  <c r="P103" i="1"/>
  <c r="Q103" i="1" s="1"/>
  <c r="P98" i="1"/>
  <c r="Q98" i="1" s="1"/>
  <c r="Q115" i="1"/>
  <c r="K114" i="1"/>
  <c r="Q114" i="1" s="1"/>
  <c r="I113" i="1"/>
  <c r="I118" i="1"/>
  <c r="J118" i="1" s="1"/>
  <c r="U118" i="1" s="1" a="1"/>
  <c r="U118" i="1" s="1"/>
  <c r="Q116" i="1"/>
  <c r="R120" i="1"/>
  <c r="T120" i="1" s="1"/>
  <c r="R122" i="1"/>
  <c r="T122" i="1" s="1"/>
  <c r="U122" i="1" s="1" a="1"/>
  <c r="U122" i="1" s="1"/>
  <c r="R117" i="1"/>
  <c r="T117" i="1" s="1"/>
  <c r="W117" i="1" s="1" a="1"/>
  <c r="W117" i="1" s="1"/>
  <c r="V122" i="1" a="1"/>
  <c r="V122" i="1" s="1"/>
  <c r="Q119" i="1"/>
  <c r="W121" i="1" a="1"/>
  <c r="W121" i="1" s="1"/>
  <c r="V121" i="1" a="1"/>
  <c r="V121" i="1" s="1"/>
  <c r="R121" i="1"/>
  <c r="T121" i="1" s="1"/>
  <c r="U121" i="1" s="1" a="1"/>
  <c r="U121" i="1" s="1"/>
  <c r="V117" i="1" a="1"/>
  <c r="V117" i="1" s="1"/>
  <c r="K123" i="1"/>
  <c r="J123" i="1"/>
  <c r="W119" i="1" a="1"/>
  <c r="W119" i="1" s="1"/>
  <c r="V114" i="1" a="1"/>
  <c r="V114" i="1" s="1"/>
  <c r="R112" i="1"/>
  <c r="T112" i="1" s="1"/>
  <c r="W112" i="1" s="1" a="1"/>
  <c r="W112" i="1" s="1"/>
  <c r="Q112" i="1"/>
  <c r="G75" i="1"/>
  <c r="I63" i="1"/>
  <c r="S119" i="1" l="1"/>
  <c r="V119" i="1" s="1" a="1"/>
  <c r="V119" i="1" s="1"/>
  <c r="X119" i="1" s="1"/>
  <c r="Y119" i="1" s="1"/>
  <c r="S114" i="1"/>
  <c r="W114" i="1" s="1" a="1"/>
  <c r="W114" i="1" s="1"/>
  <c r="S116" i="1"/>
  <c r="V116" i="1" s="1" a="1"/>
  <c r="V116" i="1" s="1"/>
  <c r="X116" i="1" s="1"/>
  <c r="Y116" i="1" s="1"/>
  <c r="S115" i="1"/>
  <c r="W115" i="1" s="1" a="1"/>
  <c r="W115" i="1" s="1"/>
  <c r="X115" i="1" s="1"/>
  <c r="Y115" i="1" s="1"/>
  <c r="U112" i="1" a="1"/>
  <c r="U112" i="1" s="1"/>
  <c r="S112" i="1"/>
  <c r="R114" i="1"/>
  <c r="T114" i="1" s="1"/>
  <c r="K118" i="1"/>
  <c r="J113" i="1"/>
  <c r="W113" i="1" s="1" a="1"/>
  <c r="W113" i="1" s="1"/>
  <c r="K113" i="1"/>
  <c r="X122" i="1"/>
  <c r="Y122" i="1" s="1"/>
  <c r="X117" i="1"/>
  <c r="Y117" i="1" s="1"/>
  <c r="X121" i="1"/>
  <c r="Y121" i="1" s="1"/>
  <c r="U114" i="1" a="1"/>
  <c r="U114" i="1" s="1"/>
  <c r="V112" i="1" a="1"/>
  <c r="V112" i="1" s="1"/>
  <c r="X112" i="1" s="1"/>
  <c r="Y112" i="1" s="1"/>
  <c r="W123" i="1" a="1"/>
  <c r="W123" i="1" s="1"/>
  <c r="U123" i="1" a="1"/>
  <c r="U123" i="1" s="1"/>
  <c r="R123" i="1"/>
  <c r="T123" i="1" s="1"/>
  <c r="Q123" i="1"/>
  <c r="J63" i="1"/>
  <c r="J73" i="1"/>
  <c r="J71" i="1"/>
  <c r="J66" i="1"/>
  <c r="J74" i="1"/>
  <c r="J72" i="1"/>
  <c r="J70" i="1"/>
  <c r="J64" i="1"/>
  <c r="J65" i="1"/>
  <c r="J68" i="1"/>
  <c r="J67" i="1"/>
  <c r="J69" i="1"/>
  <c r="S123" i="1" l="1"/>
  <c r="V123" i="1" s="1" a="1"/>
  <c r="V123" i="1" s="1"/>
  <c r="X123" i="1" s="1"/>
  <c r="Y123" i="1" s="1"/>
  <c r="X114" i="1"/>
  <c r="Y114" i="1" s="1"/>
  <c r="Q113" i="1"/>
  <c r="S113" i="1" s="1"/>
  <c r="R113" i="1"/>
  <c r="T113" i="1" s="1"/>
  <c r="Q118" i="1"/>
  <c r="R118" i="1"/>
  <c r="T118" i="1" s="1"/>
  <c r="W118" i="1" s="1" a="1"/>
  <c r="W118" i="1" s="1"/>
  <c r="S118" i="1" l="1"/>
  <c r="V118" i="1" s="1" a="1"/>
  <c r="V118" i="1" s="1"/>
  <c r="X118" i="1" s="1"/>
  <c r="Y118" i="1" s="1"/>
  <c r="V113" i="1" a="1"/>
  <c r="V113" i="1" s="1"/>
  <c r="U113" i="1" a="1"/>
  <c r="U113" i="1" s="1"/>
  <c r="X113" i="1" l="1"/>
  <c r="Y11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<sst xmlns="http://schemas.openxmlformats.org/spreadsheetml/2006/main" count="134" uniqueCount="78">
  <si>
    <t>W</t>
  </si>
  <si>
    <t>D</t>
  </si>
  <si>
    <t xml:space="preserve">] = </t>
  </si>
  <si>
    <t>index</t>
  </si>
  <si>
    <t>random value</t>
  </si>
  <si>
    <t>true value</t>
  </si>
  <si>
    <t>LEDFloor</t>
  </si>
  <si>
    <t>FP value</t>
  </si>
  <si>
    <t>amplitudeSumMultiplied</t>
  </si>
  <si>
    <t>amplitudeSum</t>
  </si>
  <si>
    <t>noteAmplitudesReduced (pre) FP</t>
  </si>
  <si>
    <t>noteAmplitudesReduced (post) FP</t>
  </si>
  <si>
    <t>noteAmplitudesFast FP</t>
  </si>
  <si>
    <t>amplitudeSumNew</t>
  </si>
  <si>
    <t>comparator</t>
  </si>
  <si>
    <t>note</t>
  </si>
  <si>
    <t>noteSub</t>
  </si>
  <si>
    <t>noteMult</t>
  </si>
  <si>
    <t>yr</t>
  </si>
  <si>
    <t>rb</t>
  </si>
  <si>
    <t>by</t>
  </si>
  <si>
    <t>noteMule_d1</t>
  </si>
  <si>
    <t>BPO</t>
  </si>
  <si>
    <t>notePreRectified</t>
  </si>
  <si>
    <t>NoteHue</t>
  </si>
  <si>
    <t>quantizeToSix</t>
  </si>
  <si>
    <t>SatAmp</t>
  </si>
  <si>
    <t>LEDLimit</t>
  </si>
  <si>
    <t>hueDivided</t>
  </si>
  <si>
    <t>hueWhole</t>
  </si>
  <si>
    <t>hueDec</t>
  </si>
  <si>
    <t>noteAmplitude</t>
  </si>
  <si>
    <t>noteAmplitudeMult</t>
  </si>
  <si>
    <t>noteAmplitudeDec</t>
  </si>
  <si>
    <t>noteAmplitudeLimited</t>
  </si>
  <si>
    <t>colorValueXHue</t>
  </si>
  <si>
    <t>colorValueXHuex</t>
  </si>
  <si>
    <t>colorValueMax</t>
  </si>
  <si>
    <t>steadyBright</t>
  </si>
  <si>
    <t>colorValueXHue_d1</t>
  </si>
  <si>
    <t>colorValueXHuex_d1</t>
  </si>
  <si>
    <t>r</t>
  </si>
  <si>
    <t>g</t>
  </si>
  <si>
    <t>b</t>
  </si>
  <si>
    <t>rgb</t>
  </si>
  <si>
    <t xml:space="preserve">            noteAmplitudes_i[ </t>
  </si>
  <si>
    <t>amplitude sum</t>
  </si>
  <si>
    <t>LEDCount</t>
  </si>
  <si>
    <t>thresholdAmplitude</t>
  </si>
  <si>
    <t xml:space="preserve">            noteAmplitudes_i[</t>
  </si>
  <si>
    <t>LEDColorCount</t>
  </si>
  <si>
    <t>amplitudes</t>
  </si>
  <si>
    <t>positions</t>
  </si>
  <si>
    <t>0000001100011011</t>
  </si>
  <si>
    <t>0000001010001110</t>
  </si>
  <si>
    <t>0000000101011001</t>
  </si>
  <si>
    <t>0000001000111110</t>
  </si>
  <si>
    <t>0000000000101000</t>
  </si>
  <si>
    <t>0000001101010101</t>
  </si>
  <si>
    <t>0000000000000000</t>
  </si>
  <si>
    <t>value</t>
  </si>
  <si>
    <t>amplitudeSum Multiplied</t>
  </si>
  <si>
    <t>noteMult_d1</t>
  </si>
  <si>
    <t>noteHue</t>
  </si>
  <si>
    <t>hueDevided</t>
  </si>
  <si>
    <t>R</t>
  </si>
  <si>
    <t>G</t>
  </si>
  <si>
    <t>B</t>
  </si>
  <si>
    <t>RGB</t>
  </si>
  <si>
    <t>RGBh</t>
  </si>
  <si>
    <t>The computations done above the black line are for individual components and are randomized for best testing practices</t>
  </si>
  <si>
    <t>The computations done below the black line are for the full Linear Visualizer and will need to have the data on the left side copy and pasted form the appropriate .mem files in the ./other directory generated by the GenerateVisualizerTestData.ps1</t>
  </si>
  <si>
    <t>The blue highlighted cells represent the parameter values for both sets of tests</t>
  </si>
  <si>
    <t>1011111111100100</t>
  </si>
  <si>
    <t>0110000001100100</t>
  </si>
  <si>
    <t>1001111111100100</t>
  </si>
  <si>
    <t>1010100001100100</t>
  </si>
  <si>
    <t>1111111111111111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</si>
</sst>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8"/>
      <name val="Calibri"/>
      <family val="2"/>
      <scheme val="minor"/>
    </font>
    <font>
      <sz val="11"/>
      <name val="Calibri"/>
      <family val="2"/>
      <scheme val="minor"/>
    </font>
    <font>
      <sz val="11"/>
      <color theme="1"/>
      <name val="Courier New"/>
      <family val="3"/>
    </font>
    <font>
      <sz val="36"/>
      <color theme="1"/>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center"/>
    </xf>
    <xf numFmtId="0" fontId="0" fillId="0" borderId="0" xfId="0" applyFont="1"/>
    <xf numFmtId="164" fontId="0" fillId="0" borderId="0" xfId="0" applyNumberFormat="1" applyFont="1"/>
    <xf numFmtId="0" fontId="3" fillId="0" borderId="0" xfId="0" applyFont="1"/>
    <xf numFmtId="0" fontId="3" fillId="0" borderId="0" xfId="0" applyFont="1" applyAlignment="1">
      <alignment horizontal="left"/>
    </xf>
    <xf numFmtId="49" fontId="3" fillId="0" borderId="0" xfId="0" applyNumberFormat="1" applyFont="1"/>
    <xf numFmtId="0" fontId="0" fillId="2" borderId="0" xfId="0" applyFont="1" applyFill="1"/>
    <xf numFmtId="0" fontId="0" fillId="3" borderId="0" xfId="0" applyFont="1" applyFill="1"/>
    <xf numFmtId="0" fontId="1" fillId="3" borderId="0" xfId="0" applyFont="1" applyFill="1" applyAlignment="1">
      <alignment vertical="center"/>
    </xf>
    <xf numFmtId="0" fontId="2" fillId="3" borderId="0" xfId="0" applyFont="1" applyFill="1" applyAlignment="1">
      <alignment vertical="center"/>
    </xf>
    <xf numFmtId="0" fontId="0" fillId="3" borderId="0" xfId="0" applyFont="1" applyFill="1" applyAlignment="1">
      <alignment vertical="center"/>
    </xf>
    <xf numFmtId="0" fontId="4" fillId="0" borderId="0" xfId="0" applyFont="1"/>
    <xf numFmtId="2"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26A4-8C87-4B90-BEEB-AEB487ACEA9E}">
  <dimension ref="A2:Y138"/>
  <sheetViews>
    <sheetView tabSelected="1" zoomScale="25" zoomScaleNormal="25" workbookViewId="0">
      <selection activeCell="G108" sqref="G108"/>
    </sheetView>
  </sheetViews>
  <sheetFormatPr defaultRowHeight="14.4" x14ac:dyDescent="0.3"/>
  <cols>
    <col min="1" max="1" width="13.5546875" style="2" bestFit="1" customWidth="1"/>
    <col min="2" max="2" width="12" style="2" bestFit="1" customWidth="1"/>
    <col min="3" max="3" width="8.88671875" style="2"/>
    <col min="4" max="4" width="12.88671875" style="2" bestFit="1" customWidth="1"/>
    <col min="5" max="5" width="16.6640625" style="2" bestFit="1" customWidth="1"/>
    <col min="6" max="6" width="14.6640625" style="2" bestFit="1" customWidth="1"/>
    <col min="7" max="7" width="74.6640625" style="2" bestFit="1" customWidth="1"/>
    <col min="8" max="8" width="32.109375" style="2" customWidth="1"/>
    <col min="9" max="9" width="23.77734375" style="2" bestFit="1" customWidth="1"/>
    <col min="10" max="10" width="32.44140625" style="2" bestFit="1" customWidth="1"/>
    <col min="11" max="11" width="33.6640625" style="2" bestFit="1" customWidth="1"/>
    <col min="12" max="12" width="28.6640625" style="2" bestFit="1" customWidth="1"/>
    <col min="13" max="13" width="19.6640625" style="2" bestFit="1" customWidth="1"/>
    <col min="14" max="14" width="18.88671875" style="2" bestFit="1" customWidth="1"/>
    <col min="15" max="15" width="21.88671875" style="2" bestFit="1" customWidth="1"/>
    <col min="16" max="16" width="15.21875" style="2" bestFit="1" customWidth="1"/>
    <col min="17" max="17" width="16.88671875" style="2" bestFit="1" customWidth="1"/>
    <col min="18" max="18" width="17.88671875" style="2" bestFit="1" customWidth="1"/>
    <col min="19" max="19" width="20.109375" style="2" bestFit="1" customWidth="1"/>
    <col min="20" max="20" width="21.33203125" style="2" customWidth="1"/>
    <col min="21" max="22" width="5" style="2" bestFit="1" customWidth="1"/>
    <col min="23" max="23" width="3.77734375" style="2" bestFit="1" customWidth="1"/>
    <col min="24" max="16384" width="8.88671875" style="2"/>
  </cols>
  <sheetData>
    <row r="2" spans="1:1" ht="46.2" x14ac:dyDescent="0.85">
      <c r="A2" s="12" t="s">
        <v>70</v>
      </c>
    </row>
    <row r="4" spans="1:1" ht="46.2" x14ac:dyDescent="0.85">
      <c r="A4" s="12" t="s">
        <v>71</v>
      </c>
    </row>
    <row r="6" spans="1:1" ht="46.2" x14ac:dyDescent="0.85">
      <c r="A6" s="12" t="s">
        <v>72</v>
      </c>
    </row>
    <row r="25" spans="1:13" x14ac:dyDescent="0.3">
      <c r="B25" s="2" t="s">
        <v>3</v>
      </c>
      <c r="E25" s="2" t="s">
        <v>4</v>
      </c>
      <c r="H25" s="2" t="s">
        <v>5</v>
      </c>
      <c r="I25" s="2" t="s">
        <v>7</v>
      </c>
      <c r="J25" s="2" t="s">
        <v>9</v>
      </c>
      <c r="K25" s="2" t="s">
        <v>10</v>
      </c>
      <c r="L25" s="2" t="s">
        <v>11</v>
      </c>
      <c r="M25" s="2" t="s">
        <v>12</v>
      </c>
    </row>
    <row r="26" spans="1:13" x14ac:dyDescent="0.3">
      <c r="A26" s="1" t="s">
        <v>45</v>
      </c>
      <c r="B26" s="2">
        <v>0</v>
      </c>
      <c r="C26" s="2" t="s">
        <v>2</v>
      </c>
      <c r="D26" s="2" t="str">
        <f t="shared" ref="D26:D37" ca="1" si="0">_xlfn.CONCAT(B$40+B$41,"'b",REPT("0",B$40-LEN(E26)))</f>
        <v>16'b000</v>
      </c>
      <c r="E26" s="2" t="str">
        <f ca="1">DEC2BIN(_xlfn.FLOOR.MATH(RAND()*10))</f>
        <v>10</v>
      </c>
      <c r="F26" s="2" t="str">
        <f t="shared" ref="F26:F37" si="1">_xlfn.CONCAT(REPT("0",B$41),";")</f>
        <v>00000000000;</v>
      </c>
      <c r="G26" s="4" t="str">
        <f ca="1">_xlfn.CONCAT(A26,B26,C26,D26,E26,F26)</f>
        <v xml:space="preserve">            noteAmplitudes_i[ 0] = 16'b0001000000000000;</v>
      </c>
      <c r="H26" s="2">
        <f t="shared" ref="H26:H37" ca="1" si="2">BIN2DEC(E26)</f>
        <v>2</v>
      </c>
      <c r="I26" s="2">
        <f t="shared" ref="I26:I37" ca="1" si="3">H26*2^B$41</f>
        <v>4096</v>
      </c>
      <c r="J26" s="2">
        <f ca="1">SUM(H26:H37)</f>
        <v>51</v>
      </c>
      <c r="K26" s="2">
        <f t="shared" ref="K26:K37" ca="1" si="4">I26-J$31</f>
        <v>-6359</v>
      </c>
      <c r="L26" s="2">
        <f ca="1">IF(K26&gt;0,K26,0)</f>
        <v>0</v>
      </c>
      <c r="M26" s="2">
        <f ca="1">IF(K26&gt;0,I26,0)</f>
        <v>0</v>
      </c>
    </row>
    <row r="27" spans="1:13" x14ac:dyDescent="0.3">
      <c r="A27" s="1" t="s">
        <v>45</v>
      </c>
      <c r="B27" s="2">
        <v>1</v>
      </c>
      <c r="C27" s="2" t="s">
        <v>2</v>
      </c>
      <c r="D27" s="2" t="str">
        <f t="shared" ca="1" si="0"/>
        <v>16'b0</v>
      </c>
      <c r="E27" s="2" t="str">
        <f t="shared" ref="E27:E37" ca="1" si="5">DEC2BIN(_xlfn.FLOOR.MATH(RAND()*10))</f>
        <v>1001</v>
      </c>
      <c r="F27" s="2" t="str">
        <f t="shared" si="1"/>
        <v>00000000000;</v>
      </c>
      <c r="G27" s="4" t="str">
        <f t="shared" ref="G27:G37" ca="1" si="6">_xlfn.CONCAT(A27,B27,C27,D27,E27,F27)</f>
        <v xml:space="preserve">            noteAmplitudes_i[ 1] = 16'b0100100000000000;</v>
      </c>
      <c r="H27" s="2">
        <f t="shared" ca="1" si="2"/>
        <v>9</v>
      </c>
      <c r="I27" s="2">
        <f t="shared" ca="1" si="3"/>
        <v>18432</v>
      </c>
      <c r="J27" s="2">
        <f ca="1">J26*2^B41</f>
        <v>104448</v>
      </c>
      <c r="K27" s="2">
        <f t="shared" ca="1" si="4"/>
        <v>7977</v>
      </c>
      <c r="L27" s="2">
        <f t="shared" ref="L27:L37" ca="1" si="7">IF(K27&gt;0,K27,0)</f>
        <v>7977</v>
      </c>
      <c r="M27" s="2">
        <f t="shared" ref="M27:M37" ca="1" si="8">IF(K27&gt;0,I27,0)</f>
        <v>18432</v>
      </c>
    </row>
    <row r="28" spans="1:13" x14ac:dyDescent="0.3">
      <c r="A28" s="1" t="s">
        <v>45</v>
      </c>
      <c r="B28" s="2">
        <v>2</v>
      </c>
      <c r="C28" s="2" t="s">
        <v>2</v>
      </c>
      <c r="D28" s="2" t="str">
        <f t="shared" ca="1" si="0"/>
        <v>16'b0000</v>
      </c>
      <c r="E28" s="2" t="str">
        <f t="shared" ca="1" si="5"/>
        <v>0</v>
      </c>
      <c r="F28" s="2" t="str">
        <f t="shared" si="1"/>
        <v>00000000000;</v>
      </c>
      <c r="G28" s="4" t="str">
        <f t="shared" ca="1" si="6"/>
        <v xml:space="preserve">            noteAmplitudes_i[ 2] = 16'b0000000000000000;</v>
      </c>
      <c r="H28" s="2">
        <f t="shared" ca="1" si="2"/>
        <v>0</v>
      </c>
      <c r="I28" s="2">
        <f t="shared" ca="1" si="3"/>
        <v>0</v>
      </c>
      <c r="K28" s="2">
        <f t="shared" ca="1" si="4"/>
        <v>-10455</v>
      </c>
      <c r="L28" s="2">
        <f t="shared" ca="1" si="7"/>
        <v>0</v>
      </c>
      <c r="M28" s="2">
        <f t="shared" ca="1" si="8"/>
        <v>0</v>
      </c>
    </row>
    <row r="29" spans="1:13" x14ac:dyDescent="0.3">
      <c r="A29" s="1" t="s">
        <v>45</v>
      </c>
      <c r="B29" s="2">
        <v>3</v>
      </c>
      <c r="C29" s="2" t="s">
        <v>2</v>
      </c>
      <c r="D29" s="2" t="str">
        <f t="shared" ca="1" si="0"/>
        <v>16'b0000</v>
      </c>
      <c r="E29" s="2" t="str">
        <f t="shared" ca="1" si="5"/>
        <v>1</v>
      </c>
      <c r="F29" s="2" t="str">
        <f t="shared" si="1"/>
        <v>00000000000;</v>
      </c>
      <c r="G29" s="4" t="str">
        <f t="shared" ca="1" si="6"/>
        <v xml:space="preserve">            noteAmplitudes_i[ 3] = 16'b0000100000000000;</v>
      </c>
      <c r="H29" s="2">
        <f t="shared" ca="1" si="2"/>
        <v>1</v>
      </c>
      <c r="I29" s="2">
        <f t="shared" ca="1" si="3"/>
        <v>2048</v>
      </c>
      <c r="J29" s="2" t="s">
        <v>8</v>
      </c>
      <c r="K29" s="2">
        <f t="shared" ca="1" si="4"/>
        <v>-8407</v>
      </c>
      <c r="L29" s="2">
        <f t="shared" ca="1" si="7"/>
        <v>0</v>
      </c>
      <c r="M29" s="2">
        <f t="shared" ca="1" si="8"/>
        <v>0</v>
      </c>
    </row>
    <row r="30" spans="1:13" x14ac:dyDescent="0.3">
      <c r="A30" s="1" t="s">
        <v>45</v>
      </c>
      <c r="B30" s="2">
        <v>4</v>
      </c>
      <c r="C30" s="2" t="s">
        <v>2</v>
      </c>
      <c r="D30" s="2" t="str">
        <f t="shared" ca="1" si="0"/>
        <v>16'b00</v>
      </c>
      <c r="E30" s="2" t="str">
        <f t="shared" ca="1" si="5"/>
        <v>101</v>
      </c>
      <c r="F30" s="2" t="str">
        <f t="shared" si="1"/>
        <v>00000000000;</v>
      </c>
      <c r="G30" s="4" t="str">
        <f t="shared" ca="1" si="6"/>
        <v xml:space="preserve">            noteAmplitudes_i[ 4] = 16'b0010100000000000;</v>
      </c>
      <c r="H30" s="2">
        <f t="shared" ca="1" si="2"/>
        <v>5</v>
      </c>
      <c r="I30" s="2">
        <f t="shared" ca="1" si="3"/>
        <v>10240</v>
      </c>
      <c r="J30" s="3">
        <f ca="1">J26*B42</f>
        <v>5.080078125</v>
      </c>
      <c r="K30" s="2">
        <f t="shared" ca="1" si="4"/>
        <v>-215</v>
      </c>
      <c r="L30" s="2">
        <f t="shared" ca="1" si="7"/>
        <v>0</v>
      </c>
      <c r="M30" s="2">
        <f t="shared" ca="1" si="8"/>
        <v>0</v>
      </c>
    </row>
    <row r="31" spans="1:13" x14ac:dyDescent="0.3">
      <c r="A31" s="1" t="s">
        <v>45</v>
      </c>
      <c r="B31" s="2">
        <v>5</v>
      </c>
      <c r="C31" s="2" t="s">
        <v>2</v>
      </c>
      <c r="D31" s="2" t="str">
        <f t="shared" ca="1" si="0"/>
        <v>16'b00</v>
      </c>
      <c r="E31" s="2" t="str">
        <f t="shared" ca="1" si="5"/>
        <v>100</v>
      </c>
      <c r="F31" s="2" t="str">
        <f t="shared" si="1"/>
        <v>00000000000;</v>
      </c>
      <c r="G31" s="4" t="str">
        <f t="shared" ca="1" si="6"/>
        <v xml:space="preserve">            noteAmplitudes_i[ 5] = 16'b0010000000000000;</v>
      </c>
      <c r="H31" s="2">
        <f t="shared" ca="1" si="2"/>
        <v>4</v>
      </c>
      <c r="I31" s="2">
        <f t="shared" ca="1" si="3"/>
        <v>8192</v>
      </c>
      <c r="J31" s="2">
        <f ca="1">J27 * BIN2DEC(C42) / 2^B41</f>
        <v>10455</v>
      </c>
      <c r="K31" s="2">
        <f t="shared" ca="1" si="4"/>
        <v>-2263</v>
      </c>
      <c r="L31" s="2">
        <f t="shared" ca="1" si="7"/>
        <v>0</v>
      </c>
      <c r="M31" s="2">
        <f t="shared" ca="1" si="8"/>
        <v>0</v>
      </c>
    </row>
    <row r="32" spans="1:13" x14ac:dyDescent="0.3">
      <c r="A32" s="1" t="s">
        <v>45</v>
      </c>
      <c r="B32" s="2">
        <v>6</v>
      </c>
      <c r="C32" s="2" t="s">
        <v>2</v>
      </c>
      <c r="D32" s="2" t="str">
        <f t="shared" ca="1" si="0"/>
        <v>16'b0</v>
      </c>
      <c r="E32" s="2" t="str">
        <f t="shared" ca="1" si="5"/>
        <v>1001</v>
      </c>
      <c r="F32" s="2" t="str">
        <f t="shared" si="1"/>
        <v>00000000000;</v>
      </c>
      <c r="G32" s="4" t="str">
        <f t="shared" ca="1" si="6"/>
        <v xml:space="preserve">            noteAmplitudes_i[ 6] = 16'b0100100000000000;</v>
      </c>
      <c r="H32" s="2">
        <f t="shared" ca="1" si="2"/>
        <v>9</v>
      </c>
      <c r="I32" s="2">
        <f t="shared" ca="1" si="3"/>
        <v>18432</v>
      </c>
      <c r="K32" s="2">
        <f t="shared" ca="1" si="4"/>
        <v>7977</v>
      </c>
      <c r="L32" s="2">
        <f t="shared" ca="1" si="7"/>
        <v>7977</v>
      </c>
      <c r="M32" s="2">
        <f t="shared" ca="1" si="8"/>
        <v>18432</v>
      </c>
    </row>
    <row r="33" spans="1:13" x14ac:dyDescent="0.3">
      <c r="A33" s="1" t="s">
        <v>45</v>
      </c>
      <c r="B33" s="2">
        <v>7</v>
      </c>
      <c r="C33" s="2" t="s">
        <v>2</v>
      </c>
      <c r="D33" s="2" t="str">
        <f t="shared" ca="1" si="0"/>
        <v>16'b00</v>
      </c>
      <c r="E33" s="2" t="str">
        <f t="shared" ca="1" si="5"/>
        <v>110</v>
      </c>
      <c r="F33" s="2" t="str">
        <f t="shared" si="1"/>
        <v>00000000000;</v>
      </c>
      <c r="G33" s="4" t="str">
        <f t="shared" ca="1" si="6"/>
        <v xml:space="preserve">            noteAmplitudes_i[ 7] = 16'b0011000000000000;</v>
      </c>
      <c r="H33" s="2">
        <f t="shared" ca="1" si="2"/>
        <v>6</v>
      </c>
      <c r="I33" s="2">
        <f t="shared" ca="1" si="3"/>
        <v>12288</v>
      </c>
      <c r="J33" s="2" t="s">
        <v>13</v>
      </c>
      <c r="K33" s="2">
        <f t="shared" ca="1" si="4"/>
        <v>1833</v>
      </c>
      <c r="L33" s="2">
        <f t="shared" ca="1" si="7"/>
        <v>1833</v>
      </c>
      <c r="M33" s="2">
        <f t="shared" ca="1" si="8"/>
        <v>12288</v>
      </c>
    </row>
    <row r="34" spans="1:13" x14ac:dyDescent="0.3">
      <c r="A34" s="1" t="s">
        <v>45</v>
      </c>
      <c r="B34" s="2">
        <v>8</v>
      </c>
      <c r="C34" s="2" t="s">
        <v>2</v>
      </c>
      <c r="D34" s="2" t="str">
        <f t="shared" ca="1" si="0"/>
        <v>16'b0000</v>
      </c>
      <c r="E34" s="2" t="str">
        <f t="shared" ca="1" si="5"/>
        <v>0</v>
      </c>
      <c r="F34" s="2" t="str">
        <f t="shared" si="1"/>
        <v>00000000000;</v>
      </c>
      <c r="G34" s="4" t="str">
        <f t="shared" ca="1" si="6"/>
        <v xml:space="preserve">            noteAmplitudes_i[ 8] = 16'b0000000000000000;</v>
      </c>
      <c r="H34" s="2">
        <f t="shared" ca="1" si="2"/>
        <v>0</v>
      </c>
      <c r="I34" s="2">
        <f t="shared" ca="1" si="3"/>
        <v>0</v>
      </c>
      <c r="J34" s="2">
        <f ca="1">J35/2^B41</f>
        <v>12.580078125</v>
      </c>
      <c r="K34" s="2">
        <f t="shared" ca="1" si="4"/>
        <v>-10455</v>
      </c>
      <c r="L34" s="2">
        <f t="shared" ca="1" si="7"/>
        <v>0</v>
      </c>
      <c r="M34" s="2">
        <f t="shared" ca="1" si="8"/>
        <v>0</v>
      </c>
    </row>
    <row r="35" spans="1:13" x14ac:dyDescent="0.3">
      <c r="A35" s="1" t="s">
        <v>45</v>
      </c>
      <c r="B35" s="2">
        <v>9</v>
      </c>
      <c r="C35" s="2" t="s">
        <v>2</v>
      </c>
      <c r="D35" s="2" t="str">
        <f t="shared" ca="1" si="0"/>
        <v>16'b000</v>
      </c>
      <c r="E35" s="2" t="str">
        <f t="shared" ca="1" si="5"/>
        <v>11</v>
      </c>
      <c r="F35" s="2" t="str">
        <f t="shared" si="1"/>
        <v>00000000000;</v>
      </c>
      <c r="G35" s="4" t="str">
        <f t="shared" ca="1" si="6"/>
        <v xml:space="preserve">            noteAmplitudes_i[ 9] = 16'b0001100000000000;</v>
      </c>
      <c r="H35" s="2">
        <f t="shared" ca="1" si="2"/>
        <v>3</v>
      </c>
      <c r="I35" s="2">
        <f t="shared" ca="1" si="3"/>
        <v>6144</v>
      </c>
      <c r="J35" s="2">
        <f ca="1">SUM(L26:L37)</f>
        <v>25764</v>
      </c>
      <c r="K35" s="2">
        <f t="shared" ca="1" si="4"/>
        <v>-4311</v>
      </c>
      <c r="L35" s="2">
        <f t="shared" ca="1" si="7"/>
        <v>0</v>
      </c>
      <c r="M35" s="2">
        <f t="shared" ca="1" si="8"/>
        <v>0</v>
      </c>
    </row>
    <row r="36" spans="1:13" x14ac:dyDescent="0.3">
      <c r="A36" s="1" t="s">
        <v>49</v>
      </c>
      <c r="B36" s="2">
        <v>10</v>
      </c>
      <c r="C36" s="2" t="s">
        <v>2</v>
      </c>
      <c r="D36" s="2" t="str">
        <f t="shared" ca="1" si="0"/>
        <v>16'b000</v>
      </c>
      <c r="E36" s="2" t="str">
        <f t="shared" ca="1" si="5"/>
        <v>11</v>
      </c>
      <c r="F36" s="2" t="str">
        <f t="shared" si="1"/>
        <v>00000000000;</v>
      </c>
      <c r="G36" s="4" t="str">
        <f t="shared" ca="1" si="6"/>
        <v xml:space="preserve">            noteAmplitudes_i[10] = 16'b0001100000000000;</v>
      </c>
      <c r="H36" s="2">
        <f t="shared" ca="1" si="2"/>
        <v>3</v>
      </c>
      <c r="I36" s="2">
        <f t="shared" ca="1" si="3"/>
        <v>6144</v>
      </c>
      <c r="K36" s="2">
        <f t="shared" ca="1" si="4"/>
        <v>-4311</v>
      </c>
      <c r="L36" s="2">
        <f t="shared" ca="1" si="7"/>
        <v>0</v>
      </c>
      <c r="M36" s="2">
        <f t="shared" ca="1" si="8"/>
        <v>0</v>
      </c>
    </row>
    <row r="37" spans="1:13" x14ac:dyDescent="0.3">
      <c r="A37" s="1" t="s">
        <v>49</v>
      </c>
      <c r="B37" s="2">
        <v>11</v>
      </c>
      <c r="C37" s="2" t="s">
        <v>2</v>
      </c>
      <c r="D37" s="2" t="str">
        <f t="shared" ca="1" si="0"/>
        <v>16'b0</v>
      </c>
      <c r="E37" s="2" t="str">
        <f t="shared" ca="1" si="5"/>
        <v>1001</v>
      </c>
      <c r="F37" s="2" t="str">
        <f t="shared" si="1"/>
        <v>00000000000;</v>
      </c>
      <c r="G37" s="4" t="str">
        <f t="shared" ca="1" si="6"/>
        <v xml:space="preserve">            noteAmplitudes_i[11] = 16'b0100100000000000;</v>
      </c>
      <c r="H37" s="2">
        <f t="shared" ca="1" si="2"/>
        <v>9</v>
      </c>
      <c r="I37" s="2">
        <f t="shared" ca="1" si="3"/>
        <v>18432</v>
      </c>
      <c r="K37" s="2">
        <f t="shared" ca="1" si="4"/>
        <v>7977</v>
      </c>
      <c r="L37" s="2">
        <f t="shared" ca="1" si="7"/>
        <v>7977</v>
      </c>
      <c r="M37" s="2">
        <f t="shared" ca="1" si="8"/>
        <v>18432</v>
      </c>
    </row>
    <row r="39" spans="1:13" x14ac:dyDescent="0.3">
      <c r="A39" s="9" t="s">
        <v>22</v>
      </c>
      <c r="B39" s="8">
        <v>24</v>
      </c>
      <c r="C39" s="8">
        <f>_xlfn.CEILING.MATH(IMLOG2(B39))</f>
        <v>5</v>
      </c>
    </row>
    <row r="40" spans="1:13" x14ac:dyDescent="0.3">
      <c r="A40" s="9" t="s">
        <v>0</v>
      </c>
      <c r="B40" s="8">
        <v>5</v>
      </c>
      <c r="C40" s="8"/>
      <c r="J40" s="2" t="s">
        <v>15</v>
      </c>
      <c r="K40" s="2" t="s">
        <v>16</v>
      </c>
      <c r="L40" s="2" t="s">
        <v>23</v>
      </c>
    </row>
    <row r="41" spans="1:13" x14ac:dyDescent="0.3">
      <c r="A41" s="9" t="s">
        <v>1</v>
      </c>
      <c r="B41" s="8">
        <v>11</v>
      </c>
      <c r="C41" s="8"/>
      <c r="G41" s="4" t="str">
        <f ca="1">_xlfn.CONCAT("notePosition_i = 10'b",REPT(0,B41-LEN(_xlfn.BASE(I41,2))),_xlfn.BASE(I41,2),";" )</f>
        <v>notePosition_i = 10'b01101100001;</v>
      </c>
      <c r="H41" s="2">
        <f ca="1">I41/2^10</f>
        <v>0.8447265625</v>
      </c>
      <c r="I41" s="2">
        <f ca="1">RANDBETWEEN(0,1023)</f>
        <v>865</v>
      </c>
      <c r="J41" s="2">
        <f ca="1">I41*24</f>
        <v>20760</v>
      </c>
      <c r="K41" s="2">
        <f ca="1">IF(J45=3,24576-J41,8192-J41)</f>
        <v>3816</v>
      </c>
      <c r="L41" s="2">
        <f ca="1">IF(J45=3,K47+170, K47)</f>
        <v>199</v>
      </c>
    </row>
    <row r="42" spans="1:13" x14ac:dyDescent="0.3">
      <c r="A42" s="9" t="s">
        <v>6</v>
      </c>
      <c r="B42" s="8">
        <v>9.9609375E-2</v>
      </c>
      <c r="C42" s="10">
        <v>11001101</v>
      </c>
      <c r="D42" s="2">
        <f>BIN2DEC(C42)</f>
        <v>205</v>
      </c>
    </row>
    <row r="43" spans="1:13" x14ac:dyDescent="0.3">
      <c r="A43" s="9" t="s">
        <v>47</v>
      </c>
      <c r="B43" s="8">
        <v>50</v>
      </c>
      <c r="C43" s="8"/>
      <c r="J43" s="2" t="s">
        <v>14</v>
      </c>
      <c r="K43" s="2" t="s">
        <v>17</v>
      </c>
    </row>
    <row r="44" spans="1:13" x14ac:dyDescent="0.3">
      <c r="E44" s="8">
        <f>_xlfn.FLOOR.MATH(IMLOG2(G44))</f>
        <v>15</v>
      </c>
      <c r="F44" s="8" t="s">
        <v>18</v>
      </c>
      <c r="G44" s="11">
        <v>43648</v>
      </c>
      <c r="H44" s="2">
        <f ca="1">IF(J$45=1,G44,1)</f>
        <v>1</v>
      </c>
      <c r="J44" s="2" t="str">
        <f ca="1">_xlfn.CONCAT(REPT(0,3-LEN(DEC2BIN(2^_xlfn.FLOOR.MATH((J41+1)/8192)))),DEC2BIN(2^_xlfn.FLOOR.MATH((J41+1)/8192)))</f>
        <v>100</v>
      </c>
      <c r="K44" s="2">
        <f ca="1">K41*H44*H45*H46</f>
        <v>499682304</v>
      </c>
      <c r="L44" s="2" t="s">
        <v>24</v>
      </c>
    </row>
    <row r="45" spans="1:13" x14ac:dyDescent="0.3">
      <c r="E45" s="8">
        <f>_xlfn.FLOOR.MATH(IMLOG2(G45))</f>
        <v>16</v>
      </c>
      <c r="F45" s="8" t="s">
        <v>19</v>
      </c>
      <c r="G45" s="11">
        <v>87296</v>
      </c>
      <c r="H45" s="2">
        <f ca="1">IF(J$45=2,G45,1)</f>
        <v>1</v>
      </c>
      <c r="J45" s="2">
        <f ca="1">LEN(DEC2BIN(2^_xlfn.FLOOR.MATH((J41+1)/8192)))</f>
        <v>3</v>
      </c>
      <c r="K45" s="2" t="str">
        <f ca="1">_xlfn.BASE(K44,2,32)</f>
        <v>00011101110010001000110000000000</v>
      </c>
      <c r="L45" s="2">
        <f ca="1">MOD(IF(L41&lt;0,L41+1023,L41), 1024)</f>
        <v>199</v>
      </c>
    </row>
    <row r="46" spans="1:13" x14ac:dyDescent="0.3">
      <c r="E46" s="8">
        <f>_xlfn.FLOOR.MATH(IMLOG2(G46))</f>
        <v>16</v>
      </c>
      <c r="F46" s="8" t="s">
        <v>20</v>
      </c>
      <c r="G46" s="11">
        <v>130944</v>
      </c>
      <c r="H46" s="2">
        <f ca="1">IF(J$45=3,G46,1)</f>
        <v>130944</v>
      </c>
      <c r="K46" s="2" t="s">
        <v>21</v>
      </c>
    </row>
    <row r="47" spans="1:13" x14ac:dyDescent="0.3">
      <c r="K47" s="2">
        <f ca="1">_xlfn.FLOOR.MATH(K44/2^(B41+B41+C39-3))</f>
        <v>29</v>
      </c>
    </row>
    <row r="50" spans="2:16" x14ac:dyDescent="0.3">
      <c r="G50" s="4" t="str">
        <f ca="1">_xlfn.CONCAT("        noteAmplitude_i = 10'b",REPT(0,B41-LEN(_xlfn.BASE(I50,2))),_xlfn.BASE(I50,2),";" )</f>
        <v xml:space="preserve">        noteAmplitude_i = 10'b00000000111;</v>
      </c>
      <c r="H50" s="2">
        <f ca="1">I50/2^10</f>
        <v>6.8359375E-3</v>
      </c>
      <c r="I50" s="2">
        <f ca="1">RANDBETWEEN(0,1023)</f>
        <v>7</v>
      </c>
      <c r="J50" s="2" t="s">
        <v>28</v>
      </c>
      <c r="K50" s="2" t="s">
        <v>31</v>
      </c>
      <c r="L50" s="2" t="s">
        <v>37</v>
      </c>
      <c r="M50" s="2" t="s">
        <v>41</v>
      </c>
      <c r="N50" s="2" t="s">
        <v>42</v>
      </c>
      <c r="O50" s="2" t="s">
        <v>43</v>
      </c>
    </row>
    <row r="51" spans="2:16" x14ac:dyDescent="0.3">
      <c r="B51" s="2">
        <f>LEN(C42)</f>
        <v>8</v>
      </c>
      <c r="C51" s="2">
        <f>2^B51</f>
        <v>256</v>
      </c>
      <c r="G51" s="4" t="str">
        <f ca="1">_xlfn.CONCAT("        noteAmplitudeFast_i = 10'b",REPT(0,B41-LEN(_xlfn.BASE(I51,2))),_xlfn.BASE(I51,2),";" )</f>
        <v xml:space="preserve">        noteAmplitudeFast_i = 10'b00011011001;</v>
      </c>
      <c r="H51" s="2">
        <f t="shared" ref="H51:H52" ca="1" si="9">I51/2^10</f>
        <v>0.2119140625</v>
      </c>
      <c r="I51" s="2">
        <f ca="1">RANDBETWEEN(0,1023)</f>
        <v>217</v>
      </c>
      <c r="J51" s="2">
        <f ca="1">I52*E55</f>
        <v>7860</v>
      </c>
      <c r="K51" s="2">
        <f ca="1">IF(E57,I50,I51)</f>
        <v>217</v>
      </c>
      <c r="L51" s="2">
        <f ca="1">_xlfn.FLOOR.MATH(K57/2^(B41-8))</f>
        <v>86</v>
      </c>
      <c r="M51" s="2">
        <f ca="1">$L$51</f>
        <v>86</v>
      </c>
      <c r="N51" s="2">
        <f ca="1">$L$57</f>
        <v>29</v>
      </c>
      <c r="O51" s="2">
        <f>0</f>
        <v>0</v>
      </c>
      <c r="P51" s="2">
        <f ca="1">M51*2^16+N51*2^8+O51</f>
        <v>5643520</v>
      </c>
    </row>
    <row r="52" spans="2:16" x14ac:dyDescent="0.3">
      <c r="G52" s="4" t="str">
        <f ca="1">_xlfn.CONCAT("        noteHue_i = 10'b",REPT(0,B41-LEN(_xlfn.BASE(I52,2))),_xlfn.BASE(I52,2),";" )</f>
        <v xml:space="preserve">        noteHue_i = 10'b01010001111;</v>
      </c>
      <c r="H52" s="2">
        <f t="shared" ca="1" si="9"/>
        <v>0.6396484375</v>
      </c>
      <c r="I52" s="2">
        <f ca="1">RANDBETWEEN(0,1023)</f>
        <v>655</v>
      </c>
      <c r="J52" s="2" t="s">
        <v>29</v>
      </c>
      <c r="K52" s="2" t="s">
        <v>32</v>
      </c>
      <c r="L52" s="2" t="s">
        <v>35</v>
      </c>
      <c r="M52" s="2">
        <f ca="1">$L$59</f>
        <v>14</v>
      </c>
      <c r="N52" s="2">
        <f ca="1">$L$51</f>
        <v>86</v>
      </c>
      <c r="O52" s="2">
        <f>0</f>
        <v>0</v>
      </c>
      <c r="P52" s="2">
        <f t="shared" ref="P52:P57" ca="1" si="10">M52*2^16+N52*2^8+O52</f>
        <v>939520</v>
      </c>
    </row>
    <row r="53" spans="2:16" x14ac:dyDescent="0.3">
      <c r="J53" s="2">
        <f ca="1">_xlfn.FLOOR.MATH(J51/2^10)</f>
        <v>7</v>
      </c>
      <c r="K53" s="2">
        <f ca="1">K51*E54</f>
        <v>711109</v>
      </c>
      <c r="L53" s="2">
        <f ca="1">K57*J55</f>
        <v>480248</v>
      </c>
      <c r="M53" s="2">
        <f>0</f>
        <v>0</v>
      </c>
      <c r="N53" s="2">
        <f ca="1">$L$51</f>
        <v>86</v>
      </c>
      <c r="O53" s="2">
        <f ca="1">$L$57</f>
        <v>29</v>
      </c>
      <c r="P53" s="2">
        <f t="shared" ca="1" si="10"/>
        <v>22045</v>
      </c>
    </row>
    <row r="54" spans="2:16" x14ac:dyDescent="0.3">
      <c r="E54" s="8">
        <v>3277</v>
      </c>
      <c r="F54" s="8" t="s">
        <v>26</v>
      </c>
      <c r="J54" s="2" t="s">
        <v>30</v>
      </c>
      <c r="K54" s="2" t="s">
        <v>33</v>
      </c>
      <c r="L54" s="2" t="s">
        <v>36</v>
      </c>
      <c r="M54" s="2">
        <f>0</f>
        <v>0</v>
      </c>
      <c r="N54" s="2">
        <f ca="1">$L$59</f>
        <v>14</v>
      </c>
      <c r="O54" s="2">
        <f ca="1">$L$51</f>
        <v>86</v>
      </c>
      <c r="P54" s="2">
        <f t="shared" ca="1" si="10"/>
        <v>3670</v>
      </c>
    </row>
    <row r="55" spans="2:16" x14ac:dyDescent="0.3">
      <c r="E55" s="8">
        <v>12</v>
      </c>
      <c r="F55" s="8" t="s">
        <v>25</v>
      </c>
      <c r="J55" s="2">
        <f ca="1">MOD(J51,2^10)</f>
        <v>692</v>
      </c>
      <c r="K55" s="2">
        <f ca="1">IF(_xlfn.FLOOR.MATH(K53/2^10) &gt; 1023, 1023, _xlfn.FLOOR.MATH(K53/2^10))</f>
        <v>694</v>
      </c>
      <c r="L55" s="2">
        <f ca="1">K57*(1023-J55)</f>
        <v>229714</v>
      </c>
      <c r="M55" s="2">
        <f ca="1">$L$57</f>
        <v>29</v>
      </c>
      <c r="N55" s="2">
        <f>0</f>
        <v>0</v>
      </c>
      <c r="O55" s="2">
        <f ca="1">$L$51</f>
        <v>86</v>
      </c>
      <c r="P55" s="2">
        <f t="shared" ca="1" si="10"/>
        <v>1900630</v>
      </c>
    </row>
    <row r="56" spans="2:16" x14ac:dyDescent="0.3">
      <c r="E56" s="8">
        <v>2047</v>
      </c>
      <c r="F56" s="8" t="s">
        <v>27</v>
      </c>
      <c r="K56" s="2" t="s">
        <v>34</v>
      </c>
      <c r="L56" s="2" t="s">
        <v>39</v>
      </c>
      <c r="M56" s="2">
        <f ca="1">$L$51</f>
        <v>86</v>
      </c>
      <c r="N56" s="2">
        <f>0</f>
        <v>0</v>
      </c>
      <c r="O56" s="2">
        <f ca="1">$L$59</f>
        <v>14</v>
      </c>
      <c r="P56" s="2">
        <f t="shared" ca="1" si="10"/>
        <v>5636110</v>
      </c>
    </row>
    <row r="57" spans="2:16" x14ac:dyDescent="0.3">
      <c r="E57" s="8">
        <v>0</v>
      </c>
      <c r="F57" s="8" t="s">
        <v>38</v>
      </c>
      <c r="K57" s="2">
        <f ca="1">IF(K55&gt;E56,E56,K55)</f>
        <v>694</v>
      </c>
      <c r="L57" s="2">
        <f ca="1">_xlfn.FLOOR.MATH(L53/2^(2*B41-8))</f>
        <v>29</v>
      </c>
      <c r="M57" s="2">
        <f ca="1">$L$51</f>
        <v>86</v>
      </c>
      <c r="N57" s="2">
        <f ca="1">$L$57</f>
        <v>29</v>
      </c>
      <c r="O57" s="2">
        <f>0</f>
        <v>0</v>
      </c>
      <c r="P57" s="2">
        <f t="shared" ca="1" si="10"/>
        <v>5643520</v>
      </c>
    </row>
    <row r="58" spans="2:16" x14ac:dyDescent="0.3">
      <c r="L58" s="2" t="s">
        <v>40</v>
      </c>
      <c r="M58" s="2" t="s">
        <v>44</v>
      </c>
    </row>
    <row r="59" spans="2:16" x14ac:dyDescent="0.3">
      <c r="L59" s="2">
        <f ca="1">_xlfn.FLOOR.MATH(L55/2^(2*B41-8))</f>
        <v>14</v>
      </c>
      <c r="M59" s="2" t="e" cm="1">
        <f t="array" aca="1" ref="M59" ca="1">_xlfn.BASE(_xlfn.SWITCH(J53,0,P51,1,P52,2,P53,3,P54,4,P55,5,P56,6,P57),16,6)</f>
        <v>#N/A</v>
      </c>
    </row>
    <row r="60" spans="2:16" x14ac:dyDescent="0.3">
      <c r="L60" s="2">
        <v>0</v>
      </c>
    </row>
    <row r="62" spans="2:16" x14ac:dyDescent="0.3">
      <c r="I62" s="2" t="s">
        <v>48</v>
      </c>
      <c r="J62" s="2" t="s">
        <v>50</v>
      </c>
    </row>
    <row r="63" spans="2:16" x14ac:dyDescent="0.3">
      <c r="G63" s="4" t="str">
        <f t="shared" ref="G63:G74" ca="1" si="11">_xlfn.CONCAT(A26,B26,C26,B$40+B$41,"'b",_xlfn.BASE(L26,2,$B$40+$B$41),";")</f>
        <v xml:space="preserve">            noteAmplitudes_i[ 0] = 16'b0000000000000000;</v>
      </c>
      <c r="H63" s="2">
        <f ca="1">L26</f>
        <v>0</v>
      </c>
      <c r="I63" s="2">
        <f ca="1">_xlfn.FLOOR.MATH(H76/B43)</f>
        <v>515</v>
      </c>
      <c r="J63" s="2">
        <f t="shared" ref="J63:J74" ca="1" si="12">_xlfn.FLOOR.MATH(H63/I$63)</f>
        <v>0</v>
      </c>
      <c r="L63" s="2">
        <f ca="1">L51-L57-L59</f>
        <v>43</v>
      </c>
    </row>
    <row r="64" spans="2:16" x14ac:dyDescent="0.3">
      <c r="G64" s="4" t="str">
        <f t="shared" ca="1" si="11"/>
        <v xml:space="preserve">            noteAmplitudes_i[ 1] = 16'b0001111100101001;</v>
      </c>
      <c r="H64" s="2">
        <f t="shared" ref="H64:H74" ca="1" si="13">L27</f>
        <v>7977</v>
      </c>
      <c r="J64" s="2">
        <f t="shared" ca="1" si="12"/>
        <v>15</v>
      </c>
    </row>
    <row r="65" spans="1:25" x14ac:dyDescent="0.3">
      <c r="G65" s="4" t="str">
        <f t="shared" ca="1" si="11"/>
        <v xml:space="preserve">            noteAmplitudes_i[ 2] = 16'b0000000000000000;</v>
      </c>
      <c r="H65" s="2">
        <f t="shared" ca="1" si="13"/>
        <v>0</v>
      </c>
      <c r="J65" s="2">
        <f t="shared" ca="1" si="12"/>
        <v>0</v>
      </c>
    </row>
    <row r="66" spans="1:25" x14ac:dyDescent="0.3">
      <c r="G66" s="4" t="str">
        <f t="shared" ca="1" si="11"/>
        <v xml:space="preserve">            noteAmplitudes_i[ 3] = 16'b0000000000000000;</v>
      </c>
      <c r="H66" s="2">
        <f t="shared" ca="1" si="13"/>
        <v>0</v>
      </c>
      <c r="J66" s="2">
        <f t="shared" ca="1" si="12"/>
        <v>0</v>
      </c>
    </row>
    <row r="67" spans="1:25" x14ac:dyDescent="0.3">
      <c r="G67" s="4" t="str">
        <f t="shared" ca="1" si="11"/>
        <v xml:space="preserve">            noteAmplitudes_i[ 4] = 16'b0000000000000000;</v>
      </c>
      <c r="H67" s="2">
        <f t="shared" ca="1" si="13"/>
        <v>0</v>
      </c>
      <c r="J67" s="2">
        <f t="shared" ca="1" si="12"/>
        <v>0</v>
      </c>
    </row>
    <row r="68" spans="1:25" x14ac:dyDescent="0.3">
      <c r="G68" s="4" t="str">
        <f t="shared" ca="1" si="11"/>
        <v xml:space="preserve">            noteAmplitudes_i[ 5] = 16'b0000000000000000;</v>
      </c>
      <c r="H68" s="2">
        <f t="shared" ca="1" si="13"/>
        <v>0</v>
      </c>
      <c r="J68" s="2">
        <f t="shared" ca="1" si="12"/>
        <v>0</v>
      </c>
    </row>
    <row r="69" spans="1:25" x14ac:dyDescent="0.3">
      <c r="G69" s="4" t="str">
        <f t="shared" ca="1" si="11"/>
        <v xml:space="preserve">            noteAmplitudes_i[ 6] = 16'b0001111100101001;</v>
      </c>
      <c r="H69" s="2">
        <f t="shared" ca="1" si="13"/>
        <v>7977</v>
      </c>
      <c r="J69" s="2">
        <f t="shared" ca="1" si="12"/>
        <v>15</v>
      </c>
    </row>
    <row r="70" spans="1:25" x14ac:dyDescent="0.3">
      <c r="G70" s="4" t="str">
        <f t="shared" ca="1" si="11"/>
        <v xml:space="preserve">            noteAmplitudes_i[ 7] = 16'b0000011100101001;</v>
      </c>
      <c r="H70" s="2">
        <f t="shared" ca="1" si="13"/>
        <v>1833</v>
      </c>
      <c r="J70" s="2">
        <f t="shared" ca="1" si="12"/>
        <v>3</v>
      </c>
    </row>
    <row r="71" spans="1:25" x14ac:dyDescent="0.3">
      <c r="G71" s="4" t="str">
        <f t="shared" ca="1" si="11"/>
        <v xml:space="preserve">            noteAmplitudes_i[ 8] = 16'b0000000000000000;</v>
      </c>
      <c r="H71" s="2">
        <f t="shared" ca="1" si="13"/>
        <v>0</v>
      </c>
      <c r="J71" s="2">
        <f t="shared" ca="1" si="12"/>
        <v>0</v>
      </c>
    </row>
    <row r="72" spans="1:25" x14ac:dyDescent="0.3">
      <c r="G72" s="4" t="str">
        <f t="shared" ca="1" si="11"/>
        <v xml:space="preserve">            noteAmplitudes_i[ 9] = 16'b0000000000000000;</v>
      </c>
      <c r="H72" s="2">
        <f t="shared" ca="1" si="13"/>
        <v>0</v>
      </c>
      <c r="J72" s="2">
        <f t="shared" ca="1" si="12"/>
        <v>0</v>
      </c>
    </row>
    <row r="73" spans="1:25" x14ac:dyDescent="0.3">
      <c r="G73" s="4" t="str">
        <f t="shared" ca="1" si="11"/>
        <v xml:space="preserve">            noteAmplitudes_i[10] = 16'b0000000000000000;</v>
      </c>
      <c r="H73" s="2">
        <f t="shared" ca="1" si="13"/>
        <v>0</v>
      </c>
      <c r="J73" s="2">
        <f t="shared" ca="1" si="12"/>
        <v>0</v>
      </c>
    </row>
    <row r="74" spans="1:25" x14ac:dyDescent="0.3">
      <c r="G74" s="4" t="str">
        <f t="shared" ca="1" si="11"/>
        <v xml:space="preserve">            noteAmplitudes_i[11] = 16'b0001111100101001;</v>
      </c>
      <c r="H74" s="2">
        <f t="shared" ca="1" si="13"/>
        <v>7977</v>
      </c>
      <c r="J74" s="2">
        <f t="shared" ca="1" si="12"/>
        <v>15</v>
      </c>
    </row>
    <row r="75" spans="1:25" x14ac:dyDescent="0.3">
      <c r="G75" s="5" t="str">
        <f ca="1">_xlfn.CONCAT("            amplitudeSumNew_i = ",B40+B41+_xlfn.CEILING.MATH(IMLOG2(B43)),"'b",_xlfn.BASE(H76,2,B40+B41+_xlfn.CEILING.MATH(IMLOG2(B43))),";")</f>
        <v xml:space="preserve">            amplitudeSumNew_i = 22'b0000000110010010100100;</v>
      </c>
    </row>
    <row r="76" spans="1:25" x14ac:dyDescent="0.3">
      <c r="G76" s="2" t="s">
        <v>46</v>
      </c>
      <c r="H76" s="2">
        <f ca="1">SUM(H63:H74)</f>
        <v>25764</v>
      </c>
    </row>
    <row r="78" spans="1:25" x14ac:dyDescent="0.3">
      <c r="A78" s="7"/>
      <c r="B78" s="7"/>
      <c r="C78" s="7"/>
      <c r="D78" s="7"/>
      <c r="E78" s="7"/>
      <c r="F78" s="7"/>
      <c r="G78" s="7"/>
      <c r="H78" s="7"/>
      <c r="I78" s="7"/>
      <c r="J78" s="7"/>
      <c r="K78" s="7"/>
      <c r="L78" s="7"/>
      <c r="M78" s="7"/>
      <c r="N78" s="7"/>
      <c r="O78" s="7"/>
      <c r="P78" s="7"/>
      <c r="Q78" s="7"/>
      <c r="R78" s="7"/>
      <c r="S78" s="7"/>
      <c r="T78" s="7"/>
      <c r="U78" s="7"/>
      <c r="V78" s="7"/>
      <c r="W78" s="7"/>
      <c r="X78" s="7"/>
      <c r="Y78" s="7"/>
    </row>
    <row r="79" spans="1:25" x14ac:dyDescent="0.3">
      <c r="A79" s="7"/>
      <c r="B79" s="7"/>
      <c r="C79" s="7"/>
      <c r="D79" s="7"/>
      <c r="E79" s="7"/>
      <c r="F79" s="7"/>
      <c r="G79" s="7"/>
      <c r="H79" s="7"/>
      <c r="I79" s="7"/>
      <c r="J79" s="7"/>
      <c r="K79" s="7"/>
      <c r="L79" s="7"/>
      <c r="M79" s="7"/>
      <c r="N79" s="7"/>
      <c r="O79" s="7"/>
      <c r="P79" s="7"/>
      <c r="Q79" s="7"/>
      <c r="R79" s="7"/>
      <c r="S79" s="7"/>
      <c r="T79" s="7"/>
      <c r="U79" s="7"/>
      <c r="V79" s="7"/>
      <c r="W79" s="7"/>
      <c r="X79" s="7"/>
      <c r="Y79" s="7"/>
    </row>
    <row r="80" spans="1:25" x14ac:dyDescent="0.3">
      <c r="A80" s="7"/>
      <c r="B80" s="7"/>
      <c r="C80" s="7"/>
      <c r="D80" s="7"/>
      <c r="E80" s="7"/>
      <c r="F80" s="7"/>
      <c r="G80" s="7"/>
      <c r="H80" s="7"/>
      <c r="I80" s="7"/>
      <c r="J80" s="7"/>
      <c r="K80" s="7"/>
      <c r="L80" s="7"/>
      <c r="M80" s="7"/>
      <c r="N80" s="7"/>
      <c r="O80" s="7"/>
      <c r="P80" s="7"/>
      <c r="Q80" s="7"/>
      <c r="R80" s="7"/>
      <c r="S80" s="7"/>
      <c r="T80" s="7"/>
      <c r="U80" s="7"/>
      <c r="V80" s="7"/>
      <c r="W80" s="7"/>
      <c r="X80" s="7"/>
      <c r="Y80" s="7"/>
    </row>
    <row r="82" spans="6:15" x14ac:dyDescent="0.3">
      <c r="G82" s="2" t="s">
        <v>51</v>
      </c>
      <c r="H82" s="2" t="s">
        <v>60</v>
      </c>
      <c r="J82" s="2" t="s">
        <v>10</v>
      </c>
      <c r="K82" s="2" t="s">
        <v>11</v>
      </c>
      <c r="L82" s="2" t="s">
        <v>12</v>
      </c>
    </row>
    <row r="83" spans="6:15" x14ac:dyDescent="0.3">
      <c r="F83" s="2">
        <f t="shared" ref="F83:F94" ca="1" si="14">H83/2^B$41</f>
        <v>31.99951171875</v>
      </c>
      <c r="G83" s="6" t="s">
        <v>77</v>
      </c>
      <c r="H83" s="2" cm="1">
        <f t="array" aca="1" ref="H83" ca="1">SUMPRODUCT(--MID(G83,LEN(G83)+1-ROW(INDIRECT("1:"&amp;LEN(G83))),1),(2^(ROW(INDIRECT("1:"&amp;LEN(G83)))-1)))</f>
        <v>65535</v>
      </c>
      <c r="I83" s="2" t="s">
        <v>9</v>
      </c>
      <c r="J83" s="2">
        <f t="shared" ref="J83:J94" ca="1" si="15">H83-I$87</f>
        <v>39296</v>
      </c>
      <c r="K83" s="2">
        <f ca="1">IF(J83&lt;0, 0, J83)</f>
        <v>39296</v>
      </c>
      <c r="L83" s="2">
        <f ca="1">IF(K83=0,0,H83)</f>
        <v>65535</v>
      </c>
    </row>
    <row r="84" spans="6:15" x14ac:dyDescent="0.3">
      <c r="F84" s="2">
        <f t="shared" ca="1" si="14"/>
        <v>31.99951171875</v>
      </c>
      <c r="G84" s="6" t="s">
        <v>77</v>
      </c>
      <c r="H84" s="2" cm="1">
        <f t="array" aca="1" ref="H84" ca="1">SUMPRODUCT(--MID(G84,LEN(G84)+1-ROW(INDIRECT("1:"&amp;LEN(G84))),1),(2^(ROW(INDIRECT("1:"&amp;LEN(G84)))-1)))</f>
        <v>65535</v>
      </c>
      <c r="I84" s="2">
        <f ca="1">SUM(H83:H94)</f>
        <v>262140</v>
      </c>
      <c r="J84" s="2">
        <f t="shared" ca="1" si="15"/>
        <v>39296</v>
      </c>
      <c r="K84" s="2">
        <f t="shared" ref="K84:K94" ca="1" si="16">IF(J84&lt;0, 0, J84)</f>
        <v>39296</v>
      </c>
      <c r="L84" s="2">
        <f t="shared" ref="L84:L94" ca="1" si="17">IF(K84=0,0,H84)</f>
        <v>65535</v>
      </c>
    </row>
    <row r="85" spans="6:15" x14ac:dyDescent="0.3">
      <c r="F85" s="2">
        <f t="shared" ca="1" si="14"/>
        <v>31.99951171875</v>
      </c>
      <c r="G85" s="6" t="s">
        <v>77</v>
      </c>
      <c r="H85" s="2" cm="1">
        <f t="array" aca="1" ref="H85" ca="1">SUMPRODUCT(--MID(G85,LEN(G85)+1-ROW(INDIRECT("1:"&amp;LEN(G85))),1),(2^(ROW(INDIRECT("1:"&amp;LEN(G85)))-1)))</f>
        <v>65535</v>
      </c>
      <c r="I85" s="2">
        <f ca="1">I84/2^B41</f>
        <v>127.998046875</v>
      </c>
      <c r="J85" s="2">
        <f t="shared" ca="1" si="15"/>
        <v>39296</v>
      </c>
      <c r="K85" s="2">
        <f t="shared" ca="1" si="16"/>
        <v>39296</v>
      </c>
      <c r="L85" s="2">
        <f t="shared" ca="1" si="17"/>
        <v>65535</v>
      </c>
    </row>
    <row r="86" spans="6:15" x14ac:dyDescent="0.3">
      <c r="F86" s="2">
        <f t="shared" ca="1" si="14"/>
        <v>31.99951171875</v>
      </c>
      <c r="G86" s="6" t="s">
        <v>77</v>
      </c>
      <c r="H86" s="2" cm="1">
        <f t="array" aca="1" ref="H86" ca="1">SUMPRODUCT(--MID(G86,LEN(G86)+1-ROW(INDIRECT("1:"&amp;LEN(G86))),1),(2^(ROW(INDIRECT("1:"&amp;LEN(G86)))-1)))</f>
        <v>65535</v>
      </c>
      <c r="I86" s="2" t="s">
        <v>61</v>
      </c>
      <c r="J86" s="2">
        <f t="shared" ca="1" si="15"/>
        <v>39296</v>
      </c>
      <c r="K86" s="2">
        <f t="shared" ca="1" si="16"/>
        <v>39296</v>
      </c>
      <c r="L86" s="2">
        <f t="shared" ca="1" si="17"/>
        <v>65535</v>
      </c>
    </row>
    <row r="87" spans="6:15" x14ac:dyDescent="0.3">
      <c r="F87" s="2">
        <f t="shared" ca="1" si="14"/>
        <v>0</v>
      </c>
      <c r="G87" s="6" t="s">
        <v>59</v>
      </c>
      <c r="H87" s="2" cm="1">
        <f t="array" aca="1" ref="H87" ca="1">SUMPRODUCT(--MID(G87,LEN(G87)+1-ROW(INDIRECT("1:"&amp;LEN(G87))),1),(2^(ROW(INDIRECT("1:"&amp;LEN(G87)))-1)))</f>
        <v>0</v>
      </c>
      <c r="I87" s="2">
        <f ca="1">_xlfn.FLOOR.MATH(I84*D42/2^B41)</f>
        <v>26239</v>
      </c>
      <c r="J87" s="2">
        <f t="shared" ca="1" si="15"/>
        <v>-26239</v>
      </c>
      <c r="K87" s="2">
        <f t="shared" ca="1" si="16"/>
        <v>0</v>
      </c>
      <c r="L87" s="2">
        <f t="shared" ca="1" si="17"/>
        <v>0</v>
      </c>
    </row>
    <row r="88" spans="6:15" x14ac:dyDescent="0.3">
      <c r="F88" s="2">
        <f t="shared" ca="1" si="14"/>
        <v>0</v>
      </c>
      <c r="G88" s="6" t="s">
        <v>59</v>
      </c>
      <c r="H88" s="2" cm="1">
        <f t="array" aca="1" ref="H88" ca="1">SUMPRODUCT(--MID(G88,LEN(G88)+1-ROW(INDIRECT("1:"&amp;LEN(G88))),1),(2^(ROW(INDIRECT("1:"&amp;LEN(G88)))-1)))</f>
        <v>0</v>
      </c>
      <c r="I88" s="2">
        <f ca="1">I85*B42</f>
        <v>12.749805450439453</v>
      </c>
      <c r="J88" s="2">
        <f t="shared" ca="1" si="15"/>
        <v>-26239</v>
      </c>
      <c r="K88" s="2">
        <f t="shared" ca="1" si="16"/>
        <v>0</v>
      </c>
      <c r="L88" s="2">
        <f t="shared" ca="1" si="17"/>
        <v>0</v>
      </c>
    </row>
    <row r="89" spans="6:15" x14ac:dyDescent="0.3">
      <c r="F89" s="2">
        <f t="shared" ca="1" si="14"/>
        <v>0</v>
      </c>
      <c r="G89" s="6" t="s">
        <v>59</v>
      </c>
      <c r="H89" s="2" cm="1">
        <f t="array" aca="1" ref="H89" ca="1">SUMPRODUCT(--MID(G89,LEN(G89)+1-ROW(INDIRECT("1:"&amp;LEN(G89))),1),(2^(ROW(INDIRECT("1:"&amp;LEN(G89)))-1)))</f>
        <v>0</v>
      </c>
      <c r="I89" s="2" t="s">
        <v>13</v>
      </c>
      <c r="J89" s="2">
        <f t="shared" ca="1" si="15"/>
        <v>-26239</v>
      </c>
      <c r="K89" s="2">
        <f t="shared" ca="1" si="16"/>
        <v>0</v>
      </c>
      <c r="L89" s="2">
        <f t="shared" ca="1" si="17"/>
        <v>0</v>
      </c>
    </row>
    <row r="90" spans="6:15" x14ac:dyDescent="0.3">
      <c r="F90" s="2">
        <f t="shared" ca="1" si="14"/>
        <v>0</v>
      </c>
      <c r="G90" s="6" t="s">
        <v>59</v>
      </c>
      <c r="H90" s="2" cm="1">
        <f t="array" aca="1" ref="H90" ca="1">SUMPRODUCT(--MID(G90,LEN(G90)+1-ROW(INDIRECT("1:"&amp;LEN(G90))),1),(2^(ROW(INDIRECT("1:"&amp;LEN(G90)))-1)))</f>
        <v>0</v>
      </c>
      <c r="I90" s="2">
        <f ca="1">SUM(K83:K94)</f>
        <v>157184</v>
      </c>
      <c r="J90" s="2">
        <f t="shared" ca="1" si="15"/>
        <v>-26239</v>
      </c>
      <c r="K90" s="2">
        <f t="shared" ca="1" si="16"/>
        <v>0</v>
      </c>
      <c r="L90" s="2">
        <f t="shared" ca="1" si="17"/>
        <v>0</v>
      </c>
    </row>
    <row r="91" spans="6:15" x14ac:dyDescent="0.3">
      <c r="F91" s="2">
        <f t="shared" ca="1" si="14"/>
        <v>0</v>
      </c>
      <c r="G91" s="6" t="s">
        <v>59</v>
      </c>
      <c r="H91" s="2" cm="1">
        <f t="array" aca="1" ref="H91" ca="1">SUMPRODUCT(--MID(G91,LEN(G91)+1-ROW(INDIRECT("1:"&amp;LEN(G91))),1),(2^(ROW(INDIRECT("1:"&amp;LEN(G91)))-1)))</f>
        <v>0</v>
      </c>
      <c r="J91" s="2">
        <f t="shared" ca="1" si="15"/>
        <v>-26239</v>
      </c>
      <c r="K91" s="2">
        <f t="shared" ca="1" si="16"/>
        <v>0</v>
      </c>
      <c r="L91" s="2">
        <f t="shared" ca="1" si="17"/>
        <v>0</v>
      </c>
      <c r="N91" s="2">
        <f ca="1">K98/2^11</f>
        <v>-4.048828125</v>
      </c>
    </row>
    <row r="92" spans="6:15" x14ac:dyDescent="0.3">
      <c r="F92" s="2">
        <f t="shared" ca="1" si="14"/>
        <v>0</v>
      </c>
      <c r="G92" s="6" t="s">
        <v>59</v>
      </c>
      <c r="H92" s="2" cm="1">
        <f t="array" aca="1" ref="H92" ca="1">SUMPRODUCT(--MID(G92,LEN(G92)+1-ROW(INDIRECT("1:"&amp;LEN(G92))),1),(2^(ROW(INDIRECT("1:"&amp;LEN(G92)))-1)))</f>
        <v>0</v>
      </c>
      <c r="J92" s="2">
        <f t="shared" ca="1" si="15"/>
        <v>-26239</v>
      </c>
      <c r="K92" s="2">
        <f t="shared" ca="1" si="16"/>
        <v>0</v>
      </c>
      <c r="L92" s="2">
        <f t="shared" ca="1" si="17"/>
        <v>0</v>
      </c>
    </row>
    <row r="93" spans="6:15" x14ac:dyDescent="0.3">
      <c r="F93" s="2">
        <f t="shared" ca="1" si="14"/>
        <v>0</v>
      </c>
      <c r="G93" s="6" t="s">
        <v>59</v>
      </c>
      <c r="H93" s="2" cm="1">
        <f t="array" aca="1" ref="H93" ca="1">SUMPRODUCT(--MID(G93,LEN(G93)+1-ROW(INDIRECT("1:"&amp;LEN(G93))),1),(2^(ROW(INDIRECT("1:"&amp;LEN(G93)))-1)))</f>
        <v>0</v>
      </c>
      <c r="J93" s="2">
        <f t="shared" ca="1" si="15"/>
        <v>-26239</v>
      </c>
      <c r="K93" s="2">
        <f t="shared" ca="1" si="16"/>
        <v>0</v>
      </c>
      <c r="L93" s="2">
        <f t="shared" ca="1" si="17"/>
        <v>0</v>
      </c>
    </row>
    <row r="94" spans="6:15" x14ac:dyDescent="0.3">
      <c r="F94" s="2">
        <f t="shared" ca="1" si="14"/>
        <v>0</v>
      </c>
      <c r="G94" s="6" t="s">
        <v>59</v>
      </c>
      <c r="H94" s="2" cm="1">
        <f t="array" aca="1" ref="H94" ca="1">SUMPRODUCT(--MID(G94,LEN(G94)+1-ROW(INDIRECT("1:"&amp;LEN(G94))),1),(2^(ROW(INDIRECT("1:"&amp;LEN(G94)))-1)))</f>
        <v>0</v>
      </c>
      <c r="J94" s="2">
        <f t="shared" ca="1" si="15"/>
        <v>-26239</v>
      </c>
      <c r="K94" s="2">
        <f t="shared" ca="1" si="16"/>
        <v>0</v>
      </c>
      <c r="L94" s="2">
        <f t="shared" ca="1" si="17"/>
        <v>0</v>
      </c>
    </row>
    <row r="96" spans="6:15" x14ac:dyDescent="0.3">
      <c r="G96" s="2" t="s">
        <v>52</v>
      </c>
      <c r="I96" s="2" t="s">
        <v>15</v>
      </c>
      <c r="J96" s="2" t="s">
        <v>14</v>
      </c>
      <c r="K96" s="2" t="s">
        <v>16</v>
      </c>
      <c r="L96" s="2" t="s">
        <v>17</v>
      </c>
      <c r="M96" s="2" t="s">
        <v>62</v>
      </c>
      <c r="N96" s="2" t="s">
        <v>23</v>
      </c>
      <c r="O96" s="2" t="s">
        <v>63</v>
      </c>
    </row>
    <row r="97" spans="5:25" x14ac:dyDescent="0.3">
      <c r="F97" s="2">
        <f ca="1">H97/2^B$41</f>
        <v>23.986328125</v>
      </c>
      <c r="G97" s="6" t="s">
        <v>73</v>
      </c>
      <c r="H97" s="2" cm="1">
        <f t="array" aca="1" ref="H97" ca="1">SUMPRODUCT(--MID(G97,LEN(G97)+1-ROW(INDIRECT("1:"&amp;LEN(G97))),1),(2^(ROW(INDIRECT("1:"&amp;LEN(G97)))-1)))</f>
        <v>49124</v>
      </c>
      <c r="I97" s="2">
        <f ca="1">H97</f>
        <v>49124</v>
      </c>
      <c r="J97" s="2">
        <f ca="1">IF(F97&lt;8,1,IF(F97&lt;16,2,3))</f>
        <v>3</v>
      </c>
      <c r="K97" s="2" cm="1">
        <f t="array" aca="1" ref="K97" ca="1">_xlfn.SWITCH(J97,1,8*2^B$41 - I97, 2, 8*2^B$41 -I97, 3, 24*2^B$41 -I97)</f>
        <v>28</v>
      </c>
      <c r="L97" s="2" cm="1">
        <f t="array" aca="1" ref="L97" ca="1">_xlfn.SWITCH(J97,1,K97*G$44, 2, K97*G$45, 3, K97*G$46)</f>
        <v>3666432</v>
      </c>
      <c r="M97" s="2">
        <f t="shared" ref="M97:M109" ca="1" si="18">_xlfn.FLOOR.MATH(L97/2^(B$41+B$41))</f>
        <v>0</v>
      </c>
      <c r="N97" s="2">
        <f ca="1">IF(J97=3,M97+170,M97)</f>
        <v>170</v>
      </c>
      <c r="O97" s="2">
        <f ca="1">MOD(N97,1024)</f>
        <v>170</v>
      </c>
      <c r="P97" s="2">
        <f ca="1">O97/2^(B$41-1)</f>
        <v>0.166015625</v>
      </c>
      <c r="Q97" s="13">
        <f ca="1">P97*360</f>
        <v>59.765625</v>
      </c>
    </row>
    <row r="98" spans="5:25" x14ac:dyDescent="0.3">
      <c r="F98" s="2">
        <f t="shared" ref="F98:F108" ca="1" si="19">H98/2^B$41</f>
        <v>12.048828125</v>
      </c>
      <c r="G98" s="6" t="s">
        <v>74</v>
      </c>
      <c r="H98" s="2" cm="1">
        <f t="array" aca="1" ref="H98" ca="1">SUMPRODUCT(--MID(G98,LEN(G98)+1-ROW(INDIRECT("1:"&amp;LEN(G98))),1),(2^(ROW(INDIRECT("1:"&amp;LEN(G98)))-1)))</f>
        <v>24676</v>
      </c>
      <c r="I98" s="2">
        <f t="shared" ref="I98:I109" ca="1" si="20">H98</f>
        <v>24676</v>
      </c>
      <c r="J98" s="2">
        <f t="shared" ref="J98:J109" ca="1" si="21">IF(F98&lt;8,1,IF(F98&lt;16,2,3))</f>
        <v>2</v>
      </c>
      <c r="K98" s="2" cm="1">
        <f t="array" aca="1" ref="K98" ca="1">_xlfn.SWITCH(J98,1,8*2^B$41 - I98, 2, 8*2^B$41 -I98, 3, 24*2^B$41 -I98)</f>
        <v>-8292</v>
      </c>
      <c r="L98" s="2" cm="1">
        <f t="array" aca="1" ref="L98" ca="1">_xlfn.SWITCH(J98,1,K98*G$44, 2, K98*G$45, 3, K98*G$46)</f>
        <v>-723858432</v>
      </c>
      <c r="M98" s="2">
        <f t="shared" ca="1" si="18"/>
        <v>-173</v>
      </c>
      <c r="N98" s="2">
        <f t="shared" ref="N98:N109" ca="1" si="22">IF(J98=3,M98+170,M98)</f>
        <v>-173</v>
      </c>
      <c r="O98" s="2">
        <f t="shared" ref="O98:O108" ca="1" si="23">MOD(N98,1024)</f>
        <v>851</v>
      </c>
      <c r="P98" s="2">
        <f t="shared" ref="P98:P109" ca="1" si="24">O98/2^(B$41-1)</f>
        <v>0.8310546875</v>
      </c>
      <c r="Q98" s="13">
        <f t="shared" ref="Q98:Q109" ca="1" si="25">P98*360</f>
        <v>299.1796875</v>
      </c>
    </row>
    <row r="99" spans="5:25" x14ac:dyDescent="0.3">
      <c r="F99" s="2">
        <f t="shared" ca="1" si="19"/>
        <v>19.986328125</v>
      </c>
      <c r="G99" s="6" t="s">
        <v>75</v>
      </c>
      <c r="H99" s="2" cm="1">
        <f t="array" aca="1" ref="H99" ca="1">SUMPRODUCT(--MID(G99,LEN(G99)+1-ROW(INDIRECT("1:"&amp;LEN(G99))),1),(2^(ROW(INDIRECT("1:"&amp;LEN(G99)))-1)))</f>
        <v>40932</v>
      </c>
      <c r="I99" s="2">
        <f t="shared" ca="1" si="20"/>
        <v>40932</v>
      </c>
      <c r="J99" s="2">
        <f t="shared" ca="1" si="21"/>
        <v>3</v>
      </c>
      <c r="K99" s="2" cm="1">
        <f t="array" aca="1" ref="K99" ca="1">_xlfn.SWITCH(J99,1,8*2^B$41 - I99, 2, 8*2^B$41 -I99, 3, 24*2^B$41 -I99)</f>
        <v>8220</v>
      </c>
      <c r="L99" s="2" cm="1">
        <f t="array" aca="1" ref="L99" ca="1">_xlfn.SWITCH(J99,1,K99*G$44, 2, K99*G$45, 3, K99*G$46)</f>
        <v>1076359680</v>
      </c>
      <c r="M99" s="2">
        <f t="shared" ca="1" si="18"/>
        <v>256</v>
      </c>
      <c r="N99" s="2">
        <f t="shared" ca="1" si="22"/>
        <v>426</v>
      </c>
      <c r="O99" s="2">
        <f t="shared" ca="1" si="23"/>
        <v>426</v>
      </c>
      <c r="P99" s="2">
        <f t="shared" ca="1" si="24"/>
        <v>0.416015625</v>
      </c>
      <c r="Q99" s="13">
        <f t="shared" ca="1" si="25"/>
        <v>149.765625</v>
      </c>
    </row>
    <row r="100" spans="5:25" x14ac:dyDescent="0.3">
      <c r="F100" s="2">
        <f t="shared" ca="1" si="19"/>
        <v>21.048828125</v>
      </c>
      <c r="G100" s="6" t="s">
        <v>76</v>
      </c>
      <c r="H100" s="2" cm="1">
        <f t="array" aca="1" ref="H100" ca="1">SUMPRODUCT(--MID(G100,LEN(G100)+1-ROW(INDIRECT("1:"&amp;LEN(G100))),1),(2^(ROW(INDIRECT("1:"&amp;LEN(G100)))-1)))</f>
        <v>43108</v>
      </c>
      <c r="I100" s="2">
        <f t="shared" ca="1" si="20"/>
        <v>43108</v>
      </c>
      <c r="J100" s="2">
        <f t="shared" ca="1" si="21"/>
        <v>3</v>
      </c>
      <c r="K100" s="2" cm="1">
        <f t="array" aca="1" ref="K100" ca="1">_xlfn.SWITCH(J100,1,8*2^B$41 - I100, 2, 8*2^B$41 -I100, 3, 24*2^B$41 -I100)</f>
        <v>6044</v>
      </c>
      <c r="L100" s="2" cm="1">
        <f t="array" aca="1" ref="L100" ca="1">_xlfn.SWITCH(J100,1,K100*G$44, 2, K100*G$45, 3, K100*G$46)</f>
        <v>791425536</v>
      </c>
      <c r="M100" s="2">
        <f t="shared" ca="1" si="18"/>
        <v>188</v>
      </c>
      <c r="N100" s="2">
        <f t="shared" ca="1" si="22"/>
        <v>358</v>
      </c>
      <c r="O100" s="2">
        <f t="shared" ca="1" si="23"/>
        <v>358</v>
      </c>
      <c r="P100" s="2">
        <f t="shared" ca="1" si="24"/>
        <v>0.349609375</v>
      </c>
      <c r="Q100" s="13">
        <f t="shared" ca="1" si="25"/>
        <v>125.859375</v>
      </c>
    </row>
    <row r="101" spans="5:25" x14ac:dyDescent="0.3">
      <c r="F101" s="2">
        <f t="shared" ca="1" si="19"/>
        <v>0.38818359375</v>
      </c>
      <c r="G101" s="6" t="s">
        <v>53</v>
      </c>
      <c r="H101" s="2" cm="1">
        <f t="array" aca="1" ref="H101" ca="1">SUMPRODUCT(--MID(G101,LEN(G101)+1-ROW(INDIRECT("1:"&amp;LEN(G101))),1),(2^(ROW(INDIRECT("1:"&amp;LEN(G101)))-1)))</f>
        <v>795</v>
      </c>
      <c r="I101" s="2">
        <f t="shared" ca="1" si="20"/>
        <v>795</v>
      </c>
      <c r="J101" s="2">
        <f t="shared" ca="1" si="21"/>
        <v>1</v>
      </c>
      <c r="K101" s="2" cm="1">
        <f t="array" aca="1" ref="K101" ca="1">_xlfn.SWITCH(J101,1,8*2^B$41 - I101, 2, 8*2^B$41 -I101, 3, 24*2^B$41 -I101)</f>
        <v>15589</v>
      </c>
      <c r="L101" s="2" cm="1">
        <f t="array" aca="1" ref="L101" ca="1">_xlfn.SWITCH(J101,1,K101*G$44, 2, K101*G$45, 3, K101*G$46)</f>
        <v>680428672</v>
      </c>
      <c r="M101" s="2">
        <f t="shared" ca="1" si="18"/>
        <v>162</v>
      </c>
      <c r="N101" s="2">
        <f t="shared" ca="1" si="22"/>
        <v>162</v>
      </c>
      <c r="O101" s="2">
        <f t="shared" ca="1" si="23"/>
        <v>162</v>
      </c>
      <c r="P101" s="2">
        <f t="shared" ca="1" si="24"/>
        <v>0.158203125</v>
      </c>
      <c r="Q101" s="13">
        <f t="shared" ca="1" si="25"/>
        <v>56.953125</v>
      </c>
    </row>
    <row r="102" spans="5:25" x14ac:dyDescent="0.3">
      <c r="F102" s="2">
        <f t="shared" ca="1" si="19"/>
        <v>0.3193359375</v>
      </c>
      <c r="G102" s="6" t="s">
        <v>54</v>
      </c>
      <c r="H102" s="2" cm="1">
        <f t="array" aca="1" ref="H102" ca="1">SUMPRODUCT(--MID(G102,LEN(G102)+1-ROW(INDIRECT("1:"&amp;LEN(G102))),1),(2^(ROW(INDIRECT("1:"&amp;LEN(G102)))-1)))</f>
        <v>654</v>
      </c>
      <c r="I102" s="2">
        <f t="shared" ca="1" si="20"/>
        <v>654</v>
      </c>
      <c r="J102" s="2">
        <f t="shared" ca="1" si="21"/>
        <v>1</v>
      </c>
      <c r="K102" s="2" cm="1">
        <f t="array" aca="1" ref="K102" ca="1">_xlfn.SWITCH(J102,1,8*2^B$41 - I102, 2, 8*2^B$41 -I102, 3, 24*2^B$41 -I102)</f>
        <v>15730</v>
      </c>
      <c r="L102" s="2" cm="1">
        <f t="array" aca="1" ref="L102" ca="1">_xlfn.SWITCH(J102,1,K102*G$44, 2, K102*G$45, 3, K102*G$46)</f>
        <v>686583040</v>
      </c>
      <c r="M102" s="2">
        <f t="shared" ca="1" si="18"/>
        <v>163</v>
      </c>
      <c r="N102" s="2">
        <f t="shared" ca="1" si="22"/>
        <v>163</v>
      </c>
      <c r="O102" s="2">
        <f t="shared" ca="1" si="23"/>
        <v>163</v>
      </c>
      <c r="P102" s="2">
        <f t="shared" ca="1" si="24"/>
        <v>0.1591796875</v>
      </c>
      <c r="Q102" s="13">
        <f t="shared" ca="1" si="25"/>
        <v>57.3046875</v>
      </c>
    </row>
    <row r="103" spans="5:25" x14ac:dyDescent="0.3">
      <c r="F103" s="2">
        <f t="shared" ca="1" si="19"/>
        <v>0.16845703125</v>
      </c>
      <c r="G103" s="6" t="s">
        <v>55</v>
      </c>
      <c r="H103" s="2" cm="1">
        <f t="array" aca="1" ref="H103" ca="1">SUMPRODUCT(--MID(G103,LEN(G103)+1-ROW(INDIRECT("1:"&amp;LEN(G103))),1),(2^(ROW(INDIRECT("1:"&amp;LEN(G103)))-1)))</f>
        <v>345</v>
      </c>
      <c r="I103" s="2">
        <f t="shared" ca="1" si="20"/>
        <v>345</v>
      </c>
      <c r="J103" s="2">
        <f t="shared" ca="1" si="21"/>
        <v>1</v>
      </c>
      <c r="K103" s="2" cm="1">
        <f t="array" aca="1" ref="K103" ca="1">_xlfn.SWITCH(J103,1,8*2^B$41 - I103, 2, 8*2^B$41 -I103, 3, 24*2^B$41 -I103)</f>
        <v>16039</v>
      </c>
      <c r="L103" s="2" cm="1">
        <f t="array" aca="1" ref="L103" ca="1">_xlfn.SWITCH(J103,1,K103*G$44, 2, K103*G$45, 3, K103*G$46)</f>
        <v>700070272</v>
      </c>
      <c r="M103" s="2">
        <f t="shared" ca="1" si="18"/>
        <v>166</v>
      </c>
      <c r="N103" s="2">
        <f t="shared" ca="1" si="22"/>
        <v>166</v>
      </c>
      <c r="O103" s="2">
        <f t="shared" ca="1" si="23"/>
        <v>166</v>
      </c>
      <c r="P103" s="2">
        <f t="shared" ca="1" si="24"/>
        <v>0.162109375</v>
      </c>
      <c r="Q103" s="13">
        <f t="shared" ca="1" si="25"/>
        <v>58.359375</v>
      </c>
    </row>
    <row r="104" spans="5:25" x14ac:dyDescent="0.3">
      <c r="F104" s="2">
        <f t="shared" ca="1" si="19"/>
        <v>0.2802734375</v>
      </c>
      <c r="G104" s="6" t="s">
        <v>56</v>
      </c>
      <c r="H104" s="2" cm="1">
        <f t="array" aca="1" ref="H104" ca="1">SUMPRODUCT(--MID(G104,LEN(G104)+1-ROW(INDIRECT("1:"&amp;LEN(G104))),1),(2^(ROW(INDIRECT("1:"&amp;LEN(G104)))-1)))</f>
        <v>574</v>
      </c>
      <c r="I104" s="2">
        <f t="shared" ca="1" si="20"/>
        <v>574</v>
      </c>
      <c r="J104" s="2">
        <f t="shared" ca="1" si="21"/>
        <v>1</v>
      </c>
      <c r="K104" s="2" cm="1">
        <f t="array" aca="1" ref="K104" ca="1">_xlfn.SWITCH(J104,1,8*2^B$41 - I104, 2, 8*2^B$41 -I104, 3, 24*2^B$41 -I104)</f>
        <v>15810</v>
      </c>
      <c r="L104" s="2" cm="1">
        <f t="array" aca="1" ref="L104" ca="1">_xlfn.SWITCH(J104,1,K104*G$44, 2, K104*G$45, 3, K104*G$46)</f>
        <v>690074880</v>
      </c>
      <c r="M104" s="2">
        <f t="shared" ca="1" si="18"/>
        <v>164</v>
      </c>
      <c r="N104" s="2">
        <f t="shared" ca="1" si="22"/>
        <v>164</v>
      </c>
      <c r="O104" s="2">
        <f t="shared" ca="1" si="23"/>
        <v>164</v>
      </c>
      <c r="P104" s="2">
        <f t="shared" ca="1" si="24"/>
        <v>0.16015625</v>
      </c>
      <c r="Q104" s="13">
        <f t="shared" ca="1" si="25"/>
        <v>57.65625</v>
      </c>
    </row>
    <row r="105" spans="5:25" x14ac:dyDescent="0.3">
      <c r="F105" s="2">
        <f t="shared" ca="1" si="19"/>
        <v>1.953125E-2</v>
      </c>
      <c r="G105" s="6" t="s">
        <v>57</v>
      </c>
      <c r="H105" s="2" cm="1">
        <f t="array" aca="1" ref="H105" ca="1">SUMPRODUCT(--MID(G105,LEN(G105)+1-ROW(INDIRECT("1:"&amp;LEN(G105))),1),(2^(ROW(INDIRECT("1:"&amp;LEN(G105)))-1)))</f>
        <v>40</v>
      </c>
      <c r="I105" s="2">
        <f t="shared" ca="1" si="20"/>
        <v>40</v>
      </c>
      <c r="J105" s="2">
        <f t="shared" ca="1" si="21"/>
        <v>1</v>
      </c>
      <c r="K105" s="2" cm="1">
        <f t="array" aca="1" ref="K105" ca="1">_xlfn.SWITCH(J105,1,8*2^B$41 - I105, 2, 8*2^B$41 -I105, 3, 24*2^B$41 -I105)</f>
        <v>16344</v>
      </c>
      <c r="L105" s="2" cm="1">
        <f t="array" aca="1" ref="L105" ca="1">_xlfn.SWITCH(J105,1,K105*G$44, 2, K105*G$45, 3, K105*G$46)</f>
        <v>713382912</v>
      </c>
      <c r="M105" s="2">
        <f t="shared" ca="1" si="18"/>
        <v>170</v>
      </c>
      <c r="N105" s="2">
        <f t="shared" ca="1" si="22"/>
        <v>170</v>
      </c>
      <c r="O105" s="2">
        <f t="shared" ca="1" si="23"/>
        <v>170</v>
      </c>
      <c r="P105" s="2">
        <f t="shared" ca="1" si="24"/>
        <v>0.166015625</v>
      </c>
      <c r="Q105" s="13">
        <f t="shared" ca="1" si="25"/>
        <v>59.765625</v>
      </c>
    </row>
    <row r="106" spans="5:25" x14ac:dyDescent="0.3">
      <c r="F106" s="2">
        <f t="shared" ca="1" si="19"/>
        <v>0.41650390625</v>
      </c>
      <c r="G106" s="6" t="s">
        <v>58</v>
      </c>
      <c r="H106" s="2" cm="1">
        <f t="array" aca="1" ref="H106" ca="1">SUMPRODUCT(--MID(G106,LEN(G106)+1-ROW(INDIRECT("1:"&amp;LEN(G106))),1),(2^(ROW(INDIRECT("1:"&amp;LEN(G106)))-1)))</f>
        <v>853</v>
      </c>
      <c r="I106" s="2">
        <f t="shared" ca="1" si="20"/>
        <v>853</v>
      </c>
      <c r="J106" s="2">
        <f t="shared" ca="1" si="21"/>
        <v>1</v>
      </c>
      <c r="K106" s="2" cm="1">
        <f t="array" aca="1" ref="K106" ca="1">_xlfn.SWITCH(J106,1,8*2^B$41 - I106, 2, 8*2^B$41 -I106, 3, 24*2^B$41 -I106)</f>
        <v>15531</v>
      </c>
      <c r="L106" s="2" cm="1">
        <f t="array" aca="1" ref="L106" ca="1">_xlfn.SWITCH(J106,1,K106*G$44, 2, K106*G$45, 3, K106*G$46)</f>
        <v>677897088</v>
      </c>
      <c r="M106" s="2">
        <f t="shared" ca="1" si="18"/>
        <v>161</v>
      </c>
      <c r="N106" s="2">
        <f t="shared" ca="1" si="22"/>
        <v>161</v>
      </c>
      <c r="O106" s="2">
        <f t="shared" ca="1" si="23"/>
        <v>161</v>
      </c>
      <c r="P106" s="2">
        <f t="shared" ca="1" si="24"/>
        <v>0.1572265625</v>
      </c>
      <c r="Q106" s="13">
        <f t="shared" ca="1" si="25"/>
        <v>56.6015625</v>
      </c>
    </row>
    <row r="107" spans="5:25" x14ac:dyDescent="0.3">
      <c r="F107" s="2">
        <f t="shared" ca="1" si="19"/>
        <v>0.41650390625</v>
      </c>
      <c r="G107" s="6" t="s">
        <v>58</v>
      </c>
      <c r="H107" s="2" cm="1">
        <f t="array" aca="1" ref="H107" ca="1">SUMPRODUCT(--MID(G107,LEN(G107)+1-ROW(INDIRECT("1:"&amp;LEN(G107))),1),(2^(ROW(INDIRECT("1:"&amp;LEN(G107)))-1)))</f>
        <v>853</v>
      </c>
      <c r="I107" s="2">
        <f t="shared" ca="1" si="20"/>
        <v>853</v>
      </c>
      <c r="J107" s="2">
        <f t="shared" ca="1" si="21"/>
        <v>1</v>
      </c>
      <c r="K107" s="2" cm="1">
        <f t="array" aca="1" ref="K107" ca="1">_xlfn.SWITCH(J107,1,8*2^B$41 - I107, 2, 8*2^B$41 -I107, 3, 24*2^B$41 -I107)</f>
        <v>15531</v>
      </c>
      <c r="L107" s="2" cm="1">
        <f t="array" aca="1" ref="L107" ca="1">_xlfn.SWITCH(J107,1,K107*G$44, 2, K107*G$45, 3, K107*G$46)</f>
        <v>677897088</v>
      </c>
      <c r="M107" s="2">
        <f t="shared" ca="1" si="18"/>
        <v>161</v>
      </c>
      <c r="N107" s="2">
        <f t="shared" ca="1" si="22"/>
        <v>161</v>
      </c>
      <c r="O107" s="2">
        <f t="shared" ca="1" si="23"/>
        <v>161</v>
      </c>
      <c r="P107" s="2">
        <f t="shared" ca="1" si="24"/>
        <v>0.1572265625</v>
      </c>
      <c r="Q107" s="13">
        <f t="shared" ca="1" si="25"/>
        <v>56.6015625</v>
      </c>
    </row>
    <row r="108" spans="5:25" x14ac:dyDescent="0.3">
      <c r="F108" s="2">
        <f t="shared" ca="1" si="19"/>
        <v>0</v>
      </c>
      <c r="G108" s="6" t="s">
        <v>59</v>
      </c>
      <c r="H108" s="2" cm="1">
        <f t="array" aca="1" ref="H108" ca="1">SUMPRODUCT(--MID(G108,LEN(G108)+1-ROW(INDIRECT("1:"&amp;LEN(G108))),1),(2^(ROW(INDIRECT("1:"&amp;LEN(G108)))-1)))</f>
        <v>0</v>
      </c>
      <c r="I108" s="2">
        <f t="shared" ca="1" si="20"/>
        <v>0</v>
      </c>
      <c r="J108" s="2">
        <f t="shared" ca="1" si="21"/>
        <v>1</v>
      </c>
      <c r="K108" s="2" cm="1">
        <f t="array" aca="1" ref="K108" ca="1">_xlfn.SWITCH(J108,1,8*2^B$41 - I108, 2, 8*2^B$41 -I108, 3, 24*2^B$41 -I108)</f>
        <v>16384</v>
      </c>
      <c r="L108" s="2" cm="1">
        <f t="array" aca="1" ref="L108" ca="1">_xlfn.SWITCH(J108,1,K108*G$44, 2, K108*G$45, 3, K108*G$46)</f>
        <v>715128832</v>
      </c>
      <c r="M108" s="2">
        <f t="shared" ca="1" si="18"/>
        <v>170</v>
      </c>
      <c r="N108" s="2">
        <f t="shared" ca="1" si="22"/>
        <v>170</v>
      </c>
      <c r="O108" s="2">
        <f t="shared" ca="1" si="23"/>
        <v>170</v>
      </c>
      <c r="P108" s="2">
        <f t="shared" ca="1" si="24"/>
        <v>0.166015625</v>
      </c>
      <c r="Q108" s="13">
        <f t="shared" ca="1" si="25"/>
        <v>59.765625</v>
      </c>
    </row>
    <row r="109" spans="5:25" x14ac:dyDescent="0.3">
      <c r="E109" s="13">
        <f>Q109</f>
        <v>126.9140625</v>
      </c>
      <c r="F109" s="2">
        <v>21</v>
      </c>
      <c r="H109" s="2">
        <f>F109*2^B41</f>
        <v>43008</v>
      </c>
      <c r="I109" s="2">
        <f t="shared" si="20"/>
        <v>43008</v>
      </c>
      <c r="J109" s="2">
        <f t="shared" si="21"/>
        <v>3</v>
      </c>
      <c r="K109" s="2" cm="1">
        <f t="array" ref="K109">_xlfn.SWITCH(J109,1,8*2^B$41 - I109, 2, 8*2^B$41 -I109, 3, 24*2^B$41 -I109)</f>
        <v>6144</v>
      </c>
      <c r="L109" s="2" cm="1">
        <f t="array" ref="L109">_xlfn.SWITCH(J109,1,K109*G$44, 2, K109*G$45, 3, K109*G$46)</f>
        <v>804519936</v>
      </c>
      <c r="M109" s="2">
        <f t="shared" si="18"/>
        <v>191</v>
      </c>
      <c r="N109" s="2">
        <f t="shared" si="22"/>
        <v>361</v>
      </c>
      <c r="O109" s="2">
        <f>MOD(N109,1024)</f>
        <v>361</v>
      </c>
      <c r="P109" s="2">
        <f t="shared" si="24"/>
        <v>0.3525390625</v>
      </c>
      <c r="Q109" s="13">
        <f t="shared" si="25"/>
        <v>126.9140625</v>
      </c>
    </row>
    <row r="111" spans="5:25" x14ac:dyDescent="0.3">
      <c r="I111" s="2" t="s">
        <v>64</v>
      </c>
      <c r="J111" s="2" t="s">
        <v>29</v>
      </c>
      <c r="K111" s="2" t="s">
        <v>30</v>
      </c>
      <c r="L111" s="2" t="s">
        <v>31</v>
      </c>
      <c r="M111" s="2" t="s">
        <v>32</v>
      </c>
      <c r="N111" s="2" t="s">
        <v>33</v>
      </c>
      <c r="O111" s="2" t="s">
        <v>34</v>
      </c>
      <c r="P111" s="2" t="s">
        <v>37</v>
      </c>
      <c r="Q111" s="2" t="s">
        <v>35</v>
      </c>
      <c r="R111" s="2" t="s">
        <v>36</v>
      </c>
      <c r="S111" s="2" t="s">
        <v>39</v>
      </c>
      <c r="T111" s="2" t="s">
        <v>40</v>
      </c>
      <c r="U111" s="2" t="s">
        <v>65</v>
      </c>
      <c r="V111" s="2" t="s">
        <v>66</v>
      </c>
      <c r="W111" s="2" t="s">
        <v>67</v>
      </c>
      <c r="X111" s="2" t="s">
        <v>68</v>
      </c>
      <c r="Y111" s="2" t="s">
        <v>69</v>
      </c>
    </row>
    <row r="112" spans="5:25" x14ac:dyDescent="0.3">
      <c r="I112" s="2">
        <f t="shared" ref="I112:I123" ca="1" si="26">O97*E$55</f>
        <v>2040</v>
      </c>
      <c r="J112" s="2">
        <f t="shared" ref="J112:J123" ca="1" si="27">_xlfn.FLOOR.MATH(I112/2^B$41)</f>
        <v>0</v>
      </c>
      <c r="K112" s="2">
        <f t="shared" ref="K112:K123" ca="1" si="28">MOD(I112, 2^B$41)</f>
        <v>2040</v>
      </c>
      <c r="L112" s="2">
        <f ca="1">IF(E57,K83,L83)</f>
        <v>65535</v>
      </c>
      <c r="M112" s="2">
        <f ca="1">L112*E$54</f>
        <v>214758195</v>
      </c>
      <c r="N112" s="2">
        <f t="shared" ref="N112:N123" ca="1" si="29">IF(_xlfn.FLOOR.MATH(M112/2^B$41) &gt; 1023, 1023, _xlfn.FLOOR.MATH(M112/2^B$41))</f>
        <v>1023</v>
      </c>
      <c r="O112" s="2">
        <f t="shared" ref="O112:O123" ca="1" si="30">IF(N112&gt;E$56,E$56,N112)</f>
        <v>1023</v>
      </c>
      <c r="P112" s="2">
        <f ca="1">_xlfn.FLOOR.MATH(O112/2^(B$41-9))</f>
        <v>255</v>
      </c>
      <c r="Q112" s="2">
        <f ca="1">O112*K112</f>
        <v>2086920</v>
      </c>
      <c r="R112" s="2">
        <f t="shared" ref="R112:R123" ca="1" si="31">O112*(2^(B$41) - 1 - K112)</f>
        <v>7161</v>
      </c>
      <c r="S112" s="2">
        <f ca="1">_xlfn.FLOOR.MATH(Q112/2^(2*B$41-9))</f>
        <v>254</v>
      </c>
      <c r="T112" s="2">
        <f t="shared" ref="T112:T123" ca="1" si="32">_xlfn.FLOOR.MATH(R112/2^(2*B$41-8))</f>
        <v>0</v>
      </c>
      <c r="U112" s="2" cm="1">
        <f t="array" aca="1" ref="U112" ca="1">_xlfn.SWITCH(J112,0,P112,1,T112,2,0,3,0,4,S112,5,P112)</f>
        <v>255</v>
      </c>
      <c r="V112" s="2" cm="1">
        <f t="array" aca="1" ref="V112" ca="1">_xlfn.SWITCH(J112,0,S112,1,P112,2,P112,3,T112,4,0,5,0)</f>
        <v>254</v>
      </c>
      <c r="W112" s="2" cm="1">
        <f t="array" aca="1" ref="W112" ca="1">_xlfn.SWITCH(J112,0,0,1,0,2,S112,3,P112,4,P112,5,T112)</f>
        <v>0</v>
      </c>
      <c r="X112" s="2">
        <f ca="1">U112*2^16+V112*2^8+W112</f>
        <v>16776704</v>
      </c>
      <c r="Y112" s="2" t="str">
        <f t="shared" ref="Y112:Y123" ca="1" si="33">_xlfn.BASE(X112,16,6)</f>
        <v>FFFE00</v>
      </c>
    </row>
    <row r="113" spans="9:25" x14ac:dyDescent="0.3">
      <c r="I113" s="2">
        <f t="shared" ca="1" si="26"/>
        <v>10212</v>
      </c>
      <c r="J113" s="2">
        <f t="shared" ca="1" si="27"/>
        <v>4</v>
      </c>
      <c r="K113" s="2">
        <f t="shared" ca="1" si="28"/>
        <v>2020</v>
      </c>
      <c r="L113" s="2">
        <f t="shared" ref="L113:L123" ca="1" si="34">IF(E58,K84,L84)</f>
        <v>65535</v>
      </c>
      <c r="M113" s="2">
        <f t="shared" ref="M113:M123" ca="1" si="35">L113*E$54</f>
        <v>214758195</v>
      </c>
      <c r="N113" s="2">
        <f t="shared" ca="1" si="29"/>
        <v>1023</v>
      </c>
      <c r="O113" s="2">
        <f t="shared" ca="1" si="30"/>
        <v>1023</v>
      </c>
      <c r="P113" s="2">
        <f t="shared" ref="P113:P123" ca="1" si="36">_xlfn.FLOOR.MATH(O113/2^(B$41-9))</f>
        <v>255</v>
      </c>
      <c r="Q113" s="2">
        <f t="shared" ref="Q113:Q123" ca="1" si="37">O113*K113</f>
        <v>2066460</v>
      </c>
      <c r="R113" s="2">
        <f t="shared" ca="1" si="31"/>
        <v>27621</v>
      </c>
      <c r="S113" s="2">
        <f t="shared" ref="S113:S123" ca="1" si="38">_xlfn.FLOOR.MATH(Q113/2^(2*B$41-9))</f>
        <v>252</v>
      </c>
      <c r="T113" s="2">
        <f t="shared" ca="1" si="32"/>
        <v>1</v>
      </c>
      <c r="U113" s="2" cm="1">
        <f t="array" aca="1" ref="U113" ca="1">_xlfn.SWITCH(J113,0,P113,1,T113,2,0,3,0,4,S113,5,P113)</f>
        <v>252</v>
      </c>
      <c r="V113" s="2" cm="1">
        <f t="array" aca="1" ref="V113" ca="1">_xlfn.SWITCH(J113,0,S113,1,P113,2,P113,3,T113,4,0,5,0)</f>
        <v>0</v>
      </c>
      <c r="W113" s="2" cm="1">
        <f t="array" aca="1" ref="W113" ca="1">_xlfn.SWITCH(J113,0,0,1,0,2,S113,3,P113,4,P113,5,T113)</f>
        <v>255</v>
      </c>
      <c r="X113" s="2">
        <f t="shared" ref="X113:X123" ca="1" si="39">U113*2^16+V113*2^8+W113</f>
        <v>16515327</v>
      </c>
      <c r="Y113" s="2" t="str">
        <f t="shared" ca="1" si="33"/>
        <v>FC00FF</v>
      </c>
    </row>
    <row r="114" spans="9:25" x14ac:dyDescent="0.3">
      <c r="I114" s="2">
        <f t="shared" ca="1" si="26"/>
        <v>5112</v>
      </c>
      <c r="J114" s="2">
        <f t="shared" ca="1" si="27"/>
        <v>2</v>
      </c>
      <c r="K114" s="2">
        <f t="shared" ca="1" si="28"/>
        <v>1016</v>
      </c>
      <c r="L114" s="2">
        <f t="shared" ca="1" si="34"/>
        <v>65535</v>
      </c>
      <c r="M114" s="2">
        <f t="shared" ca="1" si="35"/>
        <v>214758195</v>
      </c>
      <c r="N114" s="2">
        <f t="shared" ca="1" si="29"/>
        <v>1023</v>
      </c>
      <c r="O114" s="2">
        <f t="shared" ca="1" si="30"/>
        <v>1023</v>
      </c>
      <c r="P114" s="2">
        <f t="shared" ca="1" si="36"/>
        <v>255</v>
      </c>
      <c r="Q114" s="2">
        <f t="shared" ca="1" si="37"/>
        <v>1039368</v>
      </c>
      <c r="R114" s="2">
        <f t="shared" ca="1" si="31"/>
        <v>1054713</v>
      </c>
      <c r="S114" s="2">
        <f t="shared" ca="1" si="38"/>
        <v>126</v>
      </c>
      <c r="T114" s="2">
        <f t="shared" ca="1" si="32"/>
        <v>64</v>
      </c>
      <c r="U114" s="2" cm="1">
        <f t="array" aca="1" ref="U114" ca="1">_xlfn.SWITCH(J114,0,P114,1,T114,2,0,3,0,4,S114,5,P114)</f>
        <v>0</v>
      </c>
      <c r="V114" s="2" cm="1">
        <f t="array" aca="1" ref="V114" ca="1">_xlfn.SWITCH(J114,0,S114,1,P114,2,P114,3,T114,4,0,5,0)</f>
        <v>255</v>
      </c>
      <c r="W114" s="2" cm="1">
        <f t="array" aca="1" ref="W114" ca="1">_xlfn.SWITCH(J114,0,0,1,0,2,S114,3,P114,4,P114,5,T114)</f>
        <v>126</v>
      </c>
      <c r="X114" s="2">
        <f t="shared" ca="1" si="39"/>
        <v>65406</v>
      </c>
      <c r="Y114" s="2" t="str">
        <f t="shared" ca="1" si="33"/>
        <v>00FF7E</v>
      </c>
    </row>
    <row r="115" spans="9:25" x14ac:dyDescent="0.3">
      <c r="I115" s="2">
        <f t="shared" ca="1" si="26"/>
        <v>4296</v>
      </c>
      <c r="J115" s="2">
        <f t="shared" ca="1" si="27"/>
        <v>2</v>
      </c>
      <c r="K115" s="2">
        <f t="shared" ca="1" si="28"/>
        <v>200</v>
      </c>
      <c r="L115" s="2">
        <f t="shared" ca="1" si="34"/>
        <v>65535</v>
      </c>
      <c r="M115" s="2">
        <f t="shared" ca="1" si="35"/>
        <v>214758195</v>
      </c>
      <c r="N115" s="2">
        <f t="shared" ca="1" si="29"/>
        <v>1023</v>
      </c>
      <c r="O115" s="2">
        <f t="shared" ca="1" si="30"/>
        <v>1023</v>
      </c>
      <c r="P115" s="2">
        <f t="shared" ca="1" si="36"/>
        <v>255</v>
      </c>
      <c r="Q115" s="2">
        <f t="shared" ca="1" si="37"/>
        <v>204600</v>
      </c>
      <c r="R115" s="2">
        <f t="shared" ca="1" si="31"/>
        <v>1889481</v>
      </c>
      <c r="S115" s="2">
        <f t="shared" ca="1" si="38"/>
        <v>24</v>
      </c>
      <c r="T115" s="2">
        <f t="shared" ca="1" si="32"/>
        <v>115</v>
      </c>
      <c r="U115" s="2" cm="1">
        <f t="array" aca="1" ref="U115" ca="1">_xlfn.SWITCH(J115,0,P115,1,T115,2,0,3,0,4,S115,5,P115)</f>
        <v>0</v>
      </c>
      <c r="V115" s="2" cm="1">
        <f t="array" aca="1" ref="V115" ca="1">_xlfn.SWITCH(J115,0,S115,1,P115,2,P115,3,T115,4,0,5,0)</f>
        <v>255</v>
      </c>
      <c r="W115" s="2" cm="1">
        <f t="array" aca="1" ref="W115" ca="1">_xlfn.SWITCH(J115,0,0,1,0,2,S115,3,P115,4,P115,5,T115)</f>
        <v>24</v>
      </c>
      <c r="X115" s="2">
        <f t="shared" ca="1" si="39"/>
        <v>65304</v>
      </c>
      <c r="Y115" s="2" t="str">
        <f t="shared" ca="1" si="33"/>
        <v>00FF18</v>
      </c>
    </row>
    <row r="116" spans="9:25" x14ac:dyDescent="0.3">
      <c r="I116" s="2">
        <f t="shared" ca="1" si="26"/>
        <v>1944</v>
      </c>
      <c r="J116" s="2">
        <f t="shared" ca="1" si="27"/>
        <v>0</v>
      </c>
      <c r="K116" s="2">
        <f t="shared" ca="1" si="28"/>
        <v>1944</v>
      </c>
      <c r="L116" s="2">
        <f t="shared" ca="1" si="34"/>
        <v>0</v>
      </c>
      <c r="M116" s="2">
        <f t="shared" ca="1" si="35"/>
        <v>0</v>
      </c>
      <c r="N116" s="2">
        <f t="shared" ca="1" si="29"/>
        <v>0</v>
      </c>
      <c r="O116" s="2">
        <f t="shared" ca="1" si="30"/>
        <v>0</v>
      </c>
      <c r="P116" s="2">
        <f t="shared" ca="1" si="36"/>
        <v>0</v>
      </c>
      <c r="Q116" s="2">
        <f t="shared" ca="1" si="37"/>
        <v>0</v>
      </c>
      <c r="R116" s="2">
        <f t="shared" ca="1" si="31"/>
        <v>0</v>
      </c>
      <c r="S116" s="2">
        <f t="shared" ca="1" si="38"/>
        <v>0</v>
      </c>
      <c r="T116" s="2">
        <f t="shared" ca="1" si="32"/>
        <v>0</v>
      </c>
      <c r="U116" s="2" cm="1">
        <f t="array" aca="1" ref="U116" ca="1">_xlfn.SWITCH(J116,0,P116,1,T116,2,0,3,0,4,S116,5,P116)</f>
        <v>0</v>
      </c>
      <c r="V116" s="2" cm="1">
        <f t="array" aca="1" ref="V116" ca="1">_xlfn.SWITCH(J116,0,S116,1,P116,2,P116,3,T116,4,0,5,0)</f>
        <v>0</v>
      </c>
      <c r="W116" s="2" cm="1">
        <f t="array" aca="1" ref="W116" ca="1">_xlfn.SWITCH(J116,0,0,1,0,2,S116,3,P116,4,P116,5,T116)</f>
        <v>0</v>
      </c>
      <c r="X116" s="2">
        <f t="shared" ca="1" si="39"/>
        <v>0</v>
      </c>
      <c r="Y116" s="2" t="str">
        <f t="shared" ca="1" si="33"/>
        <v>000000</v>
      </c>
    </row>
    <row r="117" spans="9:25" x14ac:dyDescent="0.3">
      <c r="I117" s="2">
        <f t="shared" ca="1" si="26"/>
        <v>1956</v>
      </c>
      <c r="J117" s="2">
        <f t="shared" ca="1" si="27"/>
        <v>0</v>
      </c>
      <c r="K117" s="2">
        <f t="shared" ca="1" si="28"/>
        <v>1956</v>
      </c>
      <c r="L117" s="2">
        <f t="shared" ca="1" si="34"/>
        <v>0</v>
      </c>
      <c r="M117" s="2">
        <f t="shared" ca="1" si="35"/>
        <v>0</v>
      </c>
      <c r="N117" s="2">
        <f t="shared" ca="1" si="29"/>
        <v>0</v>
      </c>
      <c r="O117" s="2">
        <f t="shared" ca="1" si="30"/>
        <v>0</v>
      </c>
      <c r="P117" s="2">
        <f t="shared" ca="1" si="36"/>
        <v>0</v>
      </c>
      <c r="Q117" s="2">
        <f t="shared" ca="1" si="37"/>
        <v>0</v>
      </c>
      <c r="R117" s="2">
        <f t="shared" ca="1" si="31"/>
        <v>0</v>
      </c>
      <c r="S117" s="2">
        <f t="shared" ca="1" si="38"/>
        <v>0</v>
      </c>
      <c r="T117" s="2">
        <f t="shared" ca="1" si="32"/>
        <v>0</v>
      </c>
      <c r="U117" s="2" cm="1">
        <f t="array" aca="1" ref="U117" ca="1">_xlfn.SWITCH(J117,0,P117,1,T117,2,0,3,0,4,S117,5,P117)</f>
        <v>0</v>
      </c>
      <c r="V117" s="2" cm="1">
        <f t="array" aca="1" ref="V117" ca="1">_xlfn.SWITCH(J117,0,S117,1,P117,2,P117,3,T117,4,0,5,0)</f>
        <v>0</v>
      </c>
      <c r="W117" s="2" cm="1">
        <f t="array" aca="1" ref="W117" ca="1">_xlfn.SWITCH(J117,0,0,1,0,2,S117,3,P117,4,P117,5,T117)</f>
        <v>0</v>
      </c>
      <c r="X117" s="2">
        <f t="shared" ca="1" si="39"/>
        <v>0</v>
      </c>
      <c r="Y117" s="2" t="str">
        <f t="shared" ca="1" si="33"/>
        <v>000000</v>
      </c>
    </row>
    <row r="118" spans="9:25" x14ac:dyDescent="0.3">
      <c r="I118" s="2">
        <f t="shared" ca="1" si="26"/>
        <v>1992</v>
      </c>
      <c r="J118" s="2">
        <f t="shared" ca="1" si="27"/>
        <v>0</v>
      </c>
      <c r="K118" s="2">
        <f t="shared" ca="1" si="28"/>
        <v>1992</v>
      </c>
      <c r="L118" s="2">
        <f t="shared" ca="1" si="34"/>
        <v>0</v>
      </c>
      <c r="M118" s="2">
        <f t="shared" ca="1" si="35"/>
        <v>0</v>
      </c>
      <c r="N118" s="2">
        <f t="shared" ca="1" si="29"/>
        <v>0</v>
      </c>
      <c r="O118" s="2">
        <f t="shared" ca="1" si="30"/>
        <v>0</v>
      </c>
      <c r="P118" s="2">
        <f t="shared" ca="1" si="36"/>
        <v>0</v>
      </c>
      <c r="Q118" s="2">
        <f t="shared" ca="1" si="37"/>
        <v>0</v>
      </c>
      <c r="R118" s="2">
        <f t="shared" ca="1" si="31"/>
        <v>0</v>
      </c>
      <c r="S118" s="2">
        <f t="shared" ca="1" si="38"/>
        <v>0</v>
      </c>
      <c r="T118" s="2">
        <f t="shared" ca="1" si="32"/>
        <v>0</v>
      </c>
      <c r="U118" s="2" cm="1">
        <f t="array" aca="1" ref="U118" ca="1">_xlfn.SWITCH(J118,0,P118,1,T118,2,0,3,0,4,S118,5,P118)</f>
        <v>0</v>
      </c>
      <c r="V118" s="2" cm="1">
        <f t="array" aca="1" ref="V118" ca="1">_xlfn.SWITCH(J118,0,S118,1,P118,2,P118,3,T118,4,0,5,0)</f>
        <v>0</v>
      </c>
      <c r="W118" s="2" cm="1">
        <f t="array" aca="1" ref="W118" ca="1">_xlfn.SWITCH(J118,0,0,1,0,2,S118,3,P118,4,P118,5,T118)</f>
        <v>0</v>
      </c>
      <c r="X118" s="2">
        <f t="shared" ca="1" si="39"/>
        <v>0</v>
      </c>
      <c r="Y118" s="2" t="str">
        <f t="shared" ca="1" si="33"/>
        <v>000000</v>
      </c>
    </row>
    <row r="119" spans="9:25" x14ac:dyDescent="0.3">
      <c r="I119" s="2">
        <f t="shared" ca="1" si="26"/>
        <v>1968</v>
      </c>
      <c r="J119" s="2">
        <f t="shared" ca="1" si="27"/>
        <v>0</v>
      </c>
      <c r="K119" s="2">
        <f t="shared" ca="1" si="28"/>
        <v>1968</v>
      </c>
      <c r="L119" s="2">
        <f t="shared" ca="1" si="34"/>
        <v>0</v>
      </c>
      <c r="M119" s="2">
        <f t="shared" ca="1" si="35"/>
        <v>0</v>
      </c>
      <c r="N119" s="2">
        <f t="shared" ca="1" si="29"/>
        <v>0</v>
      </c>
      <c r="O119" s="2">
        <f t="shared" ca="1" si="30"/>
        <v>0</v>
      </c>
      <c r="P119" s="2">
        <f t="shared" ca="1" si="36"/>
        <v>0</v>
      </c>
      <c r="Q119" s="2">
        <f t="shared" ca="1" si="37"/>
        <v>0</v>
      </c>
      <c r="R119" s="2">
        <f t="shared" ca="1" si="31"/>
        <v>0</v>
      </c>
      <c r="S119" s="2">
        <f t="shared" ca="1" si="38"/>
        <v>0</v>
      </c>
      <c r="T119" s="2">
        <f t="shared" ca="1" si="32"/>
        <v>0</v>
      </c>
      <c r="U119" s="2" cm="1">
        <f t="array" aca="1" ref="U119" ca="1">_xlfn.SWITCH(J119,0,P119,1,T119,2,0,3,0,4,S119,5,P119)</f>
        <v>0</v>
      </c>
      <c r="V119" s="2" cm="1">
        <f t="array" aca="1" ref="V119" ca="1">_xlfn.SWITCH(J119,0,S119,1,P119,2,P119,3,T119,4,0,5,0)</f>
        <v>0</v>
      </c>
      <c r="W119" s="2" cm="1">
        <f t="array" aca="1" ref="W119" ca="1">_xlfn.SWITCH(J119,0,0,1,0,2,S119,3,P119,4,P119,5,T119)</f>
        <v>0</v>
      </c>
      <c r="X119" s="2">
        <f t="shared" ca="1" si="39"/>
        <v>0</v>
      </c>
      <c r="Y119" s="2" t="str">
        <f t="shared" ca="1" si="33"/>
        <v>000000</v>
      </c>
    </row>
    <row r="120" spans="9:25" x14ac:dyDescent="0.3">
      <c r="I120" s="2">
        <f t="shared" ca="1" si="26"/>
        <v>2040</v>
      </c>
      <c r="J120" s="2">
        <f t="shared" ca="1" si="27"/>
        <v>0</v>
      </c>
      <c r="K120" s="2">
        <f t="shared" ca="1" si="28"/>
        <v>2040</v>
      </c>
      <c r="L120" s="2">
        <f t="shared" ca="1" si="34"/>
        <v>0</v>
      </c>
      <c r="M120" s="2">
        <f t="shared" ca="1" si="35"/>
        <v>0</v>
      </c>
      <c r="N120" s="2">
        <f t="shared" ca="1" si="29"/>
        <v>0</v>
      </c>
      <c r="O120" s="2">
        <f t="shared" ca="1" si="30"/>
        <v>0</v>
      </c>
      <c r="P120" s="2">
        <f t="shared" ca="1" si="36"/>
        <v>0</v>
      </c>
      <c r="Q120" s="2">
        <f t="shared" ca="1" si="37"/>
        <v>0</v>
      </c>
      <c r="R120" s="2">
        <f t="shared" ca="1" si="31"/>
        <v>0</v>
      </c>
      <c r="S120" s="2">
        <f t="shared" ca="1" si="38"/>
        <v>0</v>
      </c>
      <c r="T120" s="2">
        <f t="shared" ca="1" si="32"/>
        <v>0</v>
      </c>
      <c r="U120" s="2" cm="1">
        <f t="array" aca="1" ref="U120" ca="1">_xlfn.SWITCH(J120,0,P120,1,T120,2,0,3,0,4,S120,5,P120)</f>
        <v>0</v>
      </c>
      <c r="V120" s="2" cm="1">
        <f t="array" aca="1" ref="V120" ca="1">_xlfn.SWITCH(J120,0,S120,1,P120,2,P120,3,T120,4,0,5,0)</f>
        <v>0</v>
      </c>
      <c r="W120" s="2" cm="1">
        <f t="array" aca="1" ref="W120" ca="1">_xlfn.SWITCH(J120,0,0,1,0,2,S120,3,P120,4,P120,5,T120)</f>
        <v>0</v>
      </c>
      <c r="X120" s="2">
        <f t="shared" ca="1" si="39"/>
        <v>0</v>
      </c>
      <c r="Y120" s="2" t="str">
        <f t="shared" ca="1" si="33"/>
        <v>000000</v>
      </c>
    </row>
    <row r="121" spans="9:25" x14ac:dyDescent="0.3">
      <c r="I121" s="2">
        <f t="shared" ca="1" si="26"/>
        <v>1932</v>
      </c>
      <c r="J121" s="2">
        <f t="shared" ca="1" si="27"/>
        <v>0</v>
      </c>
      <c r="K121" s="2">
        <f t="shared" ca="1" si="28"/>
        <v>1932</v>
      </c>
      <c r="L121" s="2">
        <f t="shared" ca="1" si="34"/>
        <v>0</v>
      </c>
      <c r="M121" s="2">
        <f t="shared" ca="1" si="35"/>
        <v>0</v>
      </c>
      <c r="N121" s="2">
        <f t="shared" ca="1" si="29"/>
        <v>0</v>
      </c>
      <c r="O121" s="2">
        <f t="shared" ca="1" si="30"/>
        <v>0</v>
      </c>
      <c r="P121" s="2">
        <f t="shared" ca="1" si="36"/>
        <v>0</v>
      </c>
      <c r="Q121" s="2">
        <f t="shared" ca="1" si="37"/>
        <v>0</v>
      </c>
      <c r="R121" s="2">
        <f t="shared" ca="1" si="31"/>
        <v>0</v>
      </c>
      <c r="S121" s="2">
        <f t="shared" ca="1" si="38"/>
        <v>0</v>
      </c>
      <c r="T121" s="2">
        <f t="shared" ca="1" si="32"/>
        <v>0</v>
      </c>
      <c r="U121" s="2" cm="1">
        <f t="array" aca="1" ref="U121" ca="1">_xlfn.SWITCH(J121,0,P121,1,T121,2,0,3,0,4,S121,5,P121)</f>
        <v>0</v>
      </c>
      <c r="V121" s="2" cm="1">
        <f t="array" aca="1" ref="V121" ca="1">_xlfn.SWITCH(J121,0,S121,1,P121,2,P121,3,T121,4,0,5,0)</f>
        <v>0</v>
      </c>
      <c r="W121" s="2" cm="1">
        <f t="array" aca="1" ref="W121" ca="1">_xlfn.SWITCH(J121,0,0,1,0,2,S121,3,P121,4,P121,5,T121)</f>
        <v>0</v>
      </c>
      <c r="X121" s="2">
        <f t="shared" ca="1" si="39"/>
        <v>0</v>
      </c>
      <c r="Y121" s="2" t="str">
        <f t="shared" ca="1" si="33"/>
        <v>000000</v>
      </c>
    </row>
    <row r="122" spans="9:25" x14ac:dyDescent="0.3">
      <c r="I122" s="2">
        <f t="shared" ca="1" si="26"/>
        <v>1932</v>
      </c>
      <c r="J122" s="2">
        <f t="shared" ca="1" si="27"/>
        <v>0</v>
      </c>
      <c r="K122" s="2">
        <f t="shared" ca="1" si="28"/>
        <v>1932</v>
      </c>
      <c r="L122" s="2">
        <f t="shared" ca="1" si="34"/>
        <v>0</v>
      </c>
      <c r="M122" s="2">
        <f t="shared" ca="1" si="35"/>
        <v>0</v>
      </c>
      <c r="N122" s="2">
        <f t="shared" ca="1" si="29"/>
        <v>0</v>
      </c>
      <c r="O122" s="2">
        <f t="shared" ca="1" si="30"/>
        <v>0</v>
      </c>
      <c r="P122" s="2">
        <f t="shared" ca="1" si="36"/>
        <v>0</v>
      </c>
      <c r="Q122" s="2">
        <f t="shared" ca="1" si="37"/>
        <v>0</v>
      </c>
      <c r="R122" s="2">
        <f t="shared" ca="1" si="31"/>
        <v>0</v>
      </c>
      <c r="S122" s="2">
        <f t="shared" ca="1" si="38"/>
        <v>0</v>
      </c>
      <c r="T122" s="2">
        <f t="shared" ca="1" si="32"/>
        <v>0</v>
      </c>
      <c r="U122" s="2" cm="1">
        <f t="array" aca="1" ref="U122" ca="1">_xlfn.SWITCH(J122,0,P122,1,T122,2,0,3,0,4,S122,5,P122)</f>
        <v>0</v>
      </c>
      <c r="V122" s="2" cm="1">
        <f t="array" aca="1" ref="V122" ca="1">_xlfn.SWITCH(J122,0,S122,1,P122,2,P122,3,T122,4,0,5,0)</f>
        <v>0</v>
      </c>
      <c r="W122" s="2" cm="1">
        <f t="array" aca="1" ref="W122" ca="1">_xlfn.SWITCH(J122,0,0,1,0,2,S122,3,P122,4,P122,5,T122)</f>
        <v>0</v>
      </c>
      <c r="X122" s="2">
        <f t="shared" ca="1" si="39"/>
        <v>0</v>
      </c>
      <c r="Y122" s="2" t="str">
        <f t="shared" ca="1" si="33"/>
        <v>000000</v>
      </c>
    </row>
    <row r="123" spans="9:25" x14ac:dyDescent="0.3">
      <c r="I123" s="2">
        <f t="shared" ca="1" si="26"/>
        <v>2040</v>
      </c>
      <c r="J123" s="2">
        <f t="shared" ca="1" si="27"/>
        <v>0</v>
      </c>
      <c r="K123" s="2">
        <f t="shared" ca="1" si="28"/>
        <v>2040</v>
      </c>
      <c r="L123" s="2">
        <f t="shared" ca="1" si="34"/>
        <v>0</v>
      </c>
      <c r="M123" s="2">
        <f t="shared" ca="1" si="35"/>
        <v>0</v>
      </c>
      <c r="N123" s="2">
        <f t="shared" ca="1" si="29"/>
        <v>0</v>
      </c>
      <c r="O123" s="2">
        <f t="shared" ca="1" si="30"/>
        <v>0</v>
      </c>
      <c r="P123" s="2">
        <f t="shared" ca="1" si="36"/>
        <v>0</v>
      </c>
      <c r="Q123" s="2">
        <f t="shared" ca="1" si="37"/>
        <v>0</v>
      </c>
      <c r="R123" s="2">
        <f t="shared" ca="1" si="31"/>
        <v>0</v>
      </c>
      <c r="S123" s="2">
        <f t="shared" ca="1" si="38"/>
        <v>0</v>
      </c>
      <c r="T123" s="2">
        <f t="shared" ca="1" si="32"/>
        <v>0</v>
      </c>
      <c r="U123" s="2" cm="1">
        <f t="array" aca="1" ref="U123" ca="1">_xlfn.SWITCH(J123,0,P123,1,T123,2,0,3,0,4,S123,5,P123)</f>
        <v>0</v>
      </c>
      <c r="V123" s="2" cm="1">
        <f t="array" aca="1" ref="V123" ca="1">_xlfn.SWITCH(J123,0,S123,1,P123,2,P123,3,T123,4,0,5,0)</f>
        <v>0</v>
      </c>
      <c r="W123" s="2" cm="1">
        <f t="array" aca="1" ref="W123" ca="1">_xlfn.SWITCH(J123,0,0,1,0,2,S123,3,P123,4,P123,5,T123)</f>
        <v>0</v>
      </c>
      <c r="X123" s="2">
        <f t="shared" ca="1" si="39"/>
        <v>0</v>
      </c>
      <c r="Y123" s="2" t="str">
        <f t="shared" ca="1" si="33"/>
        <v>000000</v>
      </c>
    </row>
    <row r="125" spans="9:25" x14ac:dyDescent="0.3">
      <c r="I125" s="2" t="s">
        <v>48</v>
      </c>
      <c r="J125" s="2" t="s">
        <v>47</v>
      </c>
    </row>
    <row r="126" spans="9:25" x14ac:dyDescent="0.3">
      <c r="I126" s="2">
        <f ca="1">I90/B43</f>
        <v>3143.68</v>
      </c>
      <c r="J126" s="2">
        <f t="shared" ref="J126:J138" ca="1" si="40">K83/I$126</f>
        <v>12.5</v>
      </c>
    </row>
    <row r="127" spans="9:25" x14ac:dyDescent="0.3">
      <c r="J127" s="2">
        <f t="shared" ca="1" si="40"/>
        <v>12.5</v>
      </c>
    </row>
    <row r="128" spans="9:25" x14ac:dyDescent="0.3">
      <c r="J128" s="2">
        <f t="shared" ca="1" si="40"/>
        <v>12.5</v>
      </c>
    </row>
    <row r="129" spans="10:10" x14ac:dyDescent="0.3">
      <c r="J129" s="2">
        <f t="shared" ca="1" si="40"/>
        <v>12.5</v>
      </c>
    </row>
    <row r="130" spans="10:10" x14ac:dyDescent="0.3">
      <c r="J130" s="2">
        <f t="shared" ca="1" si="40"/>
        <v>0</v>
      </c>
    </row>
    <row r="131" spans="10:10" x14ac:dyDescent="0.3">
      <c r="J131" s="2">
        <f t="shared" ca="1" si="40"/>
        <v>0</v>
      </c>
    </row>
    <row r="132" spans="10:10" x14ac:dyDescent="0.3">
      <c r="J132" s="2">
        <f t="shared" ca="1" si="40"/>
        <v>0</v>
      </c>
    </row>
    <row r="133" spans="10:10" x14ac:dyDescent="0.3">
      <c r="J133" s="2">
        <f t="shared" ca="1" si="40"/>
        <v>0</v>
      </c>
    </row>
    <row r="134" spans="10:10" x14ac:dyDescent="0.3">
      <c r="J134" s="2">
        <f t="shared" ca="1" si="40"/>
        <v>0</v>
      </c>
    </row>
    <row r="135" spans="10:10" x14ac:dyDescent="0.3">
      <c r="J135" s="2">
        <f t="shared" ca="1" si="40"/>
        <v>0</v>
      </c>
    </row>
    <row r="136" spans="10:10" x14ac:dyDescent="0.3">
      <c r="J136" s="2">
        <f t="shared" ca="1" si="40"/>
        <v>0</v>
      </c>
    </row>
    <row r="137" spans="10:10" x14ac:dyDescent="0.3">
      <c r="J137" s="2">
        <f t="shared" ca="1" si="40"/>
        <v>0</v>
      </c>
    </row>
    <row r="138" spans="10:10" x14ac:dyDescent="0.3">
      <c r="J138" s="2">
        <f t="shared" ca="1" si="4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FBF30-C73F-44F3-B868-D68CE6420F38}">
  <dimension ref="A1"/>
  <sheetViews>
    <sheetView workbookViewId="0">
      <selection activeCell="B1" sqref="B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2021-02-28T01:05:33Z</dcterms:created>
  <dcterms:modified xsi:type="dcterms:W3CDTF">2021-03-18T22:23:34Z</dcterms:modified>
</cp:coreProperties>
</file>