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CHW\other\"/>
    </mc:Choice>
  </mc:AlternateContent>
  <xr:revisionPtr revIDLastSave="0" documentId="13_ncr:1_{267BD6F9-C137-4E0A-8C41-295F70BBA74A}" xr6:coauthVersionLast="46" xr6:coauthVersionMax="46" xr10:uidLastSave="{00000000-0000-0000-0000-000000000000}"/>
  <bookViews>
    <workbookView xWindow="-108" yWindow="-108" windowWidth="23256" windowHeight="12576" xr2:uid="{9DBF0F91-83D7-4F64-B04C-B7CB81DC62E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B27" i="1"/>
  <c r="I26" i="1"/>
  <c r="G26" i="1" s="1"/>
  <c r="I27" i="1"/>
  <c r="G27" i="1" s="1"/>
  <c r="I28" i="1"/>
  <c r="G28" i="1" s="1"/>
  <c r="O33" i="1"/>
  <c r="N32" i="1"/>
  <c r="N31" i="1"/>
  <c r="O28" i="1"/>
  <c r="O27" i="1"/>
  <c r="M30" i="1"/>
  <c r="M29" i="1"/>
  <c r="E20" i="1"/>
  <c r="E22" i="1"/>
  <c r="E21" i="1"/>
  <c r="C15" i="1"/>
  <c r="I17" i="1"/>
  <c r="H17" i="1" s="1"/>
  <c r="F13" i="1"/>
  <c r="E13" i="1"/>
  <c r="H13" i="1" s="1"/>
  <c r="I13" i="1" s="1"/>
  <c r="F12" i="1"/>
  <c r="E12" i="1"/>
  <c r="H12" i="1" s="1"/>
  <c r="I12" i="1" s="1"/>
  <c r="F11" i="1"/>
  <c r="E11" i="1"/>
  <c r="H11" i="1" s="1"/>
  <c r="I11" i="1" s="1"/>
  <c r="F10" i="1"/>
  <c r="E10" i="1"/>
  <c r="H10" i="1" s="1"/>
  <c r="I10" i="1" s="1"/>
  <c r="F9" i="1"/>
  <c r="E9" i="1"/>
  <c r="H9" i="1" s="1"/>
  <c r="I9" i="1" s="1"/>
  <c r="F8" i="1"/>
  <c r="E8" i="1"/>
  <c r="H8" i="1" s="1"/>
  <c r="I8" i="1" s="1"/>
  <c r="F7" i="1"/>
  <c r="E7" i="1"/>
  <c r="H7" i="1" s="1"/>
  <c r="I7" i="1" s="1"/>
  <c r="F6" i="1"/>
  <c r="E6" i="1"/>
  <c r="H6" i="1" s="1"/>
  <c r="I6" i="1" s="1"/>
  <c r="F5" i="1"/>
  <c r="E5" i="1"/>
  <c r="H5" i="1" s="1"/>
  <c r="I5" i="1" s="1"/>
  <c r="F4" i="1"/>
  <c r="E4" i="1"/>
  <c r="H4" i="1" s="1"/>
  <c r="I4" i="1" s="1"/>
  <c r="F3" i="1"/>
  <c r="E3" i="1"/>
  <c r="H3" i="1" s="1"/>
  <c r="I3" i="1" s="1"/>
  <c r="F2" i="1"/>
  <c r="E2" i="1"/>
  <c r="H2" i="1" s="1"/>
  <c r="H60" i="1" a="1"/>
  <c r="H83" i="1" a="1"/>
  <c r="H69" i="1" a="1"/>
  <c r="H70" i="1" a="1"/>
  <c r="H63" i="1" a="1"/>
  <c r="H82" i="1" a="1"/>
  <c r="H79" i="1" a="1"/>
  <c r="H81" i="1" a="1"/>
  <c r="H62" i="1" a="1"/>
  <c r="H78" i="1" a="1"/>
  <c r="H80" i="1" a="1"/>
  <c r="H76" i="1" a="1"/>
  <c r="H68" i="1" a="1"/>
  <c r="H66" i="1" a="1"/>
  <c r="H73" i="1" a="1"/>
  <c r="H64" i="1" a="1"/>
  <c r="H77" i="1" a="1"/>
  <c r="H65" i="1" a="1"/>
  <c r="H84" i="1" a="1"/>
  <c r="H74" i="1" a="1"/>
  <c r="H59" i="1" a="1"/>
  <c r="H75" i="1" a="1"/>
  <c r="H67" i="1" a="1"/>
  <c r="H61" i="1" a="1"/>
  <c r="H84" i="1" l="1"/>
  <c r="H82" i="1"/>
  <c r="I82" i="1" s="1"/>
  <c r="J82" i="1" s="1"/>
  <c r="K82" i="1" s="1" a="1"/>
  <c r="K82" i="1" s="1"/>
  <c r="H80" i="1"/>
  <c r="I80" i="1" s="1"/>
  <c r="J80" i="1" s="1"/>
  <c r="K80" i="1" s="1" a="1"/>
  <c r="K80" i="1" s="1"/>
  <c r="H78" i="1"/>
  <c r="I78" i="1" s="1"/>
  <c r="J78" i="1" s="1"/>
  <c r="K78" i="1" s="1" a="1"/>
  <c r="K78" i="1" s="1"/>
  <c r="H76" i="1"/>
  <c r="I76" i="1" s="1"/>
  <c r="J76" i="1" s="1"/>
  <c r="K76" i="1" s="1" a="1"/>
  <c r="K76" i="1" s="1"/>
  <c r="H74" i="1"/>
  <c r="I74" i="1" s="1"/>
  <c r="J74" i="1" s="1"/>
  <c r="K74" i="1" s="1" a="1"/>
  <c r="K74" i="1" s="1"/>
  <c r="H83" i="1"/>
  <c r="I83" i="1" s="1"/>
  <c r="J83" i="1" s="1"/>
  <c r="K83" i="1" s="1" a="1"/>
  <c r="K83" i="1" s="1"/>
  <c r="H81" i="1"/>
  <c r="I81" i="1" s="1"/>
  <c r="J81" i="1" s="1"/>
  <c r="K81" i="1" s="1" a="1"/>
  <c r="K81" i="1" s="1"/>
  <c r="H79" i="1"/>
  <c r="I79" i="1" s="1"/>
  <c r="J79" i="1" s="1"/>
  <c r="K79" i="1" s="1" a="1"/>
  <c r="K79" i="1" s="1"/>
  <c r="H77" i="1"/>
  <c r="I77" i="1" s="1"/>
  <c r="J77" i="1" s="1"/>
  <c r="K77" i="1" s="1" a="1"/>
  <c r="K77" i="1" s="1"/>
  <c r="H75" i="1"/>
  <c r="I75" i="1" s="1"/>
  <c r="J75" i="1" s="1"/>
  <c r="K75" i="1" s="1" a="1"/>
  <c r="K75" i="1" s="1"/>
  <c r="H73" i="1"/>
  <c r="H69" i="1"/>
  <c r="H67" i="1"/>
  <c r="H65" i="1"/>
  <c r="H63" i="1"/>
  <c r="H61" i="1"/>
  <c r="H70" i="1"/>
  <c r="H68" i="1"/>
  <c r="H66" i="1"/>
  <c r="H64" i="1"/>
  <c r="H62" i="1"/>
  <c r="H60" i="1"/>
  <c r="H59" i="1"/>
  <c r="K27" i="1"/>
  <c r="J27" i="1"/>
  <c r="H26" i="1"/>
  <c r="H28" i="1"/>
  <c r="H27" i="1"/>
  <c r="G17" i="1"/>
  <c r="J17" i="1"/>
  <c r="D10" i="1"/>
  <c r="G10" i="1" s="1"/>
  <c r="D6" i="1"/>
  <c r="G6" i="1" s="1"/>
  <c r="D13" i="1"/>
  <c r="G13" i="1" s="1"/>
  <c r="D9" i="1"/>
  <c r="G9" i="1" s="1"/>
  <c r="D5" i="1"/>
  <c r="G5" i="1" s="1"/>
  <c r="D12" i="1"/>
  <c r="G12" i="1" s="1"/>
  <c r="D8" i="1"/>
  <c r="G8" i="1" s="1"/>
  <c r="D4" i="1"/>
  <c r="D11" i="1"/>
  <c r="G11" i="1" s="1"/>
  <c r="D7" i="1"/>
  <c r="G7" i="1" s="1"/>
  <c r="D3" i="1"/>
  <c r="G3" i="1" s="1"/>
  <c r="D2" i="1"/>
  <c r="J2" i="1"/>
  <c r="I2" i="1"/>
  <c r="I84" i="1" l="1"/>
  <c r="J84" i="1" s="1"/>
  <c r="K84" i="1" s="1" a="1"/>
  <c r="K84" i="1" s="1"/>
  <c r="F84" i="1"/>
  <c r="I73" i="1"/>
  <c r="J73" i="1" s="1"/>
  <c r="K73" i="1" s="1" a="1"/>
  <c r="K73" i="1" s="1"/>
  <c r="K29" i="1"/>
  <c r="K31" i="1" s="1"/>
  <c r="K33" i="1" s="1"/>
  <c r="L27" i="1" s="1"/>
  <c r="L81" i="1" a="1"/>
  <c r="L81" i="1" s="1"/>
  <c r="L78" i="1" a="1"/>
  <c r="L78" i="1" s="1"/>
  <c r="L83" i="1" a="1"/>
  <c r="L83" i="1" s="1"/>
  <c r="L80" i="1" a="1"/>
  <c r="L80" i="1" s="1"/>
  <c r="L77" i="1" a="1"/>
  <c r="L77" i="1" s="1"/>
  <c r="L82" i="1" a="1"/>
  <c r="L82" i="1" s="1"/>
  <c r="L79" i="1" a="1"/>
  <c r="L79" i="1" s="1"/>
  <c r="L76" i="1" a="1"/>
  <c r="L76" i="1" s="1"/>
  <c r="L84" i="1" a="1"/>
  <c r="L84" i="1" s="1"/>
  <c r="M84" i="1" s="1"/>
  <c r="F81" i="1"/>
  <c r="F78" i="1"/>
  <c r="F75" i="1"/>
  <c r="F83" i="1"/>
  <c r="F80" i="1"/>
  <c r="F77" i="1"/>
  <c r="F74" i="1"/>
  <c r="F82" i="1"/>
  <c r="F79" i="1"/>
  <c r="F76" i="1"/>
  <c r="F73" i="1"/>
  <c r="F66" i="1"/>
  <c r="F63" i="1"/>
  <c r="F60" i="1"/>
  <c r="F68" i="1"/>
  <c r="F65" i="1"/>
  <c r="F62" i="1"/>
  <c r="F70" i="1"/>
  <c r="F67" i="1"/>
  <c r="F64" i="1"/>
  <c r="F61" i="1"/>
  <c r="F69" i="1"/>
  <c r="F59" i="1"/>
  <c r="I60" i="1"/>
  <c r="I63" i="1" s="1"/>
  <c r="J66" i="1" s="1"/>
  <c r="K66" i="1" s="1"/>
  <c r="G2" i="1"/>
  <c r="G4" i="1"/>
  <c r="J29" i="1"/>
  <c r="J31" i="1"/>
  <c r="J21" i="1"/>
  <c r="K17" i="1" s="1"/>
  <c r="J20" i="1"/>
  <c r="J3" i="1"/>
  <c r="J7" i="1" s="1"/>
  <c r="J6" i="1"/>
  <c r="M77" i="1" l="1"/>
  <c r="N77" i="1" s="1"/>
  <c r="O77" i="1" s="1"/>
  <c r="M79" i="1"/>
  <c r="N79" i="1" s="1"/>
  <c r="O79" i="1" s="1"/>
  <c r="M80" i="1"/>
  <c r="N80" i="1" s="1"/>
  <c r="O80" i="1" s="1"/>
  <c r="M81" i="1"/>
  <c r="N81" i="1" s="1"/>
  <c r="O81" i="1" s="1"/>
  <c r="M76" i="1"/>
  <c r="N76" i="1" s="1"/>
  <c r="O76" i="1" s="1"/>
  <c r="M82" i="1"/>
  <c r="N82" i="1" s="1"/>
  <c r="O82" i="1" s="1"/>
  <c r="M83" i="1"/>
  <c r="N83" i="1" s="1"/>
  <c r="O83" i="1" s="1"/>
  <c r="M78" i="1"/>
  <c r="N78" i="1" s="1"/>
  <c r="O78" i="1" s="1"/>
  <c r="N84" i="1"/>
  <c r="O84" i="1" s="1"/>
  <c r="P84" i="1" s="1"/>
  <c r="Q84" i="1" s="1"/>
  <c r="L66" i="1"/>
  <c r="L95" i="1" s="1"/>
  <c r="M95" i="1" s="1"/>
  <c r="N95" i="1" s="1"/>
  <c r="O95" i="1" s="1"/>
  <c r="P95" i="1" s="1"/>
  <c r="L74" i="1" a="1"/>
  <c r="L74" i="1" s="1"/>
  <c r="L75" i="1" a="1"/>
  <c r="L75" i="1" s="1"/>
  <c r="L73" i="1" a="1"/>
  <c r="L73" i="1" s="1"/>
  <c r="M73" i="1" s="1"/>
  <c r="N29" i="1"/>
  <c r="O30" i="1"/>
  <c r="M32" i="1"/>
  <c r="O31" i="1"/>
  <c r="M33" i="1"/>
  <c r="N28" i="1"/>
  <c r="M27" i="1"/>
  <c r="J67" i="1"/>
  <c r="K67" i="1" s="1"/>
  <c r="J61" i="1"/>
  <c r="K61" i="1" s="1"/>
  <c r="J63" i="1"/>
  <c r="K63" i="1" s="1"/>
  <c r="J59" i="1"/>
  <c r="K59" i="1" s="1"/>
  <c r="J68" i="1"/>
  <c r="K68" i="1" s="1"/>
  <c r="J62" i="1"/>
  <c r="K62" i="1" s="1"/>
  <c r="J69" i="1"/>
  <c r="K69" i="1" s="1"/>
  <c r="J64" i="1"/>
  <c r="K64" i="1" s="1"/>
  <c r="J70" i="1"/>
  <c r="K70" i="1" s="1"/>
  <c r="J65" i="1"/>
  <c r="K65" i="1" s="1"/>
  <c r="J60" i="1"/>
  <c r="K60" i="1" s="1"/>
  <c r="I61" i="1"/>
  <c r="I64" i="1" s="1"/>
  <c r="L31" i="1"/>
  <c r="L35" i="1" s="1"/>
  <c r="L29" i="1"/>
  <c r="L33" i="1" s="1"/>
  <c r="H21" i="1"/>
  <c r="H22" i="1"/>
  <c r="H20" i="1"/>
  <c r="K2" i="1"/>
  <c r="M2" i="1" s="1"/>
  <c r="K10" i="1"/>
  <c r="M10" i="1" s="1"/>
  <c r="K6" i="1"/>
  <c r="M6" i="1" s="1"/>
  <c r="K3" i="1"/>
  <c r="M3" i="1" s="1"/>
  <c r="K13" i="1"/>
  <c r="M13" i="1" s="1"/>
  <c r="K12" i="1"/>
  <c r="M12" i="1" s="1"/>
  <c r="K9" i="1"/>
  <c r="M9" i="1" s="1"/>
  <c r="K8" i="1"/>
  <c r="M8" i="1" s="1"/>
  <c r="K11" i="1"/>
  <c r="M11" i="1" s="1"/>
  <c r="K7" i="1"/>
  <c r="M7" i="1" s="1"/>
  <c r="K5" i="1"/>
  <c r="M5" i="1" s="1"/>
  <c r="K4" i="1"/>
  <c r="M4" i="1" s="1"/>
  <c r="P78" i="1" l="1"/>
  <c r="Q78" i="1" s="1"/>
  <c r="I93" i="1"/>
  <c r="J93" i="1" s="1"/>
  <c r="P83" i="1"/>
  <c r="Q83" i="1" s="1"/>
  <c r="I98" i="1"/>
  <c r="J98" i="1" s="1"/>
  <c r="P80" i="1"/>
  <c r="Q80" i="1" s="1"/>
  <c r="I95" i="1"/>
  <c r="J95" i="1" s="1"/>
  <c r="I94" i="1"/>
  <c r="J94" i="1" s="1"/>
  <c r="P79" i="1"/>
  <c r="Q79" i="1" s="1"/>
  <c r="P81" i="1"/>
  <c r="Q81" i="1" s="1"/>
  <c r="I96" i="1"/>
  <c r="J96" i="1" s="1"/>
  <c r="W96" i="1" s="1" a="1"/>
  <c r="W96" i="1" s="1"/>
  <c r="I97" i="1"/>
  <c r="J97" i="1" s="1"/>
  <c r="P82" i="1"/>
  <c r="Q82" i="1" s="1"/>
  <c r="P76" i="1"/>
  <c r="Q76" i="1" s="1"/>
  <c r="I91" i="1"/>
  <c r="J91" i="1" s="1"/>
  <c r="W91" i="1" s="1" a="1"/>
  <c r="W91" i="1" s="1"/>
  <c r="P77" i="1"/>
  <c r="Q77" i="1" s="1"/>
  <c r="I92" i="1"/>
  <c r="J92" i="1" s="1"/>
  <c r="M74" i="1"/>
  <c r="N74" i="1" s="1"/>
  <c r="O74" i="1" s="1"/>
  <c r="M75" i="1"/>
  <c r="N75" i="1" s="1"/>
  <c r="O75" i="1" s="1"/>
  <c r="N73" i="1"/>
  <c r="O73" i="1" s="1"/>
  <c r="I99" i="1"/>
  <c r="K99" i="1" s="1"/>
  <c r="L60" i="1"/>
  <c r="L89" i="1" s="1"/>
  <c r="M89" i="1" s="1"/>
  <c r="N89" i="1" s="1"/>
  <c r="O89" i="1" s="1"/>
  <c r="P89" i="1" s="1"/>
  <c r="L62" i="1"/>
  <c r="L91" i="1" s="1"/>
  <c r="M91" i="1" s="1"/>
  <c r="N91" i="1" s="1"/>
  <c r="O91" i="1" s="1"/>
  <c r="P91" i="1" s="1"/>
  <c r="L69" i="1"/>
  <c r="L98" i="1" s="1"/>
  <c r="M98" i="1" s="1"/>
  <c r="N98" i="1" s="1"/>
  <c r="O98" i="1" s="1"/>
  <c r="P98" i="1" s="1"/>
  <c r="L65" i="1"/>
  <c r="L94" i="1" s="1"/>
  <c r="M94" i="1" s="1"/>
  <c r="N94" i="1" s="1"/>
  <c r="O94" i="1" s="1"/>
  <c r="P94" i="1" s="1"/>
  <c r="L61" i="1"/>
  <c r="L90" i="1" s="1"/>
  <c r="M90" i="1" s="1"/>
  <c r="N90" i="1" s="1"/>
  <c r="O90" i="1" s="1"/>
  <c r="P90" i="1" s="1"/>
  <c r="L70" i="1"/>
  <c r="L99" i="1" s="1"/>
  <c r="M99" i="1" s="1"/>
  <c r="N99" i="1" s="1"/>
  <c r="O99" i="1" s="1"/>
  <c r="P99" i="1" s="1"/>
  <c r="L68" i="1"/>
  <c r="L97" i="1" s="1"/>
  <c r="M97" i="1" s="1"/>
  <c r="N97" i="1" s="1"/>
  <c r="O97" i="1" s="1"/>
  <c r="P97" i="1" s="1"/>
  <c r="L67" i="1"/>
  <c r="L96" i="1" s="1"/>
  <c r="M96" i="1" s="1"/>
  <c r="N96" i="1" s="1"/>
  <c r="O96" i="1" s="1"/>
  <c r="P96" i="1" s="1"/>
  <c r="L63" i="1"/>
  <c r="L92" i="1" s="1"/>
  <c r="M92" i="1" s="1"/>
  <c r="N92" i="1" s="1"/>
  <c r="O92" i="1" s="1"/>
  <c r="P92" i="1" s="1"/>
  <c r="L64" i="1"/>
  <c r="L93" i="1" s="1"/>
  <c r="M93" i="1" s="1"/>
  <c r="N93" i="1" s="1"/>
  <c r="O93" i="1" s="1"/>
  <c r="P93" i="1" s="1"/>
  <c r="L59" i="1"/>
  <c r="L88" i="1" s="1"/>
  <c r="M88" i="1" s="1"/>
  <c r="N88" i="1" s="1"/>
  <c r="O88" i="1" s="1"/>
  <c r="I66" i="1"/>
  <c r="I102" i="1" s="1"/>
  <c r="J103" i="1" s="1"/>
  <c r="O29" i="1"/>
  <c r="P29" i="1" s="1"/>
  <c r="L39" i="1"/>
  <c r="N30" i="1"/>
  <c r="P30" i="1" s="1"/>
  <c r="O32" i="1"/>
  <c r="P32" i="1" s="1"/>
  <c r="N27" i="1"/>
  <c r="P27" i="1" s="1"/>
  <c r="N33" i="1"/>
  <c r="M28" i="1"/>
  <c r="P28" i="1" s="1"/>
  <c r="M31" i="1"/>
  <c r="P31" i="1" s="1"/>
  <c r="K20" i="1"/>
  <c r="K21" i="1" s="1"/>
  <c r="L4" i="1"/>
  <c r="G41" i="1" s="1"/>
  <c r="L8" i="1"/>
  <c r="G45" i="1" s="1"/>
  <c r="L3" i="1"/>
  <c r="G40" i="1" s="1"/>
  <c r="L5" i="1"/>
  <c r="G42" i="1" s="1"/>
  <c r="L9" i="1"/>
  <c r="G46" i="1" s="1"/>
  <c r="L6" i="1"/>
  <c r="G43" i="1" s="1"/>
  <c r="L7" i="1"/>
  <c r="G44" i="1" s="1"/>
  <c r="L12" i="1"/>
  <c r="G49" i="1" s="1"/>
  <c r="L10" i="1"/>
  <c r="G47" i="1" s="1"/>
  <c r="L11" i="1"/>
  <c r="G48" i="1" s="1"/>
  <c r="L13" i="1"/>
  <c r="G50" i="1" s="1"/>
  <c r="L2" i="1"/>
  <c r="G39" i="1" s="1"/>
  <c r="W92" i="1" l="1" a="1"/>
  <c r="W92" i="1" s="1"/>
  <c r="K91" i="1"/>
  <c r="R91" i="1" s="1"/>
  <c r="T91" i="1" s="1"/>
  <c r="U91" i="1" s="1" a="1"/>
  <c r="U91" i="1" s="1"/>
  <c r="K95" i="1"/>
  <c r="R95" i="1" s="1"/>
  <c r="T95" i="1" s="1"/>
  <c r="W95" i="1" s="1" a="1"/>
  <c r="W95" i="1" s="1"/>
  <c r="K93" i="1"/>
  <c r="Q93" i="1" s="1"/>
  <c r="S93" i="1" s="1"/>
  <c r="U93" i="1" s="1" a="1"/>
  <c r="U93" i="1" s="1"/>
  <c r="K96" i="1"/>
  <c r="Q96" i="1" s="1"/>
  <c r="S96" i="1" s="1"/>
  <c r="V96" i="1" s="1" a="1"/>
  <c r="V96" i="1" s="1"/>
  <c r="K97" i="1"/>
  <c r="Q97" i="1" s="1"/>
  <c r="S97" i="1" s="1"/>
  <c r="W97" i="1" s="1" a="1"/>
  <c r="W97" i="1" s="1"/>
  <c r="K94" i="1"/>
  <c r="Q94" i="1" s="1"/>
  <c r="S94" i="1" s="1"/>
  <c r="J99" i="1"/>
  <c r="W99" i="1" s="1" a="1"/>
  <c r="W99" i="1" s="1"/>
  <c r="K98" i="1"/>
  <c r="Q98" i="1" s="1"/>
  <c r="S98" i="1" s="1"/>
  <c r="W98" i="1" s="1" a="1"/>
  <c r="W98" i="1" s="1"/>
  <c r="K92" i="1"/>
  <c r="R92" i="1" s="1"/>
  <c r="T92" i="1" s="1"/>
  <c r="U92" i="1" s="1" a="1"/>
  <c r="U92" i="1" s="1"/>
  <c r="I90" i="1"/>
  <c r="P75" i="1"/>
  <c r="Q75" i="1" s="1"/>
  <c r="P74" i="1"/>
  <c r="Q74" i="1" s="1"/>
  <c r="I89" i="1"/>
  <c r="I88" i="1"/>
  <c r="P73" i="1"/>
  <c r="Q73" i="1" s="1"/>
  <c r="J110" i="1"/>
  <c r="J105" i="1"/>
  <c r="J108" i="1"/>
  <c r="Q99" i="1"/>
  <c r="S99" i="1" s="1"/>
  <c r="J113" i="1"/>
  <c r="J106" i="1"/>
  <c r="J111" i="1"/>
  <c r="J104" i="1"/>
  <c r="J112" i="1"/>
  <c r="J102" i="1"/>
  <c r="J114" i="1"/>
  <c r="J109" i="1"/>
  <c r="J107" i="1"/>
  <c r="V97" i="1" a="1"/>
  <c r="V97" i="1" s="1"/>
  <c r="V98" i="1" a="1"/>
  <c r="V98" i="1" s="1"/>
  <c r="V93" i="1" a="1"/>
  <c r="V93" i="1" s="1"/>
  <c r="U94" i="1" a="1"/>
  <c r="U94" i="1" s="1"/>
  <c r="V94" i="1" a="1"/>
  <c r="V94" i="1" s="1"/>
  <c r="V91" i="1" a="1"/>
  <c r="V91" i="1" s="1"/>
  <c r="V95" i="1" a="1"/>
  <c r="V95" i="1" s="1"/>
  <c r="U96" i="1" a="1"/>
  <c r="U96" i="1" s="1"/>
  <c r="R99" i="1"/>
  <c r="T99" i="1" s="1"/>
  <c r="P88" i="1"/>
  <c r="H44" i="1"/>
  <c r="H42" i="1"/>
  <c r="H40" i="1"/>
  <c r="H48" i="1"/>
  <c r="H43" i="1"/>
  <c r="H45" i="1"/>
  <c r="H50" i="1"/>
  <c r="H47" i="1"/>
  <c r="H46" i="1"/>
  <c r="H41" i="1"/>
  <c r="H49" i="1"/>
  <c r="H39" i="1"/>
  <c r="M35" i="1" a="1"/>
  <c r="M35" i="1" s="1"/>
  <c r="P33" i="1"/>
  <c r="K23" i="1"/>
  <c r="L17" i="1" s="1"/>
  <c r="J11" i="1"/>
  <c r="J10" i="1" s="1"/>
  <c r="Q95" i="1" l="1"/>
  <c r="S95" i="1" s="1"/>
  <c r="R94" i="1"/>
  <c r="T94" i="1" s="1"/>
  <c r="W94" i="1" s="1" a="1"/>
  <c r="W94" i="1" s="1"/>
  <c r="X94" i="1" s="1"/>
  <c r="Y94" i="1" s="1"/>
  <c r="Q91" i="1"/>
  <c r="S91" i="1" s="1"/>
  <c r="R97" i="1"/>
  <c r="T97" i="1" s="1"/>
  <c r="U97" i="1" s="1" a="1"/>
  <c r="U97" i="1" s="1"/>
  <c r="X97" i="1" s="1"/>
  <c r="Y97" i="1" s="1"/>
  <c r="Q92" i="1"/>
  <c r="S92" i="1" s="1"/>
  <c r="R96" i="1"/>
  <c r="T96" i="1" s="1"/>
  <c r="R93" i="1"/>
  <c r="T93" i="1" s="1"/>
  <c r="W93" i="1" s="1" a="1"/>
  <c r="W93" i="1" s="1"/>
  <c r="X93" i="1" s="1"/>
  <c r="Y93" i="1" s="1"/>
  <c r="V99" i="1" a="1"/>
  <c r="V99" i="1" s="1"/>
  <c r="U95" i="1" a="1"/>
  <c r="U95" i="1" s="1"/>
  <c r="X95" i="1" s="1"/>
  <c r="Y95" i="1" s="1"/>
  <c r="R98" i="1"/>
  <c r="T98" i="1" s="1"/>
  <c r="U98" i="1" s="1" a="1"/>
  <c r="U98" i="1" s="1"/>
  <c r="X98" i="1" s="1"/>
  <c r="Y98" i="1" s="1"/>
  <c r="U99" i="1" a="1"/>
  <c r="U99" i="1" s="1"/>
  <c r="J89" i="1"/>
  <c r="K89" i="1"/>
  <c r="V92" i="1" a="1"/>
  <c r="V92" i="1" s="1"/>
  <c r="X92" i="1" s="1"/>
  <c r="Y92" i="1" s="1"/>
  <c r="J90" i="1"/>
  <c r="K90" i="1"/>
  <c r="J88" i="1"/>
  <c r="V88" i="1" s="1" a="1"/>
  <c r="V88" i="1" s="1"/>
  <c r="K88" i="1"/>
  <c r="X91" i="1"/>
  <c r="Y91" i="1" s="1"/>
  <c r="X96" i="1"/>
  <c r="Y96" i="1" s="1"/>
  <c r="H52" i="1"/>
  <c r="L21" i="1"/>
  <c r="X99" i="1" l="1"/>
  <c r="Y99" i="1" s="1"/>
  <c r="V90" i="1" a="1"/>
  <c r="V90" i="1" s="1"/>
  <c r="Q89" i="1"/>
  <c r="S89" i="1" s="1"/>
  <c r="V89" i="1" s="1" a="1"/>
  <c r="V89" i="1" s="1"/>
  <c r="R89" i="1"/>
  <c r="T89" i="1" s="1"/>
  <c r="U89" i="1" s="1" a="1"/>
  <c r="U89" i="1" s="1"/>
  <c r="Q90" i="1"/>
  <c r="S90" i="1" s="1"/>
  <c r="W90" i="1" s="1" a="1"/>
  <c r="W90" i="1" s="1"/>
  <c r="R90" i="1"/>
  <c r="T90" i="1" s="1"/>
  <c r="U90" i="1" s="1" a="1"/>
  <c r="U90" i="1" s="1"/>
  <c r="W89" i="1" a="1"/>
  <c r="W89" i="1" s="1"/>
  <c r="R88" i="1"/>
  <c r="T88" i="1" s="1"/>
  <c r="W88" i="1" s="1" a="1"/>
  <c r="W88" i="1" s="1"/>
  <c r="Q88" i="1"/>
  <c r="S88" i="1" s="1"/>
  <c r="U88" i="1" s="1" a="1"/>
  <c r="U88" i="1" s="1"/>
  <c r="G51" i="1"/>
  <c r="I39" i="1"/>
  <c r="X89" i="1" l="1"/>
  <c r="Y89" i="1" s="1"/>
  <c r="X90" i="1"/>
  <c r="Y90" i="1" s="1"/>
  <c r="X88" i="1"/>
  <c r="Y88" i="1" s="1"/>
  <c r="J39" i="1"/>
  <c r="J49" i="1"/>
  <c r="J47" i="1"/>
  <c r="J42" i="1"/>
  <c r="J50" i="1"/>
  <c r="J48" i="1"/>
  <c r="J46" i="1"/>
  <c r="J40" i="1"/>
  <c r="J41" i="1"/>
  <c r="J44" i="1"/>
  <c r="J43" i="1"/>
  <c r="J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<sst xmlns="http://schemas.openxmlformats.org/spreadsheetml/2006/main" count="131" uniqueCount="77">
  <si>
    <t>W</t>
  </si>
  <si>
    <t>D</t>
  </si>
  <si>
    <t xml:space="preserve">] = </t>
  </si>
  <si>
    <t>index</t>
  </si>
  <si>
    <t>random value</t>
  </si>
  <si>
    <t>true value</t>
  </si>
  <si>
    <t>LEDFloor</t>
  </si>
  <si>
    <t>FP value</t>
  </si>
  <si>
    <t>amplitudeSumMultiplied</t>
  </si>
  <si>
    <t>amplitudeSum</t>
  </si>
  <si>
    <t>noteAmplitudesReduced (pre) FP</t>
  </si>
  <si>
    <t>noteAmplitudesReduced (post) FP</t>
  </si>
  <si>
    <t>noteAmplitudesFast FP</t>
  </si>
  <si>
    <t>amplitudeSumNew</t>
  </si>
  <si>
    <t>comparator</t>
  </si>
  <si>
    <t>note</t>
  </si>
  <si>
    <t>noteSub</t>
  </si>
  <si>
    <t>noteMult</t>
  </si>
  <si>
    <t>yr</t>
  </si>
  <si>
    <t>rb</t>
  </si>
  <si>
    <t>by</t>
  </si>
  <si>
    <t>noteMule_d1</t>
  </si>
  <si>
    <t>BPO</t>
  </si>
  <si>
    <t>notePreRectified</t>
  </si>
  <si>
    <t>NoteHue</t>
  </si>
  <si>
    <t>quantizeToSix</t>
  </si>
  <si>
    <t>SatAmp</t>
  </si>
  <si>
    <t>LEDLimit</t>
  </si>
  <si>
    <t>hueDivided</t>
  </si>
  <si>
    <t>hueWhole</t>
  </si>
  <si>
    <t>hueDec</t>
  </si>
  <si>
    <t>noteAmplitude</t>
  </si>
  <si>
    <t>noteAmplitudeMult</t>
  </si>
  <si>
    <t>noteAmplitudeDec</t>
  </si>
  <si>
    <t>noteAmplitudeLimited</t>
  </si>
  <si>
    <t>colorValueXHue</t>
  </si>
  <si>
    <t>colorValueXHuex</t>
  </si>
  <si>
    <t>colorValueMax</t>
  </si>
  <si>
    <t>steadyBright</t>
  </si>
  <si>
    <t>colorValueXHue_d1</t>
  </si>
  <si>
    <t>colorValueXHuex_d1</t>
  </si>
  <si>
    <t>r</t>
  </si>
  <si>
    <t>g</t>
  </si>
  <si>
    <t>b</t>
  </si>
  <si>
    <t>rgb</t>
  </si>
  <si>
    <t xml:space="preserve">            noteAmplitudes_i[ </t>
  </si>
  <si>
    <t>amplitude sum</t>
  </si>
  <si>
    <t>LEDCount</t>
  </si>
  <si>
    <t>thresholdAmplitude</t>
  </si>
  <si>
    <t xml:space="preserve">            noteAmplitudes_i[</t>
  </si>
  <si>
    <t>LEDColorCount</t>
  </si>
  <si>
    <t>amplitudes</t>
  </si>
  <si>
    <t>positions</t>
  </si>
  <si>
    <t>0000000111101111</t>
  </si>
  <si>
    <t>0000000100001100</t>
  </si>
  <si>
    <t>0000001101100000</t>
  </si>
  <si>
    <t>0000001111000100</t>
  </si>
  <si>
    <t>0000001100011011</t>
  </si>
  <si>
    <t>0000001010001110</t>
  </si>
  <si>
    <t>0000000101011001</t>
  </si>
  <si>
    <t>0000001000111110</t>
  </si>
  <si>
    <t>0000000000101000</t>
  </si>
  <si>
    <t>0000001101010101</t>
  </si>
  <si>
    <t>0000000000000000</t>
  </si>
  <si>
    <t>0000001001011000</t>
  </si>
  <si>
    <t>0000001011001101</t>
  </si>
  <si>
    <t>0000000111000010</t>
  </si>
  <si>
    <t>value</t>
  </si>
  <si>
    <t>amplitudeSum Multiplied</t>
  </si>
  <si>
    <t>noteMult_d1</t>
  </si>
  <si>
    <t>noteHue</t>
  </si>
  <si>
    <t>hueDevided</t>
  </si>
  <si>
    <t>R</t>
  </si>
  <si>
    <t>G</t>
  </si>
  <si>
    <t>B</t>
  </si>
  <si>
    <t>RGB</t>
  </si>
  <si>
    <t>RGBh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</si>
</sst>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0" fillId="2" borderId="0" xfId="0" applyFont="1" applyFill="1"/>
    <xf numFmtId="0" fontId="0" fillId="3" borderId="0" xfId="0" applyFont="1" applyFill="1"/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26A4-8C87-4B90-BEEB-AEB487ACEA9E}">
  <dimension ref="A1:Y114"/>
  <sheetViews>
    <sheetView tabSelected="1" topLeftCell="J79" zoomScale="70" zoomScaleNormal="70" workbookViewId="0">
      <selection activeCell="Y90" sqref="Y90"/>
    </sheetView>
  </sheetViews>
  <sheetFormatPr defaultRowHeight="14.4" x14ac:dyDescent="0.3"/>
  <cols>
    <col min="1" max="1" width="13.5546875" style="2" bestFit="1" customWidth="1"/>
    <col min="2" max="2" width="12" style="2" bestFit="1" customWidth="1"/>
    <col min="3" max="3" width="8.88671875" style="2"/>
    <col min="4" max="4" width="12.88671875" style="2" bestFit="1" customWidth="1"/>
    <col min="5" max="5" width="16.6640625" style="2" bestFit="1" customWidth="1"/>
    <col min="6" max="6" width="14.6640625" style="2" bestFit="1" customWidth="1"/>
    <col min="7" max="7" width="74.6640625" style="2" bestFit="1" customWidth="1"/>
    <col min="8" max="8" width="32.109375" style="2" customWidth="1"/>
    <col min="9" max="9" width="23.77734375" style="2" bestFit="1" customWidth="1"/>
    <col min="10" max="10" width="32.44140625" style="2" bestFit="1" customWidth="1"/>
    <col min="11" max="11" width="33.6640625" style="2" bestFit="1" customWidth="1"/>
    <col min="12" max="12" width="28.6640625" style="2" bestFit="1" customWidth="1"/>
    <col min="13" max="13" width="19.6640625" style="2" bestFit="1" customWidth="1"/>
    <col min="14" max="14" width="18.88671875" style="2" bestFit="1" customWidth="1"/>
    <col min="15" max="15" width="21.88671875" style="2" bestFit="1" customWidth="1"/>
    <col min="16" max="16" width="15.21875" style="2" bestFit="1" customWidth="1"/>
    <col min="17" max="17" width="16.88671875" style="2" bestFit="1" customWidth="1"/>
    <col min="18" max="18" width="17.88671875" style="2" bestFit="1" customWidth="1"/>
    <col min="19" max="19" width="20.109375" style="2" bestFit="1" customWidth="1"/>
    <col min="20" max="20" width="21.33203125" style="2" customWidth="1"/>
    <col min="21" max="22" width="5" style="2" bestFit="1" customWidth="1"/>
    <col min="23" max="23" width="3.77734375" style="2" bestFit="1" customWidth="1"/>
    <col min="24" max="16384" width="8.88671875" style="2"/>
  </cols>
  <sheetData>
    <row r="1" spans="1:13" x14ac:dyDescent="0.3">
      <c r="B1" s="2" t="s">
        <v>3</v>
      </c>
      <c r="E1" s="2" t="s">
        <v>4</v>
      </c>
      <c r="H1" s="2" t="s">
        <v>5</v>
      </c>
      <c r="I1" s="2" t="s">
        <v>7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45</v>
      </c>
      <c r="B2" s="2">
        <v>0</v>
      </c>
      <c r="C2" s="2" t="s">
        <v>2</v>
      </c>
      <c r="D2" s="2" t="str">
        <f ca="1">_xlfn.CONCAT(B$16+B$17,"'b",REPT("0",B$16-LEN(E2)))</f>
        <v>16'b000</v>
      </c>
      <c r="E2" s="2" t="str">
        <f ca="1">DEC2BIN(_xlfn.FLOOR.MATH(RAND()*10))</f>
        <v>101</v>
      </c>
      <c r="F2" s="2" t="str">
        <f>_xlfn.CONCAT(REPT("0",B$17),";")</f>
        <v>0000000000;</v>
      </c>
      <c r="G2" s="4" t="str">
        <f ca="1">_xlfn.CONCAT(A2,B2,C2,D2,E2,F2)</f>
        <v xml:space="preserve">            noteAmplitudes_i[ 0] = 16'b0001010000000000;</v>
      </c>
      <c r="H2" s="2">
        <f t="shared" ref="H2:H13" ca="1" si="0">BIN2DEC(E2)</f>
        <v>5</v>
      </c>
      <c r="I2" s="2">
        <f t="shared" ref="I2:I13" ca="1" si="1">H2*2^B$17</f>
        <v>5120</v>
      </c>
      <c r="J2" s="2">
        <f ca="1">SUM(H2:H13)</f>
        <v>60</v>
      </c>
      <c r="K2" s="2">
        <f t="shared" ref="K2:K13" ca="1" si="2">I2-J$7</f>
        <v>-1000</v>
      </c>
      <c r="L2" s="2">
        <f ca="1">IF(K2&gt;0,K2,0)</f>
        <v>0</v>
      </c>
      <c r="M2" s="2">
        <f ca="1">IF(K2&gt;0,I2,0)</f>
        <v>0</v>
      </c>
    </row>
    <row r="3" spans="1:13" x14ac:dyDescent="0.3">
      <c r="A3" s="1" t="s">
        <v>45</v>
      </c>
      <c r="B3" s="2">
        <v>1</v>
      </c>
      <c r="C3" s="2" t="s">
        <v>2</v>
      </c>
      <c r="D3" s="2" t="str">
        <f t="shared" ref="D3:D13" ca="1" si="3">_xlfn.CONCAT(B$16+B$17,"'b",REPT("0",B$16-LEN(E3)))</f>
        <v>16'b000</v>
      </c>
      <c r="E3" s="2" t="str">
        <f t="shared" ref="E3:E13" ca="1" si="4">DEC2BIN(_xlfn.FLOOR.MATH(RAND()*10))</f>
        <v>111</v>
      </c>
      <c r="F3" s="2" t="str">
        <f t="shared" ref="F3:F13" si="5">_xlfn.CONCAT(REPT("0",B$17),";")</f>
        <v>0000000000;</v>
      </c>
      <c r="G3" s="4" t="str">
        <f t="shared" ref="G3:G13" ca="1" si="6">_xlfn.CONCAT(A3,B3,C3,D3,E3,F3)</f>
        <v xml:space="preserve">            noteAmplitudes_i[ 1] = 16'b0001110000000000;</v>
      </c>
      <c r="H3" s="2">
        <f t="shared" ca="1" si="0"/>
        <v>7</v>
      </c>
      <c r="I3" s="2">
        <f t="shared" ca="1" si="1"/>
        <v>7168</v>
      </c>
      <c r="J3" s="2">
        <f ca="1">J2*2^B17</f>
        <v>61440</v>
      </c>
      <c r="K3" s="2">
        <f t="shared" ca="1" si="2"/>
        <v>1048</v>
      </c>
      <c r="L3" s="2">
        <f t="shared" ref="L3:L13" ca="1" si="7">IF(K3&gt;0,K3,0)</f>
        <v>1048</v>
      </c>
      <c r="M3" s="2">
        <f t="shared" ref="M3:M13" ca="1" si="8">IF(K3&gt;0,I3,0)</f>
        <v>7168</v>
      </c>
    </row>
    <row r="4" spans="1:13" x14ac:dyDescent="0.3">
      <c r="A4" s="1" t="s">
        <v>45</v>
      </c>
      <c r="B4" s="2">
        <v>2</v>
      </c>
      <c r="C4" s="2" t="s">
        <v>2</v>
      </c>
      <c r="D4" s="2" t="str">
        <f t="shared" ca="1" si="3"/>
        <v>16'b00</v>
      </c>
      <c r="E4" s="2" t="str">
        <f t="shared" ca="1" si="4"/>
        <v>1001</v>
      </c>
      <c r="F4" s="2" t="str">
        <f t="shared" si="5"/>
        <v>0000000000;</v>
      </c>
      <c r="G4" s="4" t="str">
        <f t="shared" ca="1" si="6"/>
        <v xml:space="preserve">            noteAmplitudes_i[ 2] = 16'b0010010000000000;</v>
      </c>
      <c r="H4" s="2">
        <f t="shared" ca="1" si="0"/>
        <v>9</v>
      </c>
      <c r="I4" s="2">
        <f t="shared" ca="1" si="1"/>
        <v>9216</v>
      </c>
      <c r="K4" s="2">
        <f t="shared" ca="1" si="2"/>
        <v>3096</v>
      </c>
      <c r="L4" s="2">
        <f t="shared" ca="1" si="7"/>
        <v>3096</v>
      </c>
      <c r="M4" s="2">
        <f t="shared" ca="1" si="8"/>
        <v>9216</v>
      </c>
    </row>
    <row r="5" spans="1:13" x14ac:dyDescent="0.3">
      <c r="A5" s="1" t="s">
        <v>45</v>
      </c>
      <c r="B5" s="2">
        <v>3</v>
      </c>
      <c r="C5" s="2" t="s">
        <v>2</v>
      </c>
      <c r="D5" s="2" t="str">
        <f t="shared" ca="1" si="3"/>
        <v>16'b00000</v>
      </c>
      <c r="E5" s="2" t="str">
        <f t="shared" ca="1" si="4"/>
        <v>1</v>
      </c>
      <c r="F5" s="2" t="str">
        <f t="shared" si="5"/>
        <v>0000000000;</v>
      </c>
      <c r="G5" s="4" t="str">
        <f t="shared" ca="1" si="6"/>
        <v xml:space="preserve">            noteAmplitudes_i[ 3] = 16'b0000010000000000;</v>
      </c>
      <c r="H5" s="2">
        <f t="shared" ca="1" si="0"/>
        <v>1</v>
      </c>
      <c r="I5" s="2">
        <f t="shared" ca="1" si="1"/>
        <v>1024</v>
      </c>
      <c r="J5" s="2" t="s">
        <v>8</v>
      </c>
      <c r="K5" s="2">
        <f t="shared" ca="1" si="2"/>
        <v>-5096</v>
      </c>
      <c r="L5" s="2">
        <f t="shared" ca="1" si="7"/>
        <v>0</v>
      </c>
      <c r="M5" s="2">
        <f t="shared" ca="1" si="8"/>
        <v>0</v>
      </c>
    </row>
    <row r="6" spans="1:13" x14ac:dyDescent="0.3">
      <c r="A6" s="1" t="s">
        <v>45</v>
      </c>
      <c r="B6" s="2">
        <v>4</v>
      </c>
      <c r="C6" s="2" t="s">
        <v>2</v>
      </c>
      <c r="D6" s="2" t="str">
        <f t="shared" ca="1" si="3"/>
        <v>16'b0000</v>
      </c>
      <c r="E6" s="2" t="str">
        <f t="shared" ca="1" si="4"/>
        <v>10</v>
      </c>
      <c r="F6" s="2" t="str">
        <f t="shared" si="5"/>
        <v>0000000000;</v>
      </c>
      <c r="G6" s="4" t="str">
        <f t="shared" ca="1" si="6"/>
        <v xml:space="preserve">            noteAmplitudes_i[ 4] = 16'b0000100000000000;</v>
      </c>
      <c r="H6" s="2">
        <f t="shared" ca="1" si="0"/>
        <v>2</v>
      </c>
      <c r="I6" s="2">
        <f t="shared" ca="1" si="1"/>
        <v>2048</v>
      </c>
      <c r="J6" s="3">
        <f ca="1">J2*B18</f>
        <v>5.9765625</v>
      </c>
      <c r="K6" s="2">
        <f t="shared" ca="1" si="2"/>
        <v>-4072</v>
      </c>
      <c r="L6" s="2">
        <f t="shared" ca="1" si="7"/>
        <v>0</v>
      </c>
      <c r="M6" s="2">
        <f t="shared" ca="1" si="8"/>
        <v>0</v>
      </c>
    </row>
    <row r="7" spans="1:13" x14ac:dyDescent="0.3">
      <c r="A7" s="1" t="s">
        <v>45</v>
      </c>
      <c r="B7" s="2">
        <v>5</v>
      </c>
      <c r="C7" s="2" t="s">
        <v>2</v>
      </c>
      <c r="D7" s="2" t="str">
        <f t="shared" ca="1" si="3"/>
        <v>16'b00000</v>
      </c>
      <c r="E7" s="2" t="str">
        <f t="shared" ca="1" si="4"/>
        <v>1</v>
      </c>
      <c r="F7" s="2" t="str">
        <f t="shared" si="5"/>
        <v>0000000000;</v>
      </c>
      <c r="G7" s="4" t="str">
        <f t="shared" ca="1" si="6"/>
        <v xml:space="preserve">            noteAmplitudes_i[ 5] = 16'b0000010000000000;</v>
      </c>
      <c r="H7" s="2">
        <f t="shared" ca="1" si="0"/>
        <v>1</v>
      </c>
      <c r="I7" s="2">
        <f t="shared" ca="1" si="1"/>
        <v>1024</v>
      </c>
      <c r="J7" s="2">
        <f ca="1">J3 * BIN2DEC(C18) / 2^B17</f>
        <v>6120</v>
      </c>
      <c r="K7" s="2">
        <f t="shared" ca="1" si="2"/>
        <v>-5096</v>
      </c>
      <c r="L7" s="2">
        <f t="shared" ca="1" si="7"/>
        <v>0</v>
      </c>
      <c r="M7" s="2">
        <f t="shared" ca="1" si="8"/>
        <v>0</v>
      </c>
    </row>
    <row r="8" spans="1:13" x14ac:dyDescent="0.3">
      <c r="A8" s="1" t="s">
        <v>45</v>
      </c>
      <c r="B8" s="2">
        <v>6</v>
      </c>
      <c r="C8" s="2" t="s">
        <v>2</v>
      </c>
      <c r="D8" s="2" t="str">
        <f t="shared" ca="1" si="3"/>
        <v>16'b000</v>
      </c>
      <c r="E8" s="2" t="str">
        <f t="shared" ca="1" si="4"/>
        <v>110</v>
      </c>
      <c r="F8" s="2" t="str">
        <f t="shared" si="5"/>
        <v>0000000000;</v>
      </c>
      <c r="G8" s="4" t="str">
        <f t="shared" ca="1" si="6"/>
        <v xml:space="preserve">            noteAmplitudes_i[ 6] = 16'b0001100000000000;</v>
      </c>
      <c r="H8" s="2">
        <f t="shared" ca="1" si="0"/>
        <v>6</v>
      </c>
      <c r="I8" s="2">
        <f t="shared" ca="1" si="1"/>
        <v>6144</v>
      </c>
      <c r="K8" s="2">
        <f t="shared" ca="1" si="2"/>
        <v>24</v>
      </c>
      <c r="L8" s="2">
        <f t="shared" ca="1" si="7"/>
        <v>24</v>
      </c>
      <c r="M8" s="2">
        <f t="shared" ca="1" si="8"/>
        <v>6144</v>
      </c>
    </row>
    <row r="9" spans="1:13" x14ac:dyDescent="0.3">
      <c r="A9" s="1" t="s">
        <v>45</v>
      </c>
      <c r="B9" s="2">
        <v>7</v>
      </c>
      <c r="C9" s="2" t="s">
        <v>2</v>
      </c>
      <c r="D9" s="2" t="str">
        <f t="shared" ca="1" si="3"/>
        <v>16'b000</v>
      </c>
      <c r="E9" s="2" t="str">
        <f t="shared" ca="1" si="4"/>
        <v>100</v>
      </c>
      <c r="F9" s="2" t="str">
        <f t="shared" si="5"/>
        <v>0000000000;</v>
      </c>
      <c r="G9" s="4" t="str">
        <f t="shared" ca="1" si="6"/>
        <v xml:space="preserve">            noteAmplitudes_i[ 7] = 16'b0001000000000000;</v>
      </c>
      <c r="H9" s="2">
        <f t="shared" ca="1" si="0"/>
        <v>4</v>
      </c>
      <c r="I9" s="2">
        <f t="shared" ca="1" si="1"/>
        <v>4096</v>
      </c>
      <c r="J9" s="2" t="s">
        <v>13</v>
      </c>
      <c r="K9" s="2">
        <f t="shared" ca="1" si="2"/>
        <v>-2024</v>
      </c>
      <c r="L9" s="2">
        <f t="shared" ca="1" si="7"/>
        <v>0</v>
      </c>
      <c r="M9" s="2">
        <f t="shared" ca="1" si="8"/>
        <v>0</v>
      </c>
    </row>
    <row r="10" spans="1:13" x14ac:dyDescent="0.3">
      <c r="A10" s="1" t="s">
        <v>45</v>
      </c>
      <c r="B10" s="2">
        <v>8</v>
      </c>
      <c r="C10" s="2" t="s">
        <v>2</v>
      </c>
      <c r="D10" s="2" t="str">
        <f t="shared" ca="1" si="3"/>
        <v>16'b00</v>
      </c>
      <c r="E10" s="2" t="str">
        <f t="shared" ca="1" si="4"/>
        <v>1001</v>
      </c>
      <c r="F10" s="2" t="str">
        <f t="shared" si="5"/>
        <v>0000000000;</v>
      </c>
      <c r="G10" s="4" t="str">
        <f t="shared" ca="1" si="6"/>
        <v xml:space="preserve">            noteAmplitudes_i[ 8] = 16'b0010010000000000;</v>
      </c>
      <c r="H10" s="2">
        <f t="shared" ca="1" si="0"/>
        <v>9</v>
      </c>
      <c r="I10" s="2">
        <f t="shared" ca="1" si="1"/>
        <v>9216</v>
      </c>
      <c r="J10" s="2">
        <f ca="1">J11/2^B17</f>
        <v>9.1171875</v>
      </c>
      <c r="K10" s="2">
        <f t="shared" ca="1" si="2"/>
        <v>3096</v>
      </c>
      <c r="L10" s="2">
        <f t="shared" ca="1" si="7"/>
        <v>3096</v>
      </c>
      <c r="M10" s="2">
        <f t="shared" ca="1" si="8"/>
        <v>9216</v>
      </c>
    </row>
    <row r="11" spans="1:13" x14ac:dyDescent="0.3">
      <c r="A11" s="1" t="s">
        <v>45</v>
      </c>
      <c r="B11" s="2">
        <v>9</v>
      </c>
      <c r="C11" s="2" t="s">
        <v>2</v>
      </c>
      <c r="D11" s="2" t="str">
        <f t="shared" ca="1" si="3"/>
        <v>16'b000</v>
      </c>
      <c r="E11" s="2" t="str">
        <f t="shared" ca="1" si="4"/>
        <v>101</v>
      </c>
      <c r="F11" s="2" t="str">
        <f t="shared" si="5"/>
        <v>0000000000;</v>
      </c>
      <c r="G11" s="4" t="str">
        <f t="shared" ca="1" si="6"/>
        <v xml:space="preserve">            noteAmplitudes_i[ 9] = 16'b0001010000000000;</v>
      </c>
      <c r="H11" s="2">
        <f t="shared" ca="1" si="0"/>
        <v>5</v>
      </c>
      <c r="I11" s="2">
        <f t="shared" ca="1" si="1"/>
        <v>5120</v>
      </c>
      <c r="J11" s="2">
        <f ca="1">SUM(L2:L13)</f>
        <v>9336</v>
      </c>
      <c r="K11" s="2">
        <f t="shared" ca="1" si="2"/>
        <v>-1000</v>
      </c>
      <c r="L11" s="2">
        <f t="shared" ca="1" si="7"/>
        <v>0</v>
      </c>
      <c r="M11" s="2">
        <f t="shared" ca="1" si="8"/>
        <v>0</v>
      </c>
    </row>
    <row r="12" spans="1:13" x14ac:dyDescent="0.3">
      <c r="A12" s="1" t="s">
        <v>49</v>
      </c>
      <c r="B12" s="2">
        <v>10</v>
      </c>
      <c r="C12" s="2" t="s">
        <v>2</v>
      </c>
      <c r="D12" s="2" t="str">
        <f t="shared" ca="1" si="3"/>
        <v>16'b00</v>
      </c>
      <c r="E12" s="2" t="str">
        <f t="shared" ca="1" si="4"/>
        <v>1000</v>
      </c>
      <c r="F12" s="2" t="str">
        <f t="shared" si="5"/>
        <v>0000000000;</v>
      </c>
      <c r="G12" s="4" t="str">
        <f t="shared" ca="1" si="6"/>
        <v xml:space="preserve">            noteAmplitudes_i[10] = 16'b0010000000000000;</v>
      </c>
      <c r="H12" s="2">
        <f t="shared" ca="1" si="0"/>
        <v>8</v>
      </c>
      <c r="I12" s="2">
        <f t="shared" ca="1" si="1"/>
        <v>8192</v>
      </c>
      <c r="K12" s="2">
        <f t="shared" ca="1" si="2"/>
        <v>2072</v>
      </c>
      <c r="L12" s="2">
        <f t="shared" ca="1" si="7"/>
        <v>2072</v>
      </c>
      <c r="M12" s="2">
        <f t="shared" ca="1" si="8"/>
        <v>8192</v>
      </c>
    </row>
    <row r="13" spans="1:13" x14ac:dyDescent="0.3">
      <c r="A13" s="1" t="s">
        <v>49</v>
      </c>
      <c r="B13" s="2">
        <v>11</v>
      </c>
      <c r="C13" s="2" t="s">
        <v>2</v>
      </c>
      <c r="D13" s="2" t="str">
        <f t="shared" ca="1" si="3"/>
        <v>16'b0000</v>
      </c>
      <c r="E13" s="2" t="str">
        <f t="shared" ca="1" si="4"/>
        <v>11</v>
      </c>
      <c r="F13" s="2" t="str">
        <f t="shared" si="5"/>
        <v>0000000000;</v>
      </c>
      <c r="G13" s="4" t="str">
        <f t="shared" ca="1" si="6"/>
        <v xml:space="preserve">            noteAmplitudes_i[11] = 16'b0000110000000000;</v>
      </c>
      <c r="H13" s="2">
        <f t="shared" ca="1" si="0"/>
        <v>3</v>
      </c>
      <c r="I13" s="2">
        <f t="shared" ca="1" si="1"/>
        <v>3072</v>
      </c>
      <c r="K13" s="2">
        <f t="shared" ca="1" si="2"/>
        <v>-3048</v>
      </c>
      <c r="L13" s="2">
        <f t="shared" ca="1" si="7"/>
        <v>0</v>
      </c>
      <c r="M13" s="2">
        <f t="shared" ca="1" si="8"/>
        <v>0</v>
      </c>
    </row>
    <row r="15" spans="1:13" x14ac:dyDescent="0.3">
      <c r="A15" s="9" t="s">
        <v>22</v>
      </c>
      <c r="B15" s="8">
        <v>24</v>
      </c>
      <c r="C15" s="8">
        <f>_xlfn.CEILING.MATH(IMLOG2(B15))</f>
        <v>5</v>
      </c>
    </row>
    <row r="16" spans="1:13" x14ac:dyDescent="0.3">
      <c r="A16" s="9" t="s">
        <v>0</v>
      </c>
      <c r="B16" s="8">
        <v>6</v>
      </c>
      <c r="C16" s="8"/>
      <c r="J16" s="2" t="s">
        <v>15</v>
      </c>
      <c r="K16" s="2" t="s">
        <v>16</v>
      </c>
      <c r="L16" s="2" t="s">
        <v>23</v>
      </c>
    </row>
    <row r="17" spans="1:16" x14ac:dyDescent="0.3">
      <c r="A17" s="9" t="s">
        <v>1</v>
      </c>
      <c r="B17" s="8">
        <v>10</v>
      </c>
      <c r="C17" s="8"/>
      <c r="G17" s="4" t="str">
        <f ca="1">_xlfn.CONCAT("notePosition_i = 10'b",REPT(0,B17-LEN(_xlfn.BASE(I17,2))),_xlfn.BASE(I17,2),";" )</f>
        <v>notePosition_i = 10'b0000011111;</v>
      </c>
      <c r="H17" s="2">
        <f ca="1">I17/2^10</f>
        <v>3.02734375E-2</v>
      </c>
      <c r="I17" s="2">
        <f ca="1">RANDBETWEEN(0,1023)</f>
        <v>31</v>
      </c>
      <c r="J17" s="2">
        <f ca="1">I17*24</f>
        <v>744</v>
      </c>
      <c r="K17" s="2">
        <f ca="1">IF(J21=3,24576-J17,8192-J17)</f>
        <v>7448</v>
      </c>
      <c r="L17" s="2">
        <f ca="1">IF(J21=3,K23+170, K23)</f>
        <v>38</v>
      </c>
    </row>
    <row r="18" spans="1:16" x14ac:dyDescent="0.3">
      <c r="A18" s="9" t="s">
        <v>6</v>
      </c>
      <c r="B18" s="8">
        <v>9.9609375E-2</v>
      </c>
      <c r="C18" s="10">
        <v>1100110</v>
      </c>
    </row>
    <row r="19" spans="1:16" x14ac:dyDescent="0.3">
      <c r="A19" s="9" t="s">
        <v>47</v>
      </c>
      <c r="B19" s="8">
        <v>50</v>
      </c>
      <c r="C19" s="8"/>
      <c r="J19" s="2" t="s">
        <v>14</v>
      </c>
      <c r="K19" s="2" t="s">
        <v>17</v>
      </c>
    </row>
    <row r="20" spans="1:16" x14ac:dyDescent="0.3">
      <c r="E20" s="8">
        <f>_xlfn.FLOOR.MATH(IMLOG2(G20))</f>
        <v>14</v>
      </c>
      <c r="F20" s="8" t="s">
        <v>18</v>
      </c>
      <c r="G20" s="11">
        <v>21824</v>
      </c>
      <c r="H20" s="2">
        <f ca="1">IF(J$21=1,G20,1)</f>
        <v>21824</v>
      </c>
      <c r="J20" s="2" t="str">
        <f ca="1">_xlfn.CONCAT(REPT(0,3-LEN(DEC2BIN(2^_xlfn.FLOOR.MATH((J17+1)/8192)))),DEC2BIN(2^_xlfn.FLOOR.MATH((J17+1)/8192)))</f>
        <v>001</v>
      </c>
      <c r="K20" s="2">
        <f ca="1">K17*H20*H21*H22</f>
        <v>162545152</v>
      </c>
      <c r="L20" s="2" t="s">
        <v>24</v>
      </c>
    </row>
    <row r="21" spans="1:16" x14ac:dyDescent="0.3">
      <c r="E21" s="8">
        <f>_xlfn.FLOOR.MATH(IMLOG2(G21))</f>
        <v>15</v>
      </c>
      <c r="F21" s="8" t="s">
        <v>19</v>
      </c>
      <c r="G21" s="11">
        <v>43648</v>
      </c>
      <c r="H21" s="2">
        <f ca="1">IF(J$21=2,G21,1)</f>
        <v>1</v>
      </c>
      <c r="J21" s="2">
        <f ca="1">LEN(DEC2BIN(2^_xlfn.FLOOR.MATH((J17+1)/8192)))</f>
        <v>1</v>
      </c>
      <c r="K21" s="2" t="str">
        <f ca="1">_xlfn.BASE(K20,2,32)</f>
        <v>00001001101100000011111000000000</v>
      </c>
      <c r="L21" s="2">
        <f ca="1">MOD(IF(L17&lt;0,L17+1023,L17), 1024)</f>
        <v>38</v>
      </c>
    </row>
    <row r="22" spans="1:16" x14ac:dyDescent="0.3">
      <c r="E22" s="8">
        <f>_xlfn.FLOOR.MATH(IMLOG2(G22))</f>
        <v>15</v>
      </c>
      <c r="F22" s="8" t="s">
        <v>20</v>
      </c>
      <c r="G22" s="11">
        <v>65472</v>
      </c>
      <c r="H22" s="2">
        <f ca="1">IF(J$21=3,G22,1)</f>
        <v>1</v>
      </c>
      <c r="K22" s="2" t="s">
        <v>21</v>
      </c>
    </row>
    <row r="23" spans="1:16" x14ac:dyDescent="0.3">
      <c r="K23" s="2">
        <f ca="1">_xlfn.FLOOR.MATH(K20/2^(B17+B17+C15-3))</f>
        <v>38</v>
      </c>
    </row>
    <row r="26" spans="1:16" x14ac:dyDescent="0.3">
      <c r="G26" s="4" t="str">
        <f ca="1">_xlfn.CONCAT("        noteAmplitude_i = 10'b",REPT(0,B17-LEN(_xlfn.BASE(I26,2))),_xlfn.BASE(I26,2),";" )</f>
        <v xml:space="preserve">        noteAmplitude_i = 10'b0100101111;</v>
      </c>
      <c r="H26" s="2">
        <f ca="1">I26/2^10</f>
        <v>0.2958984375</v>
      </c>
      <c r="I26" s="2">
        <f ca="1">RANDBETWEEN(0,1023)</f>
        <v>303</v>
      </c>
      <c r="J26" s="2" t="s">
        <v>28</v>
      </c>
      <c r="K26" s="2" t="s">
        <v>31</v>
      </c>
      <c r="L26" s="2" t="s">
        <v>37</v>
      </c>
      <c r="M26" s="2" t="s">
        <v>41</v>
      </c>
      <c r="N26" s="2" t="s">
        <v>42</v>
      </c>
      <c r="O26" s="2" t="s">
        <v>43</v>
      </c>
    </row>
    <row r="27" spans="1:16" x14ac:dyDescent="0.3">
      <c r="B27" s="2">
        <f>LEN(C18)</f>
        <v>7</v>
      </c>
      <c r="C27" s="2">
        <f>2^B27</f>
        <v>128</v>
      </c>
      <c r="G27" s="4" t="str">
        <f ca="1">_xlfn.CONCAT("        noteAmplitudeFast_i = 10'b",REPT(0,B17-LEN(_xlfn.BASE(I27,2))),_xlfn.BASE(I27,2),";" )</f>
        <v xml:space="preserve">        noteAmplitudeFast_i = 10'b1010101100;</v>
      </c>
      <c r="H27" s="2">
        <f t="shared" ref="H27:H28" ca="1" si="9">I27/2^10</f>
        <v>0.66796875</v>
      </c>
      <c r="I27" s="2">
        <f ca="1">RANDBETWEEN(0,1023)</f>
        <v>684</v>
      </c>
      <c r="J27" s="2">
        <f ca="1">I28*E31</f>
        <v>2028</v>
      </c>
      <c r="K27" s="2">
        <f ca="1">IF(E33,I26,I27)</f>
        <v>684</v>
      </c>
      <c r="L27" s="2">
        <f ca="1">_xlfn.FLOOR.MATH(K33/2^(B17-8))</f>
        <v>255</v>
      </c>
      <c r="M27" s="2">
        <f ca="1">$L$27</f>
        <v>255</v>
      </c>
      <c r="N27" s="2">
        <f ca="1">$L$33</f>
        <v>250</v>
      </c>
      <c r="O27" s="2">
        <f>0</f>
        <v>0</v>
      </c>
      <c r="P27" s="2">
        <f ca="1">M27*2^16+N27*2^8+O27</f>
        <v>16775680</v>
      </c>
    </row>
    <row r="28" spans="1:16" x14ac:dyDescent="0.3">
      <c r="G28" s="4" t="str">
        <f ca="1">_xlfn.CONCAT("        noteHue_i = 10'b",REPT(0,B17-LEN(_xlfn.BASE(I28,2))),_xlfn.BASE(I28,2),";" )</f>
        <v xml:space="preserve">        noteHue_i = 10'b0101010010;</v>
      </c>
      <c r="H28" s="2">
        <f t="shared" ca="1" si="9"/>
        <v>0.330078125</v>
      </c>
      <c r="I28" s="2">
        <f ca="1">RANDBETWEEN(0,1023)</f>
        <v>338</v>
      </c>
      <c r="J28" s="2" t="s">
        <v>29</v>
      </c>
      <c r="K28" s="2" t="s">
        <v>32</v>
      </c>
      <c r="L28" s="2" t="s">
        <v>35</v>
      </c>
      <c r="M28" s="2">
        <f ca="1">$L$35</f>
        <v>4</v>
      </c>
      <c r="N28" s="2">
        <f ca="1">$L$27</f>
        <v>255</v>
      </c>
      <c r="O28" s="2">
        <f>0</f>
        <v>0</v>
      </c>
      <c r="P28" s="2">
        <f t="shared" ref="P28:P33" ca="1" si="10">M28*2^16+N28*2^8+O28</f>
        <v>327424</v>
      </c>
    </row>
    <row r="29" spans="1:16" x14ac:dyDescent="0.3">
      <c r="J29" s="2">
        <f ca="1">_xlfn.FLOOR.MATH(J27/2^10)</f>
        <v>1</v>
      </c>
      <c r="K29" s="2">
        <f ca="1">K27*E30</f>
        <v>1120392</v>
      </c>
      <c r="L29" s="2">
        <f ca="1">K33*J31</f>
        <v>1027092</v>
      </c>
      <c r="M29" s="2">
        <f>0</f>
        <v>0</v>
      </c>
      <c r="N29" s="2">
        <f ca="1">$L$27</f>
        <v>255</v>
      </c>
      <c r="O29" s="2">
        <f ca="1">$L$33</f>
        <v>250</v>
      </c>
      <c r="P29" s="2">
        <f t="shared" ca="1" si="10"/>
        <v>65530</v>
      </c>
    </row>
    <row r="30" spans="1:16" x14ac:dyDescent="0.3">
      <c r="E30" s="8">
        <v>1638</v>
      </c>
      <c r="F30" s="8" t="s">
        <v>26</v>
      </c>
      <c r="J30" s="2" t="s">
        <v>30</v>
      </c>
      <c r="K30" s="2" t="s">
        <v>33</v>
      </c>
      <c r="L30" s="2" t="s">
        <v>36</v>
      </c>
      <c r="M30" s="2">
        <f>0</f>
        <v>0</v>
      </c>
      <c r="N30" s="2">
        <f ca="1">$L$35</f>
        <v>4</v>
      </c>
      <c r="O30" s="2">
        <f ca="1">$L$27</f>
        <v>255</v>
      </c>
      <c r="P30" s="2">
        <f t="shared" ca="1" si="10"/>
        <v>1279</v>
      </c>
    </row>
    <row r="31" spans="1:16" x14ac:dyDescent="0.3">
      <c r="E31" s="8">
        <v>6</v>
      </c>
      <c r="F31" s="8" t="s">
        <v>25</v>
      </c>
      <c r="J31" s="2">
        <f ca="1">MOD(J27,2^10)</f>
        <v>1004</v>
      </c>
      <c r="K31" s="2">
        <f ca="1">IF(_xlfn.FLOOR.MATH(K29/2^10) &gt; 1023, 1023, _xlfn.FLOOR.MATH(K29/2^10))</f>
        <v>1023</v>
      </c>
      <c r="L31" s="2">
        <f ca="1">K33*(1023-J31)</f>
        <v>19437</v>
      </c>
      <c r="M31" s="2">
        <f ca="1">$L$33</f>
        <v>250</v>
      </c>
      <c r="N31" s="2">
        <f>0</f>
        <v>0</v>
      </c>
      <c r="O31" s="2">
        <f ca="1">$L$27</f>
        <v>255</v>
      </c>
      <c r="P31" s="2">
        <f t="shared" ca="1" si="10"/>
        <v>16384255</v>
      </c>
    </row>
    <row r="32" spans="1:16" x14ac:dyDescent="0.3">
      <c r="E32" s="8">
        <v>1023</v>
      </c>
      <c r="F32" s="8" t="s">
        <v>27</v>
      </c>
      <c r="K32" s="2" t="s">
        <v>34</v>
      </c>
      <c r="L32" s="2" t="s">
        <v>39</v>
      </c>
      <c r="M32" s="2">
        <f ca="1">$L$27</f>
        <v>255</v>
      </c>
      <c r="N32" s="2">
        <f>0</f>
        <v>0</v>
      </c>
      <c r="O32" s="2">
        <f ca="1">$L$35</f>
        <v>4</v>
      </c>
      <c r="P32" s="2">
        <f t="shared" ca="1" si="10"/>
        <v>16711684</v>
      </c>
    </row>
    <row r="33" spans="5:16" x14ac:dyDescent="0.3">
      <c r="E33" s="8">
        <v>0</v>
      </c>
      <c r="F33" s="8" t="s">
        <v>38</v>
      </c>
      <c r="K33" s="2">
        <f ca="1">IF(K31&gt;E32,E32,K31)</f>
        <v>1023</v>
      </c>
      <c r="L33" s="2">
        <f ca="1">_xlfn.FLOOR.MATH(L29/2^(2*B17-8))</f>
        <v>250</v>
      </c>
      <c r="M33" s="2">
        <f ca="1">$L$27</f>
        <v>255</v>
      </c>
      <c r="N33" s="2">
        <f ca="1">$L$33</f>
        <v>250</v>
      </c>
      <c r="O33" s="2">
        <f>0</f>
        <v>0</v>
      </c>
      <c r="P33" s="2">
        <f t="shared" ca="1" si="10"/>
        <v>16775680</v>
      </c>
    </row>
    <row r="34" spans="5:16" x14ac:dyDescent="0.3">
      <c r="L34" s="2" t="s">
        <v>40</v>
      </c>
      <c r="M34" s="2" t="s">
        <v>44</v>
      </c>
    </row>
    <row r="35" spans="5:16" x14ac:dyDescent="0.3">
      <c r="L35" s="2">
        <f ca="1">_xlfn.FLOOR.MATH(L31/2^(2*B17-8))</f>
        <v>4</v>
      </c>
      <c r="M35" s="2" t="str" cm="1">
        <f t="array" aca="1" ref="M35" ca="1">_xlfn.BASE(_xlfn.SWITCH(J29,0,P27,1,P28,2,P29,3,P30,4,P31,5,P32,6,P33),16,6)</f>
        <v>04FF00</v>
      </c>
    </row>
    <row r="36" spans="5:16" x14ac:dyDescent="0.3">
      <c r="L36" s="2">
        <v>0</v>
      </c>
    </row>
    <row r="38" spans="5:16" x14ac:dyDescent="0.3">
      <c r="I38" s="2" t="s">
        <v>48</v>
      </c>
      <c r="J38" s="2" t="s">
        <v>50</v>
      </c>
    </row>
    <row r="39" spans="5:16" x14ac:dyDescent="0.3">
      <c r="G39" s="4" t="str">
        <f ca="1">_xlfn.CONCAT(A2,B2,C2,B$16+B$17,"'b",_xlfn.BASE(L2,2,$B$16+$B$17),";")</f>
        <v xml:space="preserve">            noteAmplitudes_i[ 0] = 16'b0000000000000000;</v>
      </c>
      <c r="H39" s="2">
        <f ca="1">L2</f>
        <v>0</v>
      </c>
      <c r="I39" s="2">
        <f ca="1">_xlfn.FLOOR.MATH(H52/B19)</f>
        <v>186</v>
      </c>
      <c r="J39" s="2">
        <f ca="1">_xlfn.FLOOR.MATH(H39/I$39)</f>
        <v>0</v>
      </c>
      <c r="L39" s="2">
        <f ca="1">L27-L33-L35</f>
        <v>1</v>
      </c>
    </row>
    <row r="40" spans="5:16" x14ac:dyDescent="0.3">
      <c r="G40" s="4" t="str">
        <f t="shared" ref="G40:G50" ca="1" si="11">_xlfn.CONCAT(A3,B3,C3,B$16+B$17,"'b",_xlfn.BASE(L3,2,$B$16+$B$17),";")</f>
        <v xml:space="preserve">            noteAmplitudes_i[ 1] = 16'b0000010000011000;</v>
      </c>
      <c r="H40" s="2">
        <f t="shared" ref="H40:H50" ca="1" si="12">L3</f>
        <v>1048</v>
      </c>
      <c r="J40" s="2">
        <f t="shared" ref="J40:J50" ca="1" si="13">_xlfn.FLOOR.MATH(H40/I$39)</f>
        <v>5</v>
      </c>
    </row>
    <row r="41" spans="5:16" x14ac:dyDescent="0.3">
      <c r="G41" s="4" t="str">
        <f t="shared" ca="1" si="11"/>
        <v xml:space="preserve">            noteAmplitudes_i[ 2] = 16'b0000110000011000;</v>
      </c>
      <c r="H41" s="2">
        <f t="shared" ca="1" si="12"/>
        <v>3096</v>
      </c>
      <c r="J41" s="2">
        <f t="shared" ca="1" si="13"/>
        <v>16</v>
      </c>
    </row>
    <row r="42" spans="5:16" x14ac:dyDescent="0.3">
      <c r="G42" s="4" t="str">
        <f t="shared" ca="1" si="11"/>
        <v xml:space="preserve">            noteAmplitudes_i[ 3] = 16'b0000000000000000;</v>
      </c>
      <c r="H42" s="2">
        <f t="shared" ca="1" si="12"/>
        <v>0</v>
      </c>
      <c r="J42" s="2">
        <f t="shared" ca="1" si="13"/>
        <v>0</v>
      </c>
    </row>
    <row r="43" spans="5:16" x14ac:dyDescent="0.3">
      <c r="G43" s="4" t="str">
        <f t="shared" ca="1" si="11"/>
        <v xml:space="preserve">            noteAmplitudes_i[ 4] = 16'b0000000000000000;</v>
      </c>
      <c r="H43" s="2">
        <f t="shared" ca="1" si="12"/>
        <v>0</v>
      </c>
      <c r="J43" s="2">
        <f t="shared" ca="1" si="13"/>
        <v>0</v>
      </c>
    </row>
    <row r="44" spans="5:16" x14ac:dyDescent="0.3">
      <c r="G44" s="4" t="str">
        <f t="shared" ca="1" si="11"/>
        <v xml:space="preserve">            noteAmplitudes_i[ 5] = 16'b0000000000000000;</v>
      </c>
      <c r="H44" s="2">
        <f t="shared" ca="1" si="12"/>
        <v>0</v>
      </c>
      <c r="J44" s="2">
        <f t="shared" ca="1" si="13"/>
        <v>0</v>
      </c>
    </row>
    <row r="45" spans="5:16" x14ac:dyDescent="0.3">
      <c r="G45" s="4" t="str">
        <f t="shared" ca="1" si="11"/>
        <v xml:space="preserve">            noteAmplitudes_i[ 6] = 16'b0000000000011000;</v>
      </c>
      <c r="H45" s="2">
        <f t="shared" ca="1" si="12"/>
        <v>24</v>
      </c>
      <c r="J45" s="2">
        <f t="shared" ca="1" si="13"/>
        <v>0</v>
      </c>
    </row>
    <row r="46" spans="5:16" x14ac:dyDescent="0.3">
      <c r="G46" s="4" t="str">
        <f t="shared" ca="1" si="11"/>
        <v xml:space="preserve">            noteAmplitudes_i[ 7] = 16'b0000000000000000;</v>
      </c>
      <c r="H46" s="2">
        <f t="shared" ca="1" si="12"/>
        <v>0</v>
      </c>
      <c r="J46" s="2">
        <f t="shared" ca="1" si="13"/>
        <v>0</v>
      </c>
    </row>
    <row r="47" spans="5:16" x14ac:dyDescent="0.3">
      <c r="G47" s="4" t="str">
        <f t="shared" ca="1" si="11"/>
        <v xml:space="preserve">            noteAmplitudes_i[ 8] = 16'b0000110000011000;</v>
      </c>
      <c r="H47" s="2">
        <f t="shared" ca="1" si="12"/>
        <v>3096</v>
      </c>
      <c r="J47" s="2">
        <f t="shared" ca="1" si="13"/>
        <v>16</v>
      </c>
    </row>
    <row r="48" spans="5:16" x14ac:dyDescent="0.3">
      <c r="G48" s="4" t="str">
        <f t="shared" ca="1" si="11"/>
        <v xml:space="preserve">            noteAmplitudes_i[ 9] = 16'b0000000000000000;</v>
      </c>
      <c r="H48" s="2">
        <f t="shared" ca="1" si="12"/>
        <v>0</v>
      </c>
      <c r="J48" s="2">
        <f t="shared" ca="1" si="13"/>
        <v>0</v>
      </c>
    </row>
    <row r="49" spans="1:25" x14ac:dyDescent="0.3">
      <c r="G49" s="4" t="str">
        <f t="shared" ca="1" si="11"/>
        <v xml:space="preserve">            noteAmplitudes_i[10] = 16'b0000100000011000;</v>
      </c>
      <c r="H49" s="2">
        <f t="shared" ca="1" si="12"/>
        <v>2072</v>
      </c>
      <c r="J49" s="2">
        <f t="shared" ca="1" si="13"/>
        <v>11</v>
      </c>
    </row>
    <row r="50" spans="1:25" x14ac:dyDescent="0.3">
      <c r="G50" s="4" t="str">
        <f t="shared" ca="1" si="11"/>
        <v xml:space="preserve">            noteAmplitudes_i[11] = 16'b0000000000000000;</v>
      </c>
      <c r="H50" s="2">
        <f t="shared" ca="1" si="12"/>
        <v>0</v>
      </c>
      <c r="J50" s="2">
        <f t="shared" ca="1" si="13"/>
        <v>0</v>
      </c>
    </row>
    <row r="51" spans="1:25" x14ac:dyDescent="0.3">
      <c r="G51" s="5" t="str">
        <f ca="1">_xlfn.CONCAT("            amplitudeSumNew_i = ",B16+B17+_xlfn.CEILING.MATH(IMLOG2(B19)),"'b",_xlfn.BASE(H52,2,B16+B17+_xlfn.CEILING.MATH(IMLOG2(B19))),";")</f>
        <v xml:space="preserve">            amplitudeSumNew_i = 22'b0000000010010001111000;</v>
      </c>
    </row>
    <row r="52" spans="1:25" x14ac:dyDescent="0.3">
      <c r="G52" s="2" t="s">
        <v>46</v>
      </c>
      <c r="H52" s="2">
        <f ca="1">SUM(H39:H50)</f>
        <v>9336</v>
      </c>
    </row>
    <row r="54" spans="1:25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8" spans="1:25" x14ac:dyDescent="0.3">
      <c r="G58" s="2" t="s">
        <v>51</v>
      </c>
      <c r="H58" s="2" t="s">
        <v>67</v>
      </c>
      <c r="J58" s="2" t="s">
        <v>10</v>
      </c>
      <c r="K58" s="2" t="s">
        <v>11</v>
      </c>
      <c r="L58" s="2" t="s">
        <v>12</v>
      </c>
    </row>
    <row r="59" spans="1:25" x14ac:dyDescent="0.3">
      <c r="F59" s="2">
        <f ca="1">H59/2^B$17</f>
        <v>0.5859375</v>
      </c>
      <c r="G59" s="6" t="s">
        <v>64</v>
      </c>
      <c r="H59" s="2" cm="1">
        <f t="array" aca="1" ref="H59" ca="1">SUMPRODUCT(--MID(G59,LEN(G59)+1-ROW(INDIRECT("1:"&amp;LEN(G59))),1),(2^(ROW(INDIRECT("1:"&amp;LEN(G59)))-1)))</f>
        <v>600</v>
      </c>
      <c r="I59" s="2" t="s">
        <v>9</v>
      </c>
      <c r="J59" s="2">
        <f ca="1">H59-I$63</f>
        <v>423.990234375</v>
      </c>
      <c r="K59" s="2">
        <f ca="1">IF(J59&lt;0, 0, J59)</f>
        <v>423.990234375</v>
      </c>
      <c r="L59" s="2">
        <f ca="1">IF(K59=0,0,H59)</f>
        <v>600</v>
      </c>
    </row>
    <row r="60" spans="1:25" x14ac:dyDescent="0.3">
      <c r="F60" s="2">
        <f t="shared" ref="F60:F84" ca="1" si="14">H60/2^B$17</f>
        <v>0.7001953125</v>
      </c>
      <c r="G60" s="6" t="s">
        <v>65</v>
      </c>
      <c r="H60" s="2" cm="1">
        <f t="array" aca="1" ref="H60" ca="1">SUMPRODUCT(--MID(G60,LEN(G60)+1-ROW(INDIRECT("1:"&amp;LEN(G60))),1),(2^(ROW(INDIRECT("1:"&amp;LEN(G60)))-1)))</f>
        <v>717</v>
      </c>
      <c r="I60" s="2">
        <f ca="1">SUM(H59:H70)</f>
        <v>1767</v>
      </c>
      <c r="J60" s="2">
        <f t="shared" ref="J60:J70" ca="1" si="15">H60-I$63</f>
        <v>540.990234375</v>
      </c>
      <c r="K60" s="2">
        <f t="shared" ref="K60:K70" ca="1" si="16">IF(J60&lt;0, 0, J60)</f>
        <v>540.990234375</v>
      </c>
      <c r="L60" s="2">
        <f t="shared" ref="L60:L70" ca="1" si="17">IF(K60=0,0,H60)</f>
        <v>717</v>
      </c>
    </row>
    <row r="61" spans="1:25" x14ac:dyDescent="0.3">
      <c r="F61" s="2">
        <f t="shared" ca="1" si="14"/>
        <v>0.439453125</v>
      </c>
      <c r="G61" s="6" t="s">
        <v>66</v>
      </c>
      <c r="H61" s="2" cm="1">
        <f t="array" aca="1" ref="H61" ca="1">SUMPRODUCT(--MID(G61,LEN(G61)+1-ROW(INDIRECT("1:"&amp;LEN(G61))),1),(2^(ROW(INDIRECT("1:"&amp;LEN(G61)))-1)))</f>
        <v>450</v>
      </c>
      <c r="I61" s="2">
        <f ca="1">I60/2^B17</f>
        <v>1.7255859375</v>
      </c>
      <c r="J61" s="2">
        <f t="shared" ca="1" si="15"/>
        <v>273.990234375</v>
      </c>
      <c r="K61" s="2">
        <f t="shared" ca="1" si="16"/>
        <v>273.990234375</v>
      </c>
      <c r="L61" s="2">
        <f t="shared" ca="1" si="17"/>
        <v>450</v>
      </c>
    </row>
    <row r="62" spans="1:25" x14ac:dyDescent="0.3">
      <c r="F62" s="2">
        <f t="shared" ca="1" si="14"/>
        <v>0</v>
      </c>
      <c r="G62" s="6" t="s">
        <v>63</v>
      </c>
      <c r="H62" s="2" cm="1">
        <f t="array" aca="1" ref="H62" ca="1">SUMPRODUCT(--MID(G62,LEN(G62)+1-ROW(INDIRECT("1:"&amp;LEN(G62))),1),(2^(ROW(INDIRECT("1:"&amp;LEN(G62)))-1)))</f>
        <v>0</v>
      </c>
      <c r="I62" s="2" t="s">
        <v>68</v>
      </c>
      <c r="J62" s="2">
        <f t="shared" ca="1" si="15"/>
        <v>-176.009765625</v>
      </c>
      <c r="K62" s="2">
        <f t="shared" ca="1" si="16"/>
        <v>0</v>
      </c>
      <c r="L62" s="2">
        <f t="shared" ca="1" si="17"/>
        <v>0</v>
      </c>
    </row>
    <row r="63" spans="1:25" x14ac:dyDescent="0.3">
      <c r="F63" s="2">
        <f t="shared" ca="1" si="14"/>
        <v>0</v>
      </c>
      <c r="G63" s="6" t="s">
        <v>63</v>
      </c>
      <c r="H63" s="2" cm="1">
        <f t="array" aca="1" ref="H63" ca="1">SUMPRODUCT(--MID(G63,LEN(G63)+1-ROW(INDIRECT("1:"&amp;LEN(G63))),1),(2^(ROW(INDIRECT("1:"&amp;LEN(G63)))-1)))</f>
        <v>0</v>
      </c>
      <c r="I63" s="2">
        <f ca="1">I60*BIN2DEC(C18)/2^B17</f>
        <v>176.009765625</v>
      </c>
      <c r="J63" s="2">
        <f t="shared" ca="1" si="15"/>
        <v>-176.009765625</v>
      </c>
      <c r="K63" s="2">
        <f t="shared" ca="1" si="16"/>
        <v>0</v>
      </c>
      <c r="L63" s="2">
        <f t="shared" ca="1" si="17"/>
        <v>0</v>
      </c>
    </row>
    <row r="64" spans="1:25" x14ac:dyDescent="0.3">
      <c r="F64" s="2">
        <f t="shared" ca="1" si="14"/>
        <v>0</v>
      </c>
      <c r="G64" s="6" t="s">
        <v>63</v>
      </c>
      <c r="H64" s="2" cm="1">
        <f t="array" aca="1" ref="H64" ca="1">SUMPRODUCT(--MID(G64,LEN(G64)+1-ROW(INDIRECT("1:"&amp;LEN(G64))),1),(2^(ROW(INDIRECT("1:"&amp;LEN(G64)))-1)))</f>
        <v>0</v>
      </c>
      <c r="I64" s="2">
        <f ca="1">I61*B18</f>
        <v>0.17188453674316406</v>
      </c>
      <c r="J64" s="2">
        <f t="shared" ca="1" si="15"/>
        <v>-176.009765625</v>
      </c>
      <c r="K64" s="2">
        <f t="shared" ca="1" si="16"/>
        <v>0</v>
      </c>
      <c r="L64" s="2">
        <f t="shared" ca="1" si="17"/>
        <v>0</v>
      </c>
    </row>
    <row r="65" spans="6:17" x14ac:dyDescent="0.3">
      <c r="F65" s="2">
        <f t="shared" ca="1" si="14"/>
        <v>0</v>
      </c>
      <c r="G65" s="6" t="s">
        <v>63</v>
      </c>
      <c r="H65" s="2" cm="1">
        <f t="array" aca="1" ref="H65" ca="1">SUMPRODUCT(--MID(G65,LEN(G65)+1-ROW(INDIRECT("1:"&amp;LEN(G65))),1),(2^(ROW(INDIRECT("1:"&amp;LEN(G65)))-1)))</f>
        <v>0</v>
      </c>
      <c r="I65" s="2" t="s">
        <v>13</v>
      </c>
      <c r="J65" s="2">
        <f t="shared" ca="1" si="15"/>
        <v>-176.009765625</v>
      </c>
      <c r="K65" s="2">
        <f t="shared" ca="1" si="16"/>
        <v>0</v>
      </c>
      <c r="L65" s="2">
        <f t="shared" ca="1" si="17"/>
        <v>0</v>
      </c>
    </row>
    <row r="66" spans="6:17" x14ac:dyDescent="0.3">
      <c r="F66" s="2">
        <f t="shared" ca="1" si="14"/>
        <v>0</v>
      </c>
      <c r="G66" s="6" t="s">
        <v>63</v>
      </c>
      <c r="H66" s="2" cm="1">
        <f t="array" aca="1" ref="H66" ca="1">SUMPRODUCT(--MID(G66,LEN(G66)+1-ROW(INDIRECT("1:"&amp;LEN(G66))),1),(2^(ROW(INDIRECT("1:"&amp;LEN(G66)))-1)))</f>
        <v>0</v>
      </c>
      <c r="I66" s="2">
        <f ca="1">SUM(K59:K70)</f>
        <v>1238.970703125</v>
      </c>
      <c r="J66" s="2">
        <f t="shared" ca="1" si="15"/>
        <v>-176.009765625</v>
      </c>
      <c r="K66" s="2">
        <f t="shared" ca="1" si="16"/>
        <v>0</v>
      </c>
      <c r="L66" s="2">
        <f t="shared" ca="1" si="17"/>
        <v>0</v>
      </c>
    </row>
    <row r="67" spans="6:17" x14ac:dyDescent="0.3">
      <c r="F67" s="2">
        <f t="shared" ca="1" si="14"/>
        <v>0</v>
      </c>
      <c r="G67" s="6" t="s">
        <v>63</v>
      </c>
      <c r="H67" s="2" cm="1">
        <f t="array" aca="1" ref="H67" ca="1">SUMPRODUCT(--MID(G67,LEN(G67)+1-ROW(INDIRECT("1:"&amp;LEN(G67))),1),(2^(ROW(INDIRECT("1:"&amp;LEN(G67)))-1)))</f>
        <v>0</v>
      </c>
      <c r="J67" s="2">
        <f t="shared" ca="1" si="15"/>
        <v>-176.009765625</v>
      </c>
      <c r="K67" s="2">
        <f t="shared" ca="1" si="16"/>
        <v>0</v>
      </c>
      <c r="L67" s="2">
        <f t="shared" ca="1" si="17"/>
        <v>0</v>
      </c>
    </row>
    <row r="68" spans="6:17" x14ac:dyDescent="0.3">
      <c r="F68" s="2">
        <f t="shared" ca="1" si="14"/>
        <v>0</v>
      </c>
      <c r="G68" s="6" t="s">
        <v>63</v>
      </c>
      <c r="H68" s="2" cm="1">
        <f t="array" aca="1" ref="H68" ca="1">SUMPRODUCT(--MID(G68,LEN(G68)+1-ROW(INDIRECT("1:"&amp;LEN(G68))),1),(2^(ROW(INDIRECT("1:"&amp;LEN(G68)))-1)))</f>
        <v>0</v>
      </c>
      <c r="J68" s="2">
        <f t="shared" ca="1" si="15"/>
        <v>-176.009765625</v>
      </c>
      <c r="K68" s="2">
        <f t="shared" ca="1" si="16"/>
        <v>0</v>
      </c>
      <c r="L68" s="2">
        <f t="shared" ca="1" si="17"/>
        <v>0</v>
      </c>
    </row>
    <row r="69" spans="6:17" x14ac:dyDescent="0.3">
      <c r="F69" s="2">
        <f t="shared" ca="1" si="14"/>
        <v>0</v>
      </c>
      <c r="G69" s="6" t="s">
        <v>63</v>
      </c>
      <c r="H69" s="2" cm="1">
        <f t="array" aca="1" ref="H69" ca="1">SUMPRODUCT(--MID(G69,LEN(G69)+1-ROW(INDIRECT("1:"&amp;LEN(G69))),1),(2^(ROW(INDIRECT("1:"&amp;LEN(G69)))-1)))</f>
        <v>0</v>
      </c>
      <c r="J69" s="2">
        <f t="shared" ca="1" si="15"/>
        <v>-176.009765625</v>
      </c>
      <c r="K69" s="2">
        <f t="shared" ca="1" si="16"/>
        <v>0</v>
      </c>
      <c r="L69" s="2">
        <f t="shared" ca="1" si="17"/>
        <v>0</v>
      </c>
    </row>
    <row r="70" spans="6:17" x14ac:dyDescent="0.3">
      <c r="F70" s="2">
        <f t="shared" ca="1" si="14"/>
        <v>0</v>
      </c>
      <c r="G70" s="6" t="s">
        <v>63</v>
      </c>
      <c r="H70" s="2" cm="1">
        <f t="array" aca="1" ref="H70" ca="1">SUMPRODUCT(--MID(G70,LEN(G70)+1-ROW(INDIRECT("1:"&amp;LEN(G70))),1),(2^(ROW(INDIRECT("1:"&amp;LEN(G70)))-1)))</f>
        <v>0</v>
      </c>
      <c r="J70" s="2">
        <f t="shared" ca="1" si="15"/>
        <v>-176.009765625</v>
      </c>
      <c r="K70" s="2">
        <f t="shared" ca="1" si="16"/>
        <v>0</v>
      </c>
      <c r="L70" s="2">
        <f t="shared" ca="1" si="17"/>
        <v>0</v>
      </c>
    </row>
    <row r="72" spans="6:17" x14ac:dyDescent="0.3">
      <c r="G72" s="2" t="s">
        <v>52</v>
      </c>
      <c r="I72" s="2" t="s">
        <v>15</v>
      </c>
      <c r="J72" s="2" t="s">
        <v>14</v>
      </c>
      <c r="K72" s="2" t="s">
        <v>16</v>
      </c>
      <c r="L72" s="2" t="s">
        <v>17</v>
      </c>
      <c r="M72" s="2" t="s">
        <v>69</v>
      </c>
      <c r="N72" s="2" t="s">
        <v>23</v>
      </c>
      <c r="O72" s="2" t="s">
        <v>70</v>
      </c>
    </row>
    <row r="73" spans="6:17" x14ac:dyDescent="0.3">
      <c r="F73" s="2">
        <f t="shared" ca="1" si="14"/>
        <v>0.4833984375</v>
      </c>
      <c r="G73" s="6" t="s">
        <v>53</v>
      </c>
      <c r="H73" s="2" cm="1">
        <f t="array" aca="1" ref="H73" ca="1">SUMPRODUCT(--MID(G73,LEN(G73)+1-ROW(INDIRECT("1:"&amp;LEN(G73))),1),(2^(ROW(INDIRECT("1:"&amp;LEN(G73)))-1)))</f>
        <v>495</v>
      </c>
      <c r="I73" s="2">
        <f ca="1">H73*B$15</f>
        <v>11880</v>
      </c>
      <c r="J73" s="2">
        <f ca="1">LEN(DEC2BIN(2^_xlfn.FLOOR.MATH((I73+1)/8192)))</f>
        <v>2</v>
      </c>
      <c r="K73" s="2" cm="1">
        <f t="array" aca="1" ref="K73" ca="1">_xlfn.SWITCH(J73,1,8*2^10 - I73, 2, 8*2^10 -I73, 3, 24*2^B$17 -I73)</f>
        <v>-3688</v>
      </c>
      <c r="L73" s="2" cm="1">
        <f t="array" aca="1" ref="L73" ca="1">_xlfn.SWITCH(J73,1,K73*G$20, 2, K73*G$21, 3, K73*G$22)</f>
        <v>-160973824</v>
      </c>
      <c r="M73" s="2">
        <f t="shared" ref="M73:M83" ca="1" si="18">_xlfn.FLOOR.MATH(L73/2^(B$17+B$17))</f>
        <v>-154</v>
      </c>
      <c r="N73" s="2">
        <f ca="1">IF(J73=3,M73+170,M73)</f>
        <v>-154</v>
      </c>
      <c r="O73" s="2">
        <f ca="1">MOD(N73,1024)</f>
        <v>870</v>
      </c>
      <c r="P73" s="2">
        <f ca="1">O73/2^B$17</f>
        <v>0.849609375</v>
      </c>
      <c r="Q73" s="2">
        <f ca="1">P73*360</f>
        <v>305.859375</v>
      </c>
    </row>
    <row r="74" spans="6:17" x14ac:dyDescent="0.3">
      <c r="F74" s="2">
        <f t="shared" ca="1" si="14"/>
        <v>0.26171875</v>
      </c>
      <c r="G74" s="6" t="s">
        <v>54</v>
      </c>
      <c r="H74" s="2" cm="1">
        <f t="array" aca="1" ref="H74" ca="1">SUMPRODUCT(--MID(G74,LEN(G74)+1-ROW(INDIRECT("1:"&amp;LEN(G74))),1),(2^(ROW(INDIRECT("1:"&amp;LEN(G74)))-1)))</f>
        <v>268</v>
      </c>
      <c r="I74" s="2">
        <f t="shared" ref="I74:I84" ca="1" si="19">H74*B$15</f>
        <v>6432</v>
      </c>
      <c r="J74" s="2">
        <f t="shared" ref="J74:J84" ca="1" si="20">LEN(DEC2BIN(2^_xlfn.FLOOR.MATH((I74+1)/8192)))</f>
        <v>1</v>
      </c>
      <c r="K74" s="2" cm="1">
        <f t="array" aca="1" ref="K74" ca="1">_xlfn.SWITCH(J74,1,8*2^10 - I74, 2, 8*2^10 -I74, 3, 24*2^B$17 -I74)</f>
        <v>1760</v>
      </c>
      <c r="L74" s="2" cm="1">
        <f t="array" aca="1" ref="L74" ca="1">_xlfn.SWITCH(J74,1,K74*G$20, 2, K74*G$21, 3, K74*G$22)</f>
        <v>38410240</v>
      </c>
      <c r="M74" s="2">
        <f t="shared" ca="1" si="18"/>
        <v>36</v>
      </c>
      <c r="N74" s="2">
        <f t="shared" ref="N74:N84" ca="1" si="21">IF(J74=3,M74+170,M74)</f>
        <v>36</v>
      </c>
      <c r="O74" s="2">
        <f t="shared" ref="O74:O84" ca="1" si="22">MOD(N74,1024)</f>
        <v>36</v>
      </c>
      <c r="P74" s="2">
        <f t="shared" ref="P74:P84" ca="1" si="23">O74/2^B$17</f>
        <v>3.515625E-2</v>
      </c>
      <c r="Q74" s="2">
        <f t="shared" ref="Q74:Q84" ca="1" si="24">P74*360</f>
        <v>12.65625</v>
      </c>
    </row>
    <row r="75" spans="6:17" x14ac:dyDescent="0.3">
      <c r="F75" s="2">
        <f t="shared" ca="1" si="14"/>
        <v>0.84375</v>
      </c>
      <c r="G75" s="6" t="s">
        <v>55</v>
      </c>
      <c r="H75" s="2" cm="1">
        <f t="array" aca="1" ref="H75" ca="1">SUMPRODUCT(--MID(G75,LEN(G75)+1-ROW(INDIRECT("1:"&amp;LEN(G75))),1),(2^(ROW(INDIRECT("1:"&amp;LEN(G75)))-1)))</f>
        <v>864</v>
      </c>
      <c r="I75" s="2">
        <f t="shared" ca="1" si="19"/>
        <v>20736</v>
      </c>
      <c r="J75" s="2">
        <f t="shared" ca="1" si="20"/>
        <v>3</v>
      </c>
      <c r="K75" s="2" cm="1">
        <f t="array" aca="1" ref="K75" ca="1">_xlfn.SWITCH(J75,1,8*2^10 - I75, 2, 8*2^10 -I75, 3, 24*2^B$17 -I75)</f>
        <v>3840</v>
      </c>
      <c r="L75" s="2" cm="1">
        <f t="array" aca="1" ref="L75" ca="1">_xlfn.SWITCH(J75,1,K75*G$20, 2, K75*G$21, 3, K75*G$22)</f>
        <v>251412480</v>
      </c>
      <c r="M75" s="2">
        <f t="shared" ca="1" si="18"/>
        <v>239</v>
      </c>
      <c r="N75" s="2">
        <f t="shared" ca="1" si="21"/>
        <v>409</v>
      </c>
      <c r="O75" s="2">
        <f t="shared" ca="1" si="22"/>
        <v>409</v>
      </c>
      <c r="P75" s="2">
        <f t="shared" ca="1" si="23"/>
        <v>0.3994140625</v>
      </c>
      <c r="Q75" s="2">
        <f t="shared" ca="1" si="24"/>
        <v>143.7890625</v>
      </c>
    </row>
    <row r="76" spans="6:17" x14ac:dyDescent="0.3">
      <c r="F76" s="2">
        <f t="shared" ca="1" si="14"/>
        <v>0.94140625</v>
      </c>
      <c r="G76" s="6" t="s">
        <v>56</v>
      </c>
      <c r="H76" s="2" cm="1">
        <f t="array" aca="1" ref="H76" ca="1">SUMPRODUCT(--MID(G76,LEN(G76)+1-ROW(INDIRECT("1:"&amp;LEN(G76))),1),(2^(ROW(INDIRECT("1:"&amp;LEN(G76)))-1)))</f>
        <v>964</v>
      </c>
      <c r="I76" s="2">
        <f t="shared" ca="1" si="19"/>
        <v>23136</v>
      </c>
      <c r="J76" s="2">
        <f t="shared" ca="1" si="20"/>
        <v>3</v>
      </c>
      <c r="K76" s="2" cm="1">
        <f t="array" aca="1" ref="K76" ca="1">_xlfn.SWITCH(J76,1,8*2^10 - I76, 2, 8*2^10 -I76, 3, 24*2^B$17 -I76)</f>
        <v>1440</v>
      </c>
      <c r="L76" s="2" cm="1">
        <f t="array" aca="1" ref="L76" ca="1">_xlfn.SWITCH(J76,1,K76*G$20, 2, K76*G$21, 3, K76*G$22)</f>
        <v>94279680</v>
      </c>
      <c r="M76" s="2">
        <f t="shared" ca="1" si="18"/>
        <v>89</v>
      </c>
      <c r="N76" s="2">
        <f t="shared" ca="1" si="21"/>
        <v>259</v>
      </c>
      <c r="O76" s="2">
        <f t="shared" ca="1" si="22"/>
        <v>259</v>
      </c>
      <c r="P76" s="2">
        <f t="shared" ca="1" si="23"/>
        <v>0.2529296875</v>
      </c>
      <c r="Q76" s="2">
        <f t="shared" ca="1" si="24"/>
        <v>91.0546875</v>
      </c>
    </row>
    <row r="77" spans="6:17" x14ac:dyDescent="0.3">
      <c r="F77" s="2">
        <f t="shared" ca="1" si="14"/>
        <v>0.7763671875</v>
      </c>
      <c r="G77" s="6" t="s">
        <v>57</v>
      </c>
      <c r="H77" s="2" cm="1">
        <f t="array" aca="1" ref="H77" ca="1">SUMPRODUCT(--MID(G77,LEN(G77)+1-ROW(INDIRECT("1:"&amp;LEN(G77))),1),(2^(ROW(INDIRECT("1:"&amp;LEN(G77)))-1)))</f>
        <v>795</v>
      </c>
      <c r="I77" s="2">
        <f t="shared" ca="1" si="19"/>
        <v>19080</v>
      </c>
      <c r="J77" s="2">
        <f t="shared" ca="1" si="20"/>
        <v>3</v>
      </c>
      <c r="K77" s="2" cm="1">
        <f t="array" aca="1" ref="K77" ca="1">_xlfn.SWITCH(J77,1,8*2^10 - I77, 2, 8*2^10 -I77, 3, 24*2^B$17 -I77)</f>
        <v>5496</v>
      </c>
      <c r="L77" s="2" cm="1">
        <f t="array" aca="1" ref="L77" ca="1">_xlfn.SWITCH(J77,1,K77*G$20, 2, K77*G$21, 3, K77*G$22)</f>
        <v>359834112</v>
      </c>
      <c r="M77" s="2">
        <f t="shared" ca="1" si="18"/>
        <v>343</v>
      </c>
      <c r="N77" s="2">
        <f t="shared" ca="1" si="21"/>
        <v>513</v>
      </c>
      <c r="O77" s="2">
        <f t="shared" ca="1" si="22"/>
        <v>513</v>
      </c>
      <c r="P77" s="2">
        <f t="shared" ca="1" si="23"/>
        <v>0.5009765625</v>
      </c>
      <c r="Q77" s="2">
        <f t="shared" ca="1" si="24"/>
        <v>180.3515625</v>
      </c>
    </row>
    <row r="78" spans="6:17" x14ac:dyDescent="0.3">
      <c r="F78" s="2">
        <f t="shared" ca="1" si="14"/>
        <v>0.638671875</v>
      </c>
      <c r="G78" s="6" t="s">
        <v>58</v>
      </c>
      <c r="H78" s="2" cm="1">
        <f t="array" aca="1" ref="H78" ca="1">SUMPRODUCT(--MID(G78,LEN(G78)+1-ROW(INDIRECT("1:"&amp;LEN(G78))),1),(2^(ROW(INDIRECT("1:"&amp;LEN(G78)))-1)))</f>
        <v>654</v>
      </c>
      <c r="I78" s="2">
        <f t="shared" ca="1" si="19"/>
        <v>15696</v>
      </c>
      <c r="J78" s="2">
        <f t="shared" ca="1" si="20"/>
        <v>2</v>
      </c>
      <c r="K78" s="2" cm="1">
        <f t="array" aca="1" ref="K78" ca="1">_xlfn.SWITCH(J78,1,8*2^10 - I78, 2, 8*2^10 -I78, 3, 24*2^B$17 -I78)</f>
        <v>-7504</v>
      </c>
      <c r="L78" s="2" cm="1">
        <f t="array" aca="1" ref="L78" ca="1">_xlfn.SWITCH(J78,1,K78*G$20, 2, K78*G$21, 3, K78*G$22)</f>
        <v>-327534592</v>
      </c>
      <c r="M78" s="2">
        <f t="shared" ca="1" si="18"/>
        <v>-313</v>
      </c>
      <c r="N78" s="2">
        <f t="shared" ca="1" si="21"/>
        <v>-313</v>
      </c>
      <c r="O78" s="2">
        <f t="shared" ca="1" si="22"/>
        <v>711</v>
      </c>
      <c r="P78" s="2">
        <f t="shared" ca="1" si="23"/>
        <v>0.6943359375</v>
      </c>
      <c r="Q78" s="2">
        <f t="shared" ca="1" si="24"/>
        <v>249.9609375</v>
      </c>
    </row>
    <row r="79" spans="6:17" x14ac:dyDescent="0.3">
      <c r="F79" s="2">
        <f t="shared" ca="1" si="14"/>
        <v>0.3369140625</v>
      </c>
      <c r="G79" s="6" t="s">
        <v>59</v>
      </c>
      <c r="H79" s="2" cm="1">
        <f t="array" aca="1" ref="H79" ca="1">SUMPRODUCT(--MID(G79,LEN(G79)+1-ROW(INDIRECT("1:"&amp;LEN(G79))),1),(2^(ROW(INDIRECT("1:"&amp;LEN(G79)))-1)))</f>
        <v>345</v>
      </c>
      <c r="I79" s="2">
        <f t="shared" ca="1" si="19"/>
        <v>8280</v>
      </c>
      <c r="J79" s="2">
        <f t="shared" ca="1" si="20"/>
        <v>2</v>
      </c>
      <c r="K79" s="2" cm="1">
        <f t="array" aca="1" ref="K79" ca="1">_xlfn.SWITCH(J79,1,8*2^10 - I79, 2, 8*2^10 -I79, 3, 24*2^B$17 -I79)</f>
        <v>-88</v>
      </c>
      <c r="L79" s="2" cm="1">
        <f t="array" aca="1" ref="L79" ca="1">_xlfn.SWITCH(J79,1,K79*G$20, 2, K79*G$21, 3, K79*G$22)</f>
        <v>-3841024</v>
      </c>
      <c r="M79" s="2">
        <f t="shared" ca="1" si="18"/>
        <v>-4</v>
      </c>
      <c r="N79" s="2">
        <f t="shared" ca="1" si="21"/>
        <v>-4</v>
      </c>
      <c r="O79" s="2">
        <f t="shared" ca="1" si="22"/>
        <v>1020</v>
      </c>
      <c r="P79" s="2">
        <f t="shared" ca="1" si="23"/>
        <v>0.99609375</v>
      </c>
      <c r="Q79" s="2">
        <f t="shared" ca="1" si="24"/>
        <v>358.59375</v>
      </c>
    </row>
    <row r="80" spans="6:17" x14ac:dyDescent="0.3">
      <c r="F80" s="2">
        <f t="shared" ca="1" si="14"/>
        <v>0.560546875</v>
      </c>
      <c r="G80" s="6" t="s">
        <v>60</v>
      </c>
      <c r="H80" s="2" cm="1">
        <f t="array" aca="1" ref="H80" ca="1">SUMPRODUCT(--MID(G80,LEN(G80)+1-ROW(INDIRECT("1:"&amp;LEN(G80))),1),(2^(ROW(INDIRECT("1:"&amp;LEN(G80)))-1)))</f>
        <v>574</v>
      </c>
      <c r="I80" s="2">
        <f t="shared" ca="1" si="19"/>
        <v>13776</v>
      </c>
      <c r="J80" s="2">
        <f t="shared" ca="1" si="20"/>
        <v>2</v>
      </c>
      <c r="K80" s="2" cm="1">
        <f t="array" aca="1" ref="K80" ca="1">_xlfn.SWITCH(J80,1,8*2^10 - I80, 2, 8*2^10 -I80, 3, 24*2^B$17 -I80)</f>
        <v>-5584</v>
      </c>
      <c r="L80" s="2" cm="1">
        <f t="array" aca="1" ref="L80" ca="1">_xlfn.SWITCH(J80,1,K80*G$20, 2, K80*G$21, 3, K80*G$22)</f>
        <v>-243730432</v>
      </c>
      <c r="M80" s="2">
        <f t="shared" ca="1" si="18"/>
        <v>-233</v>
      </c>
      <c r="N80" s="2">
        <f t="shared" ca="1" si="21"/>
        <v>-233</v>
      </c>
      <c r="O80" s="2">
        <f t="shared" ca="1" si="22"/>
        <v>791</v>
      </c>
      <c r="P80" s="2">
        <f t="shared" ca="1" si="23"/>
        <v>0.7724609375</v>
      </c>
      <c r="Q80" s="2">
        <f t="shared" ca="1" si="24"/>
        <v>278.0859375</v>
      </c>
    </row>
    <row r="81" spans="6:25" x14ac:dyDescent="0.3">
      <c r="F81" s="2">
        <f t="shared" ca="1" si="14"/>
        <v>3.90625E-2</v>
      </c>
      <c r="G81" s="6" t="s">
        <v>61</v>
      </c>
      <c r="H81" s="2" cm="1">
        <f t="array" aca="1" ref="H81" ca="1">SUMPRODUCT(--MID(G81,LEN(G81)+1-ROW(INDIRECT("1:"&amp;LEN(G81))),1),(2^(ROW(INDIRECT("1:"&amp;LEN(G81)))-1)))</f>
        <v>40</v>
      </c>
      <c r="I81" s="2">
        <f t="shared" ca="1" si="19"/>
        <v>960</v>
      </c>
      <c r="J81" s="2">
        <f t="shared" ca="1" si="20"/>
        <v>1</v>
      </c>
      <c r="K81" s="2" cm="1">
        <f t="array" aca="1" ref="K81" ca="1">_xlfn.SWITCH(J81,1,8*2^10 - I81, 2, 8*2^10 -I81, 3, 24*2^B$17 -I81)</f>
        <v>7232</v>
      </c>
      <c r="L81" s="2" cm="1">
        <f t="array" aca="1" ref="L81" ca="1">_xlfn.SWITCH(J81,1,K81*G$20, 2, K81*G$21, 3, K81*G$22)</f>
        <v>157831168</v>
      </c>
      <c r="M81" s="2">
        <f t="shared" ca="1" si="18"/>
        <v>150</v>
      </c>
      <c r="N81" s="2">
        <f t="shared" ca="1" si="21"/>
        <v>150</v>
      </c>
      <c r="O81" s="2">
        <f t="shared" ca="1" si="22"/>
        <v>150</v>
      </c>
      <c r="P81" s="2">
        <f t="shared" ca="1" si="23"/>
        <v>0.146484375</v>
      </c>
      <c r="Q81" s="2">
        <f t="shared" ca="1" si="24"/>
        <v>52.734375</v>
      </c>
    </row>
    <row r="82" spans="6:25" x14ac:dyDescent="0.3">
      <c r="F82" s="2">
        <f t="shared" ca="1" si="14"/>
        <v>0.8330078125</v>
      </c>
      <c r="G82" s="6" t="s">
        <v>62</v>
      </c>
      <c r="H82" s="2" cm="1">
        <f t="array" aca="1" ref="H82" ca="1">SUMPRODUCT(--MID(G82,LEN(G82)+1-ROW(INDIRECT("1:"&amp;LEN(G82))),1),(2^(ROW(INDIRECT("1:"&amp;LEN(G82)))-1)))</f>
        <v>853</v>
      </c>
      <c r="I82" s="2">
        <f t="shared" ca="1" si="19"/>
        <v>20472</v>
      </c>
      <c r="J82" s="2">
        <f t="shared" ca="1" si="20"/>
        <v>3</v>
      </c>
      <c r="K82" s="2" cm="1">
        <f t="array" aca="1" ref="K82" ca="1">_xlfn.SWITCH(J82,1,8*2^10 - I82, 2, 8*2^10 -I82, 3, 24*2^B$17 -I82)</f>
        <v>4104</v>
      </c>
      <c r="L82" s="2" cm="1">
        <f t="array" aca="1" ref="L82" ca="1">_xlfn.SWITCH(J82,1,K82*G$20, 2, K82*G$21, 3, K82*G$22)</f>
        <v>268697088</v>
      </c>
      <c r="M82" s="2">
        <f t="shared" ca="1" si="18"/>
        <v>256</v>
      </c>
      <c r="N82" s="2">
        <f t="shared" ca="1" si="21"/>
        <v>426</v>
      </c>
      <c r="O82" s="2">
        <f t="shared" ca="1" si="22"/>
        <v>426</v>
      </c>
      <c r="P82" s="2">
        <f t="shared" ca="1" si="23"/>
        <v>0.416015625</v>
      </c>
      <c r="Q82" s="2">
        <f t="shared" ca="1" si="24"/>
        <v>149.765625</v>
      </c>
    </row>
    <row r="83" spans="6:25" x14ac:dyDescent="0.3">
      <c r="F83" s="2">
        <f t="shared" ca="1" si="14"/>
        <v>0.8330078125</v>
      </c>
      <c r="G83" s="6" t="s">
        <v>62</v>
      </c>
      <c r="H83" s="2" cm="1">
        <f t="array" aca="1" ref="H83" ca="1">SUMPRODUCT(--MID(G83,LEN(G83)+1-ROW(INDIRECT("1:"&amp;LEN(G83))),1),(2^(ROW(INDIRECT("1:"&amp;LEN(G83)))-1)))</f>
        <v>853</v>
      </c>
      <c r="I83" s="2">
        <f t="shared" ca="1" si="19"/>
        <v>20472</v>
      </c>
      <c r="J83" s="2">
        <f t="shared" ca="1" si="20"/>
        <v>3</v>
      </c>
      <c r="K83" s="2" cm="1">
        <f t="array" aca="1" ref="K83" ca="1">_xlfn.SWITCH(J83,1,8*2^10 - I83, 2, 8*2^10 -I83, 3, 24*2^B$17 -I83)</f>
        <v>4104</v>
      </c>
      <c r="L83" s="2" cm="1">
        <f t="array" aca="1" ref="L83" ca="1">_xlfn.SWITCH(J83,1,K83*G$20, 2, K83*G$21, 3, K83*G$22)</f>
        <v>268697088</v>
      </c>
      <c r="M83" s="2">
        <f t="shared" ca="1" si="18"/>
        <v>256</v>
      </c>
      <c r="N83" s="2">
        <f t="shared" ca="1" si="21"/>
        <v>426</v>
      </c>
      <c r="O83" s="2">
        <f t="shared" ca="1" si="22"/>
        <v>426</v>
      </c>
      <c r="P83" s="2">
        <f t="shared" ca="1" si="23"/>
        <v>0.416015625</v>
      </c>
      <c r="Q83" s="2">
        <f t="shared" ca="1" si="24"/>
        <v>149.765625</v>
      </c>
    </row>
    <row r="84" spans="6:25" x14ac:dyDescent="0.3">
      <c r="F84" s="2">
        <f ca="1">H84/2^B$17</f>
        <v>0</v>
      </c>
      <c r="G84" s="6" t="s">
        <v>63</v>
      </c>
      <c r="H84" s="2" cm="1">
        <f t="array" aca="1" ref="H84" ca="1">SUMPRODUCT(--MID(G84,LEN(G84)+1-ROW(INDIRECT("1:"&amp;LEN(G84))),1),(2^(ROW(INDIRECT("1:"&amp;LEN(G84)))-1)))</f>
        <v>0</v>
      </c>
      <c r="I84" s="2">
        <f t="shared" ca="1" si="19"/>
        <v>0</v>
      </c>
      <c r="J84" s="2">
        <f t="shared" ca="1" si="20"/>
        <v>1</v>
      </c>
      <c r="K84" s="2" cm="1">
        <f t="array" aca="1" ref="K84" ca="1">_xlfn.SWITCH(J84,1,8*2^10 - I84, 2, 8*2^10 -I84, 3, 24*2^B$17 -I84)</f>
        <v>8192</v>
      </c>
      <c r="L84" s="2" cm="1">
        <f t="array" aca="1" ref="L84" ca="1">_xlfn.SWITCH(J84,1,K84*G$20, 2, K84*G$21, 3, K84*G$22)</f>
        <v>178782208</v>
      </c>
      <c r="M84" s="2">
        <f ca="1">_xlfn.FLOOR.MATH(L84/2^(B$17+B$17))</f>
        <v>170</v>
      </c>
      <c r="N84" s="2">
        <f t="shared" ca="1" si="21"/>
        <v>170</v>
      </c>
      <c r="O84" s="2">
        <f t="shared" ca="1" si="22"/>
        <v>170</v>
      </c>
      <c r="P84" s="2">
        <f t="shared" ca="1" si="23"/>
        <v>0.166015625</v>
      </c>
      <c r="Q84" s="2">
        <f t="shared" ca="1" si="24"/>
        <v>59.765625</v>
      </c>
    </row>
    <row r="87" spans="6:25" x14ac:dyDescent="0.3">
      <c r="I87" s="2" t="s">
        <v>71</v>
      </c>
      <c r="J87" s="2" t="s">
        <v>29</v>
      </c>
      <c r="K87" s="2" t="s">
        <v>30</v>
      </c>
      <c r="L87" s="2" t="s">
        <v>31</v>
      </c>
      <c r="M87" s="2" t="s">
        <v>32</v>
      </c>
      <c r="N87" s="2" t="s">
        <v>33</v>
      </c>
      <c r="O87" s="2" t="s">
        <v>34</v>
      </c>
      <c r="P87" s="2" t="s">
        <v>37</v>
      </c>
      <c r="Q87" s="2" t="s">
        <v>35</v>
      </c>
      <c r="R87" s="2" t="s">
        <v>36</v>
      </c>
      <c r="S87" s="2" t="s">
        <v>39</v>
      </c>
      <c r="T87" s="2" t="s">
        <v>40</v>
      </c>
      <c r="U87" s="2" t="s">
        <v>72</v>
      </c>
      <c r="V87" s="2" t="s">
        <v>73</v>
      </c>
      <c r="W87" s="2" t="s">
        <v>74</v>
      </c>
      <c r="X87" s="2" t="s">
        <v>75</v>
      </c>
      <c r="Y87" s="2" t="s">
        <v>76</v>
      </c>
    </row>
    <row r="88" spans="6:25" x14ac:dyDescent="0.3">
      <c r="I88" s="2">
        <f ca="1">O73*E$31</f>
        <v>5220</v>
      </c>
      <c r="J88" s="2">
        <f ca="1">_xlfn.FLOOR.MATH(I88/2^B$17)</f>
        <v>5</v>
      </c>
      <c r="K88" s="2">
        <f ca="1">MOD(I88, 2^B$17)</f>
        <v>100</v>
      </c>
      <c r="L88" s="2">
        <f ca="1">IF(E33,K59,L59)</f>
        <v>600</v>
      </c>
      <c r="M88" s="2">
        <f ca="1">L88*E$30</f>
        <v>982800</v>
      </c>
      <c r="N88" s="2">
        <f ca="1">IF(_xlfn.FLOOR.MATH(M88/2^B$17) &gt; 1023, 1023, _xlfn.FLOOR.MATH(M88/2^B$17))</f>
        <v>959</v>
      </c>
      <c r="O88" s="2">
        <f ca="1">IF(N88&gt;E$32,E$32,N88)</f>
        <v>959</v>
      </c>
      <c r="P88" s="2">
        <f ca="1">_xlfn.FLOOR.MATH(O88/2^(B$17-8))</f>
        <v>239</v>
      </c>
      <c r="Q88" s="2">
        <f ca="1">O88*K88</f>
        <v>95900</v>
      </c>
      <c r="R88" s="2">
        <f ca="1">O88*(2^(B$17) - 1 - K88)</f>
        <v>885157</v>
      </c>
      <c r="S88" s="2">
        <f ca="1">_xlfn.FLOOR.MATH(Q88/2^(2*B$17-8))</f>
        <v>23</v>
      </c>
      <c r="T88" s="2">
        <f ca="1">_xlfn.FLOOR.MATH(R88/2^(2*B$17-8))</f>
        <v>216</v>
      </c>
      <c r="U88" s="2" cm="1">
        <f t="array" aca="1" ref="U88" ca="1">_xlfn.SWITCH(J88,0,P88,1,T88,2,0,3,0,4,S88,5,P88)</f>
        <v>239</v>
      </c>
      <c r="V88" s="2" cm="1">
        <f t="array" aca="1" ref="V88" ca="1">_xlfn.SWITCH(J88,0,S88,1,P88,2,P88,3,T88,4,0,5,0)</f>
        <v>0</v>
      </c>
      <c r="W88" s="2" cm="1">
        <f t="array" aca="1" ref="W88" ca="1">_xlfn.SWITCH(J88,0,0,1,0,2,S88,3,P88,4,P88,5,T88)</f>
        <v>216</v>
      </c>
      <c r="X88" s="2">
        <f ca="1">U88*2^16+V88*2^8+W88</f>
        <v>15663320</v>
      </c>
      <c r="Y88" s="2" t="str">
        <f t="shared" ref="Y88:Y99" ca="1" si="25">_xlfn.BASE(X88,16,6)</f>
        <v>EF00D8</v>
      </c>
    </row>
    <row r="89" spans="6:25" x14ac:dyDescent="0.3">
      <c r="I89" s="2">
        <f t="shared" ref="I89:I99" ca="1" si="26">O74*E$31</f>
        <v>216</v>
      </c>
      <c r="J89" s="2">
        <f t="shared" ref="J89:J99" ca="1" si="27">_xlfn.FLOOR.MATH(I89/2^B$17)</f>
        <v>0</v>
      </c>
      <c r="K89" s="2">
        <f t="shared" ref="K89:K99" ca="1" si="28">MOD(I89, 2^B$17)</f>
        <v>216</v>
      </c>
      <c r="L89" s="2">
        <f t="shared" ref="L89:L99" ca="1" si="29">IF(E34,K60,L60)</f>
        <v>717</v>
      </c>
      <c r="M89" s="2">
        <f t="shared" ref="M89:M99" ca="1" si="30">L89*E$30</f>
        <v>1174446</v>
      </c>
      <c r="N89" s="2">
        <f t="shared" ref="N89:N99" ca="1" si="31">IF(_xlfn.FLOOR.MATH(M89/2^B$17) &gt; 1023, 1023, _xlfn.FLOOR.MATH(M89/2^B$17))</f>
        <v>1023</v>
      </c>
      <c r="O89" s="2">
        <f t="shared" ref="O89:O99" ca="1" si="32">IF(N89&gt;E$32,E$32,N89)</f>
        <v>1023</v>
      </c>
      <c r="P89" s="2">
        <f t="shared" ref="P89:P99" ca="1" si="33">_xlfn.FLOOR.MATH(O89/2^(B$17-8))</f>
        <v>255</v>
      </c>
      <c r="Q89" s="2">
        <f t="shared" ref="Q89:Q99" ca="1" si="34">O89*K89</f>
        <v>220968</v>
      </c>
      <c r="R89" s="2">
        <f t="shared" ref="R89:R99" ca="1" si="35">O89*(2^(B$17) - 1 - K89)</f>
        <v>825561</v>
      </c>
      <c r="S89" s="2">
        <f t="shared" ref="S89:S99" ca="1" si="36">_xlfn.FLOOR.MATH(Q89/2^(2*B$17-8))</f>
        <v>53</v>
      </c>
      <c r="T89" s="2">
        <f t="shared" ref="T89:T99" ca="1" si="37">_xlfn.FLOOR.MATH(R89/2^(2*B$17-8))</f>
        <v>201</v>
      </c>
      <c r="U89" s="2" cm="1">
        <f t="array" aca="1" ref="U89" ca="1">_xlfn.SWITCH(J89,0,P89,1,T89,2,0,3,0,4,S89,5,P89)</f>
        <v>255</v>
      </c>
      <c r="V89" s="2" cm="1">
        <f t="array" aca="1" ref="V89" ca="1">_xlfn.SWITCH(J89,0,S89,1,P89,2,P89,3,T89,4,0,5,0)</f>
        <v>53</v>
      </c>
      <c r="W89" s="2" cm="1">
        <f t="array" aca="1" ref="W89" ca="1">_xlfn.SWITCH(J89,0,0,1,0,2,S89,3,P89,4,P89,5,T89)</f>
        <v>0</v>
      </c>
      <c r="X89" s="2">
        <f t="shared" ref="X89:X99" ca="1" si="38">U89*2^16+V89*2^8+W89</f>
        <v>16725248</v>
      </c>
      <c r="Y89" s="2" t="str">
        <f t="shared" ca="1" si="25"/>
        <v>FF3500</v>
      </c>
    </row>
    <row r="90" spans="6:25" x14ac:dyDescent="0.3">
      <c r="I90" s="2">
        <f t="shared" ca="1" si="26"/>
        <v>2454</v>
      </c>
      <c r="J90" s="2">
        <f t="shared" ca="1" si="27"/>
        <v>2</v>
      </c>
      <c r="K90" s="2">
        <f t="shared" ca="1" si="28"/>
        <v>406</v>
      </c>
      <c r="L90" s="2">
        <f t="shared" ca="1" si="29"/>
        <v>450</v>
      </c>
      <c r="M90" s="2">
        <f t="shared" ca="1" si="30"/>
        <v>737100</v>
      </c>
      <c r="N90" s="2">
        <f t="shared" ca="1" si="31"/>
        <v>719</v>
      </c>
      <c r="O90" s="2">
        <f t="shared" ca="1" si="32"/>
        <v>719</v>
      </c>
      <c r="P90" s="2">
        <f t="shared" ca="1" si="33"/>
        <v>179</v>
      </c>
      <c r="Q90" s="2">
        <f t="shared" ca="1" si="34"/>
        <v>291914</v>
      </c>
      <c r="R90" s="2">
        <f t="shared" ca="1" si="35"/>
        <v>443623</v>
      </c>
      <c r="S90" s="2">
        <f t="shared" ca="1" si="36"/>
        <v>71</v>
      </c>
      <c r="T90" s="2">
        <f t="shared" ca="1" si="37"/>
        <v>108</v>
      </c>
      <c r="U90" s="2" cm="1">
        <f t="array" aca="1" ref="U90" ca="1">_xlfn.SWITCH(J90,0,P90,1,T90,2,0,3,0,4,S90,5,P90)</f>
        <v>0</v>
      </c>
      <c r="V90" s="2" cm="1">
        <f t="array" aca="1" ref="V90" ca="1">_xlfn.SWITCH(J90,0,S90,1,P90,2,P90,3,T90,4,0,5,0)</f>
        <v>179</v>
      </c>
      <c r="W90" s="2" cm="1">
        <f t="array" aca="1" ref="W90" ca="1">_xlfn.SWITCH(J90,0,0,1,0,2,S90,3,P90,4,P90,5,T90)</f>
        <v>71</v>
      </c>
      <c r="X90" s="2">
        <f t="shared" ca="1" si="38"/>
        <v>45895</v>
      </c>
      <c r="Y90" s="2" t="str">
        <f t="shared" ca="1" si="25"/>
        <v>00B347</v>
      </c>
    </row>
    <row r="91" spans="6:25" x14ac:dyDescent="0.3">
      <c r="I91" s="2">
        <f t="shared" ca="1" si="26"/>
        <v>1554</v>
      </c>
      <c r="J91" s="2">
        <f t="shared" ca="1" si="27"/>
        <v>1</v>
      </c>
      <c r="K91" s="2">
        <f t="shared" ca="1" si="28"/>
        <v>530</v>
      </c>
      <c r="L91" s="2">
        <f t="shared" ca="1" si="29"/>
        <v>0</v>
      </c>
      <c r="M91" s="2">
        <f t="shared" ca="1" si="30"/>
        <v>0</v>
      </c>
      <c r="N91" s="2">
        <f t="shared" ca="1" si="31"/>
        <v>0</v>
      </c>
      <c r="O91" s="2">
        <f t="shared" ca="1" si="32"/>
        <v>0</v>
      </c>
      <c r="P91" s="2">
        <f t="shared" ca="1" si="33"/>
        <v>0</v>
      </c>
      <c r="Q91" s="2">
        <f t="shared" ca="1" si="34"/>
        <v>0</v>
      </c>
      <c r="R91" s="2">
        <f t="shared" ca="1" si="35"/>
        <v>0</v>
      </c>
      <c r="S91" s="2">
        <f t="shared" ca="1" si="36"/>
        <v>0</v>
      </c>
      <c r="T91" s="2">
        <f t="shared" ca="1" si="37"/>
        <v>0</v>
      </c>
      <c r="U91" s="2" cm="1">
        <f t="array" aca="1" ref="U91" ca="1">_xlfn.SWITCH(J91,0,P91,1,T91,2,0,3,0,4,S91,5,P91)</f>
        <v>0</v>
      </c>
      <c r="V91" s="2" cm="1">
        <f t="array" aca="1" ref="V91" ca="1">_xlfn.SWITCH(J91,0,S91,1,P91,2,P91,3,T91,4,0,5,0)</f>
        <v>0</v>
      </c>
      <c r="W91" s="2" cm="1">
        <f t="array" aca="1" ref="W91" ca="1">_xlfn.SWITCH(J91,0,0,1,0,2,S91,3,P91,4,P91,5,T91)</f>
        <v>0</v>
      </c>
      <c r="X91" s="2">
        <f t="shared" ca="1" si="38"/>
        <v>0</v>
      </c>
      <c r="Y91" s="2" t="str">
        <f t="shared" ca="1" si="25"/>
        <v>000000</v>
      </c>
    </row>
    <row r="92" spans="6:25" x14ac:dyDescent="0.3">
      <c r="I92" s="2">
        <f t="shared" ca="1" si="26"/>
        <v>3078</v>
      </c>
      <c r="J92" s="2">
        <f t="shared" ca="1" si="27"/>
        <v>3</v>
      </c>
      <c r="K92" s="2">
        <f t="shared" ca="1" si="28"/>
        <v>6</v>
      </c>
      <c r="L92" s="2">
        <f t="shared" ca="1" si="29"/>
        <v>0</v>
      </c>
      <c r="M92" s="2">
        <f t="shared" ca="1" si="30"/>
        <v>0</v>
      </c>
      <c r="N92" s="2">
        <f t="shared" ca="1" si="31"/>
        <v>0</v>
      </c>
      <c r="O92" s="2">
        <f t="shared" ca="1" si="32"/>
        <v>0</v>
      </c>
      <c r="P92" s="2">
        <f t="shared" ca="1" si="33"/>
        <v>0</v>
      </c>
      <c r="Q92" s="2">
        <f t="shared" ca="1" si="34"/>
        <v>0</v>
      </c>
      <c r="R92" s="2">
        <f t="shared" ca="1" si="35"/>
        <v>0</v>
      </c>
      <c r="S92" s="2">
        <f t="shared" ca="1" si="36"/>
        <v>0</v>
      </c>
      <c r="T92" s="2">
        <f t="shared" ca="1" si="37"/>
        <v>0</v>
      </c>
      <c r="U92" s="2" cm="1">
        <f t="array" aca="1" ref="U92" ca="1">_xlfn.SWITCH(J92,0,P92,1,T92,2,0,3,0,4,S92,5,P92)</f>
        <v>0</v>
      </c>
      <c r="V92" s="2" cm="1">
        <f t="array" aca="1" ref="V92" ca="1">_xlfn.SWITCH(J92,0,S92,1,P92,2,P92,3,T92,4,0,5,0)</f>
        <v>0</v>
      </c>
      <c r="W92" s="2" cm="1">
        <f t="array" aca="1" ref="W92" ca="1">_xlfn.SWITCH(J92,0,0,1,0,2,S92,3,P92,4,P92,5,T92)</f>
        <v>0</v>
      </c>
      <c r="X92" s="2">
        <f t="shared" ca="1" si="38"/>
        <v>0</v>
      </c>
      <c r="Y92" s="2" t="str">
        <f t="shared" ca="1" si="25"/>
        <v>000000</v>
      </c>
    </row>
    <row r="93" spans="6:25" x14ac:dyDescent="0.3">
      <c r="I93" s="2">
        <f t="shared" ca="1" si="26"/>
        <v>4266</v>
      </c>
      <c r="J93" s="2">
        <f t="shared" ca="1" si="27"/>
        <v>4</v>
      </c>
      <c r="K93" s="2">
        <f t="shared" ca="1" si="28"/>
        <v>170</v>
      </c>
      <c r="L93" s="2">
        <f t="shared" ca="1" si="29"/>
        <v>0</v>
      </c>
      <c r="M93" s="2">
        <f t="shared" ca="1" si="30"/>
        <v>0</v>
      </c>
      <c r="N93" s="2">
        <f t="shared" ca="1" si="31"/>
        <v>0</v>
      </c>
      <c r="O93" s="2">
        <f t="shared" ca="1" si="32"/>
        <v>0</v>
      </c>
      <c r="P93" s="2">
        <f t="shared" ca="1" si="33"/>
        <v>0</v>
      </c>
      <c r="Q93" s="2">
        <f t="shared" ca="1" si="34"/>
        <v>0</v>
      </c>
      <c r="R93" s="2">
        <f t="shared" ca="1" si="35"/>
        <v>0</v>
      </c>
      <c r="S93" s="2">
        <f t="shared" ca="1" si="36"/>
        <v>0</v>
      </c>
      <c r="T93" s="2">
        <f t="shared" ca="1" si="37"/>
        <v>0</v>
      </c>
      <c r="U93" s="2" cm="1">
        <f t="array" aca="1" ref="U93" ca="1">_xlfn.SWITCH(J93,0,P93,1,T93,2,0,3,0,4,S93,5,P93)</f>
        <v>0</v>
      </c>
      <c r="V93" s="2" cm="1">
        <f t="array" aca="1" ref="V93" ca="1">_xlfn.SWITCH(J93,0,S93,1,P93,2,P93,3,T93,4,0,5,0)</f>
        <v>0</v>
      </c>
      <c r="W93" s="2" cm="1">
        <f t="array" aca="1" ref="W93" ca="1">_xlfn.SWITCH(J93,0,0,1,0,2,S93,3,P93,4,P93,5,T93)</f>
        <v>0</v>
      </c>
      <c r="X93" s="2">
        <f t="shared" ca="1" si="38"/>
        <v>0</v>
      </c>
      <c r="Y93" s="2" t="str">
        <f t="shared" ca="1" si="25"/>
        <v>000000</v>
      </c>
    </row>
    <row r="94" spans="6:25" x14ac:dyDescent="0.3">
      <c r="I94" s="2">
        <f t="shared" ca="1" si="26"/>
        <v>6120</v>
      </c>
      <c r="J94" s="2">
        <f t="shared" ca="1" si="27"/>
        <v>5</v>
      </c>
      <c r="K94" s="2">
        <f t="shared" ca="1" si="28"/>
        <v>1000</v>
      </c>
      <c r="L94" s="2">
        <f t="shared" ca="1" si="29"/>
        <v>0</v>
      </c>
      <c r="M94" s="2">
        <f t="shared" ca="1" si="30"/>
        <v>0</v>
      </c>
      <c r="N94" s="2">
        <f t="shared" ca="1" si="31"/>
        <v>0</v>
      </c>
      <c r="O94" s="2">
        <f t="shared" ca="1" si="32"/>
        <v>0</v>
      </c>
      <c r="P94" s="2">
        <f t="shared" ca="1" si="33"/>
        <v>0</v>
      </c>
      <c r="Q94" s="2">
        <f t="shared" ca="1" si="34"/>
        <v>0</v>
      </c>
      <c r="R94" s="2">
        <f t="shared" ca="1" si="35"/>
        <v>0</v>
      </c>
      <c r="S94" s="2">
        <f t="shared" ca="1" si="36"/>
        <v>0</v>
      </c>
      <c r="T94" s="2">
        <f t="shared" ca="1" si="37"/>
        <v>0</v>
      </c>
      <c r="U94" s="2" cm="1">
        <f t="array" aca="1" ref="U94" ca="1">_xlfn.SWITCH(J94,0,P94,1,T94,2,0,3,0,4,S94,5,P94)</f>
        <v>0</v>
      </c>
      <c r="V94" s="2" cm="1">
        <f t="array" aca="1" ref="V94" ca="1">_xlfn.SWITCH(J94,0,S94,1,P94,2,P94,3,T94,4,0,5,0)</f>
        <v>0</v>
      </c>
      <c r="W94" s="2" cm="1">
        <f t="array" aca="1" ref="W94" ca="1">_xlfn.SWITCH(J94,0,0,1,0,2,S94,3,P94,4,P94,5,T94)</f>
        <v>0</v>
      </c>
      <c r="X94" s="2">
        <f t="shared" ca="1" si="38"/>
        <v>0</v>
      </c>
      <c r="Y94" s="2" t="str">
        <f t="shared" ca="1" si="25"/>
        <v>000000</v>
      </c>
    </row>
    <row r="95" spans="6:25" x14ac:dyDescent="0.3">
      <c r="I95" s="2">
        <f t="shared" ca="1" si="26"/>
        <v>4746</v>
      </c>
      <c r="J95" s="2">
        <f t="shared" ca="1" si="27"/>
        <v>4</v>
      </c>
      <c r="K95" s="2">
        <f t="shared" ca="1" si="28"/>
        <v>650</v>
      </c>
      <c r="L95" s="2">
        <f t="shared" ca="1" si="29"/>
        <v>0</v>
      </c>
      <c r="M95" s="2">
        <f t="shared" ca="1" si="30"/>
        <v>0</v>
      </c>
      <c r="N95" s="2">
        <f t="shared" ca="1" si="31"/>
        <v>0</v>
      </c>
      <c r="O95" s="2">
        <f t="shared" ca="1" si="32"/>
        <v>0</v>
      </c>
      <c r="P95" s="2">
        <f t="shared" ca="1" si="33"/>
        <v>0</v>
      </c>
      <c r="Q95" s="2">
        <f t="shared" ca="1" si="34"/>
        <v>0</v>
      </c>
      <c r="R95" s="2">
        <f t="shared" ca="1" si="35"/>
        <v>0</v>
      </c>
      <c r="S95" s="2">
        <f t="shared" ca="1" si="36"/>
        <v>0</v>
      </c>
      <c r="T95" s="2">
        <f t="shared" ca="1" si="37"/>
        <v>0</v>
      </c>
      <c r="U95" s="2" cm="1">
        <f t="array" aca="1" ref="U95" ca="1">_xlfn.SWITCH(J95,0,P95,1,T95,2,0,3,0,4,S95,5,P95)</f>
        <v>0</v>
      </c>
      <c r="V95" s="2" cm="1">
        <f t="array" aca="1" ref="V95" ca="1">_xlfn.SWITCH(J95,0,S95,1,P95,2,P95,3,T95,4,0,5,0)</f>
        <v>0</v>
      </c>
      <c r="W95" s="2" cm="1">
        <f t="array" aca="1" ref="W95" ca="1">_xlfn.SWITCH(J95,0,0,1,0,2,S95,3,P95,4,P95,5,T95)</f>
        <v>0</v>
      </c>
      <c r="X95" s="2">
        <f t="shared" ca="1" si="38"/>
        <v>0</v>
      </c>
      <c r="Y95" s="2" t="str">
        <f t="shared" ca="1" si="25"/>
        <v>000000</v>
      </c>
    </row>
    <row r="96" spans="6:25" x14ac:dyDescent="0.3">
      <c r="I96" s="2">
        <f t="shared" ca="1" si="26"/>
        <v>900</v>
      </c>
      <c r="J96" s="2">
        <f t="shared" ca="1" si="27"/>
        <v>0</v>
      </c>
      <c r="K96" s="2">
        <f t="shared" ca="1" si="28"/>
        <v>900</v>
      </c>
      <c r="L96" s="2">
        <f t="shared" ca="1" si="29"/>
        <v>0</v>
      </c>
      <c r="M96" s="2">
        <f t="shared" ca="1" si="30"/>
        <v>0</v>
      </c>
      <c r="N96" s="2">
        <f t="shared" ca="1" si="31"/>
        <v>0</v>
      </c>
      <c r="O96" s="2">
        <f t="shared" ca="1" si="32"/>
        <v>0</v>
      </c>
      <c r="P96" s="2">
        <f t="shared" ca="1" si="33"/>
        <v>0</v>
      </c>
      <c r="Q96" s="2">
        <f t="shared" ca="1" si="34"/>
        <v>0</v>
      </c>
      <c r="R96" s="2">
        <f t="shared" ca="1" si="35"/>
        <v>0</v>
      </c>
      <c r="S96" s="2">
        <f t="shared" ca="1" si="36"/>
        <v>0</v>
      </c>
      <c r="T96" s="2">
        <f t="shared" ca="1" si="37"/>
        <v>0</v>
      </c>
      <c r="U96" s="2" cm="1">
        <f t="array" aca="1" ref="U96" ca="1">_xlfn.SWITCH(J96,0,P96,1,T96,2,0,3,0,4,S96,5,P96)</f>
        <v>0</v>
      </c>
      <c r="V96" s="2" cm="1">
        <f t="array" aca="1" ref="V96" ca="1">_xlfn.SWITCH(J96,0,S96,1,P96,2,P96,3,T96,4,0,5,0)</f>
        <v>0</v>
      </c>
      <c r="W96" s="2" cm="1">
        <f t="array" aca="1" ref="W96" ca="1">_xlfn.SWITCH(J96,0,0,1,0,2,S96,3,P96,4,P96,5,T96)</f>
        <v>0</v>
      </c>
      <c r="X96" s="2">
        <f t="shared" ca="1" si="38"/>
        <v>0</v>
      </c>
      <c r="Y96" s="2" t="str">
        <f t="shared" ca="1" si="25"/>
        <v>000000</v>
      </c>
    </row>
    <row r="97" spans="9:25" x14ac:dyDescent="0.3">
      <c r="I97" s="2">
        <f t="shared" ca="1" si="26"/>
        <v>2556</v>
      </c>
      <c r="J97" s="2">
        <f t="shared" ca="1" si="27"/>
        <v>2</v>
      </c>
      <c r="K97" s="2">
        <f t="shared" ca="1" si="28"/>
        <v>508</v>
      </c>
      <c r="L97" s="2">
        <f t="shared" ca="1" si="29"/>
        <v>0</v>
      </c>
      <c r="M97" s="2">
        <f t="shared" ca="1" si="30"/>
        <v>0</v>
      </c>
      <c r="N97" s="2">
        <f t="shared" ca="1" si="31"/>
        <v>0</v>
      </c>
      <c r="O97" s="2">
        <f t="shared" ca="1" si="32"/>
        <v>0</v>
      </c>
      <c r="P97" s="2">
        <f t="shared" ca="1" si="33"/>
        <v>0</v>
      </c>
      <c r="Q97" s="2">
        <f t="shared" ca="1" si="34"/>
        <v>0</v>
      </c>
      <c r="R97" s="2">
        <f t="shared" ca="1" si="35"/>
        <v>0</v>
      </c>
      <c r="S97" s="2">
        <f t="shared" ca="1" si="36"/>
        <v>0</v>
      </c>
      <c r="T97" s="2">
        <f t="shared" ca="1" si="37"/>
        <v>0</v>
      </c>
      <c r="U97" s="2" cm="1">
        <f t="array" aca="1" ref="U97" ca="1">_xlfn.SWITCH(J97,0,P97,1,T97,2,0,3,0,4,S97,5,P97)</f>
        <v>0</v>
      </c>
      <c r="V97" s="2" cm="1">
        <f t="array" aca="1" ref="V97" ca="1">_xlfn.SWITCH(J97,0,S97,1,P97,2,P97,3,T97,4,0,5,0)</f>
        <v>0</v>
      </c>
      <c r="W97" s="2" cm="1">
        <f t="array" aca="1" ref="W97" ca="1">_xlfn.SWITCH(J97,0,0,1,0,2,S97,3,P97,4,P97,5,T97)</f>
        <v>0</v>
      </c>
      <c r="X97" s="2">
        <f t="shared" ca="1" si="38"/>
        <v>0</v>
      </c>
      <c r="Y97" s="2" t="str">
        <f t="shared" ca="1" si="25"/>
        <v>000000</v>
      </c>
    </row>
    <row r="98" spans="9:25" x14ac:dyDescent="0.3">
      <c r="I98" s="2">
        <f t="shared" ca="1" si="26"/>
        <v>2556</v>
      </c>
      <c r="J98" s="2">
        <f t="shared" ca="1" si="27"/>
        <v>2</v>
      </c>
      <c r="K98" s="2">
        <f t="shared" ca="1" si="28"/>
        <v>508</v>
      </c>
      <c r="L98" s="2">
        <f t="shared" ca="1" si="29"/>
        <v>0</v>
      </c>
      <c r="M98" s="2">
        <f t="shared" ca="1" si="30"/>
        <v>0</v>
      </c>
      <c r="N98" s="2">
        <f t="shared" ca="1" si="31"/>
        <v>0</v>
      </c>
      <c r="O98" s="2">
        <f t="shared" ca="1" si="32"/>
        <v>0</v>
      </c>
      <c r="P98" s="2">
        <f t="shared" ca="1" si="33"/>
        <v>0</v>
      </c>
      <c r="Q98" s="2">
        <f t="shared" ca="1" si="34"/>
        <v>0</v>
      </c>
      <c r="R98" s="2">
        <f t="shared" ca="1" si="35"/>
        <v>0</v>
      </c>
      <c r="S98" s="2">
        <f t="shared" ca="1" si="36"/>
        <v>0</v>
      </c>
      <c r="T98" s="2">
        <f t="shared" ca="1" si="37"/>
        <v>0</v>
      </c>
      <c r="U98" s="2" cm="1">
        <f t="array" aca="1" ref="U98" ca="1">_xlfn.SWITCH(J98,0,P98,1,T98,2,0,3,0,4,S98,5,P98)</f>
        <v>0</v>
      </c>
      <c r="V98" s="2" cm="1">
        <f t="array" aca="1" ref="V98" ca="1">_xlfn.SWITCH(J98,0,S98,1,P98,2,P98,3,T98,4,0,5,0)</f>
        <v>0</v>
      </c>
      <c r="W98" s="2" cm="1">
        <f t="array" aca="1" ref="W98" ca="1">_xlfn.SWITCH(J98,0,0,1,0,2,S98,3,P98,4,P98,5,T98)</f>
        <v>0</v>
      </c>
      <c r="X98" s="2">
        <f t="shared" ca="1" si="38"/>
        <v>0</v>
      </c>
      <c r="Y98" s="2" t="str">
        <f t="shared" ca="1" si="25"/>
        <v>000000</v>
      </c>
    </row>
    <row r="99" spans="9:25" x14ac:dyDescent="0.3">
      <c r="I99" s="2">
        <f t="shared" ca="1" si="26"/>
        <v>1020</v>
      </c>
      <c r="J99" s="2">
        <f t="shared" ca="1" si="27"/>
        <v>0</v>
      </c>
      <c r="K99" s="2">
        <f t="shared" ca="1" si="28"/>
        <v>1020</v>
      </c>
      <c r="L99" s="2">
        <f t="shared" ca="1" si="29"/>
        <v>0</v>
      </c>
      <c r="M99" s="2">
        <f t="shared" ca="1" si="30"/>
        <v>0</v>
      </c>
      <c r="N99" s="2">
        <f t="shared" ca="1" si="31"/>
        <v>0</v>
      </c>
      <c r="O99" s="2">
        <f t="shared" ca="1" si="32"/>
        <v>0</v>
      </c>
      <c r="P99" s="2">
        <f t="shared" ca="1" si="33"/>
        <v>0</v>
      </c>
      <c r="Q99" s="2">
        <f t="shared" ca="1" si="34"/>
        <v>0</v>
      </c>
      <c r="R99" s="2">
        <f t="shared" ca="1" si="35"/>
        <v>0</v>
      </c>
      <c r="S99" s="2">
        <f t="shared" ca="1" si="36"/>
        <v>0</v>
      </c>
      <c r="T99" s="2">
        <f t="shared" ca="1" si="37"/>
        <v>0</v>
      </c>
      <c r="U99" s="2" cm="1">
        <f t="array" aca="1" ref="U99" ca="1">_xlfn.SWITCH(J99,0,P99,1,T99,2,0,3,0,4,S99,5,P99)</f>
        <v>0</v>
      </c>
      <c r="V99" s="2" cm="1">
        <f t="array" aca="1" ref="V99" ca="1">_xlfn.SWITCH(J99,0,S99,1,P99,2,P99,3,T99,4,0,5,0)</f>
        <v>0</v>
      </c>
      <c r="W99" s="2" cm="1">
        <f t="array" aca="1" ref="W99" ca="1">_xlfn.SWITCH(J99,0,0,1,0,2,S99,3,P99,4,P99,5,T99)</f>
        <v>0</v>
      </c>
      <c r="X99" s="2">
        <f t="shared" ca="1" si="38"/>
        <v>0</v>
      </c>
      <c r="Y99" s="2" t="str">
        <f t="shared" ca="1" si="25"/>
        <v>000000</v>
      </c>
    </row>
    <row r="101" spans="9:25" x14ac:dyDescent="0.3">
      <c r="I101" s="2" t="s">
        <v>48</v>
      </c>
      <c r="J101" s="2" t="s">
        <v>47</v>
      </c>
    </row>
    <row r="102" spans="9:25" x14ac:dyDescent="0.3">
      <c r="I102" s="2">
        <f ca="1">I66/B19</f>
        <v>24.779414062499999</v>
      </c>
      <c r="J102" s="2">
        <f ca="1">K59/I$102</f>
        <v>17.110583539448857</v>
      </c>
    </row>
    <row r="103" spans="9:25" x14ac:dyDescent="0.3">
      <c r="J103" s="2">
        <f t="shared" ref="J103:J114" ca="1" si="39">K60/I$102</f>
        <v>21.832244822677595</v>
      </c>
    </row>
    <row r="104" spans="9:25" x14ac:dyDescent="0.3">
      <c r="J104" s="2">
        <f t="shared" ca="1" si="39"/>
        <v>11.05717163787355</v>
      </c>
    </row>
    <row r="105" spans="9:25" x14ac:dyDescent="0.3">
      <c r="J105" s="2">
        <f t="shared" ca="1" si="39"/>
        <v>0</v>
      </c>
    </row>
    <row r="106" spans="9:25" x14ac:dyDescent="0.3">
      <c r="J106" s="2">
        <f t="shared" ca="1" si="39"/>
        <v>0</v>
      </c>
    </row>
    <row r="107" spans="9:25" x14ac:dyDescent="0.3">
      <c r="J107" s="2">
        <f t="shared" ca="1" si="39"/>
        <v>0</v>
      </c>
    </row>
    <row r="108" spans="9:25" x14ac:dyDescent="0.3">
      <c r="J108" s="2">
        <f t="shared" ca="1" si="39"/>
        <v>0</v>
      </c>
    </row>
    <row r="109" spans="9:25" x14ac:dyDescent="0.3">
      <c r="J109" s="2">
        <f t="shared" ca="1" si="39"/>
        <v>0</v>
      </c>
    </row>
    <row r="110" spans="9:25" x14ac:dyDescent="0.3">
      <c r="J110" s="2">
        <f t="shared" ca="1" si="39"/>
        <v>0</v>
      </c>
    </row>
    <row r="111" spans="9:25" x14ac:dyDescent="0.3">
      <c r="J111" s="2">
        <f t="shared" ca="1" si="39"/>
        <v>0</v>
      </c>
    </row>
    <row r="112" spans="9:25" x14ac:dyDescent="0.3">
      <c r="J112" s="2">
        <f t="shared" ca="1" si="39"/>
        <v>0</v>
      </c>
    </row>
    <row r="113" spans="10:10" x14ac:dyDescent="0.3">
      <c r="J113" s="2">
        <f t="shared" ca="1" si="39"/>
        <v>0</v>
      </c>
    </row>
    <row r="114" spans="10:10" x14ac:dyDescent="0.3">
      <c r="J114" s="2">
        <f t="shared" ca="1" si="3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BF30-C73F-44F3-B868-D68CE6420F38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2021-02-28T01:05:33Z</dcterms:created>
  <dcterms:modified xsi:type="dcterms:W3CDTF">2021-03-16T05:31:10Z</dcterms:modified>
</cp:coreProperties>
</file>