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4136" documentId="11_0B1D56BE9CDCCE836B02CE7A5FB0D4A9BBFD1C62" xr6:coauthVersionLast="47" xr6:coauthVersionMax="47" xr10:uidLastSave="{760684C5-5C5C-456F-A339-D7B4C8F2351C}"/>
  <bookViews>
    <workbookView minimized="1" xWindow="1515" yWindow="1515" windowWidth="21600" windowHeight="11295" tabRatio="773" xr2:uid="{00000000-000D-0000-FFFF-FFFF00000000}"/>
  </bookViews>
  <sheets>
    <sheet name="Tensile Load FoS Calc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H23" i="2"/>
  <c r="G23" i="2"/>
  <c r="G6" i="2" l="1"/>
  <c r="H19" i="2"/>
  <c r="H22" i="2"/>
  <c r="G22" i="2"/>
  <c r="H17" i="2"/>
  <c r="H16" i="2"/>
  <c r="D8" i="2"/>
  <c r="D7" i="2"/>
  <c r="D6" i="2"/>
  <c r="H7" i="2"/>
  <c r="H8" i="2"/>
  <c r="H9" i="2"/>
  <c r="H6" i="2"/>
  <c r="C6" i="2"/>
  <c r="C8" i="2"/>
  <c r="C7" i="2"/>
  <c r="U31" i="2"/>
  <c r="B17" i="2"/>
  <c r="AF6" i="2"/>
  <c r="AE6" i="2"/>
  <c r="AD6" i="2"/>
  <c r="Z6" i="2"/>
  <c r="Y6" i="2"/>
  <c r="X6" i="2"/>
  <c r="Z9" i="2"/>
  <c r="Z13" i="2"/>
  <c r="Y13" i="2"/>
  <c r="X13" i="2"/>
  <c r="Z12" i="2"/>
  <c r="Y12" i="2"/>
  <c r="X12" i="2"/>
  <c r="Z11" i="2"/>
  <c r="Y11" i="2"/>
  <c r="X11" i="2"/>
  <c r="Z10" i="2"/>
  <c r="Y10" i="2"/>
  <c r="X10" i="2"/>
  <c r="Y9" i="2"/>
  <c r="X9" i="2"/>
  <c r="Z8" i="2"/>
  <c r="Y8" i="2"/>
  <c r="X8" i="2"/>
  <c r="Z7" i="2"/>
  <c r="Y7" i="2"/>
  <c r="X7" i="2"/>
  <c r="T31" i="2"/>
  <c r="C17" i="2"/>
  <c r="C11" i="2" s="1"/>
  <c r="C16" i="2"/>
  <c r="AH27" i="2"/>
  <c r="AB27" i="2"/>
  <c r="AH26" i="2"/>
  <c r="AB26" i="2"/>
  <c r="AH25" i="2"/>
  <c r="AB25" i="2"/>
  <c r="AH24" i="2"/>
  <c r="AB24" i="2"/>
  <c r="AH23" i="2"/>
  <c r="AB23" i="2"/>
  <c r="AH22" i="2"/>
  <c r="AB22" i="2"/>
  <c r="AH21" i="2"/>
  <c r="AB21" i="2"/>
  <c r="AH20" i="2"/>
  <c r="AB20" i="2"/>
  <c r="AH19" i="2"/>
  <c r="AB19" i="2"/>
  <c r="AH18" i="2"/>
  <c r="AB18" i="2"/>
  <c r="AH17" i="2"/>
  <c r="AB17" i="2"/>
  <c r="AH16" i="2"/>
  <c r="AB16" i="2"/>
  <c r="AH15" i="2"/>
  <c r="AB15" i="2"/>
  <c r="AH14" i="2"/>
  <c r="AB14" i="2"/>
  <c r="AH13" i="2"/>
  <c r="AB13" i="2"/>
  <c r="AH12" i="2"/>
  <c r="AB12" i="2"/>
  <c r="AH11" i="2"/>
  <c r="AB11" i="2"/>
  <c r="AH10" i="2"/>
  <c r="AB10" i="2"/>
  <c r="AH9" i="2"/>
  <c r="AB9" i="2"/>
  <c r="AH8" i="2"/>
  <c r="AB8" i="2"/>
  <c r="AH7" i="2"/>
  <c r="AB7" i="2"/>
  <c r="AH6" i="2"/>
  <c r="AB6" i="2"/>
  <c r="D16" i="2"/>
  <c r="D15" i="2"/>
  <c r="D14" i="2"/>
  <c r="D17" i="2"/>
  <c r="D12" i="2"/>
  <c r="G16" i="2" l="1"/>
  <c r="G17" i="2" s="1"/>
  <c r="G9" i="2" s="1"/>
  <c r="C15" i="2"/>
  <c r="G19" i="2" l="1"/>
  <c r="G7" i="2" l="1"/>
  <c r="G12" i="2" s="1"/>
  <c r="G13" i="2"/>
  <c r="G14" i="2"/>
  <c r="G8" i="2"/>
</calcChain>
</file>

<file path=xl/sharedStrings.xml><?xml version="1.0" encoding="utf-8"?>
<sst xmlns="http://schemas.openxmlformats.org/spreadsheetml/2006/main" count="61" uniqueCount="48">
  <si>
    <t>INPUTS</t>
  </si>
  <si>
    <t>OUTPUTS</t>
  </si>
  <si>
    <t>English</t>
  </si>
  <si>
    <t>Bolt diameter, d</t>
  </si>
  <si>
    <t>Bolt Length, L</t>
  </si>
  <si>
    <r>
      <t>Fastener Stiffness,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</si>
  <si>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</si>
  <si>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</si>
  <si>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t>Bolt Properties</t>
  </si>
  <si>
    <t>Units:</t>
  </si>
  <si>
    <t>.</t>
  </si>
  <si>
    <r>
      <t>Member Stiffness, k</t>
    </r>
    <r>
      <rPr>
        <vertAlign val="subscript"/>
        <sz val="11"/>
        <color theme="1"/>
        <rFont val="Aptos Narrow"/>
        <family val="2"/>
        <scheme val="minor"/>
      </rPr>
      <t>m</t>
    </r>
  </si>
  <si>
    <t>Metric</t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</si>
  <si>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</si>
  <si>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</si>
  <si>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</si>
  <si>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</si>
  <si>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UNC</t>
  </si>
  <si>
    <t>UNF</t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</si>
  <si>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</si>
  <si>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</si>
  <si>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</si>
  <si>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</si>
  <si>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</si>
  <si>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Series</t>
  </si>
  <si>
    <t>Table 8-1</t>
  </si>
  <si>
    <t>Table 8-2</t>
  </si>
  <si>
    <t>Factors of Safety Multiple Bolts</t>
  </si>
  <si>
    <t>Number of Bolts, N</t>
  </si>
  <si>
    <r>
      <t>Preload, F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</si>
  <si>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External Load, P</t>
    </r>
    <r>
      <rPr>
        <vertAlign val="subscript"/>
        <sz val="11"/>
        <color theme="1"/>
        <rFont val="Aptos Narrow"/>
        <family val="2"/>
        <scheme val="minor"/>
      </rPr>
      <t>total</t>
    </r>
  </si>
  <si>
    <t>External Load per bolt/member, P</t>
  </si>
  <si>
    <r>
      <t>Minimum Proof Strength, S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</si>
  <si>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</t>
    </r>
  </si>
  <si>
    <t>Joint Compliance, C</t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</si>
  <si>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</si>
  <si>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Opening load, P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</si>
  <si>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Proof Load, P</t>
    </r>
    <r>
      <rPr>
        <vertAlign val="subscript"/>
        <sz val="11"/>
        <color theme="1"/>
        <rFont val="Aptos Narrow"/>
        <family val="2"/>
        <scheme val="minor"/>
      </rPr>
      <t>L</t>
    </r>
  </si>
  <si>
    <t>&lt;-- 75% of Proof Load</t>
  </si>
  <si>
    <t>Torque, T</t>
  </si>
  <si>
    <t>Torque coefficient, K</t>
  </si>
  <si>
    <t>Factors of Safety</t>
  </si>
  <si>
    <r>
      <t>Proof strength FoS, η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</si>
  <si>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Proof load FoS, η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</si>
  <si>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Joint opening FoS, η</t>
    </r>
    <r>
      <rPr>
        <vertAlign val="subscript"/>
        <sz val="11"/>
        <color theme="1"/>
        <rFont val="Aptos Narrow"/>
        <family val="2"/>
        <scheme val="minor"/>
      </rPr>
      <t>o</t>
    </r>
  </si>
  <si>
    <t>&lt;-- should be negative b/c in compression</t>
  </si>
  <si>
    <t>&lt;-- from Table 8-9 through 8-11</t>
  </si>
  <si>
    <t>Bolt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</si>
</sst>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##0.0E+00"/>
    <numFmt numFmtId="166" formatCode="##0.00E+00"/>
    <numFmt numFmtId="167" formatCode="0.000"/>
    <numFmt numFmtId="168" formatCode="_(* #,##0_);_(* \(#,##0\);_(* &quot;-&quot;??_);_(@_)"/>
    <numFmt numFmtId="169" formatCode="##0E+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167" fontId="0" fillId="3" borderId="0" xfId="0" applyNumberFormat="1" applyFill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2" fontId="0" fillId="0" borderId="4" xfId="0" applyNumberFormat="1" applyBorder="1" applyAlignment="1">
      <alignment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12" fontId="0" fillId="0" borderId="16" xfId="0" applyNumberFormat="1" applyBorder="1" applyAlignment="1">
      <alignment vertical="center" wrapText="1"/>
    </xf>
    <xf numFmtId="12" fontId="0" fillId="0" borderId="18" xfId="0" applyNumberFormat="1" applyBorder="1" applyAlignment="1">
      <alignment vertical="center" wrapText="1"/>
    </xf>
    <xf numFmtId="12" fontId="0" fillId="0" borderId="22" xfId="0" applyNumberFormat="1" applyBorder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21" xfId="0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vertical="center"/>
    </xf>
    <xf numFmtId="166" fontId="0" fillId="2" borderId="0" xfId="0" applyNumberFormat="1" applyFill="1" applyAlignment="1">
      <alignment vertical="center"/>
    </xf>
    <xf numFmtId="168" fontId="0" fillId="2" borderId="0" xfId="1" applyNumberFormat="1" applyFont="1" applyFill="1" applyAlignment="1">
      <alignment vertical="center"/>
    </xf>
    <xf numFmtId="169" fontId="0" fillId="2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0" fontId="0" fillId="2" borderId="0" xfId="1" applyNumberFormat="1" applyFont="1" applyFill="1" applyAlignment="1">
      <alignment vertical="center"/>
    </xf>
    <xf numFmtId="0" fontId="0" fillId="3" borderId="0" xfId="1" applyNumberFormat="1" applyFont="1" applyFill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437488</xdr:colOff>
      <xdr:row>87</xdr:row>
      <xdr:rowOff>181788</xdr:rowOff>
    </xdr:from>
    <xdr:to>
      <xdr:col>25</xdr:col>
      <xdr:colOff>941003</xdr:colOff>
      <xdr:row>105</xdr:row>
      <xdr:rowOff>113208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1FF51CD-E96C-9520-435A-17D36B1C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0551" y="16755288"/>
          <a:ext cx="7385327" cy="3360420"/>
        </a:xfrm>
        <a:prstGeom prst="rect">
          <a:avLst/>
        </a:prstGeom>
      </xdr:spPr>
    </xdr:pic>
    <xdr:clientData/>
  </xdr:twoCellAnchor>
  <xdr:twoCellAnchor editAs="oneCell">
    <xdr:from>
      <xdr:col>17</xdr:col>
      <xdr:colOff>504825</xdr:colOff>
      <xdr:row>32</xdr:row>
      <xdr:rowOff>76200</xdr:rowOff>
    </xdr:from>
    <xdr:to>
      <xdr:col>25</xdr:col>
      <xdr:colOff>638175</xdr:colOff>
      <xdr:row>84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45C3E6-BB7A-0B36-8A04-0423D50D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571500</xdr:colOff>
      <xdr:row>28</xdr:row>
      <xdr:rowOff>69273</xdr:rowOff>
    </xdr:from>
    <xdr:to>
      <xdr:col>37</xdr:col>
      <xdr:colOff>357620</xdr:colOff>
      <xdr:row>75</xdr:row>
      <xdr:rowOff>69273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47AE89-1315-EC46-4772-FB5A1C0D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2636" y="5403273"/>
          <a:ext cx="9536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328613</xdr:colOff>
      <xdr:row>26</xdr:row>
      <xdr:rowOff>47625</xdr:rowOff>
    </xdr:from>
    <xdr:to>
      <xdr:col>11</xdr:col>
      <xdr:colOff>277565</xdr:colOff>
      <xdr:row>72</xdr:row>
      <xdr:rowOff>58374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EAE4D-548C-745D-5280-761FB0E6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9163" y="5000625"/>
          <a:ext cx="9616827" cy="8773749"/>
        </a:xfrm>
        <a:prstGeom prst="rect">
          <a:avLst/>
        </a:prstGeom>
      </xdr:spPr>
    </xdr:pic>
    <xdr:clientData/>
  </xdr:twoCellAnchor>
  <xdr:twoCellAnchor editAs="oneCell">
    <xdr:from>
      <xdr:col>1</xdr:col>
      <xdr:colOff>547688</xdr:colOff>
      <xdr:row>72</xdr:row>
      <xdr:rowOff>23813</xdr:rowOff>
    </xdr:from>
    <xdr:to>
      <xdr:col>11</xdr:col>
      <xdr:colOff>172747</xdr:colOff>
      <xdr:row>129</xdr:row>
      <xdr:rowOff>158697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7F5BB-870A-B674-6107-8ABAEAC5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1" y="13739813"/>
          <a:ext cx="9288171" cy="1099338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131</xdr:row>
      <xdr:rowOff>23813</xdr:rowOff>
    </xdr:from>
    <xdr:to>
      <xdr:col>11</xdr:col>
      <xdr:colOff>129875</xdr:colOff>
      <xdr:row>170</xdr:row>
      <xdr:rowOff>139166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BFEEA4-900A-F5F5-3C0E-24F82BCBC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6813" y="24979313"/>
          <a:ext cx="9221487" cy="7544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2B78-6474-452A-AE1C-75BFF1E08805}">
  <sheetPr>
    <tabColor rgb="FFC00000"/>
  </sheetPr>
  <dimension ref="B2:AM150"/>
  <sheetViews>
    <sheetView tabSelected="1" topLeftCell="B1" zoomScale="70" zoomScaleNormal="70" workbookViewId="0">
      <selection activeCell="N20" sqref="N20"/>
    </sheetView>
  </sheetViews>
  <sheetFormatPr defaultColWidth="8.875" defaultRowHeight="15" customHeight="1" x14ac:dyDescent="0.2"/>
  <cols>
    <col min="1" max="1" width="8.875" style="6"/>
    <col min="2" max="2" width="30.625" style="6" bestFit="1" customWidth="1"/>
    <col min="3" max="3" width="13" style="6" customWidth="1"/>
    <col min="4" max="4" width="10.125" style="6" customWidth="1"/>
    <col min="5" max="5" width="8.875" style="6" customWidth="1"/>
    <col min="6" max="6" width="30.75" style="6" bestFit="1" customWidth="1"/>
    <col min="7" max="7" width="15" style="6" bestFit="1" customWidth="1"/>
    <col min="8" max="8" width="10.125" style="6" bestFit="1" customWidth="1"/>
    <col min="9" max="11" width="8.875" style="6" customWidth="1"/>
    <col min="12" max="12" width="8.875" style="6"/>
    <col min="13" max="15" width="8.875" style="6" customWidth="1"/>
    <col min="16" max="17" width="8.875" style="6"/>
    <col min="18" max="18" width="16.875" style="6" bestFit="1" customWidth="1"/>
    <col min="19" max="19" width="7.625" style="6" bestFit="1" customWidth="1"/>
    <col min="20" max="20" width="15.125" style="6" customWidth="1"/>
    <col min="21" max="21" width="15.875" style="6" customWidth="1"/>
    <col min="22" max="22" width="8.875" style="6" customWidth="1"/>
    <col min="23" max="23" width="16.875" style="6" bestFit="1" customWidth="1"/>
    <col min="24" max="24" width="7.625" style="6" bestFit="1" customWidth="1"/>
    <col min="25" max="25" width="15.125" style="6" customWidth="1"/>
    <col min="26" max="26" width="15.875" style="6" customWidth="1"/>
    <col min="27" max="27" width="9.125" style="6"/>
    <col min="28" max="29" width="16.875" style="6" bestFit="1" customWidth="1"/>
    <col min="30" max="30" width="12" style="6" bestFit="1" customWidth="1"/>
    <col min="31" max="31" width="15.125" style="6" customWidth="1"/>
    <col min="32" max="32" width="15.875" style="6" customWidth="1"/>
    <col min="33" max="33" width="8.875" style="6" bestFit="1"/>
    <col min="34" max="35" width="16.875" style="6" bestFit="1" customWidth="1"/>
    <col min="36" max="36" width="12" style="6" bestFit="1" customWidth="1"/>
    <col min="37" max="37" width="15.125" style="6" customWidth="1"/>
    <col min="38" max="38" width="15.875" style="6" customWidth="1"/>
    <col min="39" max="16384" width="8.875" style="6"/>
  </cols>
  <sheetData>
    <row r="2" spans="2:38" ht="15" customHeight="1" thickBot="1" x14ac:dyDescent="0.25">
      <c r="B2" s="3" t="s">
        <v>0</v>
      </c>
      <c r="C2" s="4" t="s">
        <v>9</v>
      </c>
      <c r="D2" s="5" t="s">
        <v>2</v>
      </c>
      <c r="F2" s="7" t="s">
        <v>1</v>
      </c>
      <c r="G2" s="2"/>
      <c r="H2" s="2"/>
      <c r="R2" s="6" t="s">
        <v>25</v>
      </c>
      <c r="AB2" s="6" t="s">
        <v>26</v>
      </c>
    </row>
    <row r="3" spans="2:38" ht="15" customHeight="1" x14ac:dyDescent="0.2">
      <c r="R3" s="39"/>
      <c r="S3" s="40"/>
      <c r="T3" s="40"/>
      <c r="U3" s="40"/>
      <c r="V3" s="41" t="s">
        <v>12</v>
      </c>
      <c r="W3" s="40"/>
      <c r="X3" s="40"/>
      <c r="Y3" s="40"/>
      <c r="Z3" s="42"/>
      <c r="AB3" s="39"/>
      <c r="AC3" s="40"/>
      <c r="AD3" s="40"/>
      <c r="AE3" s="40"/>
      <c r="AF3" s="40"/>
      <c r="AG3" s="41" t="s">
        <v>2</v>
      </c>
      <c r="AH3" s="40"/>
      <c r="AI3" s="40"/>
      <c r="AJ3" s="40"/>
      <c r="AK3" s="40"/>
      <c r="AL3" s="42"/>
    </row>
    <row r="4" spans="2:38" ht="15" customHeight="1" x14ac:dyDescent="0.2">
      <c r="B4" s="8" t="s">
        <v>27</v>
      </c>
      <c r="C4" s="8"/>
      <c r="D4" s="8"/>
      <c r="F4" s="9" t="s">
        <v>47</v>
      </c>
      <c r="G4" s="9"/>
      <c r="H4" s="10"/>
      <c r="R4" s="51" t="s">
        <v>17</v>
      </c>
      <c r="S4" s="49"/>
      <c r="T4" s="49"/>
      <c r="U4" s="49"/>
      <c r="V4" s="52"/>
      <c r="W4" s="49" t="s">
        <v>18</v>
      </c>
      <c r="X4" s="49"/>
      <c r="Y4" s="49"/>
      <c r="Z4" s="50"/>
      <c r="AB4" s="51" t="s">
        <v>17</v>
      </c>
      <c r="AC4" s="49"/>
      <c r="AD4" s="49"/>
      <c r="AE4" s="49"/>
      <c r="AF4" s="49"/>
      <c r="AG4" s="37"/>
      <c r="AH4" s="49" t="s">
        <v>18</v>
      </c>
      <c r="AI4" s="49"/>
      <c r="AJ4" s="49"/>
      <c r="AK4" s="49"/>
      <c r="AL4" s="50"/>
    </row>
    <row r="5" spans="2:38" ht="15" customHeight="1" x14ac:dyDescent="0.2">
      <c r="B5" s="1" t="s">
        <v>28</v>
      </c>
      <c r="C5" s="1">
        <v>6</v>
      </c>
      <c r="D5" s="1"/>
      <c r="F5" s="2" t="s">
        <v>34</v>
      </c>
      <c r="G5" s="15">
        <f>C7/(C7+C8)</f>
        <v>0.2</v>
      </c>
      <c r="H5" s="14"/>
      <c r="R5" s="25" t="s">
        <v>15</v>
      </c>
      <c r="S5" s="20" t="s">
        <v>14</v>
      </c>
      <c r="T5" s="20" t="s">
        <v>13</v>
      </c>
      <c r="U5" s="21" t="s">
        <v>16</v>
      </c>
      <c r="V5" s="52"/>
      <c r="W5" s="19" t="s">
        <v>15</v>
      </c>
      <c r="X5" s="20" t="s">
        <v>14</v>
      </c>
      <c r="Y5" s="20" t="s">
        <v>13</v>
      </c>
      <c r="Z5" s="26" t="s">
        <v>16</v>
      </c>
      <c r="AB5" s="25" t="s">
        <v>19</v>
      </c>
      <c r="AC5" s="19" t="s">
        <v>20</v>
      </c>
      <c r="AD5" s="20" t="s">
        <v>21</v>
      </c>
      <c r="AE5" s="20" t="s">
        <v>22</v>
      </c>
      <c r="AF5" s="21" t="s">
        <v>23</v>
      </c>
      <c r="AG5" s="37"/>
      <c r="AH5" s="19" t="s">
        <v>19</v>
      </c>
      <c r="AI5" s="19" t="s">
        <v>20</v>
      </c>
      <c r="AJ5" s="20" t="s">
        <v>21</v>
      </c>
      <c r="AK5" s="20" t="s">
        <v>22</v>
      </c>
      <c r="AL5" s="26" t="s">
        <v>23</v>
      </c>
    </row>
    <row r="6" spans="2:38" ht="15" customHeight="1" x14ac:dyDescent="0.2">
      <c r="B6" s="1" t="s">
        <v>30</v>
      </c>
      <c r="C6" s="44">
        <f>80000</f>
        <v>80000</v>
      </c>
      <c r="D6" s="1" t="str">
        <f>IF($D$2="English","lbf", "N")</f>
        <v>lbf</v>
      </c>
      <c r="F6" s="2" t="s">
        <v>31</v>
      </c>
      <c r="G6" s="2">
        <f>C6/C5</f>
        <v>13333.333333333334</v>
      </c>
      <c r="H6" s="2" t="str">
        <f>IF($D$2="English","lbf", "N")</f>
        <v>lbf</v>
      </c>
      <c r="R6" s="27">
        <v>1.6</v>
      </c>
      <c r="S6" s="17">
        <v>0.35</v>
      </c>
      <c r="T6" s="17">
        <v>1.27</v>
      </c>
      <c r="U6" s="18">
        <v>1.07</v>
      </c>
      <c r="V6" s="52"/>
      <c r="W6" s="16">
        <v>1.6</v>
      </c>
      <c r="X6" s="17" t="e">
        <f>NA()</f>
        <v>#N/A</v>
      </c>
      <c r="Y6" s="17" t="e">
        <f>NA()</f>
        <v>#N/A</v>
      </c>
      <c r="Z6" s="28" t="e">
        <f>NA()</f>
        <v>#N/A</v>
      </c>
      <c r="AB6" s="34">
        <f>0</f>
        <v>0</v>
      </c>
      <c r="AC6" s="16">
        <v>0.06</v>
      </c>
      <c r="AD6" s="17" t="e">
        <f>NA()</f>
        <v>#N/A</v>
      </c>
      <c r="AE6" s="17" t="e">
        <f>NA()</f>
        <v>#N/A</v>
      </c>
      <c r="AF6" s="18" t="e">
        <f>NA()</f>
        <v>#N/A</v>
      </c>
      <c r="AG6" s="37"/>
      <c r="AH6" s="24">
        <f>0</f>
        <v>0</v>
      </c>
      <c r="AI6" s="16">
        <v>0.06</v>
      </c>
      <c r="AJ6" s="17">
        <v>80</v>
      </c>
      <c r="AK6" s="17">
        <v>1.8E-3</v>
      </c>
      <c r="AL6" s="28">
        <v>1.5100000000000001E-3</v>
      </c>
    </row>
    <row r="7" spans="2:38" ht="15" customHeight="1" x14ac:dyDescent="0.2">
      <c r="B7" s="1" t="s">
        <v>5</v>
      </c>
      <c r="C7" s="43">
        <f>3*10^6</f>
        <v>3000000</v>
      </c>
      <c r="D7" s="1" t="str">
        <f>IF($D$2="English","lbf/in","mN/m")</f>
        <v>lbf/in</v>
      </c>
      <c r="F7" s="2" t="s">
        <v>33</v>
      </c>
      <c r="G7" s="2">
        <f>G5*G6+G17</f>
        <v>15437.666666666668</v>
      </c>
      <c r="H7" s="2" t="str">
        <f t="shared" ref="H7:H9" si="0">IF($D$2="English","lbf", "N")</f>
        <v>lbf</v>
      </c>
      <c r="R7" s="27">
        <v>2</v>
      </c>
      <c r="S7" s="17">
        <v>0.4</v>
      </c>
      <c r="T7" s="17">
        <v>2.0699999999999998</v>
      </c>
      <c r="U7" s="18">
        <v>1.79</v>
      </c>
      <c r="V7" s="52"/>
      <c r="W7" s="16">
        <v>2</v>
      </c>
      <c r="X7" s="17" t="e">
        <f>NA()</f>
        <v>#N/A</v>
      </c>
      <c r="Y7" s="17" t="e">
        <f>NA()</f>
        <v>#N/A</v>
      </c>
      <c r="Z7" s="28" t="e">
        <f>NA()</f>
        <v>#N/A</v>
      </c>
      <c r="AB7" s="34">
        <f>1</f>
        <v>1</v>
      </c>
      <c r="AC7" s="16">
        <v>7.2999999999999995E-2</v>
      </c>
      <c r="AD7" s="17">
        <v>64</v>
      </c>
      <c r="AE7" s="17">
        <v>2.63E-3</v>
      </c>
      <c r="AF7" s="18">
        <v>2.1800000000000001E-3</v>
      </c>
      <c r="AG7" s="37"/>
      <c r="AH7" s="24">
        <f>1</f>
        <v>1</v>
      </c>
      <c r="AI7" s="16">
        <v>7.2999999999999995E-2</v>
      </c>
      <c r="AJ7" s="17">
        <v>72</v>
      </c>
      <c r="AK7" s="17">
        <v>2.7799999999999999E-3</v>
      </c>
      <c r="AL7" s="28">
        <v>2.3700000000000001E-3</v>
      </c>
    </row>
    <row r="8" spans="2:38" ht="15" customHeight="1" x14ac:dyDescent="0.2">
      <c r="B8" s="1" t="s">
        <v>11</v>
      </c>
      <c r="C8" s="43">
        <f>12*10^6</f>
        <v>12000000</v>
      </c>
      <c r="D8" s="1" t="str">
        <f>IF($D$2="English","lbf/in","mN/m")</f>
        <v>lbf/in</v>
      </c>
      <c r="F8" s="2" t="s">
        <v>35</v>
      </c>
      <c r="G8" s="2">
        <f>(1-G5)*G6-G17</f>
        <v>-2104.3333333333321</v>
      </c>
      <c r="H8" s="2" t="str">
        <f t="shared" si="0"/>
        <v>lbf</v>
      </c>
      <c r="I8" s="6" t="s">
        <v>45</v>
      </c>
      <c r="R8" s="27">
        <v>2.5</v>
      </c>
      <c r="S8" s="17">
        <v>0.45</v>
      </c>
      <c r="T8" s="17">
        <v>3.39</v>
      </c>
      <c r="U8" s="18">
        <v>2.98</v>
      </c>
      <c r="V8" s="52"/>
      <c r="W8" s="16">
        <v>2.5</v>
      </c>
      <c r="X8" s="17" t="e">
        <f>NA()</f>
        <v>#N/A</v>
      </c>
      <c r="Y8" s="17" t="e">
        <f>NA()</f>
        <v>#N/A</v>
      </c>
      <c r="Z8" s="28" t="e">
        <f>NA()</f>
        <v>#N/A</v>
      </c>
      <c r="AB8" s="34">
        <f>2</f>
        <v>2</v>
      </c>
      <c r="AC8" s="16">
        <v>8.5999999999999993E-2</v>
      </c>
      <c r="AD8" s="17">
        <v>56</v>
      </c>
      <c r="AE8" s="17">
        <v>3.7000000000000002E-3</v>
      </c>
      <c r="AF8" s="18">
        <v>3.0999999999999999E-3</v>
      </c>
      <c r="AG8" s="37"/>
      <c r="AH8" s="24">
        <f>2</f>
        <v>2</v>
      </c>
      <c r="AI8" s="16">
        <v>8.5999999999999993E-2</v>
      </c>
      <c r="AJ8" s="17">
        <v>64</v>
      </c>
      <c r="AK8" s="17">
        <v>3.9399999999999999E-3</v>
      </c>
      <c r="AL8" s="28">
        <v>3.3899999999999998E-3</v>
      </c>
    </row>
    <row r="9" spans="2:38" ht="15" customHeight="1" x14ac:dyDescent="0.2">
      <c r="F9" s="2" t="s">
        <v>36</v>
      </c>
      <c r="G9" s="2">
        <f>G17/(1-G5)</f>
        <v>15963.75</v>
      </c>
      <c r="H9" s="2" t="str">
        <f t="shared" si="0"/>
        <v>lbf</v>
      </c>
      <c r="R9" s="27">
        <v>3</v>
      </c>
      <c r="S9" s="17">
        <v>0.5</v>
      </c>
      <c r="T9" s="17">
        <v>5.03</v>
      </c>
      <c r="U9" s="18">
        <v>4.47</v>
      </c>
      <c r="V9" s="52"/>
      <c r="W9" s="16">
        <v>3</v>
      </c>
      <c r="X9" s="17" t="e">
        <f>NA()</f>
        <v>#N/A</v>
      </c>
      <c r="Y9" s="17" t="e">
        <f>NA()</f>
        <v>#N/A</v>
      </c>
      <c r="Z9" s="28" t="e">
        <f>NA()</f>
        <v>#N/A</v>
      </c>
      <c r="AB9" s="34">
        <f>3</f>
        <v>3</v>
      </c>
      <c r="AC9" s="16">
        <v>9.9000000000000005E-2</v>
      </c>
      <c r="AD9" s="17">
        <v>48</v>
      </c>
      <c r="AE9" s="17">
        <v>4.8700000000000002E-3</v>
      </c>
      <c r="AF9" s="18">
        <v>4.0600000000000002E-3</v>
      </c>
      <c r="AG9" s="37"/>
      <c r="AH9" s="24">
        <f>3</f>
        <v>3</v>
      </c>
      <c r="AI9" s="16">
        <v>9.9000000000000005E-2</v>
      </c>
      <c r="AJ9" s="17">
        <v>56</v>
      </c>
      <c r="AK9" s="17">
        <v>5.2300000000000003E-3</v>
      </c>
      <c r="AL9" s="28">
        <v>4.5100000000000001E-3</v>
      </c>
    </row>
    <row r="10" spans="2:38" ht="15" customHeight="1" x14ac:dyDescent="0.2">
      <c r="R10" s="27">
        <v>3.5</v>
      </c>
      <c r="S10" s="17">
        <v>0.6</v>
      </c>
      <c r="T10" s="17">
        <v>6.78</v>
      </c>
      <c r="U10" s="18">
        <v>6</v>
      </c>
      <c r="V10" s="52"/>
      <c r="W10" s="16">
        <v>3.5</v>
      </c>
      <c r="X10" s="17" t="e">
        <f>NA()</f>
        <v>#N/A</v>
      </c>
      <c r="Y10" s="17" t="e">
        <f>NA()</f>
        <v>#N/A</v>
      </c>
      <c r="Z10" s="28" t="e">
        <f>NA()</f>
        <v>#N/A</v>
      </c>
      <c r="AB10" s="34">
        <f>4</f>
        <v>4</v>
      </c>
      <c r="AC10" s="16">
        <v>0.112</v>
      </c>
      <c r="AD10" s="17">
        <v>40</v>
      </c>
      <c r="AE10" s="17">
        <v>6.0400000000000002E-3</v>
      </c>
      <c r="AF10" s="18">
        <v>4.96E-3</v>
      </c>
      <c r="AG10" s="37"/>
      <c r="AH10" s="24">
        <f>4</f>
        <v>4</v>
      </c>
      <c r="AI10" s="16">
        <v>0.112</v>
      </c>
      <c r="AJ10" s="17">
        <v>48</v>
      </c>
      <c r="AK10" s="17">
        <v>6.6100000000000004E-3</v>
      </c>
      <c r="AL10" s="28">
        <v>5.6600000000000001E-3</v>
      </c>
    </row>
    <row r="11" spans="2:38" ht="15" customHeight="1" x14ac:dyDescent="0.2">
      <c r="B11" s="8" t="s">
        <v>8</v>
      </c>
      <c r="C11" s="23" t="str">
        <f>IF($D$2="English",_xlfn.CONCAT(TEXT(C12, "# ?/?"),"""-",C17,"-", C14, " ",C13),_xlfn.CONCAT("M",C12,"-", C17,"-", C14," ",C13))</f>
        <v xml:space="preserve"> 1/2"-13- UNC</v>
      </c>
      <c r="D11" s="8"/>
      <c r="F11" s="9" t="s">
        <v>41</v>
      </c>
      <c r="G11" s="9"/>
      <c r="H11" s="10"/>
      <c r="R11" s="27">
        <v>4</v>
      </c>
      <c r="S11" s="17">
        <v>0.7</v>
      </c>
      <c r="T11" s="17">
        <v>8.7799999999999994</v>
      </c>
      <c r="U11" s="18">
        <v>7.75</v>
      </c>
      <c r="V11" s="52"/>
      <c r="W11" s="16">
        <v>4</v>
      </c>
      <c r="X11" s="17" t="e">
        <f>NA()</f>
        <v>#N/A</v>
      </c>
      <c r="Y11" s="17" t="e">
        <f>NA()</f>
        <v>#N/A</v>
      </c>
      <c r="Z11" s="28" t="e">
        <f>NA()</f>
        <v>#N/A</v>
      </c>
      <c r="AB11" s="34">
        <f>5</f>
        <v>5</v>
      </c>
      <c r="AC11" s="16">
        <v>0.125</v>
      </c>
      <c r="AD11" s="17">
        <v>40</v>
      </c>
      <c r="AE11" s="17">
        <v>7.9600000000000001E-3</v>
      </c>
      <c r="AF11" s="18">
        <v>6.7200000000000003E-3</v>
      </c>
      <c r="AG11" s="37"/>
      <c r="AH11" s="24">
        <f>5</f>
        <v>5</v>
      </c>
      <c r="AI11" s="16">
        <v>0.125</v>
      </c>
      <c r="AJ11" s="17">
        <v>44</v>
      </c>
      <c r="AK11" s="17">
        <v>8.8000000000000005E-3</v>
      </c>
      <c r="AL11" s="28">
        <v>7.1599999999999997E-3</v>
      </c>
    </row>
    <row r="12" spans="2:38" ht="15" customHeight="1" x14ac:dyDescent="0.2">
      <c r="B12" s="1" t="s">
        <v>3</v>
      </c>
      <c r="C12" s="11">
        <v>0.5</v>
      </c>
      <c r="D12" s="1" t="str">
        <f t="shared" ref="D12" si="1">IF($D$2="English","in", "mm")</f>
        <v>in</v>
      </c>
      <c r="F12" s="2" t="s">
        <v>42</v>
      </c>
      <c r="G12" s="15">
        <f>(G22*C16)/(G7)</f>
        <v>1.1030164316714528</v>
      </c>
      <c r="H12" s="2"/>
      <c r="R12" s="27">
        <v>5</v>
      </c>
      <c r="S12" s="17">
        <v>0.8</v>
      </c>
      <c r="T12" s="17">
        <v>14.2</v>
      </c>
      <c r="U12" s="18">
        <v>12.7</v>
      </c>
      <c r="V12" s="52"/>
      <c r="W12" s="16">
        <v>5</v>
      </c>
      <c r="X12" s="17" t="e">
        <f>NA()</f>
        <v>#N/A</v>
      </c>
      <c r="Y12" s="17" t="e">
        <f>NA()</f>
        <v>#N/A</v>
      </c>
      <c r="Z12" s="28" t="e">
        <f>NA()</f>
        <v>#N/A</v>
      </c>
      <c r="AB12" s="34">
        <f>6</f>
        <v>6</v>
      </c>
      <c r="AC12" s="16">
        <v>0.13800000000000001</v>
      </c>
      <c r="AD12" s="17">
        <v>32</v>
      </c>
      <c r="AE12" s="17">
        <v>9.0900000000000009E-3</v>
      </c>
      <c r="AF12" s="18">
        <v>7.45E-3</v>
      </c>
      <c r="AG12" s="37"/>
      <c r="AH12" s="24">
        <f>6</f>
        <v>6</v>
      </c>
      <c r="AI12" s="16">
        <v>0.13800000000000001</v>
      </c>
      <c r="AJ12" s="17">
        <v>40</v>
      </c>
      <c r="AK12" s="17">
        <v>1.0149999999999999E-2</v>
      </c>
      <c r="AL12" s="28">
        <v>8.7399999999999995E-3</v>
      </c>
    </row>
    <row r="13" spans="2:38" ht="15" customHeight="1" x14ac:dyDescent="0.2">
      <c r="B13" s="1" t="s">
        <v>24</v>
      </c>
      <c r="C13" s="22" t="s">
        <v>17</v>
      </c>
      <c r="D13" s="1"/>
      <c r="F13" s="2" t="s">
        <v>43</v>
      </c>
      <c r="G13" s="15">
        <f>(G22*C16-G17)/(G5*G6)</f>
        <v>1.5963749999999999</v>
      </c>
      <c r="H13" s="2"/>
      <c r="R13" s="27">
        <v>6</v>
      </c>
      <c r="S13" s="17">
        <v>1</v>
      </c>
      <c r="T13" s="17">
        <v>20.100000000000001</v>
      </c>
      <c r="U13" s="18">
        <v>17.899999999999999</v>
      </c>
      <c r="V13" s="52"/>
      <c r="W13" s="16">
        <v>6</v>
      </c>
      <c r="X13" s="17" t="e">
        <f>NA()</f>
        <v>#N/A</v>
      </c>
      <c r="Y13" s="17" t="e">
        <f>NA()</f>
        <v>#N/A</v>
      </c>
      <c r="Z13" s="28" t="e">
        <f>NA()</f>
        <v>#N/A</v>
      </c>
      <c r="AB13" s="34">
        <f>8</f>
        <v>8</v>
      </c>
      <c r="AC13" s="16">
        <v>0.16400000000000001</v>
      </c>
      <c r="AD13" s="17">
        <v>32</v>
      </c>
      <c r="AE13" s="17">
        <v>1.4E-2</v>
      </c>
      <c r="AF13" s="18">
        <v>1.196E-2</v>
      </c>
      <c r="AG13" s="37"/>
      <c r="AH13" s="24">
        <f>8</f>
        <v>8</v>
      </c>
      <c r="AI13" s="16">
        <v>0.16400000000000001</v>
      </c>
      <c r="AJ13" s="17">
        <v>36</v>
      </c>
      <c r="AK13" s="17">
        <v>1.474E-2</v>
      </c>
      <c r="AL13" s="28">
        <v>1.285E-2</v>
      </c>
    </row>
    <row r="14" spans="2:38" ht="15" customHeight="1" x14ac:dyDescent="0.2">
      <c r="B14" s="1" t="s">
        <v>4</v>
      </c>
      <c r="C14" s="1"/>
      <c r="D14" s="1" t="str">
        <f t="shared" ref="D14" si="2">IF($D$2="English","in", "mm")</f>
        <v>in</v>
      </c>
      <c r="F14" s="2" t="s">
        <v>44</v>
      </c>
      <c r="G14" s="15">
        <f>G9/G6</f>
        <v>1.1972812499999999</v>
      </c>
      <c r="H14" s="2"/>
      <c r="R14" s="27">
        <v>8</v>
      </c>
      <c r="S14" s="17">
        <v>1.25</v>
      </c>
      <c r="T14" s="17">
        <v>36.6</v>
      </c>
      <c r="U14" s="18">
        <v>32.799999999999997</v>
      </c>
      <c r="V14" s="52"/>
      <c r="W14" s="16">
        <v>8</v>
      </c>
      <c r="X14" s="17">
        <v>1</v>
      </c>
      <c r="Y14" s="17">
        <v>39.200000000000003</v>
      </c>
      <c r="Z14" s="28">
        <v>36</v>
      </c>
      <c r="AB14" s="34">
        <f>10</f>
        <v>10</v>
      </c>
      <c r="AC14" s="16">
        <v>0.19</v>
      </c>
      <c r="AD14" s="17">
        <v>24</v>
      </c>
      <c r="AE14" s="17">
        <v>1.7500000000000002E-2</v>
      </c>
      <c r="AF14" s="18">
        <v>1.4500000000000001E-2</v>
      </c>
      <c r="AG14" s="37"/>
      <c r="AH14" s="24">
        <f>10</f>
        <v>10</v>
      </c>
      <c r="AI14" s="16">
        <v>0.19</v>
      </c>
      <c r="AJ14" s="17">
        <v>32</v>
      </c>
      <c r="AK14" s="17">
        <v>0.02</v>
      </c>
      <c r="AL14" s="28">
        <v>1.7500000000000002E-2</v>
      </c>
    </row>
    <row r="15" spans="2:38" ht="15" customHeight="1" x14ac:dyDescent="0.2">
      <c r="B15" s="2" t="s">
        <v>6</v>
      </c>
      <c r="C15" s="12">
        <f>(PI()*(C12^2))/4</f>
        <v>0.19634954084936207</v>
      </c>
      <c r="D15" s="2" t="str">
        <f>IF($D$2="English","in^2","mm^2")</f>
        <v>in^2</v>
      </c>
      <c r="R15" s="27">
        <v>10</v>
      </c>
      <c r="S15" s="17">
        <v>1.5</v>
      </c>
      <c r="T15" s="17">
        <v>58</v>
      </c>
      <c r="U15" s="18">
        <v>52.3</v>
      </c>
      <c r="V15" s="52"/>
      <c r="W15" s="16">
        <v>10</v>
      </c>
      <c r="X15" s="17">
        <v>1.25</v>
      </c>
      <c r="Y15" s="17">
        <v>61.2</v>
      </c>
      <c r="Z15" s="28">
        <v>56.3</v>
      </c>
      <c r="AB15" s="34">
        <f>12</f>
        <v>12</v>
      </c>
      <c r="AC15" s="16">
        <v>0.216</v>
      </c>
      <c r="AD15" s="17">
        <v>24</v>
      </c>
      <c r="AE15" s="17">
        <v>2.4199999999999999E-2</v>
      </c>
      <c r="AF15" s="18">
        <v>2.06E-2</v>
      </c>
      <c r="AG15" s="37"/>
      <c r="AH15" s="24">
        <f>12</f>
        <v>12</v>
      </c>
      <c r="AI15" s="16">
        <v>0.216</v>
      </c>
      <c r="AJ15" s="17">
        <v>28</v>
      </c>
      <c r="AK15" s="17">
        <v>2.58E-2</v>
      </c>
      <c r="AL15" s="28">
        <v>2.2599999999999999E-2</v>
      </c>
    </row>
    <row r="16" spans="2:38" ht="15" customHeight="1" x14ac:dyDescent="0.2">
      <c r="B16" s="2" t="s">
        <v>7</v>
      </c>
      <c r="C16" s="2">
        <f>IF($D$2="English",IF($C$13="UNC",VLOOKUP($C$12,$AC$6:$AF$27,3,FALSE),VLOOKUP($C$12,$AI$6:$AL$27,3,FALSE)), IF($C$13="UNC",VLOOKUP($C$12,$R$6:$U$31,3,FALSE),VLOOKUP($C$12,$W$6:$Z$31,3,FALSE)))</f>
        <v>0.1419</v>
      </c>
      <c r="D16" s="2" t="str">
        <f>IF($D$2="English","in^2","mm^2")</f>
        <v>in^2</v>
      </c>
      <c r="F16" s="2" t="s">
        <v>37</v>
      </c>
      <c r="G16" s="48">
        <f>G22*C16</f>
        <v>17028</v>
      </c>
      <c r="H16" s="2" t="str">
        <f t="shared" ref="H16:H17" si="3">IF($D$2="English","lbf", "N")</f>
        <v>lbf</v>
      </c>
      <c r="R16" s="27">
        <v>12</v>
      </c>
      <c r="S16" s="17">
        <v>1.75</v>
      </c>
      <c r="T16" s="17">
        <v>84.3</v>
      </c>
      <c r="U16" s="18">
        <v>76.3</v>
      </c>
      <c r="V16" s="52"/>
      <c r="W16" s="16">
        <v>12</v>
      </c>
      <c r="X16" s="17">
        <v>1.25</v>
      </c>
      <c r="Y16" s="17">
        <v>92.1</v>
      </c>
      <c r="Z16" s="28">
        <v>86</v>
      </c>
      <c r="AB16" s="34">
        <f>1/4</f>
        <v>0.25</v>
      </c>
      <c r="AC16" s="16">
        <v>0.25</v>
      </c>
      <c r="AD16" s="17">
        <v>20</v>
      </c>
      <c r="AE16" s="17">
        <v>3.1800000000000002E-2</v>
      </c>
      <c r="AF16" s="18">
        <v>2.69E-2</v>
      </c>
      <c r="AG16" s="37"/>
      <c r="AH16" s="24">
        <f>1/4</f>
        <v>0.25</v>
      </c>
      <c r="AI16" s="16">
        <v>0.25</v>
      </c>
      <c r="AJ16" s="17">
        <v>28</v>
      </c>
      <c r="AK16" s="17">
        <v>3.6400000000000002E-2</v>
      </c>
      <c r="AL16" s="28">
        <v>3.2599999999999997E-2</v>
      </c>
    </row>
    <row r="17" spans="2:38" ht="15" customHeight="1" x14ac:dyDescent="0.2">
      <c r="B17" s="2" t="str">
        <f>IF($D$2="English","Bolt threads per inch, p","Bolt pitch, p")</f>
        <v>Bolt threads per inch, p</v>
      </c>
      <c r="C17" s="2">
        <f>IF($D$2="English",IF($C$13="UNC",VLOOKUP($C$12,$AC$6:$AF$27,2,FALSE),VLOOKUP($C$12,$AI$6:$AL$27,2,FALSE)), IF($C$13="UNC",VLOOKUP($C$12,$R$6:$U$31,2,FALSE),VLOOKUP($C$12,$W$6:$Z$31,2,FALSE)))</f>
        <v>13</v>
      </c>
      <c r="D17" s="2" t="str">
        <f>IF($D$2="English","threads/in","mm")</f>
        <v>threads/in</v>
      </c>
      <c r="F17" s="1" t="s">
        <v>29</v>
      </c>
      <c r="G17" s="47">
        <f>G16*0.75</f>
        <v>12771</v>
      </c>
      <c r="H17" s="1" t="str">
        <f t="shared" si="3"/>
        <v>lbf</v>
      </c>
      <c r="I17" s="6" t="s">
        <v>38</v>
      </c>
      <c r="R17" s="27">
        <v>14</v>
      </c>
      <c r="S17" s="17">
        <v>2</v>
      </c>
      <c r="T17" s="17">
        <v>115</v>
      </c>
      <c r="U17" s="18">
        <v>104</v>
      </c>
      <c r="V17" s="52"/>
      <c r="W17" s="16">
        <v>14</v>
      </c>
      <c r="X17" s="17">
        <v>1.5</v>
      </c>
      <c r="Y17" s="17">
        <v>125</v>
      </c>
      <c r="Z17" s="28">
        <v>116</v>
      </c>
      <c r="AB17" s="34">
        <f>5/16</f>
        <v>0.3125</v>
      </c>
      <c r="AC17" s="16">
        <v>0.3125</v>
      </c>
      <c r="AD17" s="17">
        <v>18</v>
      </c>
      <c r="AE17" s="17">
        <v>5.2400000000000002E-2</v>
      </c>
      <c r="AF17" s="18">
        <v>4.5400000000000003E-2</v>
      </c>
      <c r="AG17" s="37"/>
      <c r="AH17" s="24">
        <f>5/16</f>
        <v>0.3125</v>
      </c>
      <c r="AI17" s="16">
        <v>0.3125</v>
      </c>
      <c r="AJ17" s="17">
        <v>24</v>
      </c>
      <c r="AK17" s="17">
        <v>5.8000000000000003E-2</v>
      </c>
      <c r="AL17" s="28">
        <v>5.2400000000000002E-2</v>
      </c>
    </row>
    <row r="18" spans="2:38" ht="15" customHeight="1" x14ac:dyDescent="0.2">
      <c r="R18" s="27">
        <v>16</v>
      </c>
      <c r="S18" s="17">
        <v>2</v>
      </c>
      <c r="T18" s="17">
        <v>157</v>
      </c>
      <c r="U18" s="18">
        <v>144</v>
      </c>
      <c r="V18" s="52"/>
      <c r="W18" s="16">
        <v>16</v>
      </c>
      <c r="X18" s="17">
        <v>1.5</v>
      </c>
      <c r="Y18" s="17">
        <v>167</v>
      </c>
      <c r="Z18" s="28">
        <v>157</v>
      </c>
      <c r="AB18" s="34">
        <f>3/8</f>
        <v>0.375</v>
      </c>
      <c r="AC18" s="16">
        <v>0.375</v>
      </c>
      <c r="AD18" s="17">
        <v>16</v>
      </c>
      <c r="AE18" s="17">
        <v>7.7499999999999999E-2</v>
      </c>
      <c r="AF18" s="18">
        <v>6.7799999999999999E-2</v>
      </c>
      <c r="AG18" s="37"/>
      <c r="AH18" s="24">
        <f>3/8</f>
        <v>0.375</v>
      </c>
      <c r="AI18" s="16">
        <v>0.375</v>
      </c>
      <c r="AJ18" s="17">
        <v>24</v>
      </c>
      <c r="AK18" s="17">
        <v>8.7800000000000003E-2</v>
      </c>
      <c r="AL18" s="28">
        <v>8.09E-2</v>
      </c>
    </row>
    <row r="19" spans="2:38" ht="15" customHeight="1" x14ac:dyDescent="0.2">
      <c r="F19" s="1" t="s">
        <v>39</v>
      </c>
      <c r="G19" s="47">
        <f>G20*G17*C12</f>
        <v>1277.1000000000001</v>
      </c>
      <c r="H19" s="1" t="str">
        <f>IF($D$2="English","in-lbf", "Nm")</f>
        <v>in-lbf</v>
      </c>
      <c r="R19" s="27">
        <v>20</v>
      </c>
      <c r="S19" s="17">
        <v>2.5</v>
      </c>
      <c r="T19" s="17">
        <v>245</v>
      </c>
      <c r="U19" s="18">
        <v>225</v>
      </c>
      <c r="V19" s="52"/>
      <c r="W19" s="16">
        <v>20</v>
      </c>
      <c r="X19" s="17">
        <v>1.5</v>
      </c>
      <c r="Y19" s="17">
        <v>272</v>
      </c>
      <c r="Z19" s="28">
        <v>259</v>
      </c>
      <c r="AB19" s="34">
        <f>7/16</f>
        <v>0.4375</v>
      </c>
      <c r="AC19" s="16">
        <v>0.4375</v>
      </c>
      <c r="AD19" s="17">
        <v>14</v>
      </c>
      <c r="AE19" s="17">
        <v>0.10630000000000001</v>
      </c>
      <c r="AF19" s="18">
        <v>9.3299999999999994E-2</v>
      </c>
      <c r="AG19" s="37"/>
      <c r="AH19" s="24">
        <f>7/16</f>
        <v>0.4375</v>
      </c>
      <c r="AI19" s="16">
        <v>0.4375</v>
      </c>
      <c r="AJ19" s="17">
        <v>20</v>
      </c>
      <c r="AK19" s="17">
        <v>0.1187</v>
      </c>
      <c r="AL19" s="28">
        <v>0.109</v>
      </c>
    </row>
    <row r="20" spans="2:38" ht="15" customHeight="1" x14ac:dyDescent="0.2">
      <c r="F20" s="1" t="s">
        <v>40</v>
      </c>
      <c r="G20" s="46">
        <v>0.2</v>
      </c>
      <c r="H20" s="13"/>
      <c r="R20" s="27">
        <v>24</v>
      </c>
      <c r="S20" s="17">
        <v>3</v>
      </c>
      <c r="T20" s="17">
        <v>353</v>
      </c>
      <c r="U20" s="18">
        <v>324</v>
      </c>
      <c r="V20" s="52"/>
      <c r="W20" s="16">
        <v>24</v>
      </c>
      <c r="X20" s="17">
        <v>2</v>
      </c>
      <c r="Y20" s="17">
        <v>384</v>
      </c>
      <c r="Z20" s="28">
        <v>365</v>
      </c>
      <c r="AB20" s="34">
        <f>1/2</f>
        <v>0.5</v>
      </c>
      <c r="AC20" s="16">
        <v>0.5</v>
      </c>
      <c r="AD20" s="17">
        <v>13</v>
      </c>
      <c r="AE20" s="17">
        <v>0.1419</v>
      </c>
      <c r="AF20" s="18">
        <v>0.12570000000000001</v>
      </c>
      <c r="AG20" s="37"/>
      <c r="AH20" s="24">
        <f>1/2</f>
        <v>0.5</v>
      </c>
      <c r="AI20" s="16">
        <v>0.5</v>
      </c>
      <c r="AJ20" s="17">
        <v>20</v>
      </c>
      <c r="AK20" s="17">
        <v>0.15989999999999999</v>
      </c>
      <c r="AL20" s="28">
        <v>0.14860000000000001</v>
      </c>
    </row>
    <row r="21" spans="2:38" ht="15" customHeight="1" x14ac:dyDescent="0.2">
      <c r="R21" s="27">
        <v>30</v>
      </c>
      <c r="S21" s="17">
        <v>3.5</v>
      </c>
      <c r="T21" s="17">
        <v>561</v>
      </c>
      <c r="U21" s="18">
        <v>519</v>
      </c>
      <c r="V21" s="52"/>
      <c r="W21" s="16">
        <v>30</v>
      </c>
      <c r="X21" s="17">
        <v>2</v>
      </c>
      <c r="Y21" s="17">
        <v>621</v>
      </c>
      <c r="Z21" s="28">
        <v>596</v>
      </c>
      <c r="AB21" s="34">
        <f>9/16</f>
        <v>0.5625</v>
      </c>
      <c r="AC21" s="16">
        <v>0.5625</v>
      </c>
      <c r="AD21" s="17">
        <v>12</v>
      </c>
      <c r="AE21" s="17">
        <v>0.182</v>
      </c>
      <c r="AF21" s="18">
        <v>0.16200000000000001</v>
      </c>
      <c r="AG21" s="37"/>
      <c r="AH21" s="24">
        <f>9/16</f>
        <v>0.5625</v>
      </c>
      <c r="AI21" s="16">
        <v>0.5625</v>
      </c>
      <c r="AJ21" s="17">
        <v>18</v>
      </c>
      <c r="AK21" s="17">
        <v>0.20300000000000001</v>
      </c>
      <c r="AL21" s="28">
        <v>0.189</v>
      </c>
    </row>
    <row r="22" spans="2:38" ht="15" customHeight="1" x14ac:dyDescent="0.2">
      <c r="F22" s="1" t="s">
        <v>32</v>
      </c>
      <c r="G22" s="45">
        <f>120*10^3</f>
        <v>120000</v>
      </c>
      <c r="H22" s="1" t="str">
        <f>IF($D$2="English","psi","Pa")</f>
        <v>psi</v>
      </c>
      <c r="I22" s="6" t="s">
        <v>46</v>
      </c>
      <c r="R22" s="27">
        <v>36</v>
      </c>
      <c r="S22" s="17">
        <v>4</v>
      </c>
      <c r="T22" s="17">
        <v>817</v>
      </c>
      <c r="U22" s="18">
        <v>759</v>
      </c>
      <c r="V22" s="52"/>
      <c r="W22" s="16">
        <v>36</v>
      </c>
      <c r="X22" s="17">
        <v>2</v>
      </c>
      <c r="Y22" s="17">
        <v>915</v>
      </c>
      <c r="Z22" s="28">
        <v>884</v>
      </c>
      <c r="AB22" s="34">
        <f>5/8</f>
        <v>0.625</v>
      </c>
      <c r="AC22" s="16">
        <v>0.625</v>
      </c>
      <c r="AD22" s="17">
        <v>11</v>
      </c>
      <c r="AE22" s="17">
        <v>0.22600000000000001</v>
      </c>
      <c r="AF22" s="18">
        <v>0.20200000000000001</v>
      </c>
      <c r="AG22" s="37"/>
      <c r="AH22" s="24">
        <f>5/8</f>
        <v>0.625</v>
      </c>
      <c r="AI22" s="16">
        <v>0.625</v>
      </c>
      <c r="AJ22" s="17">
        <v>18</v>
      </c>
      <c r="AK22" s="17">
        <v>0.25600000000000001</v>
      </c>
      <c r="AL22" s="28">
        <v>0.24</v>
      </c>
    </row>
    <row r="23" spans="2:38" ht="15" customHeight="1" x14ac:dyDescent="0.2">
      <c r="F23" s="1"/>
      <c r="G23" s="1">
        <f>IF($D$2="English",G22*10^-3,G22*10^-6)</f>
        <v>120</v>
      </c>
      <c r="H23" s="1" t="str">
        <f>IF($D$2="English","kpsi","MPa")</f>
        <v>kpsi</v>
      </c>
      <c r="R23" s="27">
        <v>42</v>
      </c>
      <c r="S23" s="17">
        <v>4.5</v>
      </c>
      <c r="T23" s="17">
        <v>1120</v>
      </c>
      <c r="U23" s="18">
        <v>1050</v>
      </c>
      <c r="V23" s="52"/>
      <c r="W23" s="16">
        <v>42</v>
      </c>
      <c r="X23" s="17">
        <v>2</v>
      </c>
      <c r="Y23" s="17">
        <v>1260</v>
      </c>
      <c r="Z23" s="28">
        <v>1230</v>
      </c>
      <c r="AB23" s="34">
        <f>3/4</f>
        <v>0.75</v>
      </c>
      <c r="AC23" s="16">
        <v>0.75</v>
      </c>
      <c r="AD23" s="17">
        <v>10</v>
      </c>
      <c r="AE23" s="17">
        <v>0.33400000000000002</v>
      </c>
      <c r="AF23" s="18">
        <v>0.30199999999999999</v>
      </c>
      <c r="AG23" s="37"/>
      <c r="AH23" s="24">
        <f>3/4</f>
        <v>0.75</v>
      </c>
      <c r="AI23" s="16">
        <v>0.75</v>
      </c>
      <c r="AJ23" s="17">
        <v>16</v>
      </c>
      <c r="AK23" s="17">
        <v>0.373</v>
      </c>
      <c r="AL23" s="28">
        <v>0.35099999999999998</v>
      </c>
    </row>
    <row r="24" spans="2:38" ht="15" customHeight="1" x14ac:dyDescent="0.2">
      <c r="R24" s="27">
        <v>48</v>
      </c>
      <c r="S24" s="17">
        <v>5</v>
      </c>
      <c r="T24" s="17">
        <v>1470</v>
      </c>
      <c r="U24" s="18">
        <v>1380</v>
      </c>
      <c r="V24" s="52"/>
      <c r="W24" s="16">
        <v>48</v>
      </c>
      <c r="X24" s="17">
        <v>2</v>
      </c>
      <c r="Y24" s="17">
        <v>1670</v>
      </c>
      <c r="Z24" s="28">
        <v>1630</v>
      </c>
      <c r="AB24" s="34">
        <f>7/8</f>
        <v>0.875</v>
      </c>
      <c r="AC24" s="16">
        <v>0.875</v>
      </c>
      <c r="AD24" s="17">
        <v>9</v>
      </c>
      <c r="AE24" s="17">
        <v>0.46200000000000002</v>
      </c>
      <c r="AF24" s="18">
        <v>0.41899999999999998</v>
      </c>
      <c r="AG24" s="37"/>
      <c r="AH24" s="24">
        <f>7/8</f>
        <v>0.875</v>
      </c>
      <c r="AI24" s="16">
        <v>0.875</v>
      </c>
      <c r="AJ24" s="17">
        <v>14</v>
      </c>
      <c r="AK24" s="17">
        <v>0.50900000000000001</v>
      </c>
      <c r="AL24" s="28">
        <v>0.48</v>
      </c>
    </row>
    <row r="25" spans="2:38" ht="15" customHeight="1" x14ac:dyDescent="0.2">
      <c r="R25" s="27">
        <v>56</v>
      </c>
      <c r="S25" s="17">
        <v>5.5</v>
      </c>
      <c r="T25" s="17">
        <v>2030</v>
      </c>
      <c r="U25" s="18">
        <v>1910</v>
      </c>
      <c r="V25" s="52"/>
      <c r="W25" s="16">
        <v>56</v>
      </c>
      <c r="X25" s="17">
        <v>2</v>
      </c>
      <c r="Y25" s="17">
        <v>2300</v>
      </c>
      <c r="Z25" s="28">
        <v>2250</v>
      </c>
      <c r="AB25" s="34">
        <f>1</f>
        <v>1</v>
      </c>
      <c r="AC25" s="16">
        <v>1</v>
      </c>
      <c r="AD25" s="17">
        <v>8</v>
      </c>
      <c r="AE25" s="17">
        <v>0.60599999999999998</v>
      </c>
      <c r="AF25" s="18">
        <v>0.55100000000000005</v>
      </c>
      <c r="AG25" s="37"/>
      <c r="AH25" s="24">
        <f>1</f>
        <v>1</v>
      </c>
      <c r="AI25" s="16">
        <v>1</v>
      </c>
      <c r="AJ25" s="17">
        <v>12</v>
      </c>
      <c r="AK25" s="17">
        <v>0.66300000000000003</v>
      </c>
      <c r="AL25" s="28">
        <v>0.625</v>
      </c>
    </row>
    <row r="26" spans="2:38" ht="15" customHeight="1" x14ac:dyDescent="0.2">
      <c r="R26" s="27">
        <v>64</v>
      </c>
      <c r="S26" s="17">
        <v>6</v>
      </c>
      <c r="T26" s="17">
        <v>2680</v>
      </c>
      <c r="U26" s="18">
        <v>2520</v>
      </c>
      <c r="V26" s="52"/>
      <c r="W26" s="16">
        <v>64</v>
      </c>
      <c r="X26" s="17">
        <v>2</v>
      </c>
      <c r="Y26" s="17">
        <v>3030</v>
      </c>
      <c r="Z26" s="28">
        <v>2980</v>
      </c>
      <c r="AB26" s="34">
        <f>1.25</f>
        <v>1.25</v>
      </c>
      <c r="AC26" s="16">
        <v>1.25</v>
      </c>
      <c r="AD26" s="17">
        <v>7</v>
      </c>
      <c r="AE26" s="17">
        <v>0.96899999999999997</v>
      </c>
      <c r="AF26" s="18">
        <v>0.89</v>
      </c>
      <c r="AG26" s="37"/>
      <c r="AH26" s="24">
        <f>1.25</f>
        <v>1.25</v>
      </c>
      <c r="AI26" s="16">
        <v>1.25</v>
      </c>
      <c r="AJ26" s="17">
        <v>12</v>
      </c>
      <c r="AK26" s="17">
        <v>1.073</v>
      </c>
      <c r="AL26" s="28">
        <v>1.024</v>
      </c>
    </row>
    <row r="27" spans="2:38" ht="15" customHeight="1" thickBot="1" x14ac:dyDescent="0.25">
      <c r="R27" s="27">
        <v>72</v>
      </c>
      <c r="S27" s="17">
        <v>6</v>
      </c>
      <c r="T27" s="17">
        <v>3460</v>
      </c>
      <c r="U27" s="18">
        <v>3280</v>
      </c>
      <c r="V27" s="52"/>
      <c r="W27" s="16">
        <v>72</v>
      </c>
      <c r="X27" s="17">
        <v>2</v>
      </c>
      <c r="Y27" s="17">
        <v>3860</v>
      </c>
      <c r="Z27" s="28">
        <v>3800</v>
      </c>
      <c r="AB27" s="35">
        <f>1.5</f>
        <v>1.5</v>
      </c>
      <c r="AC27" s="32">
        <v>1.5</v>
      </c>
      <c r="AD27" s="30">
        <v>6</v>
      </c>
      <c r="AE27" s="30">
        <v>1.405</v>
      </c>
      <c r="AF27" s="31">
        <v>1.294</v>
      </c>
      <c r="AG27" s="38"/>
      <c r="AH27" s="36">
        <f>1.5</f>
        <v>1.5</v>
      </c>
      <c r="AI27" s="32">
        <v>1.5</v>
      </c>
      <c r="AJ27" s="30">
        <v>12</v>
      </c>
      <c r="AK27" s="30">
        <v>1.581</v>
      </c>
      <c r="AL27" s="33">
        <v>1.5209999999999999</v>
      </c>
    </row>
    <row r="28" spans="2:38" ht="15" customHeight="1" x14ac:dyDescent="0.2">
      <c r="R28" s="27">
        <v>80</v>
      </c>
      <c r="S28" s="17">
        <v>6</v>
      </c>
      <c r="T28" s="17">
        <v>4340</v>
      </c>
      <c r="U28" s="18">
        <v>4140</v>
      </c>
      <c r="V28" s="52"/>
      <c r="W28" s="16">
        <v>80</v>
      </c>
      <c r="X28" s="17">
        <v>1.5</v>
      </c>
      <c r="Y28" s="17">
        <v>4850</v>
      </c>
      <c r="Z28" s="28">
        <v>4800</v>
      </c>
    </row>
    <row r="29" spans="2:38" ht="15" customHeight="1" x14ac:dyDescent="0.2">
      <c r="R29" s="27">
        <v>90</v>
      </c>
      <c r="S29" s="17">
        <v>6</v>
      </c>
      <c r="T29" s="17">
        <v>5590</v>
      </c>
      <c r="U29" s="18">
        <v>5360</v>
      </c>
      <c r="V29" s="52"/>
      <c r="W29" s="16">
        <v>90</v>
      </c>
      <c r="X29" s="17">
        <v>2</v>
      </c>
      <c r="Y29" s="17">
        <v>6100</v>
      </c>
      <c r="Z29" s="28">
        <v>6020</v>
      </c>
    </row>
    <row r="30" spans="2:38" ht="15" customHeight="1" x14ac:dyDescent="0.2">
      <c r="R30" s="27">
        <v>100</v>
      </c>
      <c r="S30" s="17">
        <v>6</v>
      </c>
      <c r="T30" s="17">
        <v>6990</v>
      </c>
      <c r="U30" s="18">
        <v>6740</v>
      </c>
      <c r="V30" s="52"/>
      <c r="W30" s="16">
        <v>100</v>
      </c>
      <c r="X30" s="17">
        <v>2</v>
      </c>
      <c r="Y30" s="17">
        <v>7560</v>
      </c>
      <c r="Z30" s="28">
        <v>7470</v>
      </c>
    </row>
    <row r="31" spans="2:38" ht="15" customHeight="1" thickBot="1" x14ac:dyDescent="0.25">
      <c r="R31" s="29">
        <v>110</v>
      </c>
      <c r="S31" s="30">
        <v>6</v>
      </c>
      <c r="T31" s="30" t="e">
        <f>NA()</f>
        <v>#N/A</v>
      </c>
      <c r="U31" s="31" t="e">
        <f>NA()</f>
        <v>#N/A</v>
      </c>
      <c r="V31" s="38"/>
      <c r="W31" s="32">
        <v>110</v>
      </c>
      <c r="X31" s="30">
        <v>2</v>
      </c>
      <c r="Y31" s="30">
        <v>9180</v>
      </c>
      <c r="Z31" s="33">
        <v>9080</v>
      </c>
    </row>
    <row r="150" spans="39:39" ht="15" customHeight="1" x14ac:dyDescent="0.2">
      <c r="AM150" s="6" t="s">
        <v>10</v>
      </c>
    </row>
  </sheetData>
  <mergeCells count="4">
    <mergeCell ref="AH4:AL4"/>
    <mergeCell ref="R4:U4"/>
    <mergeCell ref="W4:Z4"/>
    <mergeCell ref="AB4:AF4"/>
  </mergeCells>
  <dataValidations count="2">
    <dataValidation type="list" allowBlank="1" showInputMessage="1" showErrorMessage="1" sqref="D2" xr:uid="{8F7EF575-DF86-4040-B02E-0F08928C6D08}">
      <formula1>"English, Metric"</formula1>
    </dataValidation>
    <dataValidation type="list" allowBlank="1" showInputMessage="1" showErrorMessage="1" sqref="C13" xr:uid="{D7C41092-65D0-1644-BE15-79203DBCE3DE}">
      <formula1>"UNC, UNF"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Tensile Load FoS 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2025-01-13T08:32:02Z</dcterms:created>
  <dcterms:modified xsi:type="dcterms:W3CDTF">2025-01-28T18:33:23Z</dcterms:modified>
  <cp:category/>
  <cp:contentStatus/>
</cp:coreProperties>
</file>