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524" documentId="6_{F8A79B0F-AA76-4E1D-9F6E-7E3DB055C7F1}" xr6:coauthVersionLast="47" xr6:coauthVersionMax="47" xr10:uidLastSave="{4AE43C42-57E0-4908-ACAE-683403294351}"/>
  <bookViews>
    <workbookView minimized="1" xWindow="30" yWindow="390" windowWidth="38370" windowHeight="19455" xr2:uid="{5FE61FA7-DBDF-48C6-A8F6-9A2ED0729A26}"/>
  </bookViews>
  <sheets>
    <sheet name="Jointed Assembly" sheetId="2" r:id="rId1"/>
    <sheet name="Quiz on Spreadsheet 4 Q1" sheetId="6" r:id="rId2"/>
    <sheet name="Quiz on Spreadsheet 4 Q2" sheetId="7" r:id="rId3"/>
    <sheet name="old version with info of lab3" sheetId="3" r:id="rId4"/>
    <sheet name="SQ Bolt Fatigue V2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0" i="2" l="1" a="1"/>
  <c r="AI30" i="2" s="1"/>
  <c r="C17" i="2" l="1"/>
  <c r="S71" i="7"/>
  <c r="T97" i="7"/>
  <c r="S68" i="7"/>
  <c r="R21" i="2" l="1"/>
  <c r="T102" i="7"/>
  <c r="S81" i="6"/>
  <c r="T73" i="6"/>
  <c r="T71" i="7"/>
  <c r="S89" i="7"/>
  <c r="S88" i="7"/>
  <c r="S87" i="7"/>
  <c r="S86" i="7"/>
  <c r="U85" i="7"/>
  <c r="T85" i="7"/>
  <c r="S85" i="7"/>
  <c r="U84" i="7"/>
  <c r="S84" i="7"/>
  <c r="U83" i="7"/>
  <c r="S83" i="7"/>
  <c r="U82" i="7"/>
  <c r="T82" i="7"/>
  <c r="S82" i="7"/>
  <c r="U81" i="7"/>
  <c r="T81" i="7"/>
  <c r="S81" i="7"/>
  <c r="U80" i="7"/>
  <c r="T80" i="7"/>
  <c r="S80" i="7"/>
  <c r="U79" i="7"/>
  <c r="T79" i="7"/>
  <c r="S79" i="7"/>
  <c r="U78" i="7"/>
  <c r="S78" i="7"/>
  <c r="U77" i="7"/>
  <c r="S77" i="7"/>
  <c r="U76" i="7"/>
  <c r="S76" i="7"/>
  <c r="U75" i="7"/>
  <c r="T75" i="7"/>
  <c r="S75" i="7"/>
  <c r="U74" i="7"/>
  <c r="T74" i="7"/>
  <c r="S74" i="7"/>
  <c r="U73" i="7"/>
  <c r="T73" i="7"/>
  <c r="S73" i="7"/>
  <c r="U72" i="7"/>
  <c r="T72" i="7"/>
  <c r="S72" i="7"/>
  <c r="U71" i="7"/>
  <c r="U70" i="7"/>
  <c r="T70" i="7"/>
  <c r="S70" i="7"/>
  <c r="U69" i="7"/>
  <c r="T69" i="7"/>
  <c r="S69" i="7"/>
  <c r="U68" i="7"/>
  <c r="T68" i="7"/>
  <c r="S104" i="7"/>
  <c r="S103" i="7"/>
  <c r="S102" i="7"/>
  <c r="S101" i="7"/>
  <c r="S100" i="7"/>
  <c r="S99" i="7"/>
  <c r="S98" i="7"/>
  <c r="U97" i="7"/>
  <c r="S97" i="7"/>
  <c r="X42" i="7"/>
  <c r="D35" i="7"/>
  <c r="U98" i="7" s="1"/>
  <c r="AA34" i="7"/>
  <c r="X34" i="7"/>
  <c r="D34" i="7"/>
  <c r="AA33" i="7"/>
  <c r="X33" i="7"/>
  <c r="D33" i="7"/>
  <c r="AT32" i="7"/>
  <c r="AS32" i="7"/>
  <c r="AA32" i="7"/>
  <c r="X32" i="7"/>
  <c r="D32" i="7"/>
  <c r="AA31" i="7"/>
  <c r="X31" i="7"/>
  <c r="D31" i="7"/>
  <c r="X30" i="7"/>
  <c r="R30" i="7"/>
  <c r="D30" i="7"/>
  <c r="AI29" i="7" a="1"/>
  <c r="W9" i="7" s="1"/>
  <c r="W10" i="7" s="1"/>
  <c r="X29" i="7"/>
  <c r="R29" i="7"/>
  <c r="BG28" i="7"/>
  <c r="BA28" i="7"/>
  <c r="C28" i="7"/>
  <c r="C17" i="7" s="1"/>
  <c r="BG27" i="7"/>
  <c r="BA27" i="7"/>
  <c r="R27" i="7"/>
  <c r="Q27" i="7"/>
  <c r="Q30" i="7" s="1"/>
  <c r="BG26" i="7"/>
  <c r="BA26" i="7"/>
  <c r="X26" i="7"/>
  <c r="R26" i="7"/>
  <c r="BG25" i="7"/>
  <c r="BA25" i="7"/>
  <c r="X25" i="7"/>
  <c r="D25" i="7"/>
  <c r="C25" i="7"/>
  <c r="C11" i="7" s="1"/>
  <c r="B25" i="7"/>
  <c r="BG24" i="7"/>
  <c r="BA24" i="7"/>
  <c r="R24" i="7"/>
  <c r="D24" i="7"/>
  <c r="BG23" i="7"/>
  <c r="BA23" i="7"/>
  <c r="AA23" i="7"/>
  <c r="X23" i="7"/>
  <c r="R23" i="7"/>
  <c r="D23" i="7"/>
  <c r="C23" i="7"/>
  <c r="C24" i="7" s="1"/>
  <c r="W17" i="7" s="1"/>
  <c r="Q18" i="7" s="1"/>
  <c r="BG22" i="7"/>
  <c r="BA22" i="7"/>
  <c r="AO22" i="7"/>
  <c r="AA22" i="7"/>
  <c r="X22" i="7"/>
  <c r="R22" i="7"/>
  <c r="Q22" i="7"/>
  <c r="Q23" i="7" s="1"/>
  <c r="Q24" i="7" s="1"/>
  <c r="Q29" i="7" s="1"/>
  <c r="Q16" i="7" s="1"/>
  <c r="W19" i="7" s="1"/>
  <c r="D22" i="7"/>
  <c r="C22" i="7"/>
  <c r="BG21" i="7"/>
  <c r="BA21" i="7"/>
  <c r="D21" i="7"/>
  <c r="BG20" i="7"/>
  <c r="BA20" i="7"/>
  <c r="AA20" i="7"/>
  <c r="X20" i="7"/>
  <c r="D20" i="7"/>
  <c r="BG19" i="7"/>
  <c r="BA19" i="7"/>
  <c r="AO19" i="7"/>
  <c r="AD19" i="7" a="1"/>
  <c r="AD19" i="7" s="1"/>
  <c r="AA19" i="7"/>
  <c r="X19" i="7"/>
  <c r="R19" i="7"/>
  <c r="D19" i="7"/>
  <c r="BG18" i="7"/>
  <c r="BA18" i="7"/>
  <c r="R18" i="7"/>
  <c r="D18" i="7"/>
  <c r="C18" i="7"/>
  <c r="C20" i="7" s="1"/>
  <c r="C30" i="7" s="1"/>
  <c r="BG17" i="7"/>
  <c r="BA17" i="7"/>
  <c r="X17" i="7"/>
  <c r="R17" i="7"/>
  <c r="K17" i="7"/>
  <c r="U99" i="7" s="1"/>
  <c r="D17" i="7"/>
  <c r="BG16" i="7"/>
  <c r="BA16" i="7"/>
  <c r="X16" i="7"/>
  <c r="R16" i="7"/>
  <c r="K16" i="7"/>
  <c r="BG15" i="7"/>
  <c r="BA15" i="7"/>
  <c r="D15" i="7"/>
  <c r="BG14" i="7"/>
  <c r="BA14" i="7"/>
  <c r="AY14" i="7"/>
  <c r="AX14" i="7"/>
  <c r="AW14" i="7"/>
  <c r="K14" i="7"/>
  <c r="BG13" i="7"/>
  <c r="BA13" i="7"/>
  <c r="AY13" i="7"/>
  <c r="AX13" i="7"/>
  <c r="AW13" i="7"/>
  <c r="K13" i="7"/>
  <c r="D13" i="7"/>
  <c r="BG12" i="7"/>
  <c r="BA12" i="7"/>
  <c r="AY12" i="7"/>
  <c r="AX12" i="7"/>
  <c r="AW12" i="7"/>
  <c r="X12" i="7"/>
  <c r="K12" i="7"/>
  <c r="D12" i="7"/>
  <c r="C12" i="7"/>
  <c r="BG11" i="7"/>
  <c r="BA11" i="7"/>
  <c r="AY11" i="7"/>
  <c r="AX11" i="7"/>
  <c r="AW11" i="7"/>
  <c r="X11" i="7"/>
  <c r="BG10" i="7"/>
  <c r="BA10" i="7"/>
  <c r="AY10" i="7"/>
  <c r="AX10" i="7"/>
  <c r="AW10" i="7"/>
  <c r="X10" i="7"/>
  <c r="L10" i="7"/>
  <c r="K10" i="7"/>
  <c r="J10" i="7"/>
  <c r="M10" i="7" s="1"/>
  <c r="N10" i="7" s="1"/>
  <c r="BG9" i="7"/>
  <c r="BA9" i="7"/>
  <c r="AY9" i="7"/>
  <c r="AX9" i="7"/>
  <c r="AW9" i="7"/>
  <c r="X9" i="7"/>
  <c r="G9" i="7"/>
  <c r="F9" i="7"/>
  <c r="D9" i="7"/>
  <c r="BG8" i="7"/>
  <c r="BA8" i="7"/>
  <c r="AY8" i="7"/>
  <c r="AX8" i="7"/>
  <c r="AW8" i="7"/>
  <c r="X8" i="7"/>
  <c r="G8" i="7"/>
  <c r="F8" i="7"/>
  <c r="L9" i="7" s="1"/>
  <c r="D8" i="7"/>
  <c r="BG7" i="7"/>
  <c r="BE7" i="7"/>
  <c r="BD7" i="7"/>
  <c r="BC7" i="7"/>
  <c r="BA7" i="7"/>
  <c r="AY7" i="7"/>
  <c r="AX7" i="7"/>
  <c r="AW7" i="7"/>
  <c r="X7" i="7"/>
  <c r="K7" i="7"/>
  <c r="G7" i="7"/>
  <c r="F7" i="7"/>
  <c r="L7" i="7" s="1"/>
  <c r="D7" i="7"/>
  <c r="X6" i="7"/>
  <c r="K6" i="7"/>
  <c r="J6" i="7"/>
  <c r="G6" i="7"/>
  <c r="F6" i="7"/>
  <c r="L6" i="7" s="1"/>
  <c r="M6" i="7" s="1"/>
  <c r="N6" i="7" s="1"/>
  <c r="D6" i="7"/>
  <c r="X5" i="7"/>
  <c r="W5" i="7"/>
  <c r="M5" i="7"/>
  <c r="L5" i="7"/>
  <c r="K5" i="7"/>
  <c r="J5" i="7"/>
  <c r="S87" i="6"/>
  <c r="T87" i="6"/>
  <c r="S89" i="6"/>
  <c r="T89" i="6"/>
  <c r="S88" i="6"/>
  <c r="T88" i="6"/>
  <c r="T86" i="6"/>
  <c r="S86" i="6"/>
  <c r="T85" i="6"/>
  <c r="U85" i="6"/>
  <c r="S85" i="6"/>
  <c r="U84" i="6"/>
  <c r="T84" i="6"/>
  <c r="S84" i="6"/>
  <c r="U83" i="6"/>
  <c r="T83" i="6"/>
  <c r="S83" i="6"/>
  <c r="T82" i="6"/>
  <c r="U82" i="6"/>
  <c r="AA34" i="6"/>
  <c r="Z34" i="6"/>
  <c r="AA32" i="6"/>
  <c r="Z32" i="6"/>
  <c r="X34" i="6"/>
  <c r="W34" i="6"/>
  <c r="X32" i="6"/>
  <c r="W32" i="6"/>
  <c r="X30" i="6"/>
  <c r="W30" i="6"/>
  <c r="AA35" i="2"/>
  <c r="AA33" i="2"/>
  <c r="X35" i="2"/>
  <c r="X33" i="2"/>
  <c r="X31" i="2"/>
  <c r="S82" i="6"/>
  <c r="T81" i="6"/>
  <c r="U81" i="6"/>
  <c r="T80" i="6"/>
  <c r="U80" i="6"/>
  <c r="S80" i="6"/>
  <c r="T71" i="6"/>
  <c r="U79" i="6"/>
  <c r="S79" i="6"/>
  <c r="T78" i="6"/>
  <c r="S78" i="6"/>
  <c r="U77" i="6"/>
  <c r="T77" i="6"/>
  <c r="S77" i="6"/>
  <c r="U76" i="6"/>
  <c r="T76" i="6"/>
  <c r="S76" i="6"/>
  <c r="T75" i="6"/>
  <c r="U75" i="6"/>
  <c r="S75" i="6"/>
  <c r="U74" i="6"/>
  <c r="T74" i="6"/>
  <c r="S74" i="6"/>
  <c r="U73" i="6"/>
  <c r="S73" i="6"/>
  <c r="U72" i="6"/>
  <c r="T72" i="6"/>
  <c r="S72" i="6"/>
  <c r="T69" i="6"/>
  <c r="U71" i="6"/>
  <c r="S71" i="6"/>
  <c r="T70" i="6"/>
  <c r="U70" i="6"/>
  <c r="S70" i="6"/>
  <c r="S69" i="6"/>
  <c r="U69" i="6"/>
  <c r="U68" i="6"/>
  <c r="S68" i="6"/>
  <c r="T68" i="6"/>
  <c r="C11" i="6"/>
  <c r="Q17" i="6"/>
  <c r="W20" i="6" s="1"/>
  <c r="Q16" i="6"/>
  <c r="Q27" i="6"/>
  <c r="Q22" i="6"/>
  <c r="X42" i="6"/>
  <c r="D35" i="6"/>
  <c r="D34" i="6"/>
  <c r="M5" i="6" s="1"/>
  <c r="D33" i="6"/>
  <c r="AT32" i="6"/>
  <c r="AS32" i="6"/>
  <c r="D32" i="6"/>
  <c r="AA33" i="6"/>
  <c r="X33" i="6"/>
  <c r="D31" i="6"/>
  <c r="AA31" i="6"/>
  <c r="X31" i="6"/>
  <c r="R30" i="6"/>
  <c r="D30" i="6"/>
  <c r="AI29" i="6" a="1"/>
  <c r="W9" i="6" s="1"/>
  <c r="W10" i="6" s="1"/>
  <c r="X29" i="6"/>
  <c r="R29" i="6"/>
  <c r="BG28" i="6"/>
  <c r="BA28" i="6"/>
  <c r="C28" i="6"/>
  <c r="BG27" i="6"/>
  <c r="BA27" i="6"/>
  <c r="R27" i="6"/>
  <c r="BG26" i="6"/>
  <c r="BA26" i="6"/>
  <c r="X26" i="6"/>
  <c r="R26" i="6"/>
  <c r="BG25" i="6"/>
  <c r="BA25" i="6"/>
  <c r="X25" i="6"/>
  <c r="D25" i="6"/>
  <c r="C25" i="6"/>
  <c r="B25" i="6"/>
  <c r="BG24" i="6"/>
  <c r="BA24" i="6"/>
  <c r="R24" i="6"/>
  <c r="D24" i="6"/>
  <c r="C24" i="6"/>
  <c r="BG23" i="6"/>
  <c r="BA23" i="6"/>
  <c r="AA23" i="6"/>
  <c r="X23" i="6"/>
  <c r="R23" i="6"/>
  <c r="D23" i="6"/>
  <c r="C23" i="6"/>
  <c r="BG22" i="6"/>
  <c r="BA22" i="6"/>
  <c r="AO22" i="6"/>
  <c r="AA22" i="6"/>
  <c r="X22" i="6"/>
  <c r="R22" i="6"/>
  <c r="Q23" i="6"/>
  <c r="Q24" i="6" s="1"/>
  <c r="D22" i="6"/>
  <c r="C22" i="6"/>
  <c r="BG21" i="6"/>
  <c r="BA21" i="6"/>
  <c r="D21" i="6"/>
  <c r="BG20" i="6"/>
  <c r="BA20" i="6"/>
  <c r="AA20" i="6"/>
  <c r="X20" i="6"/>
  <c r="D20" i="6"/>
  <c r="BG19" i="6"/>
  <c r="BA19" i="6"/>
  <c r="AO19" i="6"/>
  <c r="AD19" i="6" a="1"/>
  <c r="AD19" i="6" s="1"/>
  <c r="AA19" i="6"/>
  <c r="X19" i="6"/>
  <c r="W19" i="6"/>
  <c r="R19" i="6"/>
  <c r="D19" i="6"/>
  <c r="BG18" i="6"/>
  <c r="BA18" i="6"/>
  <c r="R18" i="6"/>
  <c r="D18" i="6"/>
  <c r="C18" i="6"/>
  <c r="C20" i="6" s="1"/>
  <c r="BG17" i="6"/>
  <c r="BA17" i="6"/>
  <c r="X17" i="6"/>
  <c r="R17" i="6"/>
  <c r="K17" i="6"/>
  <c r="D17" i="6"/>
  <c r="C17" i="6"/>
  <c r="J14" i="6" s="1"/>
  <c r="BG16" i="6"/>
  <c r="BA16" i="6"/>
  <c r="X16" i="6"/>
  <c r="R16" i="6"/>
  <c r="K16" i="6"/>
  <c r="BG15" i="6"/>
  <c r="BA15" i="6"/>
  <c r="D15" i="6"/>
  <c r="BG14" i="6"/>
  <c r="BA14" i="6"/>
  <c r="AY14" i="6"/>
  <c r="AX14" i="6"/>
  <c r="AW14" i="6"/>
  <c r="K14" i="6"/>
  <c r="BG13" i="6"/>
  <c r="BA13" i="6"/>
  <c r="AY13" i="6"/>
  <c r="AX13" i="6"/>
  <c r="AW13" i="6"/>
  <c r="K13" i="6"/>
  <c r="D13" i="6"/>
  <c r="K5" i="6" s="1"/>
  <c r="BG12" i="6"/>
  <c r="BA12" i="6"/>
  <c r="AY12" i="6"/>
  <c r="AX12" i="6"/>
  <c r="AW12" i="6"/>
  <c r="X12" i="6"/>
  <c r="K12" i="6"/>
  <c r="D12" i="6"/>
  <c r="C12" i="6"/>
  <c r="BG11" i="6"/>
  <c r="BA11" i="6"/>
  <c r="AY11" i="6"/>
  <c r="AX11" i="6"/>
  <c r="AW11" i="6"/>
  <c r="X11" i="6"/>
  <c r="BG10" i="6"/>
  <c r="BA10" i="6"/>
  <c r="AY10" i="6"/>
  <c r="AX10" i="6"/>
  <c r="AW10" i="6"/>
  <c r="X10" i="6"/>
  <c r="K10" i="6"/>
  <c r="J10" i="6"/>
  <c r="BG9" i="6"/>
  <c r="BA9" i="6"/>
  <c r="AY9" i="6"/>
  <c r="AX9" i="6"/>
  <c r="AW9" i="6"/>
  <c r="X9" i="6"/>
  <c r="L9" i="6"/>
  <c r="K9" i="6"/>
  <c r="G9" i="6"/>
  <c r="F9" i="6"/>
  <c r="L10" i="6" s="1"/>
  <c r="D9" i="6"/>
  <c r="BG8" i="6"/>
  <c r="BA8" i="6"/>
  <c r="AY8" i="6"/>
  <c r="AX8" i="6"/>
  <c r="AW8" i="6"/>
  <c r="X8" i="6"/>
  <c r="G8" i="6"/>
  <c r="F8" i="6"/>
  <c r="D8" i="6"/>
  <c r="BG7" i="6"/>
  <c r="BE7" i="6"/>
  <c r="BD7" i="6"/>
  <c r="BC7" i="6"/>
  <c r="BA7" i="6"/>
  <c r="AY7" i="6"/>
  <c r="AX7" i="6"/>
  <c r="AW7" i="6"/>
  <c r="X7" i="6"/>
  <c r="L7" i="6"/>
  <c r="G7" i="6"/>
  <c r="F7" i="6"/>
  <c r="D7" i="6"/>
  <c r="X6" i="6"/>
  <c r="K6" i="6"/>
  <c r="K7" i="6" s="1"/>
  <c r="J6" i="6"/>
  <c r="G6" i="6"/>
  <c r="L5" i="6" s="1"/>
  <c r="F6" i="6"/>
  <c r="L6" i="6" s="1"/>
  <c r="D6" i="6"/>
  <c r="X5" i="6"/>
  <c r="J5" i="6"/>
  <c r="K9" i="7" l="1"/>
  <c r="J13" i="7"/>
  <c r="C21" i="7"/>
  <c r="C32" i="7" s="1"/>
  <c r="C33" i="7" s="1"/>
  <c r="J14" i="7"/>
  <c r="Q17" i="7"/>
  <c r="W20" i="7" s="1"/>
  <c r="W42" i="7"/>
  <c r="W29" i="7"/>
  <c r="W30" i="7" s="1"/>
  <c r="C31" i="7"/>
  <c r="C34" i="7"/>
  <c r="W11" i="7"/>
  <c r="W6" i="7"/>
  <c r="AI29" i="7"/>
  <c r="W7" i="7"/>
  <c r="W8" i="7" s="1"/>
  <c r="Z19" i="6"/>
  <c r="W7" i="6"/>
  <c r="C30" i="6"/>
  <c r="Q29" i="6"/>
  <c r="Q30" i="6"/>
  <c r="M6" i="6"/>
  <c r="N6" i="6" s="1"/>
  <c r="J8" i="6"/>
  <c r="J7" i="6"/>
  <c r="M10" i="6"/>
  <c r="N10" i="6" s="1"/>
  <c r="AI29" i="6"/>
  <c r="Z20" i="6"/>
  <c r="C31" i="6"/>
  <c r="C21" i="6"/>
  <c r="C32" i="6" s="1"/>
  <c r="C33" i="6" s="1"/>
  <c r="J13" i="6"/>
  <c r="W8" i="6"/>
  <c r="W5" i="6"/>
  <c r="K8" i="6"/>
  <c r="W11" i="6"/>
  <c r="C35" i="7" l="1"/>
  <c r="Z20" i="7"/>
  <c r="Z19" i="7"/>
  <c r="W12" i="7"/>
  <c r="J7" i="7"/>
  <c r="J8" i="7"/>
  <c r="M7" i="6"/>
  <c r="N7" i="6" s="1"/>
  <c r="J9" i="6"/>
  <c r="M9" i="6" s="1"/>
  <c r="N9" i="6" s="1"/>
  <c r="L8" i="6"/>
  <c r="W6" i="6"/>
  <c r="W17" i="6"/>
  <c r="Q18" i="6" s="1"/>
  <c r="T79" i="6" s="1"/>
  <c r="M8" i="6"/>
  <c r="N8" i="6" s="1"/>
  <c r="J16" i="6" s="1"/>
  <c r="J17" i="6" s="1"/>
  <c r="W12" i="6"/>
  <c r="C34" i="6"/>
  <c r="T98" i="7" l="1"/>
  <c r="T76" i="7"/>
  <c r="M7" i="7"/>
  <c r="N7" i="7" s="1"/>
  <c r="L8" i="7"/>
  <c r="K8" i="7"/>
  <c r="J9" i="7"/>
  <c r="M9" i="7" s="1"/>
  <c r="N9" i="7" s="1"/>
  <c r="M8" i="7"/>
  <c r="N8" i="7" s="1"/>
  <c r="W15" i="6"/>
  <c r="C35" i="6"/>
  <c r="W42" i="6"/>
  <c r="W29" i="6"/>
  <c r="W16" i="6"/>
  <c r="W36" i="6" s="1"/>
  <c r="W39" i="6"/>
  <c r="J12" i="6"/>
  <c r="J12" i="7" l="1"/>
  <c r="J16" i="7"/>
  <c r="W23" i="6"/>
  <c r="J19" i="6"/>
  <c r="W22" i="6"/>
  <c r="W31" i="6" s="1"/>
  <c r="W26" i="6"/>
  <c r="W25" i="6"/>
  <c r="J17" i="7" l="1"/>
  <c r="W15" i="7"/>
  <c r="T78" i="7" s="1"/>
  <c r="Z23" i="6"/>
  <c r="Z22" i="6"/>
  <c r="W33" i="6"/>
  <c r="W37" i="6"/>
  <c r="T99" i="7" l="1"/>
  <c r="T77" i="7"/>
  <c r="T100" i="7"/>
  <c r="W23" i="7"/>
  <c r="J19" i="7"/>
  <c r="W25" i="7"/>
  <c r="W22" i="7"/>
  <c r="W31" i="7" s="1"/>
  <c r="W32" i="7" s="1"/>
  <c r="W26" i="7"/>
  <c r="W16" i="7"/>
  <c r="W36" i="7" s="1"/>
  <c r="W39" i="7"/>
  <c r="Z33" i="6"/>
  <c r="Z31" i="6"/>
  <c r="W38" i="6" s="1"/>
  <c r="T101" i="7" l="1"/>
  <c r="T86" i="7"/>
  <c r="T103" i="7"/>
  <c r="T88" i="7"/>
  <c r="Z23" i="7"/>
  <c r="W33" i="7"/>
  <c r="Z22" i="7"/>
  <c r="W37" i="7"/>
  <c r="T87" i="7" l="1"/>
  <c r="W34" i="7"/>
  <c r="Z33" i="7"/>
  <c r="Z34" i="7" s="1"/>
  <c r="T84" i="7" s="1"/>
  <c r="Z31" i="7"/>
  <c r="Z32" i="7" l="1"/>
  <c r="T83" i="7" s="1"/>
  <c r="W38" i="7"/>
  <c r="T104" i="7" l="1"/>
  <c r="T89" i="7"/>
  <c r="X40" i="5" l="1"/>
  <c r="D35" i="5"/>
  <c r="D34" i="5"/>
  <c r="D33" i="5"/>
  <c r="AT32" i="5"/>
  <c r="AS32" i="5"/>
  <c r="D32" i="5"/>
  <c r="AA31" i="5"/>
  <c r="X31" i="5"/>
  <c r="D31" i="5"/>
  <c r="AA30" i="5"/>
  <c r="X30" i="5"/>
  <c r="R30" i="5"/>
  <c r="D30" i="5"/>
  <c r="AI29" i="5" a="1"/>
  <c r="AI29" i="5" s="1"/>
  <c r="X29" i="5"/>
  <c r="R29" i="5"/>
  <c r="BG28" i="5"/>
  <c r="BA28" i="5"/>
  <c r="C28" i="5"/>
  <c r="BG27" i="5"/>
  <c r="BA27" i="5"/>
  <c r="R27" i="5"/>
  <c r="Q27" i="5"/>
  <c r="BG26" i="5"/>
  <c r="BA26" i="5"/>
  <c r="X26" i="5"/>
  <c r="R26" i="5"/>
  <c r="BG25" i="5"/>
  <c r="BA25" i="5"/>
  <c r="X25" i="5"/>
  <c r="D25" i="5"/>
  <c r="C25" i="5"/>
  <c r="C11" i="5" s="1"/>
  <c r="B25" i="5"/>
  <c r="BG24" i="5"/>
  <c r="BA24" i="5"/>
  <c r="R24" i="5"/>
  <c r="D24" i="5"/>
  <c r="C24" i="5"/>
  <c r="BG23" i="5"/>
  <c r="BA23" i="5"/>
  <c r="AA23" i="5"/>
  <c r="X23" i="5"/>
  <c r="R23" i="5"/>
  <c r="D23" i="5"/>
  <c r="C23" i="5"/>
  <c r="BG22" i="5"/>
  <c r="BA22" i="5"/>
  <c r="AO22" i="5"/>
  <c r="AA22" i="5"/>
  <c r="X22" i="5"/>
  <c r="R22" i="5"/>
  <c r="Q22" i="5"/>
  <c r="Q23" i="5" s="1"/>
  <c r="Q24" i="5" s="1"/>
  <c r="D22" i="5"/>
  <c r="C22" i="5"/>
  <c r="BG21" i="5"/>
  <c r="BA21" i="5"/>
  <c r="D21" i="5"/>
  <c r="BG20" i="5"/>
  <c r="BA20" i="5"/>
  <c r="AA20" i="5"/>
  <c r="X20" i="5"/>
  <c r="W20" i="5"/>
  <c r="Z20" i="5" s="1"/>
  <c r="D20" i="5"/>
  <c r="C20" i="5"/>
  <c r="C30" i="5" s="1"/>
  <c r="BG19" i="5"/>
  <c r="BA19" i="5"/>
  <c r="AO19" i="5"/>
  <c r="AD19" i="5" a="1"/>
  <c r="AD19" i="5" s="1"/>
  <c r="AA19" i="5"/>
  <c r="X19" i="5"/>
  <c r="W19" i="5"/>
  <c r="R19" i="5"/>
  <c r="D19" i="5"/>
  <c r="BG18" i="5"/>
  <c r="BA18" i="5"/>
  <c r="R18" i="5"/>
  <c r="D18" i="5"/>
  <c r="C18" i="5"/>
  <c r="BG17" i="5"/>
  <c r="BA17" i="5"/>
  <c r="X17" i="5"/>
  <c r="R17" i="5"/>
  <c r="K17" i="5"/>
  <c r="D17" i="5"/>
  <c r="C17" i="5"/>
  <c r="J14" i="5" s="1"/>
  <c r="BG16" i="5"/>
  <c r="BA16" i="5"/>
  <c r="X16" i="5"/>
  <c r="R16" i="5"/>
  <c r="K16" i="5"/>
  <c r="BG15" i="5"/>
  <c r="BA15" i="5"/>
  <c r="D15" i="5"/>
  <c r="BG14" i="5"/>
  <c r="BA14" i="5"/>
  <c r="AY14" i="5"/>
  <c r="AX14" i="5"/>
  <c r="AW14" i="5"/>
  <c r="K14" i="5"/>
  <c r="BG13" i="5"/>
  <c r="BA13" i="5"/>
  <c r="AY13" i="5"/>
  <c r="AX13" i="5"/>
  <c r="AW13" i="5"/>
  <c r="K13" i="5"/>
  <c r="D13" i="5"/>
  <c r="K5" i="5" s="1"/>
  <c r="BG12" i="5"/>
  <c r="BA12" i="5"/>
  <c r="AY12" i="5"/>
  <c r="AX12" i="5"/>
  <c r="AW12" i="5"/>
  <c r="X12" i="5"/>
  <c r="K12" i="5"/>
  <c r="D12" i="5"/>
  <c r="C12" i="5"/>
  <c r="BG11" i="5"/>
  <c r="BA11" i="5"/>
  <c r="AY11" i="5"/>
  <c r="AX11" i="5"/>
  <c r="AW11" i="5"/>
  <c r="X11" i="5"/>
  <c r="BG10" i="5"/>
  <c r="BA10" i="5"/>
  <c r="AY10" i="5"/>
  <c r="AX10" i="5"/>
  <c r="AW10" i="5"/>
  <c r="X10" i="5"/>
  <c r="K10" i="5"/>
  <c r="J10" i="5"/>
  <c r="BG9" i="5"/>
  <c r="BA9" i="5"/>
  <c r="AY9" i="5"/>
  <c r="AX9" i="5"/>
  <c r="AW9" i="5"/>
  <c r="X9" i="5"/>
  <c r="L9" i="5"/>
  <c r="K9" i="5"/>
  <c r="G9" i="5"/>
  <c r="F9" i="5"/>
  <c r="L10" i="5" s="1"/>
  <c r="D9" i="5"/>
  <c r="BG8" i="5"/>
  <c r="BA8" i="5"/>
  <c r="AY8" i="5"/>
  <c r="AX8" i="5"/>
  <c r="AW8" i="5"/>
  <c r="X8" i="5"/>
  <c r="G8" i="5"/>
  <c r="F8" i="5"/>
  <c r="D8" i="5"/>
  <c r="BG7" i="5"/>
  <c r="BE7" i="5"/>
  <c r="BD7" i="5"/>
  <c r="BC7" i="5"/>
  <c r="BA7" i="5"/>
  <c r="AY7" i="5"/>
  <c r="AX7" i="5"/>
  <c r="AW7" i="5"/>
  <c r="X7" i="5"/>
  <c r="L7" i="5"/>
  <c r="K7" i="5"/>
  <c r="G7" i="5"/>
  <c r="F7" i="5"/>
  <c r="D7" i="5"/>
  <c r="X6" i="5"/>
  <c r="K6" i="5"/>
  <c r="J6" i="5"/>
  <c r="G6" i="5"/>
  <c r="F6" i="5"/>
  <c r="L6" i="5" s="1"/>
  <c r="D6" i="5"/>
  <c r="X5" i="5"/>
  <c r="M5" i="5"/>
  <c r="L5" i="5"/>
  <c r="J5" i="5"/>
  <c r="Q29" i="5" l="1"/>
  <c r="Q30" i="5"/>
  <c r="J7" i="5"/>
  <c r="J8" i="5"/>
  <c r="M6" i="5"/>
  <c r="N6" i="5" s="1"/>
  <c r="M10" i="5"/>
  <c r="N10" i="5" s="1"/>
  <c r="C31" i="5"/>
  <c r="W7" i="5"/>
  <c r="W8" i="5" s="1"/>
  <c r="W9" i="5"/>
  <c r="W10" i="5" s="1"/>
  <c r="J13" i="5"/>
  <c r="C21" i="5"/>
  <c r="C32" i="5" s="1"/>
  <c r="C33" i="5" s="1"/>
  <c r="W11" i="5"/>
  <c r="Z19" i="5"/>
  <c r="W5" i="5"/>
  <c r="D24" i="2"/>
  <c r="X13" i="2"/>
  <c r="X12" i="2"/>
  <c r="AD20" i="2" a="1"/>
  <c r="AD20" i="2" s="1"/>
  <c r="X30" i="2"/>
  <c r="AA21" i="2"/>
  <c r="AA20" i="2"/>
  <c r="AA24" i="2"/>
  <c r="AA23" i="2"/>
  <c r="AA34" i="2"/>
  <c r="AA32" i="2"/>
  <c r="C12" i="2"/>
  <c r="X34" i="2"/>
  <c r="X32" i="2"/>
  <c r="X27" i="2"/>
  <c r="R34" i="2"/>
  <c r="R33" i="2"/>
  <c r="Q31" i="2"/>
  <c r="R31" i="2"/>
  <c r="R30" i="2"/>
  <c r="R27" i="2"/>
  <c r="R28" i="2"/>
  <c r="Q26" i="2"/>
  <c r="Q27" i="2" s="1"/>
  <c r="Q28" i="2" s="1"/>
  <c r="R26" i="2"/>
  <c r="F9" i="2"/>
  <c r="F6" i="2"/>
  <c r="F7" i="2"/>
  <c r="D34" i="3"/>
  <c r="D33" i="3"/>
  <c r="AK32" i="3"/>
  <c r="AJ32" i="3"/>
  <c r="D32" i="3"/>
  <c r="X31" i="3"/>
  <c r="D31" i="3"/>
  <c r="D30" i="3"/>
  <c r="Z29" i="3" a="1"/>
  <c r="W9" i="3" s="1"/>
  <c r="W10" i="3" s="1"/>
  <c r="D29" i="3"/>
  <c r="AX28" i="3"/>
  <c r="AR28" i="3"/>
  <c r="X28" i="3"/>
  <c r="AX27" i="3"/>
  <c r="AR27" i="3"/>
  <c r="X27" i="3"/>
  <c r="C27" i="3"/>
  <c r="C17" i="3" s="1"/>
  <c r="AX26" i="3"/>
  <c r="AR26" i="3"/>
  <c r="AX25" i="3"/>
  <c r="AR25" i="3"/>
  <c r="AX24" i="3"/>
  <c r="AR24" i="3"/>
  <c r="D24" i="3"/>
  <c r="C24" i="3"/>
  <c r="B24" i="3"/>
  <c r="AX23" i="3"/>
  <c r="AR23" i="3"/>
  <c r="D23" i="3"/>
  <c r="C23" i="3"/>
  <c r="AX22" i="3"/>
  <c r="AR22" i="3"/>
  <c r="AF22" i="3"/>
  <c r="D22" i="3"/>
  <c r="C22" i="3"/>
  <c r="AX21" i="3"/>
  <c r="AR21" i="3"/>
  <c r="D21" i="3"/>
  <c r="AX20" i="3"/>
  <c r="AR20" i="3"/>
  <c r="X20" i="3"/>
  <c r="D20" i="3"/>
  <c r="C20" i="3"/>
  <c r="C29" i="3" s="1"/>
  <c r="AX19" i="3"/>
  <c r="AR19" i="3"/>
  <c r="AF19" i="3"/>
  <c r="D19" i="3"/>
  <c r="AX18" i="3"/>
  <c r="AR18" i="3"/>
  <c r="X18" i="3"/>
  <c r="D18" i="3"/>
  <c r="C18" i="3"/>
  <c r="AX17" i="3"/>
  <c r="AR17" i="3"/>
  <c r="X17" i="3"/>
  <c r="R17" i="3"/>
  <c r="K17" i="3"/>
  <c r="D17" i="3"/>
  <c r="AX16" i="3"/>
  <c r="AR16" i="3"/>
  <c r="X16" i="3"/>
  <c r="R16" i="3"/>
  <c r="K16" i="3"/>
  <c r="AX15" i="3"/>
  <c r="AR15" i="3"/>
  <c r="X15" i="3"/>
  <c r="W15" i="3"/>
  <c r="R15" i="3"/>
  <c r="D15" i="3"/>
  <c r="AX14" i="3"/>
  <c r="AR14" i="3"/>
  <c r="AP14" i="3"/>
  <c r="AO14" i="3"/>
  <c r="AN14" i="3"/>
  <c r="X14" i="3"/>
  <c r="R14" i="3"/>
  <c r="Q14" i="3"/>
  <c r="W14" i="3" s="1"/>
  <c r="K14" i="3"/>
  <c r="AX13" i="3"/>
  <c r="AR13" i="3"/>
  <c r="AP13" i="3"/>
  <c r="AO13" i="3"/>
  <c r="AN13" i="3"/>
  <c r="K13" i="3"/>
  <c r="D13" i="3"/>
  <c r="K5" i="3" s="1"/>
  <c r="AX12" i="3"/>
  <c r="AR12" i="3"/>
  <c r="AP12" i="3"/>
  <c r="AO12" i="3"/>
  <c r="AN12" i="3"/>
  <c r="K12" i="3"/>
  <c r="D12" i="3"/>
  <c r="C12" i="3"/>
  <c r="AX11" i="3"/>
  <c r="AR11" i="3"/>
  <c r="AP11" i="3"/>
  <c r="AO11" i="3"/>
  <c r="AN11" i="3"/>
  <c r="C11" i="3"/>
  <c r="AX10" i="3"/>
  <c r="AR10" i="3"/>
  <c r="AP10" i="3"/>
  <c r="AO10" i="3"/>
  <c r="AN10" i="3"/>
  <c r="X10" i="3"/>
  <c r="L10" i="3"/>
  <c r="K10" i="3"/>
  <c r="J10" i="3"/>
  <c r="M10" i="3" s="1"/>
  <c r="N10" i="3" s="1"/>
  <c r="AX9" i="3"/>
  <c r="AR9" i="3"/>
  <c r="AP9" i="3"/>
  <c r="AO9" i="3"/>
  <c r="AN9" i="3"/>
  <c r="X9" i="3"/>
  <c r="L9" i="3"/>
  <c r="K9" i="3"/>
  <c r="G9" i="3"/>
  <c r="D9" i="3"/>
  <c r="AX8" i="3"/>
  <c r="AR8" i="3"/>
  <c r="AP8" i="3"/>
  <c r="AO8" i="3"/>
  <c r="AN8" i="3"/>
  <c r="X8" i="3"/>
  <c r="G8" i="3"/>
  <c r="F8" i="3"/>
  <c r="D8" i="3"/>
  <c r="AX7" i="3"/>
  <c r="AV7" i="3"/>
  <c r="AU7" i="3"/>
  <c r="AT7" i="3"/>
  <c r="AR7" i="3"/>
  <c r="AP7" i="3"/>
  <c r="AO7" i="3"/>
  <c r="AN7" i="3"/>
  <c r="X7" i="3"/>
  <c r="G7" i="3"/>
  <c r="F7" i="3"/>
  <c r="L7" i="3" s="1"/>
  <c r="D7" i="3"/>
  <c r="X6" i="3"/>
  <c r="L6" i="3"/>
  <c r="K6" i="3"/>
  <c r="K7" i="3" s="1"/>
  <c r="J6" i="3"/>
  <c r="G6" i="3"/>
  <c r="D6" i="3"/>
  <c r="X5" i="3"/>
  <c r="M5" i="3"/>
  <c r="L5" i="3"/>
  <c r="J5" i="3"/>
  <c r="X24" i="2"/>
  <c r="W21" i="2"/>
  <c r="X21" i="2"/>
  <c r="R18" i="2"/>
  <c r="W17" i="5" l="1"/>
  <c r="Q18" i="5" s="1"/>
  <c r="W6" i="5"/>
  <c r="W12" i="5"/>
  <c r="C34" i="5"/>
  <c r="J9" i="5"/>
  <c r="M9" i="5" s="1"/>
  <c r="N9" i="5" s="1"/>
  <c r="J12" i="5"/>
  <c r="L8" i="5"/>
  <c r="M8" i="5" s="1"/>
  <c r="N8" i="5" s="1"/>
  <c r="K8" i="5"/>
  <c r="M7" i="5"/>
  <c r="N7" i="5" s="1"/>
  <c r="W12" i="2"/>
  <c r="W13" i="2" s="1"/>
  <c r="Q33" i="2"/>
  <c r="Q34" i="2"/>
  <c r="J14" i="3"/>
  <c r="J13" i="3"/>
  <c r="C21" i="3"/>
  <c r="C31" i="3" s="1"/>
  <c r="C32" i="3" s="1"/>
  <c r="C33" i="3"/>
  <c r="C30" i="3"/>
  <c r="M6" i="3"/>
  <c r="N6" i="3" s="1"/>
  <c r="Z29" i="3"/>
  <c r="W7" i="3"/>
  <c r="W8" i="3" s="1"/>
  <c r="W5" i="3"/>
  <c r="W6" i="2"/>
  <c r="J16" i="5" l="1"/>
  <c r="J17" i="5" s="1"/>
  <c r="W15" i="5"/>
  <c r="C35" i="5"/>
  <c r="W40" i="5"/>
  <c r="W29" i="5"/>
  <c r="W16" i="5"/>
  <c r="W34" i="5" s="1"/>
  <c r="W37" i="5"/>
  <c r="C34" i="3"/>
  <c r="W6" i="3"/>
  <c r="W27" i="3"/>
  <c r="Q16" i="3" s="1"/>
  <c r="J8" i="3"/>
  <c r="J7" i="3"/>
  <c r="J19" i="5" l="1"/>
  <c r="W23" i="5"/>
  <c r="W25" i="5"/>
  <c r="W22" i="5"/>
  <c r="W30" i="5" s="1"/>
  <c r="W26" i="5"/>
  <c r="W31" i="3"/>
  <c r="W28" i="3"/>
  <c r="M7" i="3"/>
  <c r="N7" i="3" s="1"/>
  <c r="J9" i="3"/>
  <c r="M9" i="3" s="1"/>
  <c r="N9" i="3" s="1"/>
  <c r="L8" i="3"/>
  <c r="M8" i="3" s="1"/>
  <c r="N8" i="3" s="1"/>
  <c r="J12" i="3"/>
  <c r="K8" i="3"/>
  <c r="Z23" i="5" l="1"/>
  <c r="W31" i="5"/>
  <c r="Z22" i="5"/>
  <c r="W35" i="5"/>
  <c r="J16" i="3"/>
  <c r="Z30" i="5" l="1"/>
  <c r="Z31" i="5"/>
  <c r="J17" i="3"/>
  <c r="W13" i="3"/>
  <c r="W36" i="5" l="1"/>
  <c r="W18" i="3"/>
  <c r="W17" i="3"/>
  <c r="W16" i="3"/>
  <c r="W23" i="3" s="1"/>
  <c r="W20" i="3"/>
  <c r="W25" i="3" s="1"/>
  <c r="W24" i="3"/>
  <c r="W10" i="2" l="1"/>
  <c r="AO20" i="2"/>
  <c r="AO23" i="2"/>
  <c r="W8" i="2" l="1"/>
  <c r="F8" i="2"/>
  <c r="W11" i="2"/>
  <c r="X11" i="2"/>
  <c r="X10" i="2"/>
  <c r="X9" i="2"/>
  <c r="X8" i="2"/>
  <c r="C18" i="2"/>
  <c r="D19" i="2"/>
  <c r="R20" i="2"/>
  <c r="R17" i="2"/>
  <c r="W20" i="2"/>
  <c r="X7" i="2"/>
  <c r="X6" i="2"/>
  <c r="X43" i="2"/>
  <c r="R19" i="2"/>
  <c r="X18" i="2"/>
  <c r="X17" i="2"/>
  <c r="X26" i="2"/>
  <c r="X23" i="2"/>
  <c r="X20" i="2"/>
  <c r="D35" i="2"/>
  <c r="D34" i="2"/>
  <c r="D33" i="2"/>
  <c r="D32" i="2"/>
  <c r="D31" i="2"/>
  <c r="D30" i="2"/>
  <c r="K17" i="2"/>
  <c r="K18" i="2"/>
  <c r="W9" i="2" l="1"/>
  <c r="Z20" i="2"/>
  <c r="Z21" i="2"/>
  <c r="W7" i="2"/>
  <c r="B25" i="2"/>
  <c r="BE8" i="2"/>
  <c r="BD8" i="2"/>
  <c r="BC8" i="2"/>
  <c r="AY8" i="2"/>
  <c r="AX8" i="2"/>
  <c r="AW8" i="2"/>
  <c r="AY11" i="2"/>
  <c r="AY15" i="2"/>
  <c r="AX15" i="2"/>
  <c r="AW15" i="2"/>
  <c r="AY14" i="2"/>
  <c r="AX14" i="2"/>
  <c r="AW14" i="2"/>
  <c r="AY13" i="2"/>
  <c r="AX13" i="2"/>
  <c r="AW13" i="2"/>
  <c r="AY12" i="2"/>
  <c r="AX12" i="2"/>
  <c r="AW12" i="2"/>
  <c r="AX11" i="2"/>
  <c r="AW11" i="2"/>
  <c r="AY10" i="2"/>
  <c r="AX10" i="2"/>
  <c r="AW10" i="2"/>
  <c r="AY9" i="2"/>
  <c r="AX9" i="2"/>
  <c r="AW9" i="2"/>
  <c r="AT33" i="2"/>
  <c r="AS33" i="2"/>
  <c r="C25" i="2"/>
  <c r="C11" i="2" s="1"/>
  <c r="C23" i="2"/>
  <c r="C24" i="2" s="1"/>
  <c r="BG29" i="2"/>
  <c r="BA29" i="2"/>
  <c r="BG28" i="2"/>
  <c r="BA28" i="2"/>
  <c r="BG27" i="2"/>
  <c r="BA27" i="2"/>
  <c r="BG26" i="2"/>
  <c r="BA26" i="2"/>
  <c r="BG25" i="2"/>
  <c r="BA25" i="2"/>
  <c r="BG24" i="2"/>
  <c r="BA24" i="2"/>
  <c r="BG23" i="2"/>
  <c r="BA23" i="2"/>
  <c r="BG22" i="2"/>
  <c r="BA22" i="2"/>
  <c r="BG21" i="2"/>
  <c r="BA21" i="2"/>
  <c r="BG20" i="2"/>
  <c r="BA20" i="2"/>
  <c r="BG19" i="2"/>
  <c r="BA19" i="2"/>
  <c r="BG18" i="2"/>
  <c r="BA18" i="2"/>
  <c r="BG17" i="2"/>
  <c r="BA17" i="2"/>
  <c r="BG16" i="2"/>
  <c r="BA16" i="2"/>
  <c r="BG15" i="2"/>
  <c r="BA15" i="2"/>
  <c r="BG14" i="2"/>
  <c r="BA14" i="2"/>
  <c r="BG13" i="2"/>
  <c r="BA13" i="2"/>
  <c r="BG12" i="2"/>
  <c r="BA12" i="2"/>
  <c r="BG11" i="2"/>
  <c r="BA11" i="2"/>
  <c r="BG10" i="2"/>
  <c r="BA10" i="2"/>
  <c r="BG9" i="2"/>
  <c r="BA9" i="2"/>
  <c r="BG8" i="2"/>
  <c r="BA8" i="2"/>
  <c r="G9" i="2"/>
  <c r="G8" i="2"/>
  <c r="G7" i="2"/>
  <c r="G6" i="2"/>
  <c r="K14" i="2"/>
  <c r="K15" i="2"/>
  <c r="D18" i="2"/>
  <c r="K13" i="2"/>
  <c r="M6" i="2"/>
  <c r="D23" i="2"/>
  <c r="D22" i="2"/>
  <c r="D21" i="2"/>
  <c r="D20" i="2"/>
  <c r="D17" i="2"/>
  <c r="D15" i="2"/>
  <c r="D25" i="2"/>
  <c r="D13" i="2"/>
  <c r="D12" i="2"/>
  <c r="D7" i="2"/>
  <c r="D8" i="2"/>
  <c r="D9" i="2"/>
  <c r="D6" i="2"/>
  <c r="W18" i="2" l="1"/>
  <c r="Q19" i="2" s="1"/>
  <c r="W43" i="2" s="1"/>
  <c r="L7" i="2"/>
  <c r="C20" i="2"/>
  <c r="L11" i="2"/>
  <c r="L10" i="2"/>
  <c r="L8" i="2"/>
  <c r="K7" i="2"/>
  <c r="J11" i="2"/>
  <c r="J7" i="2"/>
  <c r="C22" i="2"/>
  <c r="K11" i="2"/>
  <c r="W30" i="2" l="1"/>
  <c r="K10" i="2"/>
  <c r="M7" i="2"/>
  <c r="K8" i="2"/>
  <c r="C30" i="2"/>
  <c r="C31" i="2" s="1"/>
  <c r="L6" i="2"/>
  <c r="C28" i="2"/>
  <c r="J6" i="2"/>
  <c r="K6" i="2"/>
  <c r="W31" i="2" l="1"/>
  <c r="N7" i="2"/>
  <c r="C21" i="2"/>
  <c r="C32" i="2" l="1"/>
  <c r="C33" i="2" s="1"/>
  <c r="C34" i="2"/>
  <c r="J14" i="2"/>
  <c r="J15" i="2"/>
  <c r="J8" i="2" s="1"/>
  <c r="C35" i="2" l="1"/>
  <c r="J9" i="2"/>
  <c r="L9" i="2"/>
  <c r="K9" i="2"/>
  <c r="M8" i="2"/>
  <c r="M11" i="2"/>
  <c r="N11" i="2" s="1"/>
  <c r="N8" i="2" l="1"/>
  <c r="J10" i="2"/>
  <c r="J13" i="2" s="1"/>
  <c r="M9" i="2"/>
  <c r="N9" i="2" s="1"/>
  <c r="M10" i="2" l="1"/>
  <c r="N10" i="2" s="1"/>
  <c r="J17" i="2" l="1"/>
  <c r="W16" i="2" s="1"/>
  <c r="J20" i="2" l="1"/>
  <c r="Q21" i="2"/>
  <c r="J18" i="2"/>
  <c r="W40" i="2"/>
  <c r="W24" i="2" l="1"/>
  <c r="W38" i="2" s="1"/>
  <c r="W17" i="2"/>
  <c r="W37" i="2" s="1"/>
  <c r="W23" i="2"/>
  <c r="Z24" i="2" s="1"/>
  <c r="W27" i="2"/>
  <c r="W26" i="2"/>
  <c r="W34" i="2" l="1"/>
  <c r="Z23" i="2"/>
  <c r="W32" i="2"/>
  <c r="Z32" i="2" l="1"/>
  <c r="W35" i="2"/>
  <c r="Z34" i="2"/>
  <c r="Z35" i="2" s="1"/>
  <c r="W33" i="2"/>
  <c r="W39" i="2" l="1"/>
  <c r="Z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Logan Bonney</author>
  </authors>
  <commentList>
    <comment ref="W26" authorId="0" shapeId="0" xr:uid="{53F81960-5C9F-41DA-8A4E-9CB23E76E33F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  <comment ref="W27" authorId="0" shapeId="0" xr:uid="{13025B37-5341-48D6-AF59-2F3A67BDA936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  <author>Caiden Logan Bonney</author>
  </authors>
  <commentList>
    <comment ref="Q16" authorId="0" shapeId="0" xr:uid="{9FCCD0B8-18F1-4C1D-8636-DE292C1ED1F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Currently equal to external load caused by pressurized cylinder</t>
        </r>
      </text>
    </comment>
    <comment ref="Q17" authorId="0" shapeId="0" xr:uid="{375DFB4F-7F92-405E-9A22-CDA311823B3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Currently equal to external load caused by pressurized cylinder</t>
        </r>
      </text>
    </comment>
    <comment ref="W25" authorId="1" shapeId="0" xr:uid="{555E3C86-1437-4517-BDA6-7E492906CB85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  <comment ref="W26" authorId="1" shapeId="0" xr:uid="{717FF1EF-3E72-4A2D-8695-59324F48ED3E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  <comment ref="S71" authorId="0" shapeId="0" xr:uid="{9DFCDB54-A7B2-4587-8ED7-032EE46FB5E0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based on the previous practice quiz he doesn't want it on the bolt but on the joint here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  <author>Caiden Logan Bonney</author>
  </authors>
  <commentList>
    <comment ref="Q16" authorId="0" shapeId="0" xr:uid="{1248AF6A-55BE-4842-B1C7-2B60C19E391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Currently equal to external load caused by pressurized cylinder</t>
        </r>
      </text>
    </comment>
    <comment ref="Q17" authorId="0" shapeId="0" xr:uid="{4C8F17C9-C01C-4FD8-91C3-21E40C85192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Currently equal to external load caused by pressurized cylinder</t>
        </r>
      </text>
    </comment>
    <comment ref="W25" authorId="1" shapeId="0" xr:uid="{F199D650-C9FE-4FD8-B5DE-5D552029B681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  <comment ref="W26" authorId="1" shapeId="0" xr:uid="{EB35E11F-487A-483F-B88D-FDFA4BA3AD56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  <comment ref="S71" authorId="0" shapeId="0" xr:uid="{575E19D9-CA7E-458B-B328-9E813BCD030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based on the previous practice quiz he doesn't want it on the bolt but on the joint here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Logan Bonney</author>
  </authors>
  <commentList>
    <comment ref="W18" authorId="0" shapeId="0" xr:uid="{F7219B39-7460-4D53-8763-094B0130620B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Logan Bonney</author>
  </authors>
  <commentList>
    <comment ref="W25" authorId="0" shapeId="0" xr:uid="{A6C7D3E0-45B0-4FE1-8AF9-862966FACC75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  <comment ref="W26" authorId="0" shapeId="0" xr:uid="{5722E37B-AF2C-4E3F-9228-00EAB3086107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<sst xmlns="http://schemas.openxmlformats.org/spreadsheetml/2006/main" count="840" uniqueCount="147">
  <si>
    <t>INPUTS</t>
  </si>
  <si>
    <t>OUTPUTS</t>
  </si>
  <si>
    <t>English</t>
  </si>
  <si>
    <t>Bolt diameter, d</t>
  </si>
  <si>
    <t>Bolt Length, L</t>
  </si>
  <si>
    <r>
      <t>Fastener Stiffness, k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</si>
  <si>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Area of unthreaded portion, A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</si>
  <si>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Area of threaded portion, A</t>
    </r>
    <r>
      <rPr>
        <vertAlign val="subscript"/>
        <sz val="11"/>
        <color theme="1"/>
        <rFont val="Aptos Narrow"/>
        <family val="2"/>
        <scheme val="minor"/>
      </rPr>
      <t>t</t>
    </r>
  </si>
  <si>
    <t>Threaded into bottom member</t>
  </si>
  <si>
    <t>Threaded into nut</t>
  </si>
  <si>
    <t>Elastic Modulus</t>
  </si>
  <si>
    <t>E top washer</t>
  </si>
  <si>
    <t>E top member</t>
  </si>
  <si>
    <t>E bottom washer</t>
  </si>
  <si>
    <t>E bottom member</t>
  </si>
  <si>
    <t>Bolt Properties</t>
  </si>
  <si>
    <t>Member Properties</t>
  </si>
  <si>
    <t>Units:</t>
  </si>
  <si>
    <t>Frusta Dimensions</t>
  </si>
  <si>
    <t>Segment</t>
  </si>
  <si>
    <t>1/k</t>
  </si>
  <si>
    <r>
      <t>Threaded bolt length, L</t>
    </r>
    <r>
      <rPr>
        <vertAlign val="subscript"/>
        <sz val="11"/>
        <color theme="1"/>
        <rFont val="Aptos Narrow"/>
        <family val="2"/>
        <scheme val="minor"/>
      </rPr>
      <t>T</t>
    </r>
  </si>
  <si>
    <t>Grip length, l</t>
  </si>
  <si>
    <t>Half grip length, l/2</t>
  </si>
  <si>
    <r>
      <t>Unthreaded bolt length, l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</si>
  <si>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Threaded bolt length in grip, l</t>
    </r>
    <r>
      <rPr>
        <vertAlign val="subscript"/>
        <sz val="11"/>
        <color theme="1"/>
        <rFont val="Aptos Narrow"/>
        <family val="2"/>
        <scheme val="minor"/>
      </rPr>
      <t>t</t>
    </r>
  </si>
  <si>
    <t>.</t>
  </si>
  <si>
    <r>
      <t>Bottom Washer Length, t</t>
    </r>
    <r>
      <rPr>
        <vertAlign val="subscript"/>
        <sz val="11"/>
        <color theme="1"/>
        <rFont val="Aptos Narrow"/>
        <family val="2"/>
        <scheme val="minor"/>
      </rPr>
      <t>bw</t>
    </r>
  </si>
  <si>
    <r>
      <t>Top Washer Length, t</t>
    </r>
    <r>
      <rPr>
        <vertAlign val="subscript"/>
        <sz val="11"/>
        <color theme="1"/>
        <rFont val="Aptos Narrow"/>
        <family val="2"/>
        <scheme val="minor"/>
      </rPr>
      <t>tw</t>
    </r>
  </si>
  <si>
    <r>
      <t>Top Member Length, t</t>
    </r>
    <r>
      <rPr>
        <vertAlign val="subscript"/>
        <sz val="11"/>
        <color theme="1"/>
        <rFont val="Aptos Narrow"/>
        <family val="2"/>
        <scheme val="minor"/>
      </rPr>
      <t>tm</t>
    </r>
  </si>
  <si>
    <r>
      <t>Bottom Member Length, t</t>
    </r>
    <r>
      <rPr>
        <vertAlign val="subscript"/>
        <sz val="11"/>
        <color theme="1"/>
        <rFont val="Aptos Narrow"/>
        <family val="2"/>
        <scheme val="minor"/>
      </rPr>
      <t>bm</t>
    </r>
  </si>
  <si>
    <t>Apex angle, α</t>
  </si>
  <si>
    <t>degrees</t>
  </si>
  <si>
    <t>Thickness check</t>
  </si>
  <si>
    <r>
      <t>Member Stiffness, k</t>
    </r>
    <r>
      <rPr>
        <vertAlign val="subscript"/>
        <sz val="11"/>
        <color theme="1"/>
        <rFont val="Aptos Narrow"/>
        <family val="2"/>
        <scheme val="minor"/>
      </rPr>
      <t>m</t>
    </r>
  </si>
  <si>
    <t>&lt;---- Note that if this option is selected also change Bottom Washer Length to 0</t>
  </si>
  <si>
    <t>Metric</t>
  </si>
  <si>
    <t>Fully Threaded</t>
  </si>
  <si>
    <r>
      <t>Unthreaded Fastener Stiffness, k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</si>
  <si>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Threaded Fastener Stiffness, k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</si>
  <si>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</si>
  <si>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Pitch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</si>
  <si>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</si>
  <si>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</si>
  <si>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UNC</t>
  </si>
  <si>
    <t>UNF</t>
  </si>
  <si>
    <t>Size Designation</t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</si>
  <si>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</si>
  <si>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Threads per Inch </t>
    </r>
    <r>
      <rPr>
        <b/>
        <i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</si>
  <si>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</si>
  <si>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</si>
  <si>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Bolt elastic modulus, E</t>
  </si>
  <si>
    <t>Series</t>
  </si>
  <si>
    <t>Table 8-1</t>
  </si>
  <si>
    <t>Table 8-2</t>
  </si>
  <si>
    <t>Joint Compliance, C</t>
  </si>
  <si>
    <t>Bolt Loading</t>
  </si>
  <si>
    <t>Number of Bolts, N</t>
  </si>
  <si>
    <r>
      <t>Load per member, 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</si>
  <si>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Opening load, P</t>
    </r>
    <r>
      <rPr>
        <vertAlign val="subscript"/>
        <sz val="11"/>
        <color theme="1"/>
        <rFont val="Aptos Narrow"/>
        <family val="2"/>
        <scheme val="minor"/>
      </rPr>
      <t>o</t>
    </r>
  </si>
  <si>
    <t>Factors of Safety</t>
  </si>
  <si>
    <r>
      <t>Proof strength FoS, η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</si>
  <si>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Proof load FoS, η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</si>
  <si>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Joint opening FoS, η</t>
    </r>
    <r>
      <rPr>
        <vertAlign val="subscript"/>
        <sz val="11"/>
        <color theme="1"/>
        <rFont val="Aptos Narrow"/>
        <family val="2"/>
        <scheme val="minor"/>
      </rPr>
      <t>o</t>
    </r>
  </si>
  <si>
    <r>
      <t>Proof Load, P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</si>
  <si>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Preload, F</t>
    </r>
    <r>
      <rPr>
        <vertAlign val="subscript"/>
        <sz val="11"/>
        <color theme="1"/>
        <rFont val="Aptos Narrow"/>
        <family val="2"/>
        <scheme val="minor"/>
      </rPr>
      <t>i</t>
    </r>
  </si>
  <si>
    <t>Torque, T</t>
  </si>
  <si>
    <t>Torque coefficient, K</t>
  </si>
  <si>
    <r>
      <t>Minimum Proof Strength, S</t>
    </r>
    <r>
      <rPr>
        <vertAlign val="subscript"/>
        <sz val="11"/>
        <color theme="1"/>
        <rFont val="Aptos Narrow"/>
        <family val="2"/>
        <scheme val="minor"/>
      </rPr>
      <t>p</t>
    </r>
  </si>
  <si>
    <t>Loading on Bolts</t>
  </si>
  <si>
    <t>Override Preload</t>
  </si>
  <si>
    <t>Percent of Proof Load</t>
  </si>
  <si>
    <t>Grade No.</t>
  </si>
  <si>
    <t>Override threaded length</t>
  </si>
  <si>
    <r>
      <t>Minimum Tensile Strength, S</t>
    </r>
    <r>
      <rPr>
        <vertAlign val="subscript"/>
        <sz val="11"/>
        <color theme="1"/>
        <rFont val="Aptos Narrow"/>
        <family val="2"/>
        <scheme val="minor"/>
      </rPr>
      <t>ut</t>
    </r>
  </si>
  <si>
    <r>
      <t>Minimum Yield Strength, S</t>
    </r>
    <r>
      <rPr>
        <vertAlign val="subscript"/>
        <sz val="11"/>
        <color theme="1"/>
        <rFont val="Aptos Narrow"/>
        <family val="2"/>
        <scheme val="minor"/>
      </rPr>
      <t>y</t>
    </r>
  </si>
  <si>
    <t>Property Class</t>
  </si>
  <si>
    <t>Min Size</t>
  </si>
  <si>
    <t>Max Size</t>
  </si>
  <si>
    <t>Material</t>
  </si>
  <si>
    <t>Low or medium carbon</t>
  </si>
  <si>
    <t>Medium carbon, Q&amp;T</t>
  </si>
  <si>
    <t>Low-carbon martensite, Q&amp;T</t>
  </si>
  <si>
    <t>Alloy, Q&amp;T</t>
  </si>
  <si>
    <t>SAE Grade No.</t>
  </si>
  <si>
    <t>Min Size (in)</t>
  </si>
  <si>
    <t>Max Size (in)</t>
  </si>
  <si>
    <t>Medium carbon, cold-drawn</t>
  </si>
  <si>
    <t>Medium-carbon alloy, Q&amp;T</t>
  </si>
  <si>
    <t>Table 8-9</t>
  </si>
  <si>
    <t>Table 8-11</t>
  </si>
  <si>
    <t>Proof Strength (psi)</t>
  </si>
  <si>
    <t>Tensile Strength (psi)</t>
  </si>
  <si>
    <t>Tensile Strength (Pa)</t>
  </si>
  <si>
    <t>Proof Strength (Pa)</t>
  </si>
  <si>
    <t>Yield Strength (Pa)</t>
  </si>
  <si>
    <t>Filtering Tables 8-9 and 8-11 for when one grade no. has two lines of data based on diameter</t>
  </si>
  <si>
    <t>Minimum Strengths of the Bolt</t>
  </si>
  <si>
    <t>Yield Strength (psi)</t>
  </si>
  <si>
    <t>Tables</t>
  </si>
  <si>
    <r>
      <t>External Load total, P</t>
    </r>
    <r>
      <rPr>
        <vertAlign val="subscript"/>
        <sz val="11"/>
        <color theme="1"/>
        <rFont val="Aptos Narrow"/>
        <family val="2"/>
        <scheme val="minor"/>
      </rPr>
      <t>min_total</t>
    </r>
  </si>
  <si>
    <r>
      <t>External Load total, P</t>
    </r>
    <r>
      <rPr>
        <vertAlign val="subscript"/>
        <sz val="11"/>
        <color theme="1"/>
        <rFont val="Aptos Narrow"/>
        <family val="2"/>
        <scheme val="minor"/>
      </rPr>
      <t>max_total</t>
    </r>
  </si>
  <si>
    <r>
      <t>External Load per joint, P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</si>
  <si>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External Load per joint, P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</si>
  <si>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Load per bolt, F</t>
    </r>
    <r>
      <rPr>
        <vertAlign val="subscript"/>
        <sz val="11"/>
        <color theme="1"/>
        <rFont val="Aptos Narrow"/>
        <family val="2"/>
        <scheme val="minor"/>
      </rPr>
      <t>b_min</t>
    </r>
  </si>
  <si>
    <t>Pressurized Cylinder diameter</t>
  </si>
  <si>
    <t>Pressurized Cylinder Area</t>
  </si>
  <si>
    <t>Calculations for Loading due to Pressurized Cylinder</t>
  </si>
  <si>
    <t>copy pasted these values in to external loads above as values</t>
  </si>
  <si>
    <r>
      <t>Pressure in Cyclinder, Pr</t>
    </r>
    <r>
      <rPr>
        <vertAlign val="subscript"/>
        <sz val="11"/>
        <color theme="1"/>
        <rFont val="Aptos Narrow"/>
        <family val="2"/>
        <scheme val="minor"/>
      </rPr>
      <t>min_total</t>
    </r>
  </si>
  <si>
    <r>
      <t>Pressure in Cyclinder, Pr</t>
    </r>
    <r>
      <rPr>
        <vertAlign val="subscript"/>
        <sz val="11"/>
        <color theme="1"/>
        <rFont val="Aptos Narrow"/>
        <family val="2"/>
        <scheme val="minor"/>
      </rPr>
      <t>max_total</t>
    </r>
  </si>
  <si>
    <r>
      <t>Load per member, F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</si>
  <si>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Load per bolt, F</t>
    </r>
    <r>
      <rPr>
        <vertAlign val="subscript"/>
        <sz val="11"/>
        <color theme="1"/>
        <rFont val="Aptos Narrow"/>
        <family val="2"/>
        <scheme val="minor"/>
      </rPr>
      <t>b_max</t>
    </r>
  </si>
  <si>
    <t>Bolt Stress</t>
  </si>
  <si>
    <r>
      <t>Bolt Sress, σ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</si>
  <si>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Alternating Bolt Sress, σ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</si>
  <si>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Mean Bolt Sress, σ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</si>
  <si>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Bolt Sress, σ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</si>
  <si>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Load per member, F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</si>
  <si>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Mean Load per bolt, 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</si>
  <si>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Alternating Load per bolt, 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</si>
  <si>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Mean Load per joint, P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</si>
  <si>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Alternating Load per joint, P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</si>
  <si>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Initial Bolt Sress, σ</t>
    </r>
    <r>
      <rPr>
        <vertAlign val="subscript"/>
        <sz val="11"/>
        <color theme="1"/>
        <rFont val="Aptos Narrow"/>
        <family val="2"/>
        <scheme val="minor"/>
      </rPr>
      <t>i</t>
    </r>
  </si>
  <si>
    <t>Torque based on Preload</t>
  </si>
  <si>
    <t>Table 8-17</t>
  </si>
  <si>
    <t>Endurance Strength (Pa)</t>
  </si>
  <si>
    <t>Endurance Strength (psi)</t>
  </si>
  <si>
    <t>Filtering Table 8-17 for when one grade no. has two lines of data based on diameter</t>
  </si>
  <si>
    <r>
      <t>Corrected Endurance Strength, S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</si>
  <si>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Goodman Fatigue FoS, η</t>
    </r>
    <r>
      <rPr>
        <i/>
        <vertAlign val="subscript"/>
        <sz val="11"/>
        <color theme="1"/>
        <rFont val="Aptos Narrow"/>
        <family val="2"/>
        <scheme val="minor"/>
      </rPr>
      <t>f</t>
    </r>
  </si>
  <si>
    <t>was written as FoS against yield on practice quiz --&gt;</t>
  </si>
  <si>
    <t>EQ (8-38)</t>
  </si>
  <si>
    <r>
      <t>Alternating External  Load per joint, P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</si>
  <si>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Mean External Load per joint, P</t>
    </r>
    <r>
      <rPr>
        <vertAlign val="subscript"/>
        <sz val="11"/>
        <color theme="1"/>
        <rFont val="Aptos Narrow"/>
        <family val="2"/>
        <scheme val="minor"/>
      </rPr>
      <t>m</t>
    </r>
  </si>
  <si>
    <t>Q</t>
  </si>
  <si>
    <t>-</t>
  </si>
  <si>
    <t/>
  </si>
  <si>
    <t xml:space="preserve">               change Bottom Washer Length to 0</t>
  </si>
  <si>
    <t xml:space="preserve">     &lt;---- Note that if this option is selected also</t>
  </si>
  <si>
    <r>
      <t>Max Preload, F</t>
    </r>
    <r>
      <rPr>
        <vertAlign val="subscript"/>
        <sz val="11"/>
        <color theme="1"/>
        <rFont val="Aptos Narrow"/>
        <family val="2"/>
        <scheme val="minor"/>
      </rPr>
      <t>i</t>
    </r>
  </si>
  <si>
    <t>Max preload before its making the goodman factor of safety</t>
  </si>
  <si>
    <t>worse (According to beginning of Lecture 11 Video)</t>
  </si>
  <si>
    <t>I don't see how this is the case and am confused--&gt;</t>
  </si>
  <si>
    <t>match these when load isn't changing--&gt;</t>
  </si>
  <si>
    <t>Lectures 7&amp;8 Bolt and Member Stiffness Calculations</t>
  </si>
  <si>
    <t>Lectures 9 Tensile Load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</si>
</sst>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0"/>
    <numFmt numFmtId="165" formatCode="##0.0E+00"/>
    <numFmt numFmtId="166" formatCode="##0.00E+00"/>
    <numFmt numFmtId="167" formatCode="0.000"/>
    <numFmt numFmtId="168" formatCode="_(* #,##0_);_(* \(#,##0\);_(* &quot;-&quot;??_);_(@_)"/>
    <numFmt numFmtId="169" formatCode="##0E+00"/>
    <numFmt numFmtId="170" formatCode="##0.000E+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vertAlign val="subscript"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38">
    <xf numFmtId="0" fontId="0" fillId="0" borderId="0" xfId="0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0" fontId="0" fillId="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2" borderId="0" xfId="0" applyNumberFormat="1" applyFill="1" applyAlignment="1">
      <alignment vertical="center"/>
    </xf>
    <xf numFmtId="165" fontId="0" fillId="3" borderId="0" xfId="0" applyNumberFormat="1" applyFill="1" applyAlignment="1">
      <alignment vertical="center"/>
    </xf>
    <xf numFmtId="166" fontId="0" fillId="3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167" fontId="0" fillId="3" borderId="0" xfId="0" applyNumberFormat="1" applyFill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2" fontId="0" fillId="0" borderId="6" xfId="0" applyNumberFormat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12" fontId="0" fillId="0" borderId="18" xfId="0" applyNumberFormat="1" applyBorder="1" applyAlignment="1">
      <alignment vertical="center" wrapText="1"/>
    </xf>
    <xf numFmtId="12" fontId="0" fillId="0" borderId="20" xfId="0" applyNumberFormat="1" applyBorder="1" applyAlignment="1">
      <alignment vertical="center" wrapText="1"/>
    </xf>
    <xf numFmtId="12" fontId="0" fillId="0" borderId="24" xfId="0" applyNumberFormat="1" applyBorder="1" applyAlignment="1">
      <alignment vertical="center" wrapText="1"/>
    </xf>
    <xf numFmtId="0" fontId="0" fillId="8" borderId="0" xfId="0" applyFill="1" applyAlignment="1">
      <alignment vertical="center"/>
    </xf>
    <xf numFmtId="0" fontId="0" fillId="8" borderId="23" xfId="0" applyFill="1" applyBorder="1" applyAlignment="1">
      <alignment vertical="center"/>
    </xf>
    <xf numFmtId="168" fontId="0" fillId="2" borderId="0" xfId="1" applyNumberFormat="1" applyFont="1" applyFill="1" applyAlignment="1">
      <alignment vertical="center"/>
    </xf>
    <xf numFmtId="0" fontId="0" fillId="3" borderId="0" xfId="1" applyNumberFormat="1" applyFont="1" applyFill="1" applyAlignment="1">
      <alignment vertical="center"/>
    </xf>
    <xf numFmtId="0" fontId="0" fillId="2" borderId="0" xfId="1" applyNumberFormat="1" applyFont="1" applyFill="1" applyAlignment="1">
      <alignment vertical="center"/>
    </xf>
    <xf numFmtId="167" fontId="0" fillId="2" borderId="0" xfId="0" applyNumberFormat="1" applyFill="1" applyAlignment="1">
      <alignment vertical="center"/>
    </xf>
    <xf numFmtId="9" fontId="0" fillId="2" borderId="0" xfId="2" applyFont="1" applyFill="1" applyAlignment="1">
      <alignment vertical="center"/>
    </xf>
    <xf numFmtId="0" fontId="0" fillId="0" borderId="0" xfId="0" applyAlignment="1">
      <alignment horizontal="right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5" xfId="0" applyBorder="1" applyAlignment="1">
      <alignment vertical="center"/>
    </xf>
    <xf numFmtId="0" fontId="1" fillId="9" borderId="9" xfId="0" applyFont="1" applyFill="1" applyBorder="1" applyAlignment="1">
      <alignment horizontal="left" vertical="center"/>
    </xf>
    <xf numFmtId="12" fontId="0" fillId="0" borderId="21" xfId="0" applyNumberFormat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12" fontId="0" fillId="0" borderId="2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12" fontId="0" fillId="0" borderId="9" xfId="0" applyNumberForma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26" xfId="0" applyBorder="1" applyAlignment="1">
      <alignment vertical="center"/>
    </xf>
    <xf numFmtId="0" fontId="0" fillId="0" borderId="31" xfId="0" applyBorder="1" applyAlignment="1">
      <alignment vertical="center" wrapText="1"/>
    </xf>
    <xf numFmtId="12" fontId="0" fillId="0" borderId="27" xfId="0" applyNumberForma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6" xfId="0" applyBorder="1" applyAlignment="1">
      <alignment vertical="center"/>
    </xf>
    <xf numFmtId="169" fontId="0" fillId="3" borderId="0" xfId="0" applyNumberFormat="1" applyFill="1" applyAlignment="1">
      <alignment vertical="center"/>
    </xf>
    <xf numFmtId="170" fontId="0" fillId="3" borderId="0" xfId="0" applyNumberFormat="1" applyFill="1" applyAlignment="1">
      <alignment vertical="center"/>
    </xf>
    <xf numFmtId="170" fontId="0" fillId="0" borderId="0" xfId="0" applyNumberFormat="1" applyAlignment="1">
      <alignment vertical="center"/>
    </xf>
    <xf numFmtId="170" fontId="0" fillId="0" borderId="21" xfId="0" applyNumberFormat="1" applyBorder="1" applyAlignment="1">
      <alignment vertical="center"/>
    </xf>
    <xf numFmtId="169" fontId="0" fillId="0" borderId="0" xfId="0" applyNumberFormat="1" applyAlignment="1">
      <alignment vertical="center"/>
    </xf>
    <xf numFmtId="169" fontId="0" fillId="0" borderId="21" xfId="0" applyNumberFormat="1" applyBorder="1" applyAlignment="1">
      <alignment vertical="center"/>
    </xf>
    <xf numFmtId="170" fontId="0" fillId="0" borderId="24" xfId="0" applyNumberFormat="1" applyBorder="1" applyAlignment="1">
      <alignment vertical="center"/>
    </xf>
    <xf numFmtId="169" fontId="0" fillId="0" borderId="28" xfId="0" applyNumberFormat="1" applyBorder="1" applyAlignment="1">
      <alignment vertical="center"/>
    </xf>
    <xf numFmtId="169" fontId="0" fillId="0" borderId="7" xfId="0" applyNumberFormat="1" applyBorder="1" applyAlignment="1">
      <alignment vertical="center"/>
    </xf>
    <xf numFmtId="169" fontId="0" fillId="0" borderId="27" xfId="0" applyNumberFormat="1" applyBorder="1" applyAlignment="1">
      <alignment vertical="center"/>
    </xf>
    <xf numFmtId="169" fontId="0" fillId="0" borderId="9" xfId="0" applyNumberFormat="1" applyBorder="1" applyAlignment="1">
      <alignment vertical="center"/>
    </xf>
    <xf numFmtId="169" fontId="0" fillId="0" borderId="12" xfId="0" applyNumberFormat="1" applyBorder="1" applyAlignment="1">
      <alignment vertical="center"/>
    </xf>
    <xf numFmtId="170" fontId="0" fillId="0" borderId="12" xfId="0" applyNumberFormat="1" applyBorder="1" applyAlignment="1">
      <alignment vertical="center"/>
    </xf>
    <xf numFmtId="169" fontId="0" fillId="0" borderId="23" xfId="0" applyNumberFormat="1" applyBorder="1" applyAlignment="1">
      <alignment vertical="center"/>
    </xf>
    <xf numFmtId="170" fontId="0" fillId="0" borderId="23" xfId="0" applyNumberFormat="1" applyBorder="1" applyAlignment="1">
      <alignment vertical="center"/>
    </xf>
    <xf numFmtId="0" fontId="1" fillId="8" borderId="13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168" fontId="0" fillId="3" borderId="0" xfId="0" applyNumberFormat="1" applyFill="1" applyAlignment="1">
      <alignment vertical="center"/>
    </xf>
    <xf numFmtId="43" fontId="0" fillId="3" borderId="0" xfId="0" applyNumberFormat="1" applyFill="1" applyAlignment="1">
      <alignment vertical="center"/>
    </xf>
    <xf numFmtId="1" fontId="0" fillId="2" borderId="0" xfId="0" applyNumberFormat="1" applyFill="1" applyAlignment="1">
      <alignment vertical="center"/>
    </xf>
    <xf numFmtId="164" fontId="0" fillId="6" borderId="0" xfId="0" applyNumberFormat="1" applyFill="1" applyAlignment="1">
      <alignment vertical="center"/>
    </xf>
    <xf numFmtId="169" fontId="0" fillId="0" borderId="30" xfId="0" applyNumberFormat="1" applyBorder="1" applyAlignment="1">
      <alignment vertical="center"/>
    </xf>
    <xf numFmtId="169" fontId="0" fillId="0" borderId="19" xfId="0" applyNumberFormat="1" applyBorder="1" applyAlignment="1">
      <alignment vertical="center"/>
    </xf>
    <xf numFmtId="169" fontId="0" fillId="0" borderId="25" xfId="0" applyNumberFormat="1" applyBorder="1" applyAlignment="1">
      <alignment vertical="center"/>
    </xf>
    <xf numFmtId="169" fontId="0" fillId="0" borderId="26" xfId="0" applyNumberFormat="1" applyBorder="1" applyAlignment="1">
      <alignment vertical="center"/>
    </xf>
    <xf numFmtId="169" fontId="0" fillId="0" borderId="17" xfId="0" applyNumberFormat="1" applyBorder="1" applyAlignment="1">
      <alignment vertical="center"/>
    </xf>
    <xf numFmtId="169" fontId="0" fillId="0" borderId="13" xfId="0" applyNumberFormat="1" applyBorder="1" applyAlignment="1">
      <alignment vertical="center"/>
    </xf>
    <xf numFmtId="169" fontId="0" fillId="0" borderId="36" xfId="0" applyNumberFormat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3" borderId="0" xfId="1" applyNumberFormat="1" applyFont="1" applyFill="1" applyAlignment="1">
      <alignment vertical="center"/>
    </xf>
    <xf numFmtId="0" fontId="0" fillId="3" borderId="0" xfId="0" applyFill="1" applyAlignment="1">
      <alignment horizontal="right"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3" fontId="0" fillId="3" borderId="0" xfId="0" applyNumberFormat="1" applyFill="1" applyAlignment="1">
      <alignment vertical="center"/>
    </xf>
    <xf numFmtId="0" fontId="1" fillId="7" borderId="0" xfId="0" applyFont="1" applyFill="1" applyAlignment="1">
      <alignment horizontal="center" vertical="center" wrapText="1"/>
    </xf>
    <xf numFmtId="0" fontId="0" fillId="0" borderId="0" xfId="0" quotePrefix="1" applyAlignment="1">
      <alignment vertical="center"/>
    </xf>
    <xf numFmtId="0" fontId="1" fillId="7" borderId="0" xfId="0" applyFont="1" applyFill="1" applyAlignment="1">
      <alignment horizontal="left" vertical="center"/>
    </xf>
    <xf numFmtId="1" fontId="0" fillId="3" borderId="0" xfId="1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11" borderId="2" xfId="0" applyFont="1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9" borderId="1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8"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Medium9"/>
  <colors>
    <mruColors>
      <color rgb="FFFF5050"/>
      <color rgb="FFFF66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615507</xdr:colOff>
      <xdr:row>57</xdr:row>
      <xdr:rowOff>118164</xdr:rowOff>
    </xdr:from>
    <xdr:to>
      <xdr:col>8</xdr:col>
      <xdr:colOff>76647</xdr:colOff>
      <xdr:row>68</xdr:row>
      <xdr:rowOff>118164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94BC41-DA15-4C17-65A4-286E4D257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614" y="10799771"/>
          <a:ext cx="6545019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315006</xdr:colOff>
      <xdr:row>71</xdr:row>
      <xdr:rowOff>12247</xdr:rowOff>
    </xdr:from>
    <xdr:to>
      <xdr:col>8</xdr:col>
      <xdr:colOff>373173</xdr:colOff>
      <xdr:row>121</xdr:row>
      <xdr:rowOff>125186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586235-24FB-4FC6-82FB-CB99D24A9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006" y="13360854"/>
          <a:ext cx="7727153" cy="9637939"/>
        </a:xfrm>
        <a:prstGeom prst="rect">
          <a:avLst/>
        </a:prstGeom>
      </xdr:spPr>
    </xdr:pic>
    <xdr:clientData/>
  </xdr:twoCellAnchor>
  <xdr:twoCellAnchor editAs="oneCell">
    <xdr:from>
      <xdr:col>1</xdr:col>
      <xdr:colOff>119083</xdr:colOff>
      <xdr:row>36</xdr:row>
      <xdr:rowOff>147769</xdr:rowOff>
    </xdr:from>
    <xdr:to>
      <xdr:col>8</xdr:col>
      <xdr:colOff>602187</xdr:colOff>
      <xdr:row>54</xdr:row>
      <xdr:rowOff>79189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1FF51CD-E96C-9520-435A-17D36B1C4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190" y="6828876"/>
          <a:ext cx="7566983" cy="3360420"/>
        </a:xfrm>
        <a:prstGeom prst="rect">
          <a:avLst/>
        </a:prstGeom>
      </xdr:spPr>
    </xdr:pic>
    <xdr:clientData/>
  </xdr:twoCellAnchor>
  <xdr:twoCellAnchor editAs="oneCell">
    <xdr:from>
      <xdr:col>42</xdr:col>
      <xdr:colOff>504825</xdr:colOff>
      <xdr:row>34</xdr:row>
      <xdr:rowOff>76200</xdr:rowOff>
    </xdr:from>
    <xdr:to>
      <xdr:col>49</xdr:col>
      <xdr:colOff>666750</xdr:colOff>
      <xdr:row>86</xdr:row>
      <xdr:rowOff>123825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945C3E6-BB7A-0B36-8A04-0423D50D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10325" y="6553200"/>
          <a:ext cx="7075954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571500</xdr:colOff>
      <xdr:row>30</xdr:row>
      <xdr:rowOff>69273</xdr:rowOff>
    </xdr:from>
    <xdr:to>
      <xdr:col>61</xdr:col>
      <xdr:colOff>254207</xdr:colOff>
      <xdr:row>77</xdr:row>
      <xdr:rowOff>69273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47AE89-1315-EC46-4772-FB5A1C0D4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2636" y="5403273"/>
          <a:ext cx="9536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742084</xdr:colOff>
      <xdr:row>73</xdr:row>
      <xdr:rowOff>172316</xdr:rowOff>
    </xdr:from>
    <xdr:to>
      <xdr:col>42</xdr:col>
      <xdr:colOff>29610</xdr:colOff>
      <xdr:row>119</xdr:row>
      <xdr:rowOff>183065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F4E56-103B-4C84-884F-ED2FAA07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74784" y="13888316"/>
          <a:ext cx="9574526" cy="8773749"/>
        </a:xfrm>
        <a:prstGeom prst="rect">
          <a:avLst/>
        </a:prstGeom>
      </xdr:spPr>
    </xdr:pic>
    <xdr:clientData/>
  </xdr:twoCellAnchor>
  <xdr:twoCellAnchor editAs="oneCell">
    <xdr:from>
      <xdr:col>33</xdr:col>
      <xdr:colOff>833003</xdr:colOff>
      <xdr:row>120</xdr:row>
      <xdr:rowOff>96550</xdr:rowOff>
    </xdr:from>
    <xdr:to>
      <xdr:col>41</xdr:col>
      <xdr:colOff>400793</xdr:colOff>
      <xdr:row>178</xdr:row>
      <xdr:rowOff>40934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18A575-8C08-4F9C-B9D8-951A5965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865703" y="22766050"/>
          <a:ext cx="9245190" cy="10993384"/>
        </a:xfrm>
        <a:prstGeom prst="rect">
          <a:avLst/>
        </a:prstGeom>
      </xdr:spPr>
    </xdr:pic>
    <xdr:clientData/>
  </xdr:twoCellAnchor>
  <xdr:twoCellAnchor editAs="oneCell">
    <xdr:from>
      <xdr:col>33</xdr:col>
      <xdr:colOff>917430</xdr:colOff>
      <xdr:row>32</xdr:row>
      <xdr:rowOff>97414</xdr:rowOff>
    </xdr:from>
    <xdr:to>
      <xdr:col>41</xdr:col>
      <xdr:colOff>434224</xdr:colOff>
      <xdr:row>72</xdr:row>
      <xdr:rowOff>22267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9C7982-05BF-4306-BD28-727390ED8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750105" y="6002914"/>
          <a:ext cx="9146569" cy="7544853"/>
        </a:xfrm>
        <a:prstGeom prst="rect">
          <a:avLst/>
        </a:prstGeom>
      </xdr:spPr>
    </xdr:pic>
    <xdr:clientData/>
  </xdr:twoCellAnchor>
  <xdr:twoCellAnchor editAs="oneCell">
    <xdr:from>
      <xdr:col>28</xdr:col>
      <xdr:colOff>600891</xdr:colOff>
      <xdr:row>21</xdr:row>
      <xdr:rowOff>136546</xdr:rowOff>
    </xdr:from>
    <xdr:to>
      <xdr:col>33</xdr:col>
      <xdr:colOff>882540</xdr:colOff>
      <xdr:row>38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302D6F-7AA0-52F0-9F11-1F500F425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823341" y="3946546"/>
          <a:ext cx="5891874" cy="3149579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</xdr:colOff>
      <xdr:row>73</xdr:row>
      <xdr:rowOff>0</xdr:rowOff>
    </xdr:from>
    <xdr:to>
      <xdr:col>25</xdr:col>
      <xdr:colOff>296159</xdr:colOff>
      <xdr:row>77</xdr:row>
      <xdr:rowOff>85843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AD7DCC-65A5-9CC6-DF58-28A2F65FE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792950" y="13716000"/>
          <a:ext cx="6335009" cy="847843"/>
        </a:xfrm>
        <a:prstGeom prst="rect">
          <a:avLst/>
        </a:prstGeom>
      </xdr:spPr>
    </xdr:pic>
    <xdr:clientData/>
  </xdr:twoCellAnchor>
  <xdr:twoCellAnchor editAs="oneCell">
    <xdr:from>
      <xdr:col>21</xdr:col>
      <xdr:colOff>197360</xdr:colOff>
      <xdr:row>78</xdr:row>
      <xdr:rowOff>76200</xdr:rowOff>
    </xdr:from>
    <xdr:to>
      <xdr:col>25</xdr:col>
      <xdr:colOff>19050</xdr:colOff>
      <xdr:row>93</xdr:row>
      <xdr:rowOff>4807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EAD6CA-6A6C-3CFC-382F-A654DFCDC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3160" y="14744700"/>
          <a:ext cx="5917690" cy="2786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47625</xdr:colOff>
      <xdr:row>60</xdr:row>
      <xdr:rowOff>111814</xdr:rowOff>
    </xdr:from>
    <xdr:to>
      <xdr:col>24</xdr:col>
      <xdr:colOff>1724024</xdr:colOff>
      <xdr:row>71</xdr:row>
      <xdr:rowOff>114299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9D1E4D-4875-3ECA-2853-C9CE48AE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83425" y="11351314"/>
          <a:ext cx="5467349" cy="2097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47</xdr:row>
      <xdr:rowOff>68658</xdr:rowOff>
    </xdr:from>
    <xdr:to>
      <xdr:col>25</xdr:col>
      <xdr:colOff>695324</xdr:colOff>
      <xdr:row>59</xdr:row>
      <xdr:rowOff>114299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32DA5E-5FA1-12D9-F76E-06A5931D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8831658"/>
          <a:ext cx="6715124" cy="233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615507</xdr:colOff>
      <xdr:row>56</xdr:row>
      <xdr:rowOff>118164</xdr:rowOff>
    </xdr:from>
    <xdr:to>
      <xdr:col>8</xdr:col>
      <xdr:colOff>76647</xdr:colOff>
      <xdr:row>67</xdr:row>
      <xdr:rowOff>118164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FEF17-85D2-4A41-810D-E002153AE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057" y="10786164"/>
          <a:ext cx="6519165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315006</xdr:colOff>
      <xdr:row>70</xdr:row>
      <xdr:rowOff>12247</xdr:rowOff>
    </xdr:from>
    <xdr:to>
      <xdr:col>8</xdr:col>
      <xdr:colOff>373173</xdr:colOff>
      <xdr:row>120</xdr:row>
      <xdr:rowOff>125186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B54D4A-02B0-4724-9618-9596A1D05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006" y="13347247"/>
          <a:ext cx="7706742" cy="9637939"/>
        </a:xfrm>
        <a:prstGeom prst="rect">
          <a:avLst/>
        </a:prstGeom>
      </xdr:spPr>
    </xdr:pic>
    <xdr:clientData/>
  </xdr:twoCellAnchor>
  <xdr:twoCellAnchor editAs="oneCell">
    <xdr:from>
      <xdr:col>1</xdr:col>
      <xdr:colOff>51848</xdr:colOff>
      <xdr:row>36</xdr:row>
      <xdr:rowOff>80534</xdr:rowOff>
    </xdr:from>
    <xdr:to>
      <xdr:col>8</xdr:col>
      <xdr:colOff>534952</xdr:colOff>
      <xdr:row>54</xdr:row>
      <xdr:rowOff>11954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89402E6-837A-49D4-9226-484387D60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5760" y="6938534"/>
          <a:ext cx="7531604" cy="3360420"/>
        </a:xfrm>
        <a:prstGeom prst="rect">
          <a:avLst/>
        </a:prstGeom>
      </xdr:spPr>
    </xdr:pic>
    <xdr:clientData/>
  </xdr:twoCellAnchor>
  <xdr:twoCellAnchor editAs="oneCell">
    <xdr:from>
      <xdr:col>42</xdr:col>
      <xdr:colOff>504825</xdr:colOff>
      <xdr:row>33</xdr:row>
      <xdr:rowOff>76200</xdr:rowOff>
    </xdr:from>
    <xdr:to>
      <xdr:col>50</xdr:col>
      <xdr:colOff>638174</xdr:colOff>
      <xdr:row>85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421128-F605-4CD9-92B3-88F6A7276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48375" y="6362700"/>
          <a:ext cx="707707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571500</xdr:colOff>
      <xdr:row>29</xdr:row>
      <xdr:rowOff>69273</xdr:rowOff>
    </xdr:from>
    <xdr:to>
      <xdr:col>62</xdr:col>
      <xdr:colOff>225632</xdr:colOff>
      <xdr:row>76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12E5D3-C1B7-4ECD-9F53-4F99497E0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25650" y="5593773"/>
          <a:ext cx="9417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742084</xdr:colOff>
      <xdr:row>72</xdr:row>
      <xdr:rowOff>172316</xdr:rowOff>
    </xdr:from>
    <xdr:to>
      <xdr:col>42</xdr:col>
      <xdr:colOff>29611</xdr:colOff>
      <xdr:row>118</xdr:row>
      <xdr:rowOff>183065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38B7E9-233E-4F0D-A8AE-484CA62F6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165309" y="13888316"/>
          <a:ext cx="9507851" cy="8773749"/>
        </a:xfrm>
        <a:prstGeom prst="rect">
          <a:avLst/>
        </a:prstGeom>
      </xdr:spPr>
    </xdr:pic>
    <xdr:clientData/>
  </xdr:twoCellAnchor>
  <xdr:twoCellAnchor editAs="oneCell">
    <xdr:from>
      <xdr:col>33</xdr:col>
      <xdr:colOff>833003</xdr:colOff>
      <xdr:row>119</xdr:row>
      <xdr:rowOff>96550</xdr:rowOff>
    </xdr:from>
    <xdr:to>
      <xdr:col>41</xdr:col>
      <xdr:colOff>400793</xdr:colOff>
      <xdr:row>177</xdr:row>
      <xdr:rowOff>40934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E99A88-0467-4471-B8C2-2ECD68FC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56228" y="22766050"/>
          <a:ext cx="9197565" cy="10993384"/>
        </a:xfrm>
        <a:prstGeom prst="rect">
          <a:avLst/>
        </a:prstGeom>
      </xdr:spPr>
    </xdr:pic>
    <xdr:clientData/>
  </xdr:twoCellAnchor>
  <xdr:twoCellAnchor editAs="oneCell">
    <xdr:from>
      <xdr:col>33</xdr:col>
      <xdr:colOff>917430</xdr:colOff>
      <xdr:row>31</xdr:row>
      <xdr:rowOff>97414</xdr:rowOff>
    </xdr:from>
    <xdr:to>
      <xdr:col>41</xdr:col>
      <xdr:colOff>434224</xdr:colOff>
      <xdr:row>71</xdr:row>
      <xdr:rowOff>22267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7670B4-006C-4788-8B09-66243546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340655" y="6002914"/>
          <a:ext cx="9146569" cy="7544853"/>
        </a:xfrm>
        <a:prstGeom prst="rect">
          <a:avLst/>
        </a:prstGeom>
      </xdr:spPr>
    </xdr:pic>
    <xdr:clientData/>
  </xdr:twoCellAnchor>
  <xdr:twoCellAnchor editAs="oneCell">
    <xdr:from>
      <xdr:col>28</xdr:col>
      <xdr:colOff>600891</xdr:colOff>
      <xdr:row>20</xdr:row>
      <xdr:rowOff>136546</xdr:rowOff>
    </xdr:from>
    <xdr:to>
      <xdr:col>33</xdr:col>
      <xdr:colOff>882540</xdr:colOff>
      <xdr:row>37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57E17E8-486A-478A-820E-B69C252B0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413891" y="3946546"/>
          <a:ext cx="5891874" cy="3149579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</xdr:colOff>
      <xdr:row>73</xdr:row>
      <xdr:rowOff>180975</xdr:rowOff>
    </xdr:from>
    <xdr:to>
      <xdr:col>25</xdr:col>
      <xdr:colOff>248534</xdr:colOff>
      <xdr:row>78</xdr:row>
      <xdr:rowOff>76318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5EF160F-852E-46A9-983B-D3187672B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21625" y="14087475"/>
          <a:ext cx="6335009" cy="847843"/>
        </a:xfrm>
        <a:prstGeom prst="rect">
          <a:avLst/>
        </a:prstGeom>
      </xdr:spPr>
    </xdr:pic>
    <xdr:clientData/>
  </xdr:twoCellAnchor>
  <xdr:twoCellAnchor editAs="oneCell">
    <xdr:from>
      <xdr:col>21</xdr:col>
      <xdr:colOff>149735</xdr:colOff>
      <xdr:row>79</xdr:row>
      <xdr:rowOff>66675</xdr:rowOff>
    </xdr:from>
    <xdr:to>
      <xdr:col>24</xdr:col>
      <xdr:colOff>2276475</xdr:colOff>
      <xdr:row>93</xdr:row>
      <xdr:rowOff>185782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76634CD-424D-4EB6-8B4C-66AEB70AA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1835" y="15116175"/>
          <a:ext cx="5917690" cy="2786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61</xdr:row>
      <xdr:rowOff>102289</xdr:rowOff>
    </xdr:from>
    <xdr:to>
      <xdr:col>24</xdr:col>
      <xdr:colOff>1676398</xdr:colOff>
      <xdr:row>72</xdr:row>
      <xdr:rowOff>104774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FE54E9-F7F0-4C51-9731-6A9B5D6C9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12100" y="11722789"/>
          <a:ext cx="5467348" cy="2097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28575</xdr:colOff>
      <xdr:row>48</xdr:row>
      <xdr:rowOff>59133</xdr:rowOff>
    </xdr:from>
    <xdr:to>
      <xdr:col>25</xdr:col>
      <xdr:colOff>647699</xdr:colOff>
      <xdr:row>60</xdr:row>
      <xdr:rowOff>104774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7EDDAB-AC29-4FE3-B43D-3A87F0A1A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40675" y="9203133"/>
          <a:ext cx="6715124" cy="233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17</xdr:col>
      <xdr:colOff>96291</xdr:colOff>
      <xdr:row>94</xdr:row>
      <xdr:rowOff>114425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F8B0DFE-6681-CA1C-22BF-41701E0AB68F}"/>
            </a:ext>
          </a:extLst>
        </xdr:cNvPr>
        <xdr:cNvGrpSpPr/>
      </xdr:nvGrpSpPr>
      <xdr:grpSpPr>
        <a:xfrm>
          <a:off x="8918864" y="6667500"/>
          <a:ext cx="7439200" cy="11353925"/>
          <a:chOff x="8934450" y="6667500"/>
          <a:chExt cx="7459116" cy="11353925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8D1E3BD2-6F5F-E310-7499-9A53807D0A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8934450" y="6667500"/>
            <a:ext cx="7459116" cy="10564699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42B78D4A-F304-2EAA-8F25-755FC45379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067800" y="17125950"/>
            <a:ext cx="3524742" cy="895475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247650</xdr:colOff>
      <xdr:row>95</xdr:row>
      <xdr:rowOff>161925</xdr:rowOff>
    </xdr:from>
    <xdr:to>
      <xdr:col>16</xdr:col>
      <xdr:colOff>782031</xdr:colOff>
      <xdr:row>109</xdr:row>
      <xdr:rowOff>114666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9FECDF6-8878-0BD6-78FC-4105C600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82100" y="18259425"/>
          <a:ext cx="7030431" cy="26197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615507</xdr:colOff>
      <xdr:row>56</xdr:row>
      <xdr:rowOff>118164</xdr:rowOff>
    </xdr:from>
    <xdr:to>
      <xdr:col>8</xdr:col>
      <xdr:colOff>76647</xdr:colOff>
      <xdr:row>67</xdr:row>
      <xdr:rowOff>118164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0AF2D-7F4E-40B9-AEC3-B764D1297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057" y="10786164"/>
          <a:ext cx="6519165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315006</xdr:colOff>
      <xdr:row>70</xdr:row>
      <xdr:rowOff>12247</xdr:rowOff>
    </xdr:from>
    <xdr:to>
      <xdr:col>8</xdr:col>
      <xdr:colOff>373173</xdr:colOff>
      <xdr:row>120</xdr:row>
      <xdr:rowOff>125186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0D590-CB56-4A1B-A459-A175B8200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006" y="13347247"/>
          <a:ext cx="7706742" cy="9637939"/>
        </a:xfrm>
        <a:prstGeom prst="rect">
          <a:avLst/>
        </a:prstGeom>
      </xdr:spPr>
    </xdr:pic>
    <xdr:clientData/>
  </xdr:twoCellAnchor>
  <xdr:twoCellAnchor editAs="oneCell">
    <xdr:from>
      <xdr:col>1</xdr:col>
      <xdr:colOff>51848</xdr:colOff>
      <xdr:row>36</xdr:row>
      <xdr:rowOff>80534</xdr:rowOff>
    </xdr:from>
    <xdr:to>
      <xdr:col>8</xdr:col>
      <xdr:colOff>534952</xdr:colOff>
      <xdr:row>54</xdr:row>
      <xdr:rowOff>11954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37C0AF2-DCD1-4B8F-8BE1-817FD7CA9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398" y="6938534"/>
          <a:ext cx="7541129" cy="3360420"/>
        </a:xfrm>
        <a:prstGeom prst="rect">
          <a:avLst/>
        </a:prstGeom>
      </xdr:spPr>
    </xdr:pic>
    <xdr:clientData/>
  </xdr:twoCellAnchor>
  <xdr:twoCellAnchor editAs="oneCell">
    <xdr:from>
      <xdr:col>42</xdr:col>
      <xdr:colOff>504825</xdr:colOff>
      <xdr:row>33</xdr:row>
      <xdr:rowOff>76200</xdr:rowOff>
    </xdr:from>
    <xdr:to>
      <xdr:col>50</xdr:col>
      <xdr:colOff>638174</xdr:colOff>
      <xdr:row>85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2505A9-7E03-438C-9D61-D57BD4791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05675" y="6362700"/>
          <a:ext cx="7077074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571500</xdr:colOff>
      <xdr:row>29</xdr:row>
      <xdr:rowOff>69273</xdr:rowOff>
    </xdr:from>
    <xdr:to>
      <xdr:col>62</xdr:col>
      <xdr:colOff>225632</xdr:colOff>
      <xdr:row>76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4D68F8-573D-4BCB-826E-17D74FA94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63900" y="5593773"/>
          <a:ext cx="9417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742084</xdr:colOff>
      <xdr:row>72</xdr:row>
      <xdr:rowOff>172316</xdr:rowOff>
    </xdr:from>
    <xdr:to>
      <xdr:col>42</xdr:col>
      <xdr:colOff>29611</xdr:colOff>
      <xdr:row>118</xdr:row>
      <xdr:rowOff>183065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BE71CC-BCF0-418A-AE9A-19B4BE87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422609" y="13888316"/>
          <a:ext cx="9507852" cy="8773749"/>
        </a:xfrm>
        <a:prstGeom prst="rect">
          <a:avLst/>
        </a:prstGeom>
      </xdr:spPr>
    </xdr:pic>
    <xdr:clientData/>
  </xdr:twoCellAnchor>
  <xdr:twoCellAnchor editAs="oneCell">
    <xdr:from>
      <xdr:col>33</xdr:col>
      <xdr:colOff>833003</xdr:colOff>
      <xdr:row>119</xdr:row>
      <xdr:rowOff>96550</xdr:rowOff>
    </xdr:from>
    <xdr:to>
      <xdr:col>41</xdr:col>
      <xdr:colOff>400793</xdr:colOff>
      <xdr:row>177</xdr:row>
      <xdr:rowOff>40934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3C8680-9A37-495F-A4D2-D80E8FBBC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513528" y="22766050"/>
          <a:ext cx="9197565" cy="10993384"/>
        </a:xfrm>
        <a:prstGeom prst="rect">
          <a:avLst/>
        </a:prstGeom>
      </xdr:spPr>
    </xdr:pic>
    <xdr:clientData/>
  </xdr:twoCellAnchor>
  <xdr:twoCellAnchor editAs="oneCell">
    <xdr:from>
      <xdr:col>33</xdr:col>
      <xdr:colOff>917430</xdr:colOff>
      <xdr:row>31</xdr:row>
      <xdr:rowOff>97414</xdr:rowOff>
    </xdr:from>
    <xdr:to>
      <xdr:col>41</xdr:col>
      <xdr:colOff>434224</xdr:colOff>
      <xdr:row>71</xdr:row>
      <xdr:rowOff>22267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1B4F30-1231-45D7-9578-03650A905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597955" y="6002914"/>
          <a:ext cx="9146569" cy="7544853"/>
        </a:xfrm>
        <a:prstGeom prst="rect">
          <a:avLst/>
        </a:prstGeom>
      </xdr:spPr>
    </xdr:pic>
    <xdr:clientData/>
  </xdr:twoCellAnchor>
  <xdr:twoCellAnchor editAs="oneCell">
    <xdr:from>
      <xdr:col>28</xdr:col>
      <xdr:colOff>600891</xdr:colOff>
      <xdr:row>20</xdr:row>
      <xdr:rowOff>136546</xdr:rowOff>
    </xdr:from>
    <xdr:to>
      <xdr:col>33</xdr:col>
      <xdr:colOff>882540</xdr:colOff>
      <xdr:row>37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B61552-E81A-43E6-9A61-4160561F2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671191" y="3946546"/>
          <a:ext cx="5891874" cy="3149579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</xdr:colOff>
      <xdr:row>73</xdr:row>
      <xdr:rowOff>180975</xdr:rowOff>
    </xdr:from>
    <xdr:to>
      <xdr:col>25</xdr:col>
      <xdr:colOff>248534</xdr:colOff>
      <xdr:row>78</xdr:row>
      <xdr:rowOff>76318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81AABF-7468-477A-9F4A-B887A5091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21625" y="14087475"/>
          <a:ext cx="6335009" cy="847843"/>
        </a:xfrm>
        <a:prstGeom prst="rect">
          <a:avLst/>
        </a:prstGeom>
      </xdr:spPr>
    </xdr:pic>
    <xdr:clientData/>
  </xdr:twoCellAnchor>
  <xdr:twoCellAnchor editAs="oneCell">
    <xdr:from>
      <xdr:col>21</xdr:col>
      <xdr:colOff>149735</xdr:colOff>
      <xdr:row>79</xdr:row>
      <xdr:rowOff>66675</xdr:rowOff>
    </xdr:from>
    <xdr:to>
      <xdr:col>24</xdr:col>
      <xdr:colOff>2276475</xdr:colOff>
      <xdr:row>93</xdr:row>
      <xdr:rowOff>185782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10EE0BC-6E73-480C-87E1-599501FAB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1835" y="15116175"/>
          <a:ext cx="5917690" cy="2786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61</xdr:row>
      <xdr:rowOff>102289</xdr:rowOff>
    </xdr:from>
    <xdr:to>
      <xdr:col>24</xdr:col>
      <xdr:colOff>1676398</xdr:colOff>
      <xdr:row>72</xdr:row>
      <xdr:rowOff>104774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A8EC3E-295B-4A15-A8F9-C21D897F7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12100" y="11722789"/>
          <a:ext cx="5467348" cy="2097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28575</xdr:colOff>
      <xdr:row>48</xdr:row>
      <xdr:rowOff>59133</xdr:rowOff>
    </xdr:from>
    <xdr:to>
      <xdr:col>25</xdr:col>
      <xdr:colOff>647699</xdr:colOff>
      <xdr:row>60</xdr:row>
      <xdr:rowOff>104774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B1B69B-A5C2-4496-8857-F0BD0736F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40675" y="9203133"/>
          <a:ext cx="6715124" cy="233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17</xdr:col>
      <xdr:colOff>96291</xdr:colOff>
      <xdr:row>94</xdr:row>
      <xdr:rowOff>114425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73F6983-E9B8-4B08-905F-303E0BFF3D39}"/>
            </a:ext>
          </a:extLst>
        </xdr:cNvPr>
        <xdr:cNvGrpSpPr/>
      </xdr:nvGrpSpPr>
      <xdr:grpSpPr>
        <a:xfrm>
          <a:off x="8967107" y="6667500"/>
          <a:ext cx="7484970" cy="11353925"/>
          <a:chOff x="8934450" y="6667500"/>
          <a:chExt cx="7459116" cy="11353925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83813062-BD7A-CC0A-1A19-1954DCE321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8934450" y="6667500"/>
            <a:ext cx="7459116" cy="10564699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607E098-9A2B-CAAF-13ED-569EE95A48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067800" y="17125950"/>
            <a:ext cx="3524742" cy="895475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247650</xdr:colOff>
      <xdr:row>95</xdr:row>
      <xdr:rowOff>161925</xdr:rowOff>
    </xdr:from>
    <xdr:to>
      <xdr:col>16</xdr:col>
      <xdr:colOff>782031</xdr:colOff>
      <xdr:row>109</xdr:row>
      <xdr:rowOff>114666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F2E45D3-D627-4D1D-B448-ABD58499C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82100" y="18259425"/>
          <a:ext cx="7030431" cy="26197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615507</xdr:colOff>
      <xdr:row>56</xdr:row>
      <xdr:rowOff>118164</xdr:rowOff>
    </xdr:from>
    <xdr:to>
      <xdr:col>8</xdr:col>
      <xdr:colOff>152847</xdr:colOff>
      <xdr:row>67</xdr:row>
      <xdr:rowOff>118164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BB3DA-5905-493C-A8C9-C5E75E6DF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057" y="10833789"/>
          <a:ext cx="6519165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315006</xdr:colOff>
      <xdr:row>70</xdr:row>
      <xdr:rowOff>12247</xdr:rowOff>
    </xdr:from>
    <xdr:to>
      <xdr:col>8</xdr:col>
      <xdr:colOff>449373</xdr:colOff>
      <xdr:row>120</xdr:row>
      <xdr:rowOff>125186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4FD6D-1764-44FF-A3BF-3728E319C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006" y="13394872"/>
          <a:ext cx="7706742" cy="9637939"/>
        </a:xfrm>
        <a:prstGeom prst="rect">
          <a:avLst/>
        </a:prstGeom>
      </xdr:spPr>
    </xdr:pic>
    <xdr:clientData/>
  </xdr:twoCellAnchor>
  <xdr:twoCellAnchor editAs="oneCell">
    <xdr:from>
      <xdr:col>1</xdr:col>
      <xdr:colOff>119083</xdr:colOff>
      <xdr:row>35</xdr:row>
      <xdr:rowOff>147769</xdr:rowOff>
    </xdr:from>
    <xdr:to>
      <xdr:col>8</xdr:col>
      <xdr:colOff>678387</xdr:colOff>
      <xdr:row>53</xdr:row>
      <xdr:rowOff>79189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72AEEFE-94A9-45E6-AAE9-BA5FDFE70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633" y="6862894"/>
          <a:ext cx="7541129" cy="3360420"/>
        </a:xfrm>
        <a:prstGeom prst="rect">
          <a:avLst/>
        </a:prstGeom>
      </xdr:spPr>
    </xdr:pic>
    <xdr:clientData/>
  </xdr:twoCellAnchor>
  <xdr:twoCellAnchor editAs="oneCell">
    <xdr:from>
      <xdr:col>33</xdr:col>
      <xdr:colOff>504825</xdr:colOff>
      <xdr:row>33</xdr:row>
      <xdr:rowOff>76200</xdr:rowOff>
    </xdr:from>
    <xdr:to>
      <xdr:col>41</xdr:col>
      <xdr:colOff>638175</xdr:colOff>
      <xdr:row>85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AF8EF9-DB01-47FB-8D6D-67BF7994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51775" y="6410325"/>
          <a:ext cx="707707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571500</xdr:colOff>
      <xdr:row>29</xdr:row>
      <xdr:rowOff>69273</xdr:rowOff>
    </xdr:from>
    <xdr:to>
      <xdr:col>53</xdr:col>
      <xdr:colOff>225632</xdr:colOff>
      <xdr:row>76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5FB7DC-7936-430F-B7A6-4F9BAC75F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29050" y="5641398"/>
          <a:ext cx="9417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56284</xdr:colOff>
      <xdr:row>73</xdr:row>
      <xdr:rowOff>58016</xdr:rowOff>
    </xdr:from>
    <xdr:to>
      <xdr:col>33</xdr:col>
      <xdr:colOff>210584</xdr:colOff>
      <xdr:row>119</xdr:row>
      <xdr:rowOff>68765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33D4F8-4A22-4850-8EB4-648ABD578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411584" y="14012141"/>
          <a:ext cx="9545950" cy="8773749"/>
        </a:xfrm>
        <a:prstGeom prst="rect">
          <a:avLst/>
        </a:prstGeom>
      </xdr:spPr>
    </xdr:pic>
    <xdr:clientData/>
  </xdr:twoCellAnchor>
  <xdr:twoCellAnchor editAs="oneCell">
    <xdr:from>
      <xdr:col>24</xdr:col>
      <xdr:colOff>147203</xdr:colOff>
      <xdr:row>119</xdr:row>
      <xdr:rowOff>172750</xdr:rowOff>
    </xdr:from>
    <xdr:to>
      <xdr:col>32</xdr:col>
      <xdr:colOff>562717</xdr:colOff>
      <xdr:row>177</xdr:row>
      <xdr:rowOff>117134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6692BC-1346-48C1-8B4F-C446304D1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502503" y="22889875"/>
          <a:ext cx="9216614" cy="10993384"/>
        </a:xfrm>
        <a:prstGeom prst="rect">
          <a:avLst/>
        </a:prstGeom>
      </xdr:spPr>
    </xdr:pic>
    <xdr:clientData/>
  </xdr:twoCellAnchor>
  <xdr:twoCellAnchor editAs="oneCell">
    <xdr:from>
      <xdr:col>24</xdr:col>
      <xdr:colOff>260205</xdr:colOff>
      <xdr:row>32</xdr:row>
      <xdr:rowOff>145039</xdr:rowOff>
    </xdr:from>
    <xdr:to>
      <xdr:col>33</xdr:col>
      <xdr:colOff>15123</xdr:colOff>
      <xdr:row>72</xdr:row>
      <xdr:rowOff>69892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CE5129-96DE-49CB-A687-74DE95C66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15505" y="6288664"/>
          <a:ext cx="9146568" cy="754485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615507</xdr:colOff>
      <xdr:row>56</xdr:row>
      <xdr:rowOff>118164</xdr:rowOff>
    </xdr:from>
    <xdr:to>
      <xdr:col>8</xdr:col>
      <xdr:colOff>76647</xdr:colOff>
      <xdr:row>67</xdr:row>
      <xdr:rowOff>118164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0B788-A7EC-42FF-9FDF-810D61C59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057" y="10786164"/>
          <a:ext cx="6519165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315006</xdr:colOff>
      <xdr:row>70</xdr:row>
      <xdr:rowOff>12247</xdr:rowOff>
    </xdr:from>
    <xdr:to>
      <xdr:col>8</xdr:col>
      <xdr:colOff>373173</xdr:colOff>
      <xdr:row>120</xdr:row>
      <xdr:rowOff>125186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31DB1C-8EFF-4A2D-A7A1-6A48405AA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006" y="13347247"/>
          <a:ext cx="7706742" cy="9637939"/>
        </a:xfrm>
        <a:prstGeom prst="rect">
          <a:avLst/>
        </a:prstGeom>
      </xdr:spPr>
    </xdr:pic>
    <xdr:clientData/>
  </xdr:twoCellAnchor>
  <xdr:twoCellAnchor editAs="oneCell">
    <xdr:from>
      <xdr:col>1</xdr:col>
      <xdr:colOff>119083</xdr:colOff>
      <xdr:row>35</xdr:row>
      <xdr:rowOff>147769</xdr:rowOff>
    </xdr:from>
    <xdr:to>
      <xdr:col>8</xdr:col>
      <xdr:colOff>602187</xdr:colOff>
      <xdr:row>53</xdr:row>
      <xdr:rowOff>79189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93D01BA6-A390-445D-BAB8-4CC961638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633" y="6815269"/>
          <a:ext cx="7541129" cy="3360420"/>
        </a:xfrm>
        <a:prstGeom prst="rect">
          <a:avLst/>
        </a:prstGeom>
      </xdr:spPr>
    </xdr:pic>
    <xdr:clientData/>
  </xdr:twoCellAnchor>
  <xdr:twoCellAnchor editAs="oneCell">
    <xdr:from>
      <xdr:col>42</xdr:col>
      <xdr:colOff>504825</xdr:colOff>
      <xdr:row>33</xdr:row>
      <xdr:rowOff>76200</xdr:rowOff>
    </xdr:from>
    <xdr:to>
      <xdr:col>50</xdr:col>
      <xdr:colOff>638175</xdr:colOff>
      <xdr:row>85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CDDCD2-F992-46B5-AFCF-2585B628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48375" y="6362700"/>
          <a:ext cx="707707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571500</xdr:colOff>
      <xdr:row>29</xdr:row>
      <xdr:rowOff>69273</xdr:rowOff>
    </xdr:from>
    <xdr:to>
      <xdr:col>62</xdr:col>
      <xdr:colOff>225632</xdr:colOff>
      <xdr:row>76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70D0C8-8C27-4ED7-AD01-AEF71AAC3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25650" y="5593773"/>
          <a:ext cx="9417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742084</xdr:colOff>
      <xdr:row>72</xdr:row>
      <xdr:rowOff>172316</xdr:rowOff>
    </xdr:from>
    <xdr:to>
      <xdr:col>42</xdr:col>
      <xdr:colOff>29610</xdr:colOff>
      <xdr:row>118</xdr:row>
      <xdr:rowOff>183065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1E8A3E-E518-4EED-B83B-69E779342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165309" y="13888316"/>
          <a:ext cx="9507851" cy="8773749"/>
        </a:xfrm>
        <a:prstGeom prst="rect">
          <a:avLst/>
        </a:prstGeom>
      </xdr:spPr>
    </xdr:pic>
    <xdr:clientData/>
  </xdr:twoCellAnchor>
  <xdr:twoCellAnchor editAs="oneCell">
    <xdr:from>
      <xdr:col>33</xdr:col>
      <xdr:colOff>833003</xdr:colOff>
      <xdr:row>119</xdr:row>
      <xdr:rowOff>96550</xdr:rowOff>
    </xdr:from>
    <xdr:to>
      <xdr:col>41</xdr:col>
      <xdr:colOff>400793</xdr:colOff>
      <xdr:row>177</xdr:row>
      <xdr:rowOff>40934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D1C0EF-C2FC-4304-9601-C665D2589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56228" y="22766050"/>
          <a:ext cx="9197565" cy="10993384"/>
        </a:xfrm>
        <a:prstGeom prst="rect">
          <a:avLst/>
        </a:prstGeom>
      </xdr:spPr>
    </xdr:pic>
    <xdr:clientData/>
  </xdr:twoCellAnchor>
  <xdr:twoCellAnchor editAs="oneCell">
    <xdr:from>
      <xdr:col>33</xdr:col>
      <xdr:colOff>917430</xdr:colOff>
      <xdr:row>31</xdr:row>
      <xdr:rowOff>97414</xdr:rowOff>
    </xdr:from>
    <xdr:to>
      <xdr:col>41</xdr:col>
      <xdr:colOff>434224</xdr:colOff>
      <xdr:row>71</xdr:row>
      <xdr:rowOff>22267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2698A1-F372-43E8-842C-28B545E4C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322165" y="6002914"/>
          <a:ext cx="9142647" cy="7544853"/>
        </a:xfrm>
        <a:prstGeom prst="rect">
          <a:avLst/>
        </a:prstGeom>
      </xdr:spPr>
    </xdr:pic>
    <xdr:clientData/>
  </xdr:twoCellAnchor>
  <xdr:twoCellAnchor editAs="oneCell">
    <xdr:from>
      <xdr:col>28</xdr:col>
      <xdr:colOff>600891</xdr:colOff>
      <xdr:row>20</xdr:row>
      <xdr:rowOff>136546</xdr:rowOff>
    </xdr:from>
    <xdr:to>
      <xdr:col>33</xdr:col>
      <xdr:colOff>882540</xdr:colOff>
      <xdr:row>37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E707D4-D5F6-475B-ADCC-776EB0976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413891" y="3946546"/>
          <a:ext cx="5891874" cy="3149579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</xdr:colOff>
      <xdr:row>67</xdr:row>
      <xdr:rowOff>161925</xdr:rowOff>
    </xdr:from>
    <xdr:to>
      <xdr:col>25</xdr:col>
      <xdr:colOff>677159</xdr:colOff>
      <xdr:row>72</xdr:row>
      <xdr:rowOff>57268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7C1D38-CC83-446E-9DD0-BD69C7253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792950" y="12925425"/>
          <a:ext cx="6335009" cy="847843"/>
        </a:xfrm>
        <a:prstGeom prst="rect">
          <a:avLst/>
        </a:prstGeom>
      </xdr:spPr>
    </xdr:pic>
    <xdr:clientData/>
  </xdr:twoCellAnchor>
  <xdr:twoCellAnchor editAs="oneCell">
    <xdr:from>
      <xdr:col>21</xdr:col>
      <xdr:colOff>197360</xdr:colOff>
      <xdr:row>73</xdr:row>
      <xdr:rowOff>47625</xdr:rowOff>
    </xdr:from>
    <xdr:to>
      <xdr:col>25</xdr:col>
      <xdr:colOff>400050</xdr:colOff>
      <xdr:row>87</xdr:row>
      <xdr:rowOff>166732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DD3D6EF-241E-49C3-AD90-E7F6DE156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3160" y="13954125"/>
          <a:ext cx="5917690" cy="2786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47625</xdr:colOff>
      <xdr:row>55</xdr:row>
      <xdr:rowOff>83239</xdr:rowOff>
    </xdr:from>
    <xdr:to>
      <xdr:col>24</xdr:col>
      <xdr:colOff>1724024</xdr:colOff>
      <xdr:row>66</xdr:row>
      <xdr:rowOff>85724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9BD995-0009-4B20-863A-DF55A5A59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83425" y="10560739"/>
          <a:ext cx="5467349" cy="2097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42</xdr:row>
      <xdr:rowOff>40083</xdr:rowOff>
    </xdr:from>
    <xdr:to>
      <xdr:col>25</xdr:col>
      <xdr:colOff>1076324</xdr:colOff>
      <xdr:row>54</xdr:row>
      <xdr:rowOff>85724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B9A82BD-45DE-499B-A9E5-CFB77355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8041083"/>
          <a:ext cx="6715124" cy="233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138545</xdr:colOff>
      <xdr:row>38</xdr:row>
      <xdr:rowOff>103908</xdr:rowOff>
    </xdr:from>
    <xdr:to>
      <xdr:col>19</xdr:col>
      <xdr:colOff>63426</xdr:colOff>
      <xdr:row>93</xdr:row>
      <xdr:rowOff>581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AEAC26-29F9-46E8-96A4-C0D23D7F6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739310" y="7342908"/>
          <a:ext cx="7735381" cy="1037417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2B78-6474-452A-AE1C-75BFF1E08805}">
  <sheetPr>
    <tabColor rgb="FFC00000"/>
  </sheetPr>
  <dimension ref="B2:BL151"/>
  <sheetViews>
    <sheetView tabSelected="1" topLeftCell="Y4" zoomScale="85" zoomScaleNormal="85" workbookViewId="0">
      <selection activeCell="AD5" sqref="AD5:AG5"/>
    </sheetView>
  </sheetViews>
  <sheetFormatPr defaultColWidth="8.85546875" defaultRowHeight="15" customHeight="1" x14ac:dyDescent="0.25"/>
  <cols>
    <col min="1" max="1" width="8.85546875" style="6"/>
    <col min="2" max="2" width="30.7109375" style="6" bestFit="1" customWidth="1"/>
    <col min="3" max="3" width="13" style="6" customWidth="1"/>
    <col min="4" max="4" width="10.140625" style="6" customWidth="1"/>
    <col min="5" max="5" width="23" style="6" bestFit="1" customWidth="1"/>
    <col min="6" max="6" width="10.7109375" style="6" customWidth="1"/>
    <col min="7" max="8" width="9.140625" style="6" customWidth="1"/>
    <col min="9" max="9" width="19.28515625" style="6" bestFit="1" customWidth="1"/>
    <col min="10" max="10" width="15" style="6" bestFit="1" customWidth="1"/>
    <col min="11" max="11" width="10.140625" style="6" bestFit="1" customWidth="1"/>
    <col min="12" max="12" width="9.7109375" style="6" bestFit="1" customWidth="1"/>
    <col min="13" max="13" width="11" style="6" bestFit="1" customWidth="1"/>
    <col min="14" max="14" width="12" style="6" bestFit="1" customWidth="1"/>
    <col min="15" max="15" width="8.85546875" style="6"/>
    <col min="16" max="16" width="30.7109375" style="6" bestFit="1" customWidth="1"/>
    <col min="17" max="17" width="13" style="6" customWidth="1"/>
    <col min="18" max="18" width="10.140625" style="6" customWidth="1"/>
    <col min="19" max="19" width="21.85546875" style="6" bestFit="1" customWidth="1"/>
    <col min="20" max="20" width="10.7109375" style="6" customWidth="1"/>
    <col min="21" max="21" width="8.85546875" style="6"/>
    <col min="22" max="22" width="30.28515625" style="6" bestFit="1" customWidth="1"/>
    <col min="23" max="23" width="16.42578125" style="6" bestFit="1" customWidth="1"/>
    <col min="24" max="24" width="10.140625" style="6" bestFit="1" customWidth="1"/>
    <col min="25" max="25" width="34.5703125" style="6" bestFit="1" customWidth="1"/>
    <col min="26" max="26" width="16.42578125" style="6" bestFit="1" customWidth="1"/>
    <col min="27" max="27" width="10.140625" style="6" customWidth="1"/>
    <col min="28" max="28" width="8.85546875" style="6"/>
    <col min="29" max="29" width="21.85546875" style="6" customWidth="1"/>
    <col min="30" max="30" width="14.28515625" style="6" bestFit="1" customWidth="1"/>
    <col min="31" max="31" width="12" style="6" bestFit="1" customWidth="1"/>
    <col min="32" max="32" width="12.28515625" style="6" bestFit="1" customWidth="1"/>
    <col min="33" max="33" width="23.7109375" style="6" bestFit="1" customWidth="1"/>
    <col min="34" max="34" width="21.28515625" style="6" customWidth="1"/>
    <col min="35" max="35" width="14.28515625" style="6" bestFit="1" customWidth="1"/>
    <col min="36" max="36" width="12" style="6" bestFit="1" customWidth="1"/>
    <col min="37" max="37" width="12.28515625" style="6" bestFit="1" customWidth="1"/>
    <col min="38" max="38" width="18.85546875" style="6" bestFit="1" customWidth="1"/>
    <col min="39" max="39" width="20.5703125" style="6" bestFit="1" customWidth="1"/>
    <col min="40" max="40" width="18.5703125" style="6" bestFit="1" customWidth="1"/>
    <col min="41" max="41" width="26.5703125" style="6" bestFit="1" customWidth="1"/>
    <col min="42" max="42" width="8.85546875" style="6"/>
    <col min="43" max="43" width="16.85546875" style="6" bestFit="1" customWidth="1"/>
    <col min="44" max="44" width="7.7109375" style="6" bestFit="1" customWidth="1"/>
    <col min="45" max="46" width="22.85546875" style="6" customWidth="1"/>
    <col min="47" max="47" width="8.85546875" style="6" bestFit="1"/>
    <col min="48" max="48" width="16.85546875" style="6" bestFit="1" customWidth="1"/>
    <col min="49" max="49" width="7.7109375" style="6" bestFit="1" customWidth="1"/>
    <col min="50" max="50" width="15.140625" style="6" customWidth="1"/>
    <col min="51" max="51" width="15.85546875" style="6" customWidth="1"/>
    <col min="52" max="52" width="9.140625" style="6"/>
    <col min="53" max="54" width="16.85546875" style="6" bestFit="1" customWidth="1"/>
    <col min="55" max="55" width="12" style="6" bestFit="1" customWidth="1"/>
    <col min="56" max="57" width="22.85546875" style="6" customWidth="1"/>
    <col min="58" max="58" width="8.85546875" style="6" bestFit="1"/>
    <col min="59" max="60" width="16.85546875" style="6" bestFit="1" customWidth="1"/>
    <col min="61" max="61" width="12" style="6" bestFit="1" customWidth="1"/>
    <col min="62" max="62" width="15.140625" style="6" customWidth="1"/>
    <col min="63" max="63" width="15.85546875" style="6" customWidth="1"/>
    <col min="64" max="16384" width="8.85546875" style="6"/>
  </cols>
  <sheetData>
    <row r="2" spans="2:64" ht="15" customHeight="1" x14ac:dyDescent="0.25">
      <c r="B2" s="134" t="s">
        <v>145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P2" s="135" t="s">
        <v>146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</row>
    <row r="3" spans="2:64" ht="15" customHeight="1" x14ac:dyDescent="0.25">
      <c r="B3" s="3" t="s">
        <v>0</v>
      </c>
      <c r="C3" s="4" t="s">
        <v>17</v>
      </c>
      <c r="D3" s="130" t="s">
        <v>36</v>
      </c>
      <c r="E3" s="1"/>
      <c r="F3" s="1"/>
      <c r="G3" s="1"/>
      <c r="I3" s="7" t="s">
        <v>1</v>
      </c>
      <c r="J3" s="2"/>
      <c r="K3" s="2"/>
      <c r="L3" s="2"/>
      <c r="M3" s="2"/>
      <c r="N3" s="2"/>
      <c r="P3" s="3" t="s">
        <v>0</v>
      </c>
      <c r="Q3" s="1"/>
      <c r="R3" s="1"/>
      <c r="S3" s="1"/>
      <c r="T3" s="1"/>
      <c r="V3" s="7" t="s">
        <v>1</v>
      </c>
      <c r="W3" s="2"/>
      <c r="X3" s="2"/>
      <c r="Y3" s="2"/>
      <c r="Z3" s="2"/>
      <c r="AA3" s="2"/>
      <c r="AC3" s="128" t="s">
        <v>99</v>
      </c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4" t="s">
        <v>137</v>
      </c>
    </row>
    <row r="4" spans="2:64" ht="15" customHeight="1" thickBot="1" x14ac:dyDescent="0.3">
      <c r="I4" s="1" t="s">
        <v>31</v>
      </c>
      <c r="J4" s="1">
        <v>30</v>
      </c>
      <c r="K4" s="1" t="s">
        <v>32</v>
      </c>
      <c r="AD4" s="6" t="s">
        <v>125</v>
      </c>
      <c r="AI4" s="6" t="s">
        <v>90</v>
      </c>
      <c r="AQ4" s="6" t="s">
        <v>53</v>
      </c>
      <c r="BA4" s="6" t="s">
        <v>54</v>
      </c>
    </row>
    <row r="5" spans="2:64" ht="15" customHeight="1" x14ac:dyDescent="0.25">
      <c r="B5" s="8" t="s">
        <v>16</v>
      </c>
      <c r="C5" s="9"/>
      <c r="D5" s="9"/>
      <c r="E5" s="10" t="s">
        <v>10</v>
      </c>
      <c r="F5" s="9"/>
      <c r="G5" s="9"/>
      <c r="I5" s="11" t="s">
        <v>18</v>
      </c>
      <c r="J5" s="11"/>
      <c r="K5" s="12"/>
      <c r="L5" s="12"/>
      <c r="M5" s="12"/>
      <c r="N5" s="12"/>
      <c r="V5" s="11" t="s">
        <v>97</v>
      </c>
      <c r="W5" s="11"/>
      <c r="X5" s="12"/>
      <c r="AD5" s="36" t="s">
        <v>36</v>
      </c>
      <c r="AE5" s="37"/>
      <c r="AF5" s="37"/>
      <c r="AG5" s="39"/>
      <c r="AI5" s="36" t="s">
        <v>36</v>
      </c>
      <c r="AJ5" s="37"/>
      <c r="AK5" s="37"/>
      <c r="AL5" s="38"/>
      <c r="AM5" s="38"/>
      <c r="AN5" s="37"/>
      <c r="AO5" s="39"/>
      <c r="AQ5" s="36"/>
      <c r="AR5" s="37"/>
      <c r="AS5" s="37"/>
      <c r="AT5" s="37"/>
      <c r="AU5" s="38" t="s">
        <v>36</v>
      </c>
      <c r="AV5" s="37"/>
      <c r="AW5" s="37"/>
      <c r="AX5" s="37"/>
      <c r="AY5" s="39"/>
      <c r="BA5" s="36"/>
      <c r="BB5" s="37"/>
      <c r="BC5" s="37"/>
      <c r="BD5" s="37"/>
      <c r="BE5" s="37"/>
      <c r="BF5" s="38" t="s">
        <v>2</v>
      </c>
      <c r="BG5" s="37"/>
      <c r="BH5" s="37"/>
      <c r="BI5" s="37"/>
      <c r="BJ5" s="37"/>
      <c r="BK5" s="39"/>
    </row>
    <row r="6" spans="2:64" ht="15" customHeight="1" x14ac:dyDescent="0.25">
      <c r="B6" s="1" t="s">
        <v>28</v>
      </c>
      <c r="C6" s="1">
        <v>3.5</v>
      </c>
      <c r="D6" s="1" t="str">
        <f>IF($D$3="English","in", "mm")</f>
        <v>mm</v>
      </c>
      <c r="E6" s="13" t="s">
        <v>11</v>
      </c>
      <c r="F6" s="22">
        <f>207*10^9</f>
        <v>207000000000</v>
      </c>
      <c r="G6" s="1" t="str">
        <f t="shared" ref="G6:G9" si="0">IF($D$3="English","psi","Pa")</f>
        <v>Pa</v>
      </c>
      <c r="I6" s="14" t="s">
        <v>19</v>
      </c>
      <c r="J6" s="15" t="str">
        <f>_xlfn.CONCAT("Thickness ", "[",D6,"]")</f>
        <v>Thickness [mm]</v>
      </c>
      <c r="K6" s="15" t="str">
        <f>_xlfn.CONCAT("D ", "[",D13,"]")</f>
        <v>D [mm]</v>
      </c>
      <c r="L6" s="15" t="str">
        <f>_xlfn.CONCAT("E ", "[",G6,"]")</f>
        <v>E [Pa]</v>
      </c>
      <c r="M6" s="15" t="str">
        <f>_xlfn.CONCAT("k ", "[",D34,"]")</f>
        <v>k [mN/m]</v>
      </c>
      <c r="N6" s="15" t="s">
        <v>20</v>
      </c>
      <c r="V6" s="2" t="s">
        <v>68</v>
      </c>
      <c r="W6" s="88">
        <f>IF(AND($C$13&gt;=$AJ$30,$C$13&lt;=$AK$30),AL30,IF(AND($C$13&gt;=$AJ$31,$C$13&lt;=$AK$31),AL31,NA()))</f>
        <v>830000000</v>
      </c>
      <c r="X6" s="2" t="str">
        <f>IF($D$3="English","psi","Pa")</f>
        <v>Pa</v>
      </c>
      <c r="AD6" s="60" t="s">
        <v>76</v>
      </c>
      <c r="AE6" s="61" t="s">
        <v>77</v>
      </c>
      <c r="AF6" s="61" t="s">
        <v>78</v>
      </c>
      <c r="AG6" s="62" t="s">
        <v>126</v>
      </c>
      <c r="AI6" s="60" t="s">
        <v>76</v>
      </c>
      <c r="AJ6" s="61" t="s">
        <v>77</v>
      </c>
      <c r="AK6" s="61" t="s">
        <v>78</v>
      </c>
      <c r="AL6" s="61" t="s">
        <v>94</v>
      </c>
      <c r="AM6" s="61" t="s">
        <v>93</v>
      </c>
      <c r="AN6" s="61" t="s">
        <v>95</v>
      </c>
      <c r="AO6" s="62" t="s">
        <v>79</v>
      </c>
      <c r="AQ6" s="131" t="s">
        <v>44</v>
      </c>
      <c r="AR6" s="132"/>
      <c r="AS6" s="132"/>
      <c r="AT6" s="132"/>
      <c r="AU6" s="52"/>
      <c r="AV6" s="132" t="s">
        <v>45</v>
      </c>
      <c r="AW6" s="132"/>
      <c r="AX6" s="132"/>
      <c r="AY6" s="133"/>
      <c r="BA6" s="131" t="s">
        <v>44</v>
      </c>
      <c r="BB6" s="132"/>
      <c r="BC6" s="132"/>
      <c r="BD6" s="132"/>
      <c r="BE6" s="132"/>
      <c r="BF6" s="52"/>
      <c r="BG6" s="132" t="s">
        <v>45</v>
      </c>
      <c r="BH6" s="132"/>
      <c r="BI6" s="132"/>
      <c r="BJ6" s="132"/>
      <c r="BK6" s="133"/>
    </row>
    <row r="7" spans="2:64" ht="15" customHeight="1" x14ac:dyDescent="0.25">
      <c r="B7" s="1" t="s">
        <v>29</v>
      </c>
      <c r="C7" s="1">
        <v>20</v>
      </c>
      <c r="D7" s="1" t="str">
        <f t="shared" ref="D7:D9" si="1">IF($D$3="English","in", "mm")</f>
        <v>mm</v>
      </c>
      <c r="E7" s="13" t="s">
        <v>12</v>
      </c>
      <c r="F7" s="22">
        <f>207*10^9</f>
        <v>207000000000</v>
      </c>
      <c r="G7" s="1" t="str">
        <f t="shared" si="0"/>
        <v>Pa</v>
      </c>
      <c r="I7" s="16">
        <v>1</v>
      </c>
      <c r="J7" s="2">
        <f>C6</f>
        <v>3.5</v>
      </c>
      <c r="K7" s="2">
        <f>1.5*C13</f>
        <v>15</v>
      </c>
      <c r="L7" s="23">
        <f>F6</f>
        <v>207000000000</v>
      </c>
      <c r="M7" s="23">
        <f>IF(J7=0,0,(PI()*L7*$C$13*TAN(RADIANS($J$4)))/LN(((2*J7*TAN(RADIANS($J$4))+K7-$C$13)*(K7+$C$13))/((2*J7*TAN(RADIANS($J$4))+K7+$C$13)*(K7-$C$13))))</f>
        <v>8484249709496.4932</v>
      </c>
      <c r="N7" s="23">
        <f>IF(M7=0,0,M7^-1)</f>
        <v>1.1786546061706451E-13</v>
      </c>
      <c r="V7" s="2"/>
      <c r="W7" s="2">
        <f>IF($D$3="English",W6*10^-3,W6*10^-6)</f>
        <v>830</v>
      </c>
      <c r="X7" s="2" t="str">
        <f>IF($D$3="English","kpsi","MPa")</f>
        <v>MPa</v>
      </c>
      <c r="AD7" s="42">
        <v>8.8000000000000007</v>
      </c>
      <c r="AE7" s="28">
        <v>16</v>
      </c>
      <c r="AF7" s="28">
        <v>36</v>
      </c>
      <c r="AG7" s="109">
        <v>129000000</v>
      </c>
      <c r="AI7" s="42">
        <v>4.5999999999999996</v>
      </c>
      <c r="AJ7" s="28">
        <v>5</v>
      </c>
      <c r="AK7" s="28">
        <v>36</v>
      </c>
      <c r="AL7" s="95">
        <v>225000000</v>
      </c>
      <c r="AM7" s="92">
        <v>400000000</v>
      </c>
      <c r="AN7" s="95">
        <v>240000000</v>
      </c>
      <c r="AO7" s="63" t="s">
        <v>80</v>
      </c>
      <c r="AQ7" s="40" t="s">
        <v>42</v>
      </c>
      <c r="AR7" s="31" t="s">
        <v>41</v>
      </c>
      <c r="AS7" s="31" t="s">
        <v>40</v>
      </c>
      <c r="AT7" s="32" t="s">
        <v>43</v>
      </c>
      <c r="AU7" s="52"/>
      <c r="AV7" s="30" t="s">
        <v>42</v>
      </c>
      <c r="AW7" s="31" t="s">
        <v>41</v>
      </c>
      <c r="AX7" s="31" t="s">
        <v>40</v>
      </c>
      <c r="AY7" s="41" t="s">
        <v>43</v>
      </c>
      <c r="BA7" s="40" t="s">
        <v>46</v>
      </c>
      <c r="BB7" s="30" t="s">
        <v>47</v>
      </c>
      <c r="BC7" s="31" t="s">
        <v>48</v>
      </c>
      <c r="BD7" s="31" t="s">
        <v>49</v>
      </c>
      <c r="BE7" s="32" t="s">
        <v>50</v>
      </c>
      <c r="BF7" s="52"/>
      <c r="BG7" s="30" t="s">
        <v>46</v>
      </c>
      <c r="BH7" s="30" t="s">
        <v>47</v>
      </c>
      <c r="BI7" s="31" t="s">
        <v>48</v>
      </c>
      <c r="BJ7" s="31" t="s">
        <v>49</v>
      </c>
      <c r="BK7" s="41" t="s">
        <v>50</v>
      </c>
    </row>
    <row r="8" spans="2:64" ht="15" customHeight="1" x14ac:dyDescent="0.25">
      <c r="B8" s="1" t="s">
        <v>30</v>
      </c>
      <c r="C8" s="1">
        <v>25</v>
      </c>
      <c r="D8" s="1" t="str">
        <f t="shared" si="1"/>
        <v>mm</v>
      </c>
      <c r="E8" s="13" t="s">
        <v>14</v>
      </c>
      <c r="F8" s="22">
        <f>100*10^9</f>
        <v>100000000000</v>
      </c>
      <c r="G8" s="1" t="str">
        <f t="shared" si="0"/>
        <v>Pa</v>
      </c>
      <c r="I8" s="16">
        <v>2</v>
      </c>
      <c r="J8" s="2">
        <f>IF(C6+C7&lt;J15,C7,J15-C6)</f>
        <v>20</v>
      </c>
      <c r="K8" s="18">
        <f>K7+2*J7*TAN(RADIANS($J$4))</f>
        <v>19.04145188432738</v>
      </c>
      <c r="L8" s="23">
        <f>F7</f>
        <v>207000000000</v>
      </c>
      <c r="M8" s="23">
        <f>IF(J8=0,0,(PI()*L8*$C$13*TAN(RADIANS($J$4)))/LN(((2*J8*TAN(RADIANS($J$4))+K8-$C$13)*(K8+$C$13))/((2*J8*TAN(RADIANS($J$4))+K8+$C$13)*(K8-$C$13))))</f>
        <v>5497011838838.2236</v>
      </c>
      <c r="N8" s="23">
        <f t="shared" ref="N8:N11" si="2">IF(M8=0,0,M8^-1)</f>
        <v>1.8191701770308484E-13</v>
      </c>
      <c r="V8" s="2" t="s">
        <v>74</v>
      </c>
      <c r="W8" s="89">
        <f>IF(AND($C$13&gt;=$AJ$30,$C$13&lt;=$AK$30),AM30,IF(AND($C$13&gt;=$AJ$31,$C$13&lt;=$AK$31),AM31,NA()))</f>
        <v>1040000000</v>
      </c>
      <c r="X8" s="2" t="str">
        <f>IF($D$3="English","psi","Pa")</f>
        <v>Pa</v>
      </c>
      <c r="AD8" s="42">
        <v>9.8000000000000007</v>
      </c>
      <c r="AE8" s="28">
        <v>1.6</v>
      </c>
      <c r="AF8" s="28">
        <v>16</v>
      </c>
      <c r="AG8" s="110">
        <v>140000000</v>
      </c>
      <c r="AI8" s="42">
        <v>4.8</v>
      </c>
      <c r="AJ8" s="28">
        <v>1.6</v>
      </c>
      <c r="AK8" s="28">
        <v>16</v>
      </c>
      <c r="AL8" s="96">
        <v>310000000</v>
      </c>
      <c r="AM8" s="92">
        <v>420000000</v>
      </c>
      <c r="AN8" s="96">
        <v>340000000</v>
      </c>
      <c r="AO8" s="63" t="s">
        <v>80</v>
      </c>
      <c r="AQ8" s="42">
        <v>1.6</v>
      </c>
      <c r="AR8" s="28">
        <v>0.35</v>
      </c>
      <c r="AS8" s="28">
        <v>1.27</v>
      </c>
      <c r="AT8" s="29">
        <v>1.07</v>
      </c>
      <c r="AU8" s="52"/>
      <c r="AV8" s="27">
        <v>1.6</v>
      </c>
      <c r="AW8" s="28" t="e">
        <f>NA()</f>
        <v>#N/A</v>
      </c>
      <c r="AX8" s="28" t="e">
        <f>NA()</f>
        <v>#N/A</v>
      </c>
      <c r="AY8" s="28" t="e">
        <f>NA()</f>
        <v>#N/A</v>
      </c>
      <c r="BA8" s="49">
        <f>0</f>
        <v>0</v>
      </c>
      <c r="BB8" s="27">
        <v>0.06</v>
      </c>
      <c r="BC8" s="28" t="e">
        <f>NA()</f>
        <v>#N/A</v>
      </c>
      <c r="BD8" s="28" t="e">
        <f>NA()</f>
        <v>#N/A</v>
      </c>
      <c r="BE8" s="29" t="e">
        <f>NA()</f>
        <v>#N/A</v>
      </c>
      <c r="BF8" s="52"/>
      <c r="BG8" s="35">
        <f>0</f>
        <v>0</v>
      </c>
      <c r="BH8" s="27">
        <v>0.06</v>
      </c>
      <c r="BI8" s="28">
        <v>80</v>
      </c>
      <c r="BJ8" s="28">
        <v>1.8E-3</v>
      </c>
      <c r="BK8" s="43">
        <v>1.5100000000000001E-3</v>
      </c>
    </row>
    <row r="9" spans="2:64" ht="15" customHeight="1" x14ac:dyDescent="0.25">
      <c r="B9" s="1" t="s">
        <v>27</v>
      </c>
      <c r="C9" s="1">
        <v>3.5</v>
      </c>
      <c r="D9" s="1" t="str">
        <f t="shared" si="1"/>
        <v>mm</v>
      </c>
      <c r="E9" s="13" t="s">
        <v>13</v>
      </c>
      <c r="F9" s="22">
        <f>207*10^9</f>
        <v>207000000000</v>
      </c>
      <c r="G9" s="1" t="str">
        <f t="shared" si="0"/>
        <v>Pa</v>
      </c>
      <c r="I9" s="16">
        <v>3</v>
      </c>
      <c r="J9" s="2">
        <f>IF(C6+C7&lt;J15,J15-C7-C6,C6+C7-J15)</f>
        <v>2.5</v>
      </c>
      <c r="K9" s="18">
        <f>IF(J7+J8&lt;J15,K8+2*J8*TAN(RADIANS($J$4)),K8+2*J8*TAN(RADIANS($J$4))-2*J9*TAN(RADIANS($J$4)))</f>
        <v>42.135462651912405</v>
      </c>
      <c r="L9" s="23">
        <f>IF(J7+J8&lt;J15,F8,F7)</f>
        <v>100000000000</v>
      </c>
      <c r="M9" s="23">
        <f>IF(J9=0,0,(PI()*L9*$C$13*TAN(RADIANS($J$4)))/LN(((2*J9*TAN(RADIANS($J$4))+K9-$C$13)*(K9+$C$13))/((2*J9*TAN(RADIANS($J$4))+K9+$C$13)*(K9-$C$13))))</f>
        <v>56450563048345.82</v>
      </c>
      <c r="N9" s="23">
        <f t="shared" si="2"/>
        <v>1.7714615160588787E-14</v>
      </c>
      <c r="V9" s="2"/>
      <c r="W9" s="2">
        <f>IF($D$3="English",W8*10^-3,W8*10^-6)</f>
        <v>1040</v>
      </c>
      <c r="X9" s="2" t="str">
        <f>IF($D$3="English","kpsi","MPa")</f>
        <v>MPa</v>
      </c>
      <c r="AD9" s="42">
        <v>10.9</v>
      </c>
      <c r="AE9" s="28">
        <v>5</v>
      </c>
      <c r="AF9" s="28">
        <v>36</v>
      </c>
      <c r="AG9" s="110">
        <v>162000000</v>
      </c>
      <c r="AI9" s="42">
        <v>5.8</v>
      </c>
      <c r="AJ9" s="28">
        <v>5</v>
      </c>
      <c r="AK9" s="28">
        <v>24</v>
      </c>
      <c r="AL9" s="96">
        <v>380000000</v>
      </c>
      <c r="AM9" s="92">
        <v>520000000</v>
      </c>
      <c r="AN9" s="96">
        <v>420000000</v>
      </c>
      <c r="AO9" s="63" t="s">
        <v>80</v>
      </c>
      <c r="AQ9" s="42">
        <v>2</v>
      </c>
      <c r="AR9" s="28">
        <v>0.4</v>
      </c>
      <c r="AS9" s="28">
        <v>2.0699999999999998</v>
      </c>
      <c r="AT9" s="29">
        <v>1.79</v>
      </c>
      <c r="AU9" s="52"/>
      <c r="AV9" s="27">
        <v>2</v>
      </c>
      <c r="AW9" s="28" t="e">
        <f>NA()</f>
        <v>#N/A</v>
      </c>
      <c r="AX9" s="28" t="e">
        <f>NA()</f>
        <v>#N/A</v>
      </c>
      <c r="AY9" s="28" t="e">
        <f>NA()</f>
        <v>#N/A</v>
      </c>
      <c r="BA9" s="49">
        <f>1</f>
        <v>1</v>
      </c>
      <c r="BB9" s="27">
        <v>7.2999999999999995E-2</v>
      </c>
      <c r="BC9" s="28">
        <v>64</v>
      </c>
      <c r="BD9" s="28">
        <v>2.63E-3</v>
      </c>
      <c r="BE9" s="29">
        <v>2.1800000000000001E-3</v>
      </c>
      <c r="BF9" s="52"/>
      <c r="BG9" s="35">
        <f>1</f>
        <v>1</v>
      </c>
      <c r="BH9" s="27">
        <v>7.2999999999999995E-2</v>
      </c>
      <c r="BI9" s="28">
        <v>72</v>
      </c>
      <c r="BJ9" s="28">
        <v>2.7799999999999999E-3</v>
      </c>
      <c r="BK9" s="43">
        <v>2.3700000000000001E-3</v>
      </c>
    </row>
    <row r="10" spans="2:64" ht="15" customHeight="1" thickBot="1" x14ac:dyDescent="0.3">
      <c r="I10" s="16">
        <v>4</v>
      </c>
      <c r="J10" s="2">
        <f>C17-SUM(J7:J9)-J11</f>
        <v>22.5</v>
      </c>
      <c r="K10" s="18">
        <f>K11+2*J11*TAN(RADIANS($J$4))</f>
        <v>19.04145188432738</v>
      </c>
      <c r="L10" s="23">
        <f>F8</f>
        <v>100000000000</v>
      </c>
      <c r="M10" s="23">
        <f>IF(J10=0,0,(PI()*L10*$C$13*TAN(RADIANS($J$4)))/LN(((2*J10*TAN(RADIANS($J$4))+K10-$C$13)*(K10+$C$13))/((2*J10*TAN(RADIANS($J$4))+K10+$C$13)*(K10-$C$13))))</f>
        <v>2536250361338.5679</v>
      </c>
      <c r="N10" s="23">
        <f t="shared" si="2"/>
        <v>3.9428284180597439E-13</v>
      </c>
      <c r="V10" s="2" t="s">
        <v>75</v>
      </c>
      <c r="W10" s="88">
        <f>IF(AND($C$13&gt;=$AJ$30,$C$13&lt;=$AK$30),AN30,IF(AND($C$13&gt;=$AJ$31,$C$13&lt;=$AK$31),AN31,NA()))</f>
        <v>940000000</v>
      </c>
      <c r="X10" s="2" t="str">
        <f>IF($D$3="English","psi","Pa")</f>
        <v>Pa</v>
      </c>
      <c r="AD10" s="44">
        <v>12.9</v>
      </c>
      <c r="AE10" s="45">
        <v>1.6</v>
      </c>
      <c r="AF10" s="45">
        <v>36</v>
      </c>
      <c r="AG10" s="111">
        <v>190000000</v>
      </c>
      <c r="AI10" s="42">
        <v>8.8000000000000007</v>
      </c>
      <c r="AJ10" s="28">
        <v>16</v>
      </c>
      <c r="AK10" s="28">
        <v>36</v>
      </c>
      <c r="AL10" s="96">
        <v>600000000</v>
      </c>
      <c r="AM10" s="92">
        <v>830000000</v>
      </c>
      <c r="AN10" s="96">
        <v>660000000</v>
      </c>
      <c r="AO10" s="63" t="s">
        <v>81</v>
      </c>
      <c r="AQ10" s="42">
        <v>2.5</v>
      </c>
      <c r="AR10" s="28">
        <v>0.45</v>
      </c>
      <c r="AS10" s="28">
        <v>3.39</v>
      </c>
      <c r="AT10" s="29">
        <v>2.98</v>
      </c>
      <c r="AU10" s="52"/>
      <c r="AV10" s="27">
        <v>2.5</v>
      </c>
      <c r="AW10" s="28" t="e">
        <f>NA()</f>
        <v>#N/A</v>
      </c>
      <c r="AX10" s="28" t="e">
        <f>NA()</f>
        <v>#N/A</v>
      </c>
      <c r="AY10" s="28" t="e">
        <f>NA()</f>
        <v>#N/A</v>
      </c>
      <c r="BA10" s="49">
        <f>2</f>
        <v>2</v>
      </c>
      <c r="BB10" s="27">
        <v>8.5999999999999993E-2</v>
      </c>
      <c r="BC10" s="28">
        <v>56</v>
      </c>
      <c r="BD10" s="28">
        <v>3.7000000000000002E-3</v>
      </c>
      <c r="BE10" s="29">
        <v>3.0999999999999999E-3</v>
      </c>
      <c r="BF10" s="52"/>
      <c r="BG10" s="35">
        <f>2</f>
        <v>2</v>
      </c>
      <c r="BH10" s="27">
        <v>8.5999999999999993E-2</v>
      </c>
      <c r="BI10" s="28">
        <v>64</v>
      </c>
      <c r="BJ10" s="28">
        <v>3.9399999999999999E-3</v>
      </c>
      <c r="BK10" s="43">
        <v>3.3899999999999998E-3</v>
      </c>
    </row>
    <row r="11" spans="2:64" ht="15" customHeight="1" thickBot="1" x14ac:dyDescent="0.3">
      <c r="B11" s="8" t="s">
        <v>15</v>
      </c>
      <c r="C11" s="34" t="str">
        <f>_xlfn.CONCAT(IF($D$3="English",_xlfn.CONCAT(TEXT(C13, "# ?/?"),"""-",C25,"-", C15, " ",C14),_xlfn.CONCAT("M",C13,"-", C25,"-", C15," ",C14)), " Grade ", C16)</f>
        <v>M10-1.5-65 UNC Grade 10.9</v>
      </c>
      <c r="D11" s="8"/>
      <c r="E11" s="8"/>
      <c r="F11" s="8"/>
      <c r="I11" s="16">
        <v>5</v>
      </c>
      <c r="J11" s="2">
        <f>C9</f>
        <v>3.5</v>
      </c>
      <c r="K11" s="2">
        <f>1.5*C13</f>
        <v>15</v>
      </c>
      <c r="L11" s="23">
        <f>F9</f>
        <v>207000000000</v>
      </c>
      <c r="M11" s="23">
        <f>IF(J11=0,0,(PI()*L11*$C$13*TAN(RADIANS($J$4)))/LN(((2*J11*TAN(RADIANS($J$4))+K11-$C$13)*(K11+$C$13))/((2*J11*TAN(RADIANS($J$4))+K11+$C$13)*(K11-$C$13))))</f>
        <v>8484249709496.4932</v>
      </c>
      <c r="N11" s="23">
        <f t="shared" si="2"/>
        <v>1.1786546061706451E-13</v>
      </c>
      <c r="V11" s="2"/>
      <c r="W11" s="2">
        <f>IF($D$3="English",W10*10^-3,W10*10^-6)</f>
        <v>940</v>
      </c>
      <c r="X11" s="2" t="str">
        <f>IF($D$3="English","kpsi","MPa")</f>
        <v>MPa</v>
      </c>
      <c r="AI11" s="42">
        <v>9.8000000000000007</v>
      </c>
      <c r="AJ11" s="28">
        <v>1.6</v>
      </c>
      <c r="AK11" s="28">
        <v>16</v>
      </c>
      <c r="AL11" s="96">
        <v>650000000</v>
      </c>
      <c r="AM11" s="92">
        <v>900000000</v>
      </c>
      <c r="AN11" s="96">
        <v>720000000</v>
      </c>
      <c r="AO11" s="63" t="s">
        <v>81</v>
      </c>
      <c r="AQ11" s="42">
        <v>3</v>
      </c>
      <c r="AR11" s="28">
        <v>0.5</v>
      </c>
      <c r="AS11" s="28">
        <v>5.03</v>
      </c>
      <c r="AT11" s="29">
        <v>4.47</v>
      </c>
      <c r="AU11" s="52"/>
      <c r="AV11" s="27">
        <v>3</v>
      </c>
      <c r="AW11" s="28" t="e">
        <f>NA()</f>
        <v>#N/A</v>
      </c>
      <c r="AX11" s="28" t="e">
        <f>NA()</f>
        <v>#N/A</v>
      </c>
      <c r="AY11" s="28" t="e">
        <f>NA()</f>
        <v>#N/A</v>
      </c>
      <c r="BA11" s="49">
        <f>3</f>
        <v>3</v>
      </c>
      <c r="BB11" s="27">
        <v>9.9000000000000005E-2</v>
      </c>
      <c r="BC11" s="28">
        <v>48</v>
      </c>
      <c r="BD11" s="28">
        <v>4.8700000000000002E-3</v>
      </c>
      <c r="BE11" s="29">
        <v>4.0600000000000002E-3</v>
      </c>
      <c r="BF11" s="52"/>
      <c r="BG11" s="35">
        <f>3</f>
        <v>3</v>
      </c>
      <c r="BH11" s="27">
        <v>9.9000000000000005E-2</v>
      </c>
      <c r="BI11" s="28">
        <v>56</v>
      </c>
      <c r="BJ11" s="28">
        <v>5.2300000000000003E-3</v>
      </c>
      <c r="BK11" s="43">
        <v>4.5100000000000001E-3</v>
      </c>
    </row>
    <row r="12" spans="2:64" ht="15" customHeight="1" x14ac:dyDescent="0.25">
      <c r="B12" s="1" t="s">
        <v>51</v>
      </c>
      <c r="C12" s="22">
        <f>207*10^9</f>
        <v>207000000000</v>
      </c>
      <c r="D12" s="1" t="str">
        <f>IF($D$3="English","psi","Pa")</f>
        <v>Pa</v>
      </c>
      <c r="V12" s="2" t="s">
        <v>129</v>
      </c>
      <c r="W12" s="88">
        <f>IF(AND($C$13&gt;=AE$20,$C$13&lt;=AF$20),AG20,IF(AND($C$13&gt;=AE$21,$C$13&lt;=AF$21),AG21,NA()))</f>
        <v>162000000</v>
      </c>
      <c r="X12" s="2" t="str">
        <f>IF($D$3="English","psi","Pa")</f>
        <v>Pa</v>
      </c>
      <c r="AD12" s="36" t="s">
        <v>2</v>
      </c>
      <c r="AE12" s="37"/>
      <c r="AF12" s="37"/>
      <c r="AG12" s="103"/>
      <c r="AI12" s="42">
        <v>10.9</v>
      </c>
      <c r="AJ12" s="28">
        <v>5</v>
      </c>
      <c r="AK12" s="28">
        <v>36</v>
      </c>
      <c r="AL12" s="96">
        <v>830000000</v>
      </c>
      <c r="AM12" s="90">
        <v>1040000000</v>
      </c>
      <c r="AN12" s="96">
        <v>940000000</v>
      </c>
      <c r="AO12" s="63" t="s">
        <v>82</v>
      </c>
      <c r="AQ12" s="42">
        <v>3.5</v>
      </c>
      <c r="AR12" s="28">
        <v>0.6</v>
      </c>
      <c r="AS12" s="28">
        <v>6.78</v>
      </c>
      <c r="AT12" s="29">
        <v>6</v>
      </c>
      <c r="AU12" s="52"/>
      <c r="AV12" s="27">
        <v>3.5</v>
      </c>
      <c r="AW12" s="28" t="e">
        <f>NA()</f>
        <v>#N/A</v>
      </c>
      <c r="AX12" s="28" t="e">
        <f>NA()</f>
        <v>#N/A</v>
      </c>
      <c r="AY12" s="28" t="e">
        <f>NA()</f>
        <v>#N/A</v>
      </c>
      <c r="BA12" s="49">
        <f>4</f>
        <v>4</v>
      </c>
      <c r="BB12" s="27">
        <v>0.112</v>
      </c>
      <c r="BC12" s="28">
        <v>40</v>
      </c>
      <c r="BD12" s="28">
        <v>6.0400000000000002E-3</v>
      </c>
      <c r="BE12" s="29">
        <v>4.96E-3</v>
      </c>
      <c r="BF12" s="52"/>
      <c r="BG12" s="35">
        <f>4</f>
        <v>4</v>
      </c>
      <c r="BH12" s="27">
        <v>0.112</v>
      </c>
      <c r="BI12" s="28">
        <v>48</v>
      </c>
      <c r="BJ12" s="28">
        <v>6.6100000000000004E-3</v>
      </c>
      <c r="BK12" s="43">
        <v>5.6600000000000001E-3</v>
      </c>
    </row>
    <row r="13" spans="2:64" ht="15" customHeight="1" thickBot="1" x14ac:dyDescent="0.3">
      <c r="B13" s="1" t="s">
        <v>3</v>
      </c>
      <c r="C13" s="17">
        <v>10</v>
      </c>
      <c r="D13" s="1" t="str">
        <f t="shared" ref="D13" si="3">IF($D$3="English","in", "mm")</f>
        <v>mm</v>
      </c>
      <c r="I13" s="25" t="s">
        <v>33</v>
      </c>
      <c r="J13" s="25">
        <f>SUM(J7:J11)</f>
        <v>52</v>
      </c>
      <c r="K13" s="25" t="str">
        <f>IF($D$3="English","in", "mm")</f>
        <v>mm</v>
      </c>
      <c r="V13" s="2"/>
      <c r="W13" s="2">
        <f>IF($D$3="English",W12*10^-3,W12*10^-6)</f>
        <v>162</v>
      </c>
      <c r="X13" s="2" t="str">
        <f>IF($D$3="English","kpsi","MPa")</f>
        <v>MPa</v>
      </c>
      <c r="AD13" s="60" t="s">
        <v>76</v>
      </c>
      <c r="AE13" s="61" t="s">
        <v>85</v>
      </c>
      <c r="AF13" s="61" t="s">
        <v>86</v>
      </c>
      <c r="AG13" s="62" t="s">
        <v>127</v>
      </c>
      <c r="AI13" s="44">
        <v>12.9</v>
      </c>
      <c r="AJ13" s="45">
        <v>1.6</v>
      </c>
      <c r="AK13" s="45">
        <v>36</v>
      </c>
      <c r="AL13" s="93">
        <v>970000000</v>
      </c>
      <c r="AM13" s="94">
        <v>1220000000</v>
      </c>
      <c r="AN13" s="91">
        <v>1100000000</v>
      </c>
      <c r="AO13" s="64" t="s">
        <v>83</v>
      </c>
      <c r="AQ13" s="42">
        <v>4</v>
      </c>
      <c r="AR13" s="28">
        <v>0.7</v>
      </c>
      <c r="AS13" s="28">
        <v>8.7799999999999994</v>
      </c>
      <c r="AT13" s="29">
        <v>7.75</v>
      </c>
      <c r="AU13" s="52"/>
      <c r="AV13" s="27">
        <v>4</v>
      </c>
      <c r="AW13" s="28" t="e">
        <f>NA()</f>
        <v>#N/A</v>
      </c>
      <c r="AX13" s="28" t="e">
        <f>NA()</f>
        <v>#N/A</v>
      </c>
      <c r="AY13" s="28" t="e">
        <f>NA()</f>
        <v>#N/A</v>
      </c>
      <c r="BA13" s="49">
        <f>5</f>
        <v>5</v>
      </c>
      <c r="BB13" s="27">
        <v>0.125</v>
      </c>
      <c r="BC13" s="28">
        <v>40</v>
      </c>
      <c r="BD13" s="28">
        <v>7.9600000000000001E-3</v>
      </c>
      <c r="BE13" s="29">
        <v>6.7200000000000003E-3</v>
      </c>
      <c r="BF13" s="52"/>
      <c r="BG13" s="35">
        <f>5</f>
        <v>5</v>
      </c>
      <c r="BH13" s="27">
        <v>0.125</v>
      </c>
      <c r="BI13" s="28">
        <v>44</v>
      </c>
      <c r="BJ13" s="28">
        <v>8.8000000000000005E-3</v>
      </c>
      <c r="BK13" s="43">
        <v>7.1599999999999997E-3</v>
      </c>
    </row>
    <row r="14" spans="2:64" ht="15" customHeight="1" x14ac:dyDescent="0.25">
      <c r="B14" s="1" t="s">
        <v>52</v>
      </c>
      <c r="C14" s="33" t="s">
        <v>44</v>
      </c>
      <c r="D14" s="1"/>
      <c r="I14" s="25" t="s">
        <v>22</v>
      </c>
      <c r="J14" s="25">
        <f>C17</f>
        <v>52</v>
      </c>
      <c r="K14" s="25" t="str">
        <f>IF($D$3="English","in", "mm")</f>
        <v>mm</v>
      </c>
      <c r="AD14" s="71">
        <v>5</v>
      </c>
      <c r="AE14" s="67">
        <v>0.125</v>
      </c>
      <c r="AF14" s="67">
        <v>1</v>
      </c>
      <c r="AG14" s="109">
        <v>18600</v>
      </c>
      <c r="AQ14" s="42">
        <v>5</v>
      </c>
      <c r="AR14" s="28">
        <v>0.8</v>
      </c>
      <c r="AS14" s="28">
        <v>14.2</v>
      </c>
      <c r="AT14" s="29">
        <v>12.7</v>
      </c>
      <c r="AU14" s="52"/>
      <c r="AV14" s="27">
        <v>5</v>
      </c>
      <c r="AW14" s="28" t="e">
        <f>NA()</f>
        <v>#N/A</v>
      </c>
      <c r="AX14" s="28" t="e">
        <f>NA()</f>
        <v>#N/A</v>
      </c>
      <c r="AY14" s="28" t="e">
        <f>NA()</f>
        <v>#N/A</v>
      </c>
      <c r="BA14" s="49">
        <f>6</f>
        <v>6</v>
      </c>
      <c r="BB14" s="27">
        <v>0.13800000000000001</v>
      </c>
      <c r="BC14" s="28">
        <v>32</v>
      </c>
      <c r="BD14" s="28">
        <v>9.0900000000000009E-3</v>
      </c>
      <c r="BE14" s="29">
        <v>7.45E-3</v>
      </c>
      <c r="BF14" s="52"/>
      <c r="BG14" s="35">
        <f>6</f>
        <v>6</v>
      </c>
      <c r="BH14" s="27">
        <v>0.13800000000000001</v>
      </c>
      <c r="BI14" s="28">
        <v>40</v>
      </c>
      <c r="BJ14" s="28">
        <v>1.0149999999999999E-2</v>
      </c>
      <c r="BK14" s="43">
        <v>8.7399999999999995E-3</v>
      </c>
    </row>
    <row r="15" spans="2:64" ht="15" customHeight="1" thickBot="1" x14ac:dyDescent="0.3">
      <c r="B15" s="1" t="s">
        <v>4</v>
      </c>
      <c r="C15" s="1">
        <v>65</v>
      </c>
      <c r="D15" s="1" t="str">
        <f t="shared" ref="D15" si="4">IF($D$3="English","in", "mm")</f>
        <v>mm</v>
      </c>
      <c r="I15" s="25" t="s">
        <v>23</v>
      </c>
      <c r="J15" s="25">
        <f>C17/2</f>
        <v>26</v>
      </c>
      <c r="K15" s="25" t="str">
        <f t="shared" ref="K15" si="5">IF($D$3="English","in", "mm")</f>
        <v>mm</v>
      </c>
      <c r="P15" s="8" t="s">
        <v>69</v>
      </c>
      <c r="Q15" s="8"/>
      <c r="R15" s="8"/>
      <c r="S15" s="8"/>
      <c r="T15" s="8"/>
      <c r="V15" s="11" t="s">
        <v>56</v>
      </c>
      <c r="W15" s="11"/>
      <c r="X15" s="12"/>
      <c r="Y15" s="12"/>
      <c r="Z15" s="12"/>
      <c r="AA15" s="12"/>
      <c r="AD15" s="73">
        <v>5</v>
      </c>
      <c r="AE15" s="69">
        <v>1.125</v>
      </c>
      <c r="AF15" s="69">
        <v>1.5</v>
      </c>
      <c r="AG15" s="112">
        <v>16300</v>
      </c>
      <c r="AI15" s="6" t="s">
        <v>89</v>
      </c>
      <c r="AQ15" s="42">
        <v>6</v>
      </c>
      <c r="AR15" s="28">
        <v>1</v>
      </c>
      <c r="AS15" s="28">
        <v>20.100000000000001</v>
      </c>
      <c r="AT15" s="29">
        <v>17.899999999999999</v>
      </c>
      <c r="AU15" s="52"/>
      <c r="AV15" s="27">
        <v>6</v>
      </c>
      <c r="AW15" s="28" t="e">
        <f>NA()</f>
        <v>#N/A</v>
      </c>
      <c r="AX15" s="28" t="e">
        <f>NA()</f>
        <v>#N/A</v>
      </c>
      <c r="AY15" s="28" t="e">
        <f>NA()</f>
        <v>#N/A</v>
      </c>
      <c r="BA15" s="49">
        <f>8</f>
        <v>8</v>
      </c>
      <c r="BB15" s="27">
        <v>0.16400000000000001</v>
      </c>
      <c r="BC15" s="28">
        <v>32</v>
      </c>
      <c r="BD15" s="28">
        <v>1.4E-2</v>
      </c>
      <c r="BE15" s="29">
        <v>1.196E-2</v>
      </c>
      <c r="BF15" s="52"/>
      <c r="BG15" s="35">
        <f>8</f>
        <v>8</v>
      </c>
      <c r="BH15" s="27">
        <v>0.16400000000000001</v>
      </c>
      <c r="BI15" s="28">
        <v>36</v>
      </c>
      <c r="BJ15" s="28">
        <v>1.474E-2</v>
      </c>
      <c r="BK15" s="43">
        <v>1.285E-2</v>
      </c>
    </row>
    <row r="16" spans="2:64" ht="15" customHeight="1" x14ac:dyDescent="0.25">
      <c r="B16" s="1" t="s">
        <v>72</v>
      </c>
      <c r="C16" s="1">
        <v>10.9</v>
      </c>
      <c r="D16" s="1"/>
      <c r="P16" s="1" t="s">
        <v>57</v>
      </c>
      <c r="Q16" s="1">
        <v>1</v>
      </c>
      <c r="R16" s="1"/>
      <c r="V16" s="2" t="s">
        <v>55</v>
      </c>
      <c r="W16" s="18">
        <f>C34/(C34+J17)</f>
        <v>0.19243533611351227</v>
      </c>
      <c r="X16" s="23"/>
      <c r="AD16" s="75">
        <v>7</v>
      </c>
      <c r="AE16" s="77">
        <v>0.25</v>
      </c>
      <c r="AF16" s="77">
        <v>1.5</v>
      </c>
      <c r="AG16" s="113">
        <v>20600</v>
      </c>
      <c r="AI16" s="36" t="s">
        <v>2</v>
      </c>
      <c r="AJ16" s="37"/>
      <c r="AK16" s="37"/>
      <c r="AL16" s="38"/>
      <c r="AM16" s="38"/>
      <c r="AN16" s="37"/>
      <c r="AO16" s="103"/>
      <c r="AQ16" s="42">
        <v>8</v>
      </c>
      <c r="AR16" s="28">
        <v>1.25</v>
      </c>
      <c r="AS16" s="28">
        <v>36.6</v>
      </c>
      <c r="AT16" s="29">
        <v>32.799999999999997</v>
      </c>
      <c r="AU16" s="52"/>
      <c r="AV16" s="27">
        <v>8</v>
      </c>
      <c r="AW16" s="28">
        <v>1</v>
      </c>
      <c r="AX16" s="28">
        <v>39.200000000000003</v>
      </c>
      <c r="AY16" s="43">
        <v>36</v>
      </c>
      <c r="BA16" s="49">
        <f>10</f>
        <v>10</v>
      </c>
      <c r="BB16" s="27">
        <v>0.19</v>
      </c>
      <c r="BC16" s="28">
        <v>24</v>
      </c>
      <c r="BD16" s="28">
        <v>1.7500000000000002E-2</v>
      </c>
      <c r="BE16" s="29">
        <v>1.4500000000000001E-2</v>
      </c>
      <c r="BF16" s="52"/>
      <c r="BG16" s="35">
        <f>10</f>
        <v>10</v>
      </c>
      <c r="BH16" s="27">
        <v>0.19</v>
      </c>
      <c r="BI16" s="28">
        <v>32</v>
      </c>
      <c r="BJ16" s="28">
        <v>0.02</v>
      </c>
      <c r="BK16" s="43">
        <v>1.7500000000000002E-2</v>
      </c>
    </row>
    <row r="17" spans="2:63" ht="15" customHeight="1" thickBot="1" x14ac:dyDescent="0.3">
      <c r="B17" s="2" t="s">
        <v>22</v>
      </c>
      <c r="C17" s="2">
        <f>IF(C28,SUM(C6:C8)+C9,IF(C13&lt;=C8, C6+C7+(C13/2), C6+C7+(C8/2)))</f>
        <v>52</v>
      </c>
      <c r="D17" s="2" t="str">
        <f>IF($D$3="English","in", "mm")</f>
        <v>mm</v>
      </c>
      <c r="I17" s="2" t="s">
        <v>34</v>
      </c>
      <c r="J17" s="24">
        <f>SUM(N7:N11)^-1</f>
        <v>1205334236695.9641</v>
      </c>
      <c r="K17" s="2" t="str">
        <f>IF($D$3="English","lbf/in","mN/m")</f>
        <v>mN/m</v>
      </c>
      <c r="O17" s="59" t="s">
        <v>144</v>
      </c>
      <c r="P17" s="1" t="s">
        <v>100</v>
      </c>
      <c r="Q17" s="116">
        <v>0</v>
      </c>
      <c r="R17" s="1" t="str">
        <f>IF($D$3="English","lbf", "N")</f>
        <v>N</v>
      </c>
      <c r="V17" s="2" t="s">
        <v>59</v>
      </c>
      <c r="W17" s="117">
        <f>Q19/(1-W16)</f>
        <v>44708.494086703824</v>
      </c>
      <c r="X17" s="2" t="str">
        <f t="shared" ref="X17:AA27" si="6">IF($D$3="English","lbf", "N")</f>
        <v>N</v>
      </c>
      <c r="AD17" s="44">
        <v>8</v>
      </c>
      <c r="AE17" s="45">
        <v>0.25</v>
      </c>
      <c r="AF17" s="45">
        <v>1.5</v>
      </c>
      <c r="AG17" s="111">
        <v>23200</v>
      </c>
      <c r="AI17" s="60" t="s">
        <v>84</v>
      </c>
      <c r="AJ17" s="61" t="s">
        <v>85</v>
      </c>
      <c r="AK17" s="61" t="s">
        <v>86</v>
      </c>
      <c r="AL17" s="61" t="s">
        <v>91</v>
      </c>
      <c r="AM17" s="61" t="s">
        <v>92</v>
      </c>
      <c r="AN17" s="61" t="s">
        <v>98</v>
      </c>
      <c r="AO17" s="62" t="s">
        <v>79</v>
      </c>
      <c r="AQ17" s="42">
        <v>10</v>
      </c>
      <c r="AR17" s="28">
        <v>1.5</v>
      </c>
      <c r="AS17" s="28">
        <v>58</v>
      </c>
      <c r="AT17" s="29">
        <v>52.3</v>
      </c>
      <c r="AU17" s="52"/>
      <c r="AV17" s="27">
        <v>10</v>
      </c>
      <c r="AW17" s="28">
        <v>1.25</v>
      </c>
      <c r="AX17" s="28">
        <v>61.2</v>
      </c>
      <c r="AY17" s="43">
        <v>56.3</v>
      </c>
      <c r="BA17" s="49">
        <f>12</f>
        <v>12</v>
      </c>
      <c r="BB17" s="27">
        <v>0.216</v>
      </c>
      <c r="BC17" s="28">
        <v>24</v>
      </c>
      <c r="BD17" s="28">
        <v>2.4199999999999999E-2</v>
      </c>
      <c r="BE17" s="29">
        <v>2.06E-2</v>
      </c>
      <c r="BF17" s="52"/>
      <c r="BG17" s="35">
        <f>12</f>
        <v>12</v>
      </c>
      <c r="BH17" s="27">
        <v>0.216</v>
      </c>
      <c r="BI17" s="28">
        <v>28</v>
      </c>
      <c r="BJ17" s="28">
        <v>2.58E-2</v>
      </c>
      <c r="BK17" s="43">
        <v>2.2599999999999999E-2</v>
      </c>
    </row>
    <row r="18" spans="2:63" ht="15" customHeight="1" x14ac:dyDescent="0.25">
      <c r="B18" s="2" t="s">
        <v>21</v>
      </c>
      <c r="C18" s="2">
        <f>IF(F19,C19,IF(F18,C15,IF($D$3="English",IF(C15&lt;=6, 2*C13+0.25, 2*C13+0.5),IF(AND(C15&lt;=125,C13&lt;=48),2*C13+6,IF(C15&lt;=200,2*C13+12,2*C13+25)))))</f>
        <v>26</v>
      </c>
      <c r="D18" s="2" t="str">
        <f t="shared" ref="D18:D19" si="7">IF($D$3="English","in", "mm")</f>
        <v>mm</v>
      </c>
      <c r="E18" s="1" t="s">
        <v>37</v>
      </c>
      <c r="F18" s="20" t="b">
        <v>0</v>
      </c>
      <c r="I18" s="2"/>
      <c r="J18" s="19">
        <f>IF($D$3="English",J17*10^-6,J17*10^-9)</f>
        <v>1205.3342366959641</v>
      </c>
      <c r="K18" s="2" t="str">
        <f>IF($D$3="English","Mlbf/in","MN/m")</f>
        <v>MN/m</v>
      </c>
      <c r="O18" s="59" t="s">
        <v>144</v>
      </c>
      <c r="P18" s="1" t="s">
        <v>101</v>
      </c>
      <c r="Q18" s="116">
        <v>276460.15351590182</v>
      </c>
      <c r="R18" s="1" t="str">
        <f>IF($D$3="English","lbf", "N")</f>
        <v>N</v>
      </c>
      <c r="V18" s="2" t="s">
        <v>64</v>
      </c>
      <c r="W18" s="117">
        <f>IF($D$3="English",W6*$C$24,W6*$C$24)</f>
        <v>48140</v>
      </c>
      <c r="X18" s="2" t="str">
        <f t="shared" ref="R18:X21" si="8">IF($D$3="English","lbf", "N")</f>
        <v>N</v>
      </c>
      <c r="AI18" s="42">
        <v>1</v>
      </c>
      <c r="AJ18" s="28">
        <v>0.25</v>
      </c>
      <c r="AK18" s="28">
        <v>1.5</v>
      </c>
      <c r="AL18" s="97">
        <v>33000</v>
      </c>
      <c r="AM18" s="97">
        <v>60000</v>
      </c>
      <c r="AN18" s="97">
        <v>36000</v>
      </c>
      <c r="AO18" s="63" t="s">
        <v>80</v>
      </c>
      <c r="AQ18" s="42">
        <v>12</v>
      </c>
      <c r="AR18" s="28">
        <v>1.75</v>
      </c>
      <c r="AS18" s="28">
        <v>84.3</v>
      </c>
      <c r="AT18" s="29">
        <v>76.3</v>
      </c>
      <c r="AU18" s="52"/>
      <c r="AV18" s="27">
        <v>12</v>
      </c>
      <c r="AW18" s="28">
        <v>1.25</v>
      </c>
      <c r="AX18" s="28">
        <v>92.1</v>
      </c>
      <c r="AY18" s="43">
        <v>86</v>
      </c>
      <c r="BA18" s="49">
        <f>1/4</f>
        <v>0.25</v>
      </c>
      <c r="BB18" s="27">
        <v>0.25</v>
      </c>
      <c r="BC18" s="28">
        <v>20</v>
      </c>
      <c r="BD18" s="28">
        <v>3.1800000000000002E-2</v>
      </c>
      <c r="BE18" s="29">
        <v>2.69E-2</v>
      </c>
      <c r="BF18" s="52"/>
      <c r="BG18" s="35">
        <f>1/4</f>
        <v>0.25</v>
      </c>
      <c r="BH18" s="27">
        <v>0.25</v>
      </c>
      <c r="BI18" s="28">
        <v>28</v>
      </c>
      <c r="BJ18" s="28">
        <v>3.6400000000000002E-2</v>
      </c>
      <c r="BK18" s="43">
        <v>3.2599999999999997E-2</v>
      </c>
    </row>
    <row r="19" spans="2:63" ht="15" customHeight="1" thickBot="1" x14ac:dyDescent="0.3">
      <c r="B19" s="1"/>
      <c r="C19" s="1"/>
      <c r="D19" s="1" t="str">
        <f t="shared" si="7"/>
        <v>mm</v>
      </c>
      <c r="E19" s="1" t="s">
        <v>73</v>
      </c>
      <c r="F19" s="20" t="b">
        <v>0</v>
      </c>
      <c r="P19" s="1" t="s">
        <v>65</v>
      </c>
      <c r="Q19" s="55">
        <f>IF(T20,Q20,W18*T19)</f>
        <v>36105</v>
      </c>
      <c r="R19" s="2" t="str">
        <f t="shared" si="8"/>
        <v>N</v>
      </c>
      <c r="S19" s="1" t="s">
        <v>71</v>
      </c>
      <c r="T19" s="58">
        <v>0.75</v>
      </c>
      <c r="AD19" s="6" t="s">
        <v>128</v>
      </c>
      <c r="AI19" s="71">
        <v>2</v>
      </c>
      <c r="AJ19" s="67">
        <v>0.25</v>
      </c>
      <c r="AK19" s="67">
        <v>0.75</v>
      </c>
      <c r="AL19" s="96">
        <v>55000</v>
      </c>
      <c r="AM19" s="96">
        <v>74000</v>
      </c>
      <c r="AN19" s="96">
        <v>57000</v>
      </c>
      <c r="AO19" s="72" t="s">
        <v>80</v>
      </c>
      <c r="AQ19" s="42">
        <v>14</v>
      </c>
      <c r="AR19" s="28">
        <v>2</v>
      </c>
      <c r="AS19" s="28">
        <v>115</v>
      </c>
      <c r="AT19" s="29">
        <v>104</v>
      </c>
      <c r="AU19" s="52"/>
      <c r="AV19" s="27">
        <v>14</v>
      </c>
      <c r="AW19" s="28">
        <v>1.5</v>
      </c>
      <c r="AX19" s="28">
        <v>125</v>
      </c>
      <c r="AY19" s="43">
        <v>116</v>
      </c>
      <c r="BA19" s="49">
        <f>5/16</f>
        <v>0.3125</v>
      </c>
      <c r="BB19" s="27">
        <v>0.3125</v>
      </c>
      <c r="BC19" s="28">
        <v>18</v>
      </c>
      <c r="BD19" s="28">
        <v>5.2400000000000002E-2</v>
      </c>
      <c r="BE19" s="29">
        <v>4.5400000000000003E-2</v>
      </c>
      <c r="BF19" s="52"/>
      <c r="BG19" s="35">
        <f>5/16</f>
        <v>0.3125</v>
      </c>
      <c r="BH19" s="27">
        <v>0.3125</v>
      </c>
      <c r="BI19" s="28">
        <v>24</v>
      </c>
      <c r="BJ19" s="28">
        <v>5.8000000000000003E-2</v>
      </c>
      <c r="BK19" s="43">
        <v>5.2400000000000002E-2</v>
      </c>
    </row>
    <row r="20" spans="2:63" ht="15" customHeight="1" x14ac:dyDescent="0.25">
      <c r="B20" s="2" t="s">
        <v>24</v>
      </c>
      <c r="C20" s="2">
        <f>C15-C18</f>
        <v>39</v>
      </c>
      <c r="D20" s="2" t="str">
        <f>IF($D$3="English","in", "mm")</f>
        <v>mm</v>
      </c>
      <c r="I20" s="25" t="s">
        <v>55</v>
      </c>
      <c r="J20" s="108">
        <f>W16</f>
        <v>0.19243533611351227</v>
      </c>
      <c r="P20" s="1"/>
      <c r="Q20" s="56"/>
      <c r="R20" s="1" t="str">
        <f t="shared" si="8"/>
        <v>N</v>
      </c>
      <c r="S20" s="1" t="s">
        <v>70</v>
      </c>
      <c r="T20" s="20" t="b">
        <v>0</v>
      </c>
      <c r="V20" s="2" t="s">
        <v>103</v>
      </c>
      <c r="W20" s="117">
        <f>Q17/Q16</f>
        <v>0</v>
      </c>
      <c r="X20" s="2" t="str">
        <f>IF($D$3="English","lbf", "N")</f>
        <v>N</v>
      </c>
      <c r="Y20" s="2" t="s">
        <v>133</v>
      </c>
      <c r="Z20" s="117">
        <f>0.5*(W21-W20)</f>
        <v>138230.07675795091</v>
      </c>
      <c r="AA20" s="2" t="str">
        <f t="shared" si="6"/>
        <v>N</v>
      </c>
      <c r="AD20" s="82" cm="1">
        <f t="array" ref="AD20:AG20">IF($D$3="English",_xlfn._xlws.FILTER(AD14:AG17,AD14:AD17=C16,AD18:AG19=NA()), _xlfn._xlws.FILTER(AD7:AG10,AD7:AD10=C16,AD18:AG19=NA()))</f>
        <v>10.9</v>
      </c>
      <c r="AE20" s="83">
        <v>5</v>
      </c>
      <c r="AF20" s="83">
        <v>36</v>
      </c>
      <c r="AG20" s="114">
        <v>162000000</v>
      </c>
      <c r="AI20" s="73">
        <v>2</v>
      </c>
      <c r="AJ20" s="69">
        <v>0.875</v>
      </c>
      <c r="AK20" s="69">
        <v>1.5</v>
      </c>
      <c r="AL20" s="98">
        <v>33000</v>
      </c>
      <c r="AM20" s="98">
        <v>60000</v>
      </c>
      <c r="AN20" s="98">
        <v>36000</v>
      </c>
      <c r="AO20" s="74" t="e">
        <f>NA()</f>
        <v>#N/A</v>
      </c>
      <c r="AQ20" s="42">
        <v>16</v>
      </c>
      <c r="AR20" s="28">
        <v>2</v>
      </c>
      <c r="AS20" s="28">
        <v>157</v>
      </c>
      <c r="AT20" s="29">
        <v>144</v>
      </c>
      <c r="AU20" s="52"/>
      <c r="AV20" s="27">
        <v>16</v>
      </c>
      <c r="AW20" s="28">
        <v>1.5</v>
      </c>
      <c r="AX20" s="28">
        <v>167</v>
      </c>
      <c r="AY20" s="43">
        <v>157</v>
      </c>
      <c r="BA20" s="49">
        <f>3/8</f>
        <v>0.375</v>
      </c>
      <c r="BB20" s="27">
        <v>0.375</v>
      </c>
      <c r="BC20" s="28">
        <v>16</v>
      </c>
      <c r="BD20" s="28">
        <v>7.7499999999999999E-2</v>
      </c>
      <c r="BE20" s="29">
        <v>6.7799999999999999E-2</v>
      </c>
      <c r="BF20" s="52"/>
      <c r="BG20" s="35">
        <f>3/8</f>
        <v>0.375</v>
      </c>
      <c r="BH20" s="27">
        <v>0.375</v>
      </c>
      <c r="BI20" s="28">
        <v>24</v>
      </c>
      <c r="BJ20" s="28">
        <v>8.7800000000000003E-2</v>
      </c>
      <c r="BK20" s="43">
        <v>8.09E-2</v>
      </c>
    </row>
    <row r="21" spans="2:63" ht="15" customHeight="1" thickBot="1" x14ac:dyDescent="0.3">
      <c r="B21" s="2" t="s">
        <v>25</v>
      </c>
      <c r="C21" s="2">
        <f>C17-C20</f>
        <v>13</v>
      </c>
      <c r="D21" s="2" t="str">
        <f>IF($D$3="English","in", "mm")</f>
        <v>mm</v>
      </c>
      <c r="P21" s="2" t="s">
        <v>140</v>
      </c>
      <c r="Q21" s="126">
        <f>W8*C24*(1-W16)</f>
        <v>48712.300525632942</v>
      </c>
      <c r="R21" s="2" t="str">
        <f t="shared" si="8"/>
        <v>N</v>
      </c>
      <c r="V21" s="2" t="s">
        <v>102</v>
      </c>
      <c r="W21" s="117">
        <f>Q18/Q16</f>
        <v>276460.15351590182</v>
      </c>
      <c r="X21" s="2" t="str">
        <f>IF($D$3="English","lbf", "N")</f>
        <v>N</v>
      </c>
      <c r="Y21" s="2" t="s">
        <v>134</v>
      </c>
      <c r="Z21" s="117">
        <f>0.5*(W21+W20)</f>
        <v>138230.07675795091</v>
      </c>
      <c r="AA21" s="2" t="str">
        <f t="shared" si="6"/>
        <v>N</v>
      </c>
      <c r="AD21" s="85"/>
      <c r="AE21" s="86"/>
      <c r="AF21" s="86"/>
      <c r="AG21" s="115"/>
      <c r="AI21" s="42">
        <v>4</v>
      </c>
      <c r="AJ21" s="28">
        <v>0.25</v>
      </c>
      <c r="AK21" s="28">
        <v>1.5</v>
      </c>
      <c r="AL21" s="97">
        <v>65000</v>
      </c>
      <c r="AM21" s="97">
        <v>115000</v>
      </c>
      <c r="AN21" s="97">
        <v>100000</v>
      </c>
      <c r="AO21" s="63" t="s">
        <v>87</v>
      </c>
      <c r="AQ21" s="42">
        <v>20</v>
      </c>
      <c r="AR21" s="28">
        <v>2.5</v>
      </c>
      <c r="AS21" s="28">
        <v>245</v>
      </c>
      <c r="AT21" s="29">
        <v>225</v>
      </c>
      <c r="AU21" s="52"/>
      <c r="AV21" s="27">
        <v>20</v>
      </c>
      <c r="AW21" s="28">
        <v>1.5</v>
      </c>
      <c r="AX21" s="28">
        <v>272</v>
      </c>
      <c r="AY21" s="43">
        <v>259</v>
      </c>
      <c r="BA21" s="49">
        <f>7/16</f>
        <v>0.4375</v>
      </c>
      <c r="BB21" s="27">
        <v>0.4375</v>
      </c>
      <c r="BC21" s="28">
        <v>14</v>
      </c>
      <c r="BD21" s="28">
        <v>0.10630000000000001</v>
      </c>
      <c r="BE21" s="29">
        <v>9.3299999999999994E-2</v>
      </c>
      <c r="BF21" s="52"/>
      <c r="BG21" s="35">
        <f>7/16</f>
        <v>0.4375</v>
      </c>
      <c r="BH21" s="27">
        <v>0.4375</v>
      </c>
      <c r="BI21" s="28">
        <v>20</v>
      </c>
      <c r="BJ21" s="28">
        <v>0.1187</v>
      </c>
      <c r="BK21" s="43">
        <v>0.109</v>
      </c>
    </row>
    <row r="22" spans="2:63" ht="15" customHeight="1" x14ac:dyDescent="0.25">
      <c r="B22" s="2" t="s">
        <v>6</v>
      </c>
      <c r="C22" s="18">
        <f>(PI()*(C13^2))/4</f>
        <v>78.539816339744831</v>
      </c>
      <c r="D22" s="2" t="str">
        <f>IF($D$3="English","in^2","mm^2")</f>
        <v>mm^2</v>
      </c>
      <c r="O22" s="59" t="s">
        <v>143</v>
      </c>
      <c r="P22" s="127" t="s">
        <v>141</v>
      </c>
      <c r="Q22" s="127"/>
      <c r="R22" s="127"/>
      <c r="U22" s="59"/>
      <c r="AI22" s="71">
        <v>5</v>
      </c>
      <c r="AJ22" s="67">
        <v>0.25</v>
      </c>
      <c r="AK22" s="67">
        <v>1</v>
      </c>
      <c r="AL22" s="96">
        <v>85000</v>
      </c>
      <c r="AM22" s="96">
        <v>120000</v>
      </c>
      <c r="AN22" s="96">
        <v>92000</v>
      </c>
      <c r="AO22" s="72" t="s">
        <v>81</v>
      </c>
      <c r="AQ22" s="42">
        <v>24</v>
      </c>
      <c r="AR22" s="28">
        <v>3</v>
      </c>
      <c r="AS22" s="28">
        <v>353</v>
      </c>
      <c r="AT22" s="29">
        <v>324</v>
      </c>
      <c r="AU22" s="52"/>
      <c r="AV22" s="27">
        <v>24</v>
      </c>
      <c r="AW22" s="28">
        <v>2</v>
      </c>
      <c r="AX22" s="28">
        <v>384</v>
      </c>
      <c r="AY22" s="43">
        <v>365</v>
      </c>
      <c r="BA22" s="49">
        <f>1/2</f>
        <v>0.5</v>
      </c>
      <c r="BB22" s="27">
        <v>0.5</v>
      </c>
      <c r="BC22" s="28">
        <v>13</v>
      </c>
      <c r="BD22" s="28">
        <v>0.1419</v>
      </c>
      <c r="BE22" s="29">
        <v>0.12570000000000001</v>
      </c>
      <c r="BF22" s="52"/>
      <c r="BG22" s="35">
        <f>1/2</f>
        <v>0.5</v>
      </c>
      <c r="BH22" s="27">
        <v>0.5</v>
      </c>
      <c r="BI22" s="28">
        <v>20</v>
      </c>
      <c r="BJ22" s="28">
        <v>0.15989999999999999</v>
      </c>
      <c r="BK22" s="43">
        <v>0.14860000000000001</v>
      </c>
    </row>
    <row r="23" spans="2:63" ht="15" customHeight="1" x14ac:dyDescent="0.25">
      <c r="B23" s="2" t="s">
        <v>7</v>
      </c>
      <c r="C23" s="2">
        <f>IF($D$3="English",IF($C$14="UNC",VLOOKUP($C$13,$BB$8:$BE$29,3,FALSE),VLOOKUP($C$13,$BH$8:$BK$29,3,FALSE)), IF($C$14="UNC",VLOOKUP($C$13,$AQ$8:$AT$33,3,FALSE),VLOOKUP($C$13,$AV$8:$AY$33,3,FALSE)))</f>
        <v>58</v>
      </c>
      <c r="D23" s="2" t="str">
        <f>IF($D$3="English","in^2","mm^2")</f>
        <v>mm^2</v>
      </c>
      <c r="P23" s="127" t="s">
        <v>142</v>
      </c>
      <c r="Q23" s="127"/>
      <c r="R23" s="127"/>
      <c r="V23" s="2" t="s">
        <v>104</v>
      </c>
      <c r="W23" s="117">
        <f>$W$16*W20+$Q$19</f>
        <v>36105</v>
      </c>
      <c r="X23" s="2" t="str">
        <f t="shared" si="6"/>
        <v>N</v>
      </c>
      <c r="Y23" s="2" t="s">
        <v>120</v>
      </c>
      <c r="Z23" s="117">
        <f>0.5*(W24-W23)</f>
        <v>26600.351281912881</v>
      </c>
      <c r="AA23" s="2" t="str">
        <f t="shared" si="6"/>
        <v>N</v>
      </c>
      <c r="AI23" s="73">
        <v>5</v>
      </c>
      <c r="AJ23" s="69">
        <v>1.125</v>
      </c>
      <c r="AK23" s="69">
        <v>1.5</v>
      </c>
      <c r="AL23" s="98">
        <v>74000</v>
      </c>
      <c r="AM23" s="98">
        <v>105000</v>
      </c>
      <c r="AN23" s="98">
        <v>81000</v>
      </c>
      <c r="AO23" s="74" t="e">
        <f>NA()</f>
        <v>#N/A</v>
      </c>
      <c r="AQ23" s="42">
        <v>30</v>
      </c>
      <c r="AR23" s="28">
        <v>3.5</v>
      </c>
      <c r="AS23" s="28">
        <v>561</v>
      </c>
      <c r="AT23" s="29">
        <v>519</v>
      </c>
      <c r="AU23" s="52"/>
      <c r="AV23" s="27">
        <v>30</v>
      </c>
      <c r="AW23" s="28">
        <v>2</v>
      </c>
      <c r="AX23" s="28">
        <v>621</v>
      </c>
      <c r="AY23" s="43">
        <v>596</v>
      </c>
      <c r="BA23" s="49">
        <f>9/16</f>
        <v>0.5625</v>
      </c>
      <c r="BB23" s="27">
        <v>0.5625</v>
      </c>
      <c r="BC23" s="28">
        <v>12</v>
      </c>
      <c r="BD23" s="28">
        <v>0.182</v>
      </c>
      <c r="BE23" s="29">
        <v>0.16200000000000001</v>
      </c>
      <c r="BF23" s="52"/>
      <c r="BG23" s="35">
        <f>9/16</f>
        <v>0.5625</v>
      </c>
      <c r="BH23" s="27">
        <v>0.5625</v>
      </c>
      <c r="BI23" s="28">
        <v>18</v>
      </c>
      <c r="BJ23" s="28">
        <v>0.20300000000000001</v>
      </c>
      <c r="BK23" s="43">
        <v>0.189</v>
      </c>
    </row>
    <row r="24" spans="2:63" ht="15" customHeight="1" x14ac:dyDescent="0.25">
      <c r="B24" s="2"/>
      <c r="C24" s="88">
        <f>IF($D$3="English",C23,C23*10^-6)</f>
        <v>5.8E-5</v>
      </c>
      <c r="D24" s="2" t="str">
        <f>IF($D$3="English","in^2","m^2")</f>
        <v>m^2</v>
      </c>
      <c r="V24" s="2" t="s">
        <v>112</v>
      </c>
      <c r="W24" s="117">
        <f>$W$16*W21+$Q$19</f>
        <v>89305.702563825762</v>
      </c>
      <c r="X24" s="2" t="str">
        <f t="shared" si="6"/>
        <v>N</v>
      </c>
      <c r="Y24" s="2" t="s">
        <v>119</v>
      </c>
      <c r="Z24" s="117">
        <f>0.5*(W24+W23)</f>
        <v>62705.351281912881</v>
      </c>
      <c r="AA24" s="2" t="str">
        <f t="shared" si="6"/>
        <v>N</v>
      </c>
      <c r="AI24" s="75">
        <v>5.2</v>
      </c>
      <c r="AJ24" s="77">
        <v>0.25</v>
      </c>
      <c r="AK24" s="77">
        <v>1</v>
      </c>
      <c r="AL24" s="97">
        <v>85000</v>
      </c>
      <c r="AM24" s="97">
        <v>120000</v>
      </c>
      <c r="AN24" s="97">
        <v>92000</v>
      </c>
      <c r="AO24" s="78" t="s">
        <v>82</v>
      </c>
      <c r="AQ24" s="42">
        <v>36</v>
      </c>
      <c r="AR24" s="28">
        <v>4</v>
      </c>
      <c r="AS24" s="28">
        <v>817</v>
      </c>
      <c r="AT24" s="29">
        <v>759</v>
      </c>
      <c r="AU24" s="52"/>
      <c r="AV24" s="27">
        <v>36</v>
      </c>
      <c r="AW24" s="28">
        <v>2</v>
      </c>
      <c r="AX24" s="28">
        <v>915</v>
      </c>
      <c r="AY24" s="43">
        <v>884</v>
      </c>
      <c r="BA24" s="49">
        <f>5/8</f>
        <v>0.625</v>
      </c>
      <c r="BB24" s="27">
        <v>0.625</v>
      </c>
      <c r="BC24" s="28">
        <v>11</v>
      </c>
      <c r="BD24" s="28">
        <v>0.22600000000000001</v>
      </c>
      <c r="BE24" s="29">
        <v>0.20200000000000001</v>
      </c>
      <c r="BF24" s="52"/>
      <c r="BG24" s="35">
        <f>5/8</f>
        <v>0.625</v>
      </c>
      <c r="BH24" s="27">
        <v>0.625</v>
      </c>
      <c r="BI24" s="28">
        <v>18</v>
      </c>
      <c r="BJ24" s="28">
        <v>0.25600000000000001</v>
      </c>
      <c r="BK24" s="43">
        <v>0.24</v>
      </c>
    </row>
    <row r="25" spans="2:63" ht="15" customHeight="1" x14ac:dyDescent="0.25">
      <c r="B25" s="2" t="str">
        <f>IF($D$3="English","Bolt threads per inch, p","Bolt pitch, p")</f>
        <v>Bolt pitch, p</v>
      </c>
      <c r="C25" s="2">
        <f>IF($D$3="English",IF($C$14="UNC",VLOOKUP($C$13,$BB$8:$BE$29,2,FALSE),VLOOKUP($C$13,$BH$8:$BK$29,2,FALSE)), IF($C$14="UNC",VLOOKUP($C$13,$AQ$8:$AT$33,2,FALSE),VLOOKUP($C$13,$AV$8:$AY$33,2,FALSE)))</f>
        <v>1.5</v>
      </c>
      <c r="D25" s="2" t="str">
        <f>IF($D$3="English","threads/in","mm")</f>
        <v>mm</v>
      </c>
      <c r="P25" s="8" t="s">
        <v>107</v>
      </c>
      <c r="Q25" s="8"/>
      <c r="R25" s="8"/>
      <c r="AI25" s="75">
        <v>7</v>
      </c>
      <c r="AJ25" s="77">
        <v>0.25</v>
      </c>
      <c r="AK25" s="77">
        <v>1.5</v>
      </c>
      <c r="AL25" s="97">
        <v>105000</v>
      </c>
      <c r="AM25" s="97">
        <v>133000</v>
      </c>
      <c r="AN25" s="97">
        <v>115000</v>
      </c>
      <c r="AO25" s="78" t="s">
        <v>88</v>
      </c>
      <c r="AQ25" s="42">
        <v>42</v>
      </c>
      <c r="AR25" s="28">
        <v>4.5</v>
      </c>
      <c r="AS25" s="28">
        <v>1120</v>
      </c>
      <c r="AT25" s="29">
        <v>1050</v>
      </c>
      <c r="AU25" s="52"/>
      <c r="AV25" s="27">
        <v>42</v>
      </c>
      <c r="AW25" s="28">
        <v>2</v>
      </c>
      <c r="AX25" s="28">
        <v>1260</v>
      </c>
      <c r="AY25" s="43">
        <v>1230</v>
      </c>
      <c r="BA25" s="49">
        <f>3/4</f>
        <v>0.75</v>
      </c>
      <c r="BB25" s="27">
        <v>0.75</v>
      </c>
      <c r="BC25" s="28">
        <v>10</v>
      </c>
      <c r="BD25" s="28">
        <v>0.33400000000000002</v>
      </c>
      <c r="BE25" s="29">
        <v>0.30199999999999999</v>
      </c>
      <c r="BF25" s="52"/>
      <c r="BG25" s="35">
        <f>3/4</f>
        <v>0.75</v>
      </c>
      <c r="BH25" s="27">
        <v>0.75</v>
      </c>
      <c r="BI25" s="28">
        <v>16</v>
      </c>
      <c r="BJ25" s="28">
        <v>0.373</v>
      </c>
      <c r="BK25" s="43">
        <v>0.35099999999999998</v>
      </c>
    </row>
    <row r="26" spans="2:63" ht="15" customHeight="1" x14ac:dyDescent="0.25">
      <c r="P26" s="1" t="s">
        <v>105</v>
      </c>
      <c r="Q26" s="107">
        <f>0.8*10^3</f>
        <v>800</v>
      </c>
      <c r="R26" s="1" t="str">
        <f t="shared" ref="R26" si="9">IF($D$3="English","in", "mm")</f>
        <v>mm</v>
      </c>
      <c r="U26" s="59"/>
      <c r="V26" s="2" t="s">
        <v>111</v>
      </c>
      <c r="W26" s="117">
        <f>(1-$W$16)*W20-$Q$19</f>
        <v>-36105</v>
      </c>
      <c r="X26" s="2" t="str">
        <f t="shared" si="6"/>
        <v>N</v>
      </c>
      <c r="AI26" s="75">
        <v>8</v>
      </c>
      <c r="AJ26" s="77">
        <v>0.25</v>
      </c>
      <c r="AK26" s="77">
        <v>1.5</v>
      </c>
      <c r="AL26" s="97">
        <v>120000</v>
      </c>
      <c r="AM26" s="97">
        <v>150000</v>
      </c>
      <c r="AN26" s="97">
        <v>130000</v>
      </c>
      <c r="AO26" s="78" t="s">
        <v>88</v>
      </c>
      <c r="AQ26" s="42">
        <v>48</v>
      </c>
      <c r="AR26" s="28">
        <v>5</v>
      </c>
      <c r="AS26" s="28">
        <v>1470</v>
      </c>
      <c r="AT26" s="29">
        <v>1380</v>
      </c>
      <c r="AU26" s="52"/>
      <c r="AV26" s="27">
        <v>48</v>
      </c>
      <c r="AW26" s="28">
        <v>2</v>
      </c>
      <c r="AX26" s="28">
        <v>1670</v>
      </c>
      <c r="AY26" s="43">
        <v>1630</v>
      </c>
      <c r="BA26" s="49">
        <f>7/8</f>
        <v>0.875</v>
      </c>
      <c r="BB26" s="27">
        <v>0.875</v>
      </c>
      <c r="BC26" s="28">
        <v>9</v>
      </c>
      <c r="BD26" s="28">
        <v>0.46200000000000002</v>
      </c>
      <c r="BE26" s="29">
        <v>0.41899999999999998</v>
      </c>
      <c r="BF26" s="52"/>
      <c r="BG26" s="35">
        <f>7/8</f>
        <v>0.875</v>
      </c>
      <c r="BH26" s="27">
        <v>0.875</v>
      </c>
      <c r="BI26" s="28">
        <v>14</v>
      </c>
      <c r="BJ26" s="28">
        <v>0.50900000000000001</v>
      </c>
      <c r="BK26" s="43">
        <v>0.48</v>
      </c>
    </row>
    <row r="27" spans="2:63" ht="15" customHeight="1" thickBot="1" x14ac:dyDescent="0.3">
      <c r="B27" s="1" t="s">
        <v>8</v>
      </c>
      <c r="C27" s="20" t="b">
        <v>0</v>
      </c>
      <c r="D27" s="125" t="s">
        <v>139</v>
      </c>
      <c r="E27" s="123"/>
      <c r="F27" s="123"/>
      <c r="P27" s="1"/>
      <c r="Q27" s="2">
        <f>Q26*10^-3</f>
        <v>0.8</v>
      </c>
      <c r="R27" s="2" t="str">
        <f>IF($D$3="English","*10^3 in", "m")</f>
        <v>m</v>
      </c>
      <c r="V27" s="2" t="s">
        <v>118</v>
      </c>
      <c r="W27" s="117">
        <f>(1-$W$16)*W21-$Q$19</f>
        <v>187154.45095207606</v>
      </c>
      <c r="X27" s="2" t="str">
        <f t="shared" si="6"/>
        <v>N</v>
      </c>
      <c r="AI27" s="79">
        <v>8.1999999999999993</v>
      </c>
      <c r="AJ27" s="80">
        <v>0.25</v>
      </c>
      <c r="AK27" s="80">
        <v>1</v>
      </c>
      <c r="AL27" s="93">
        <v>120000</v>
      </c>
      <c r="AM27" s="93">
        <v>150000</v>
      </c>
      <c r="AN27" s="93">
        <v>130000</v>
      </c>
      <c r="AO27" s="81" t="s">
        <v>82</v>
      </c>
      <c r="AQ27" s="42">
        <v>56</v>
      </c>
      <c r="AR27" s="28">
        <v>5.5</v>
      </c>
      <c r="AS27" s="28">
        <v>2030</v>
      </c>
      <c r="AT27" s="29">
        <v>1910</v>
      </c>
      <c r="AU27" s="52"/>
      <c r="AV27" s="27">
        <v>56</v>
      </c>
      <c r="AW27" s="28">
        <v>2</v>
      </c>
      <c r="AX27" s="28">
        <v>2300</v>
      </c>
      <c r="AY27" s="43">
        <v>2250</v>
      </c>
      <c r="BA27" s="49">
        <f>1</f>
        <v>1</v>
      </c>
      <c r="BB27" s="27">
        <v>1</v>
      </c>
      <c r="BC27" s="28">
        <v>8</v>
      </c>
      <c r="BD27" s="28">
        <v>0.60599999999999998</v>
      </c>
      <c r="BE27" s="29">
        <v>0.55100000000000005</v>
      </c>
      <c r="BF27" s="52"/>
      <c r="BG27" s="35">
        <f>1</f>
        <v>1</v>
      </c>
      <c r="BH27" s="27">
        <v>1</v>
      </c>
      <c r="BI27" s="28">
        <v>12</v>
      </c>
      <c r="BJ27" s="28">
        <v>0.66300000000000003</v>
      </c>
      <c r="BK27" s="43">
        <v>0.625</v>
      </c>
    </row>
    <row r="28" spans="2:63" ht="15" customHeight="1" x14ac:dyDescent="0.25">
      <c r="B28" s="1" t="s">
        <v>9</v>
      </c>
      <c r="C28" s="21" t="b">
        <f>NOT(C27)</f>
        <v>1</v>
      </c>
      <c r="D28" s="125" t="s">
        <v>138</v>
      </c>
      <c r="E28" s="123"/>
      <c r="F28" s="123"/>
      <c r="P28" s="2" t="s">
        <v>106</v>
      </c>
      <c r="Q28" s="2">
        <f>IF($D$3="English",PI()*(Q26^2)*0.25,PI()*(Q27^2)*0.25)</f>
        <v>0.50265482457436694</v>
      </c>
      <c r="R28" s="2" t="str">
        <f>IF($D$3="English","in^2","m^2")</f>
        <v>m^2</v>
      </c>
      <c r="AQ28" s="42">
        <v>64</v>
      </c>
      <c r="AR28" s="28">
        <v>6</v>
      </c>
      <c r="AS28" s="28">
        <v>2680</v>
      </c>
      <c r="AT28" s="29">
        <v>2520</v>
      </c>
      <c r="AU28" s="52"/>
      <c r="AV28" s="27">
        <v>64</v>
      </c>
      <c r="AW28" s="28">
        <v>2</v>
      </c>
      <c r="AX28" s="28">
        <v>3030</v>
      </c>
      <c r="AY28" s="43">
        <v>2980</v>
      </c>
      <c r="BA28" s="49">
        <f>1.25</f>
        <v>1.25</v>
      </c>
      <c r="BB28" s="27">
        <v>1.25</v>
      </c>
      <c r="BC28" s="28">
        <v>7</v>
      </c>
      <c r="BD28" s="28">
        <v>0.96899999999999997</v>
      </c>
      <c r="BE28" s="29">
        <v>0.89</v>
      </c>
      <c r="BF28" s="52"/>
      <c r="BG28" s="35">
        <f>1.25</f>
        <v>1.25</v>
      </c>
      <c r="BH28" s="27">
        <v>1.25</v>
      </c>
      <c r="BI28" s="28">
        <v>12</v>
      </c>
      <c r="BJ28" s="28">
        <v>1.073</v>
      </c>
      <c r="BK28" s="43">
        <v>1.024</v>
      </c>
    </row>
    <row r="29" spans="2:63" ht="15" customHeight="1" thickBot="1" x14ac:dyDescent="0.3">
      <c r="V29" s="11" t="s">
        <v>113</v>
      </c>
      <c r="W29" s="11"/>
      <c r="X29" s="12"/>
      <c r="Y29" s="12"/>
      <c r="Z29" s="12"/>
      <c r="AA29" s="12"/>
      <c r="AI29" s="86" t="s">
        <v>96</v>
      </c>
      <c r="AJ29" s="86"/>
      <c r="AK29" s="86"/>
      <c r="AL29" s="86"/>
      <c r="AM29" s="86"/>
      <c r="AN29" s="86"/>
      <c r="AO29" s="86"/>
      <c r="AQ29" s="42">
        <v>72</v>
      </c>
      <c r="AR29" s="28">
        <v>6</v>
      </c>
      <c r="AS29" s="28">
        <v>3460</v>
      </c>
      <c r="AT29" s="29">
        <v>3280</v>
      </c>
      <c r="AU29" s="52"/>
      <c r="AV29" s="27">
        <v>72</v>
      </c>
      <c r="AW29" s="28">
        <v>2</v>
      </c>
      <c r="AX29" s="28">
        <v>3860</v>
      </c>
      <c r="AY29" s="43">
        <v>3800</v>
      </c>
      <c r="BA29" s="50">
        <f>1.5</f>
        <v>1.5</v>
      </c>
      <c r="BB29" s="47">
        <v>1.5</v>
      </c>
      <c r="BC29" s="45">
        <v>6</v>
      </c>
      <c r="BD29" s="45">
        <v>1.405</v>
      </c>
      <c r="BE29" s="46">
        <v>1.294</v>
      </c>
      <c r="BF29" s="53"/>
      <c r="BG29" s="51">
        <f>1.5</f>
        <v>1.5</v>
      </c>
      <c r="BH29" s="47">
        <v>1.5</v>
      </c>
      <c r="BI29" s="45">
        <v>12</v>
      </c>
      <c r="BJ29" s="45">
        <v>1.581</v>
      </c>
      <c r="BK29" s="48">
        <v>1.5209999999999999</v>
      </c>
    </row>
    <row r="30" spans="2:63" ht="15" customHeight="1" x14ac:dyDescent="0.25">
      <c r="B30" s="2" t="s">
        <v>38</v>
      </c>
      <c r="C30" s="24">
        <f>IF(C20=0,0,(C22*C12)/C20)</f>
        <v>416865179034.03027</v>
      </c>
      <c r="D30" s="2" t="str">
        <f>IF($D$3="English","lbf/in","mN/m")</f>
        <v>mN/m</v>
      </c>
      <c r="P30" s="1" t="s">
        <v>109</v>
      </c>
      <c r="Q30" s="116">
        <v>0</v>
      </c>
      <c r="R30" s="1" t="str">
        <f t="shared" ref="R30:R31" si="10">IF($D$3="English","psi","Pa")</f>
        <v>Pa</v>
      </c>
      <c r="V30" s="2" t="s">
        <v>123</v>
      </c>
      <c r="W30" s="89">
        <f>Q19/$C$24</f>
        <v>622500000</v>
      </c>
      <c r="X30" s="2" t="str">
        <f>IF($D$3="English","psi","Pa")</f>
        <v>Pa</v>
      </c>
      <c r="AI30" s="82" cm="1">
        <f t="array" ref="AI30:AO30">IF($D$3="English",_xlfn._xlws.FILTER(AI18:AO27,AI18:AI27=C16,AI28:AO29=NA()), _xlfn._xlws.FILTER(AI7:AO13,AI7:AI13=C16,AI28:AO29=NA()))</f>
        <v>10.9</v>
      </c>
      <c r="AJ30" s="83">
        <v>5</v>
      </c>
      <c r="AK30" s="83">
        <v>36</v>
      </c>
      <c r="AL30" s="99">
        <v>830000000</v>
      </c>
      <c r="AM30" s="100">
        <v>1040000000</v>
      </c>
      <c r="AN30" s="100">
        <v>940000000</v>
      </c>
      <c r="AO30" s="84" t="str">
        <v>Low-carbon martensite, Q&amp;T</v>
      </c>
      <c r="AQ30" s="42">
        <v>80</v>
      </c>
      <c r="AR30" s="28">
        <v>6</v>
      </c>
      <c r="AS30" s="28">
        <v>4340</v>
      </c>
      <c r="AT30" s="29">
        <v>4140</v>
      </c>
      <c r="AU30" s="52"/>
      <c r="AV30" s="27">
        <v>80</v>
      </c>
      <c r="AW30" s="28">
        <v>1.5</v>
      </c>
      <c r="AX30" s="28">
        <v>4850</v>
      </c>
      <c r="AY30" s="43">
        <v>4800</v>
      </c>
    </row>
    <row r="31" spans="2:63" ht="15" customHeight="1" thickBot="1" x14ac:dyDescent="0.3">
      <c r="B31" s="2"/>
      <c r="C31" s="19">
        <f>IF($D$3="English",C30*10^-6,C30*10^-9)</f>
        <v>416.86517903403029</v>
      </c>
      <c r="D31" s="2" t="str">
        <f>IF($D$3="English","Mlbf/in","MN/m")</f>
        <v>MN/m</v>
      </c>
      <c r="P31" s="1" t="s">
        <v>110</v>
      </c>
      <c r="Q31" s="116">
        <f>550*10^3</f>
        <v>550000</v>
      </c>
      <c r="R31" s="1" t="str">
        <f t="shared" si="10"/>
        <v>Pa</v>
      </c>
      <c r="V31" s="2"/>
      <c r="W31" s="19">
        <f>IF($D$3="English",W30*10^-3,W30*10^-6)</f>
        <v>622.5</v>
      </c>
      <c r="X31" s="2" t="str">
        <f>IF($D$3="English","kpsi","MPa")</f>
        <v>MPa</v>
      </c>
      <c r="AI31" s="85"/>
      <c r="AJ31" s="86"/>
      <c r="AK31" s="86"/>
      <c r="AL31" s="101"/>
      <c r="AM31" s="102"/>
      <c r="AN31" s="102"/>
      <c r="AO31" s="87"/>
      <c r="AQ31" s="42">
        <v>90</v>
      </c>
      <c r="AR31" s="28">
        <v>6</v>
      </c>
      <c r="AS31" s="28">
        <v>5590</v>
      </c>
      <c r="AT31" s="29">
        <v>5360</v>
      </c>
      <c r="AU31" s="52"/>
      <c r="AV31" s="27">
        <v>90</v>
      </c>
      <c r="AW31" s="28">
        <v>2</v>
      </c>
      <c r="AX31" s="28">
        <v>6100</v>
      </c>
      <c r="AY31" s="43">
        <v>6020</v>
      </c>
    </row>
    <row r="32" spans="2:63" ht="15" customHeight="1" x14ac:dyDescent="0.25">
      <c r="B32" s="2" t="s">
        <v>39</v>
      </c>
      <c r="C32" s="24">
        <f>IF(C21=0,0,(C23*C12)/C21)</f>
        <v>923538461538.46155</v>
      </c>
      <c r="D32" s="2" t="str">
        <f>IF($D$3="English","lbf/in","mN/m")</f>
        <v>mN/m</v>
      </c>
      <c r="V32" s="2" t="s">
        <v>117</v>
      </c>
      <c r="W32" s="89">
        <f>W23/$C$24</f>
        <v>622500000</v>
      </c>
      <c r="X32" s="2" t="str">
        <f>IF($D$3="English","psi","Pa")</f>
        <v>Pa</v>
      </c>
      <c r="Y32" s="2" t="s">
        <v>115</v>
      </c>
      <c r="Z32" s="89">
        <f>0.5*(W34-W32)</f>
        <v>458626746.23987722</v>
      </c>
      <c r="AA32" s="2" t="str">
        <f>IF($D$3="English","psi","Pa")</f>
        <v>Pa</v>
      </c>
      <c r="AQ32" s="42">
        <v>100</v>
      </c>
      <c r="AR32" s="28">
        <v>6</v>
      </c>
      <c r="AS32" s="28">
        <v>6990</v>
      </c>
      <c r="AT32" s="29">
        <v>6740</v>
      </c>
      <c r="AU32" s="52"/>
      <c r="AV32" s="27">
        <v>100</v>
      </c>
      <c r="AW32" s="28">
        <v>2</v>
      </c>
      <c r="AX32" s="28">
        <v>7560</v>
      </c>
      <c r="AY32" s="43">
        <v>7470</v>
      </c>
    </row>
    <row r="33" spans="2:51" ht="15" customHeight="1" thickBot="1" x14ac:dyDescent="0.3">
      <c r="B33" s="2"/>
      <c r="C33" s="19">
        <f>IF($D$3="English",C32*10^-6,C32*10^-9)</f>
        <v>923.53846153846166</v>
      </c>
      <c r="D33" s="2" t="str">
        <f>IF($D$3="English","Mlbf/in","MN/m")</f>
        <v>MN/m</v>
      </c>
      <c r="P33" s="2" t="s">
        <v>100</v>
      </c>
      <c r="Q33" s="117">
        <f>Q30*$Q$28</f>
        <v>0</v>
      </c>
      <c r="R33" s="2" t="str">
        <f>IF($D$3="English","lbf", "N")</f>
        <v>N</v>
      </c>
      <c r="V33" s="2"/>
      <c r="W33" s="19">
        <f>IF($D$3="English",W32*10^-3,W32*10^-6)</f>
        <v>622.5</v>
      </c>
      <c r="X33" s="2" t="str">
        <f>IF($D$3="English","kpsi","MPa")</f>
        <v>MPa</v>
      </c>
      <c r="Y33" s="2"/>
      <c r="Z33" s="19">
        <f>IF($D$3="English",Z32*10^-3,Z32*10^-6)</f>
        <v>458.62674623987721</v>
      </c>
      <c r="AA33" s="2" t="str">
        <f>IF($D$3="English","kpsi","MPa")</f>
        <v>MPa</v>
      </c>
      <c r="AQ33" s="44">
        <v>110</v>
      </c>
      <c r="AR33" s="45">
        <v>6</v>
      </c>
      <c r="AS33" s="45" t="e">
        <f>NA()</f>
        <v>#N/A</v>
      </c>
      <c r="AT33" s="46" t="e">
        <f>NA()</f>
        <v>#N/A</v>
      </c>
      <c r="AU33" s="53"/>
      <c r="AV33" s="47">
        <v>110</v>
      </c>
      <c r="AW33" s="45">
        <v>2</v>
      </c>
      <c r="AX33" s="45">
        <v>9180</v>
      </c>
      <c r="AY33" s="48">
        <v>9080</v>
      </c>
    </row>
    <row r="34" spans="2:51" ht="15" customHeight="1" x14ac:dyDescent="0.25">
      <c r="B34" s="2" t="s">
        <v>5</v>
      </c>
      <c r="C34" s="24">
        <f>SUM(IF(C30=0,0,C30^-1),IF(C32=0,0,C32^-1))^-1</f>
        <v>287220218194.5824</v>
      </c>
      <c r="D34" s="2" t="str">
        <f>IF($D$3="English","lbf/in","mN/m")</f>
        <v>mN/m</v>
      </c>
      <c r="P34" s="2" t="s">
        <v>101</v>
      </c>
      <c r="Q34" s="117">
        <f>Q31*$Q$28</f>
        <v>276460.15351590182</v>
      </c>
      <c r="R34" s="2" t="str">
        <f>IF($D$3="English","lbf", "N")</f>
        <v>N</v>
      </c>
      <c r="V34" s="2" t="s">
        <v>114</v>
      </c>
      <c r="W34" s="89">
        <f>W24/$C$24</f>
        <v>1539753492.4797544</v>
      </c>
      <c r="X34" s="2" t="str">
        <f>IF($D$3="English","psi","Pa")</f>
        <v>Pa</v>
      </c>
      <c r="Y34" s="2" t="s">
        <v>116</v>
      </c>
      <c r="Z34" s="89">
        <f>0.5*(W34+W32)</f>
        <v>1081126746.2398772</v>
      </c>
      <c r="AA34" s="2" t="str">
        <f>IF($D$3="English","psi","Pa")</f>
        <v>Pa</v>
      </c>
    </row>
    <row r="35" spans="2:51" ht="15" customHeight="1" x14ac:dyDescent="0.25">
      <c r="B35" s="2"/>
      <c r="C35" s="19">
        <f>IF($D$3="English",C34*10^-6,C34*10^-9)</f>
        <v>287.2202181945824</v>
      </c>
      <c r="D35" s="2" t="str">
        <f>IF($D$3="English","Mlbf/in","MN/m")</f>
        <v>MN/m</v>
      </c>
      <c r="P35" s="6" t="s">
        <v>108</v>
      </c>
      <c r="V35" s="2"/>
      <c r="W35" s="19">
        <f>IF($D$3="English",W34*10^-3,W34*10^-6)</f>
        <v>1539.7534924797544</v>
      </c>
      <c r="X35" s="2" t="str">
        <f>IF($D$3="English","kpsi","MPa")</f>
        <v>MPa</v>
      </c>
      <c r="Y35" s="2"/>
      <c r="Z35" s="19">
        <f>IF($D$3="English",Z34*10^-3,Z34*10^-6)</f>
        <v>1081.1267462398771</v>
      </c>
      <c r="AA35" s="2" t="str">
        <f>IF($D$3="English","kpsi","MPa")</f>
        <v>MPa</v>
      </c>
    </row>
    <row r="36" spans="2:51" ht="15" customHeight="1" x14ac:dyDescent="0.25">
      <c r="V36" s="11" t="s">
        <v>60</v>
      </c>
      <c r="W36" s="11"/>
      <c r="X36" s="12"/>
    </row>
    <row r="37" spans="2:51" ht="15" customHeight="1" x14ac:dyDescent="0.25">
      <c r="V37" s="2" t="s">
        <v>63</v>
      </c>
      <c r="W37" s="26">
        <f>W17/W21</f>
        <v>0.16171767800212922</v>
      </c>
      <c r="X37" s="2"/>
    </row>
    <row r="38" spans="2:51" ht="15" customHeight="1" x14ac:dyDescent="0.25">
      <c r="U38" s="59" t="s">
        <v>131</v>
      </c>
      <c r="V38" s="2" t="s">
        <v>61</v>
      </c>
      <c r="W38" s="26">
        <f>(W6*$C$24)/(W24)</f>
        <v>0.53904732416829593</v>
      </c>
      <c r="X38" s="2"/>
    </row>
    <row r="39" spans="2:51" ht="15" customHeight="1" x14ac:dyDescent="0.25">
      <c r="V39" s="2" t="s">
        <v>130</v>
      </c>
      <c r="W39" s="26">
        <f>(W12*(W8-W30))/(W8*Z32+W12*(Z34-W30))</f>
        <v>0.12268957112363055</v>
      </c>
      <c r="X39" s="118" t="s">
        <v>132</v>
      </c>
      <c r="Y39"/>
    </row>
    <row r="40" spans="2:51" ht="15" customHeight="1" x14ac:dyDescent="0.25">
      <c r="V40" s="2" t="s">
        <v>62</v>
      </c>
      <c r="W40" s="26">
        <f>(W6*$C$24-Q19)/(W16*W21)</f>
        <v>0.22621881704591043</v>
      </c>
      <c r="X40" s="2"/>
    </row>
    <row r="42" spans="2:51" ht="15" customHeight="1" x14ac:dyDescent="0.25">
      <c r="V42" s="11" t="s">
        <v>124</v>
      </c>
      <c r="W42" s="11"/>
      <c r="X42" s="12"/>
    </row>
    <row r="43" spans="2:51" ht="15" customHeight="1" x14ac:dyDescent="0.25">
      <c r="V43" s="2" t="s">
        <v>66</v>
      </c>
      <c r="W43" s="55">
        <f>IF($D$3="English",W44*Q19*C13,W44*Q19*(C13*10^-3))</f>
        <v>72.210000000000008</v>
      </c>
      <c r="X43" s="2" t="str">
        <f>IF($D$3="English","in-lbf", "Nm")</f>
        <v>Nm</v>
      </c>
    </row>
    <row r="44" spans="2:51" ht="15" customHeight="1" x14ac:dyDescent="0.25">
      <c r="V44" s="1" t="s">
        <v>67</v>
      </c>
      <c r="W44" s="57">
        <v>0.2</v>
      </c>
      <c r="X44" s="22"/>
      <c r="Z44"/>
    </row>
    <row r="49" spans="19:19" ht="15" customHeight="1" x14ac:dyDescent="0.25">
      <c r="S49"/>
    </row>
    <row r="151" spans="64:64" ht="15" customHeight="1" x14ac:dyDescent="0.25">
      <c r="BL151" s="6" t="s">
        <v>26</v>
      </c>
    </row>
  </sheetData>
  <mergeCells count="6">
    <mergeCell ref="AQ6:AT6"/>
    <mergeCell ref="AV6:AY6"/>
    <mergeCell ref="BA6:BE6"/>
    <mergeCell ref="BG6:BK6"/>
    <mergeCell ref="B2:N2"/>
    <mergeCell ref="P2:AA2"/>
  </mergeCells>
  <conditionalFormatting sqref="B19 D19 F19">
    <cfRule type="expression" dxfId="47" priority="1">
      <formula>NOT($F$19)</formula>
    </cfRule>
  </conditionalFormatting>
  <conditionalFormatting sqref="C17:D17">
    <cfRule type="expression" dxfId="46" priority="32">
      <formula>$C$17&lt;&gt;$J$13</formula>
    </cfRule>
    <cfRule type="duplicateValues" dxfId="45" priority="33"/>
  </conditionalFormatting>
  <conditionalFormatting sqref="I7:N7">
    <cfRule type="expression" dxfId="44" priority="24">
      <formula>0=$J$7</formula>
    </cfRule>
  </conditionalFormatting>
  <conditionalFormatting sqref="I8:N8">
    <cfRule type="expression" dxfId="43" priority="25">
      <formula>0=$J$8</formula>
    </cfRule>
  </conditionalFormatting>
  <conditionalFormatting sqref="I9:N9">
    <cfRule type="expression" dxfId="42" priority="23">
      <formula>0=$J$9</formula>
    </cfRule>
  </conditionalFormatting>
  <conditionalFormatting sqref="I10:N10">
    <cfRule type="expression" dxfId="41" priority="22">
      <formula>0=$J$10</formula>
    </cfRule>
  </conditionalFormatting>
  <conditionalFormatting sqref="I11:N11">
    <cfRule type="expression" dxfId="40" priority="21">
      <formula>0=$J$11</formula>
    </cfRule>
  </conditionalFormatting>
  <conditionalFormatting sqref="J13:K14">
    <cfRule type="expression" dxfId="39" priority="40">
      <formula>$C$17&lt;&gt;$J$13</formula>
    </cfRule>
  </conditionalFormatting>
  <conditionalFormatting sqref="P20 R20 T20">
    <cfRule type="expression" dxfId="38" priority="3">
      <formula>NOT($T$20)</formula>
    </cfRule>
  </conditionalFormatting>
  <dataValidations disablePrompts="1" count="2">
    <dataValidation type="list" allowBlank="1" showInputMessage="1" showErrorMessage="1" sqref="D3" xr:uid="{8F7EF575-DF86-4040-B02E-0F08928C6D08}">
      <formula1>"English, Metric"</formula1>
    </dataValidation>
    <dataValidation type="list" allowBlank="1" showInputMessage="1" showErrorMessage="1" sqref="C14" xr:uid="{D7C41092-65D0-1644-BE15-79203DBCE3DE}">
      <formula1>"UNC, UNF"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87A8-0424-45BD-9E93-242594D2A558}">
  <sheetPr>
    <tabColor rgb="FF00B050"/>
  </sheetPr>
  <dimension ref="B2:BL150"/>
  <sheetViews>
    <sheetView zoomScale="55" zoomScaleNormal="55" workbookViewId="0">
      <selection activeCell="L29" sqref="L29"/>
    </sheetView>
  </sheetViews>
  <sheetFormatPr defaultColWidth="8.85546875" defaultRowHeight="15" customHeight="1" x14ac:dyDescent="0.25"/>
  <cols>
    <col min="1" max="1" width="8.85546875" style="6"/>
    <col min="2" max="2" width="30.7109375" style="6" bestFit="1" customWidth="1"/>
    <col min="3" max="3" width="13" style="6" customWidth="1"/>
    <col min="4" max="4" width="10.140625" style="6" customWidth="1"/>
    <col min="5" max="5" width="23" style="6" bestFit="1" customWidth="1"/>
    <col min="6" max="6" width="10.7109375" style="6" customWidth="1"/>
    <col min="7" max="8" width="9.140625" style="6" customWidth="1"/>
    <col min="9" max="9" width="19.28515625" style="6" bestFit="1" customWidth="1"/>
    <col min="10" max="10" width="15" style="6" bestFit="1" customWidth="1"/>
    <col min="11" max="11" width="10.140625" style="6" bestFit="1" customWidth="1"/>
    <col min="12" max="12" width="9.7109375" style="6" bestFit="1" customWidth="1"/>
    <col min="13" max="13" width="11" style="6" bestFit="1" customWidth="1"/>
    <col min="14" max="14" width="12" style="6" bestFit="1" customWidth="1"/>
    <col min="15" max="15" width="8.85546875" style="6"/>
    <col min="16" max="16" width="30.7109375" style="6" bestFit="1" customWidth="1"/>
    <col min="17" max="17" width="13" style="6" customWidth="1"/>
    <col min="18" max="18" width="10.140625" style="6" customWidth="1"/>
    <col min="19" max="19" width="35" style="6" bestFit="1" customWidth="1"/>
    <col min="20" max="20" width="10.7109375" style="6" customWidth="1"/>
    <col min="21" max="21" width="8.85546875" style="6"/>
    <col min="22" max="22" width="30.28515625" style="6" bestFit="1" customWidth="1"/>
    <col min="23" max="23" width="16.42578125" style="6" bestFit="1" customWidth="1"/>
    <col min="24" max="24" width="10.140625" style="6" bestFit="1" customWidth="1"/>
    <col min="25" max="25" width="34.5703125" style="6" bestFit="1" customWidth="1"/>
    <col min="26" max="26" width="16.42578125" style="6" bestFit="1" customWidth="1"/>
    <col min="27" max="27" width="10.140625" style="6" customWidth="1"/>
    <col min="28" max="28" width="8.85546875" style="6"/>
    <col min="29" max="29" width="21.85546875" style="6" customWidth="1"/>
    <col min="30" max="30" width="14.28515625" style="6" bestFit="1" customWidth="1"/>
    <col min="31" max="31" width="12" style="6" bestFit="1" customWidth="1"/>
    <col min="32" max="32" width="12.28515625" style="6" bestFit="1" customWidth="1"/>
    <col min="33" max="33" width="23.7109375" style="6" bestFit="1" customWidth="1"/>
    <col min="34" max="34" width="21.28515625" style="6" customWidth="1"/>
    <col min="35" max="35" width="14.28515625" style="6" bestFit="1" customWidth="1"/>
    <col min="36" max="36" width="12" style="6" bestFit="1" customWidth="1"/>
    <col min="37" max="37" width="12.28515625" style="6" bestFit="1" customWidth="1"/>
    <col min="38" max="38" width="18.85546875" style="6" bestFit="1" customWidth="1"/>
    <col min="39" max="39" width="20.5703125" style="6" bestFit="1" customWidth="1"/>
    <col min="40" max="40" width="18.5703125" style="6" bestFit="1" customWidth="1"/>
    <col min="41" max="41" width="26.5703125" style="6" bestFit="1" customWidth="1"/>
    <col min="42" max="42" width="8.85546875" style="6"/>
    <col min="43" max="43" width="16.85546875" style="6" bestFit="1" customWidth="1"/>
    <col min="44" max="44" width="7.7109375" style="6" bestFit="1" customWidth="1"/>
    <col min="45" max="45" width="15.140625" style="6" customWidth="1"/>
    <col min="46" max="46" width="15.85546875" style="6" customWidth="1"/>
    <col min="47" max="47" width="8.85546875" style="6"/>
    <col min="48" max="48" width="16.85546875" style="6" bestFit="1" customWidth="1"/>
    <col min="49" max="49" width="7.7109375" style="6" bestFit="1" customWidth="1"/>
    <col min="50" max="50" width="15.140625" style="6" customWidth="1"/>
    <col min="51" max="51" width="15.85546875" style="6" customWidth="1"/>
    <col min="52" max="52" width="8.85546875" style="6"/>
    <col min="53" max="54" width="16.85546875" style="6" bestFit="1" customWidth="1"/>
    <col min="55" max="55" width="12" style="6" bestFit="1" customWidth="1"/>
    <col min="56" max="56" width="15.140625" style="6" customWidth="1"/>
    <col min="57" max="57" width="15.85546875" style="6" customWidth="1"/>
    <col min="58" max="58" width="8.85546875" style="6"/>
    <col min="59" max="60" width="16.85546875" style="6" bestFit="1" customWidth="1"/>
    <col min="61" max="61" width="12" style="6" bestFit="1" customWidth="1"/>
    <col min="62" max="62" width="15.140625" style="6" customWidth="1"/>
    <col min="63" max="63" width="15.85546875" style="6" customWidth="1"/>
    <col min="64" max="16384" width="8.85546875" style="6"/>
  </cols>
  <sheetData>
    <row r="2" spans="2:63" ht="15" customHeight="1" x14ac:dyDescent="0.25">
      <c r="B2" s="3" t="s">
        <v>0</v>
      </c>
      <c r="C2" s="4" t="s">
        <v>17</v>
      </c>
      <c r="D2" s="5" t="s">
        <v>36</v>
      </c>
      <c r="I2" s="7" t="s">
        <v>1</v>
      </c>
      <c r="J2" s="2"/>
      <c r="K2" s="2"/>
      <c r="L2" s="2"/>
      <c r="M2" s="2"/>
      <c r="N2" s="2"/>
      <c r="P2" s="3" t="s">
        <v>0</v>
      </c>
      <c r="Q2" s="1"/>
      <c r="R2" s="1"/>
      <c r="S2" s="1"/>
      <c r="T2" s="1"/>
      <c r="AC2" s="104" t="s">
        <v>99</v>
      </c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</row>
    <row r="3" spans="2:63" ht="15" customHeight="1" thickBot="1" x14ac:dyDescent="0.3">
      <c r="AD3" s="6" t="s">
        <v>125</v>
      </c>
      <c r="AI3" s="6" t="s">
        <v>90</v>
      </c>
      <c r="AQ3" s="6" t="s">
        <v>53</v>
      </c>
      <c r="BA3" s="6" t="s">
        <v>54</v>
      </c>
    </row>
    <row r="4" spans="2:63" ht="15" customHeight="1" x14ac:dyDescent="0.25">
      <c r="B4" s="8" t="s">
        <v>16</v>
      </c>
      <c r="C4" s="9"/>
      <c r="D4" s="9"/>
      <c r="I4" s="11" t="s">
        <v>18</v>
      </c>
      <c r="J4" s="11"/>
      <c r="K4" s="12"/>
      <c r="L4" s="12"/>
      <c r="M4" s="12"/>
      <c r="N4" s="12"/>
      <c r="V4" s="11" t="s">
        <v>97</v>
      </c>
      <c r="W4" s="11"/>
      <c r="X4" s="12"/>
      <c r="AD4" s="36" t="s">
        <v>36</v>
      </c>
      <c r="AE4" s="37"/>
      <c r="AF4" s="37"/>
      <c r="AG4" s="39"/>
      <c r="AI4" s="36" t="s">
        <v>36</v>
      </c>
      <c r="AJ4" s="37"/>
      <c r="AK4" s="37"/>
      <c r="AL4" s="38"/>
      <c r="AM4" s="38"/>
      <c r="AN4" s="37"/>
      <c r="AO4" s="39"/>
      <c r="AQ4" s="36"/>
      <c r="AR4" s="37"/>
      <c r="AS4" s="37"/>
      <c r="AT4" s="37"/>
      <c r="AU4" s="38" t="s">
        <v>36</v>
      </c>
      <c r="AV4" s="37"/>
      <c r="AW4" s="37"/>
      <c r="AX4" s="37"/>
      <c r="AY4" s="39"/>
      <c r="BA4" s="36"/>
      <c r="BB4" s="37"/>
      <c r="BC4" s="37"/>
      <c r="BD4" s="37"/>
      <c r="BE4" s="37"/>
      <c r="BF4" s="38" t="s">
        <v>2</v>
      </c>
      <c r="BG4" s="37"/>
      <c r="BH4" s="37"/>
      <c r="BI4" s="37"/>
      <c r="BJ4" s="37"/>
      <c r="BK4" s="39"/>
    </row>
    <row r="5" spans="2:63" ht="15" customHeight="1" x14ac:dyDescent="0.25">
      <c r="B5" s="1" t="s">
        <v>31</v>
      </c>
      <c r="C5" s="1">
        <v>30</v>
      </c>
      <c r="D5" s="1" t="s">
        <v>32</v>
      </c>
      <c r="E5" s="10" t="s">
        <v>10</v>
      </c>
      <c r="F5" s="9"/>
      <c r="G5" s="9"/>
      <c r="I5" s="14" t="s">
        <v>19</v>
      </c>
      <c r="J5" s="15" t="str">
        <f>_xlfn.CONCAT("Thickness ", "[",D6,"]")</f>
        <v>Thickness [mm]</v>
      </c>
      <c r="K5" s="15" t="str">
        <f>_xlfn.CONCAT("D ", "[",D13,"]")</f>
        <v>D [mm]</v>
      </c>
      <c r="L5" s="15" t="str">
        <f>_xlfn.CONCAT("E ", "[",G6,"]")</f>
        <v>E [Pa]</v>
      </c>
      <c r="M5" s="15" t="str">
        <f>_xlfn.CONCAT("k ", "[",D34,"]")</f>
        <v>k [mN/m]</v>
      </c>
      <c r="N5" s="15" t="s">
        <v>20</v>
      </c>
      <c r="V5" s="2" t="s">
        <v>68</v>
      </c>
      <c r="W5" s="88">
        <f>IF(AND($C$13&gt;=$AJ$29,$C$13&lt;=$AK$29),AL29,IF(AND($C$13&gt;=$AJ$30,$C$13&lt;=$AK$30),AL30,NA()))</f>
        <v>650000000</v>
      </c>
      <c r="X5" s="2" t="str">
        <f>IF($D$2="English","psi","Pa")</f>
        <v>Pa</v>
      </c>
      <c r="AD5" s="60" t="s">
        <v>76</v>
      </c>
      <c r="AE5" s="61" t="s">
        <v>77</v>
      </c>
      <c r="AF5" s="61" t="s">
        <v>78</v>
      </c>
      <c r="AG5" s="62" t="s">
        <v>126</v>
      </c>
      <c r="AI5" s="60" t="s">
        <v>76</v>
      </c>
      <c r="AJ5" s="61" t="s">
        <v>77</v>
      </c>
      <c r="AK5" s="61" t="s">
        <v>78</v>
      </c>
      <c r="AL5" s="61" t="s">
        <v>94</v>
      </c>
      <c r="AM5" s="61" t="s">
        <v>93</v>
      </c>
      <c r="AN5" s="61" t="s">
        <v>95</v>
      </c>
      <c r="AO5" s="62" t="s">
        <v>79</v>
      </c>
      <c r="AQ5" s="131" t="s">
        <v>44</v>
      </c>
      <c r="AR5" s="132"/>
      <c r="AS5" s="132"/>
      <c r="AT5" s="132"/>
      <c r="AU5" s="52"/>
      <c r="AV5" s="132" t="s">
        <v>45</v>
      </c>
      <c r="AW5" s="132"/>
      <c r="AX5" s="132"/>
      <c r="AY5" s="133"/>
      <c r="BA5" s="131" t="s">
        <v>44</v>
      </c>
      <c r="BB5" s="132"/>
      <c r="BC5" s="132"/>
      <c r="BD5" s="132"/>
      <c r="BE5" s="132"/>
      <c r="BF5" s="52"/>
      <c r="BG5" s="132" t="s">
        <v>45</v>
      </c>
      <c r="BH5" s="132"/>
      <c r="BI5" s="132"/>
      <c r="BJ5" s="132"/>
      <c r="BK5" s="133"/>
    </row>
    <row r="6" spans="2:63" ht="15" customHeight="1" x14ac:dyDescent="0.25">
      <c r="B6" s="1" t="s">
        <v>28</v>
      </c>
      <c r="C6" s="1">
        <v>3.5</v>
      </c>
      <c r="D6" s="1" t="str">
        <f>IF($D$2="English","in", "mm")</f>
        <v>mm</v>
      </c>
      <c r="E6" s="13" t="s">
        <v>11</v>
      </c>
      <c r="F6" s="22">
        <f>207*10^9</f>
        <v>207000000000</v>
      </c>
      <c r="G6" s="1" t="str">
        <f t="shared" ref="G6:G9" si="0">IF($D$2="English","psi","Pa")</f>
        <v>Pa</v>
      </c>
      <c r="I6" s="16">
        <v>1</v>
      </c>
      <c r="J6" s="2">
        <f>C6</f>
        <v>3.5</v>
      </c>
      <c r="K6" s="2">
        <f>1.5*C13</f>
        <v>18</v>
      </c>
      <c r="L6" s="23">
        <f>F6</f>
        <v>207000000000</v>
      </c>
      <c r="M6" s="23">
        <f>IF(J6=0,0,(PI()*L6*$C$13*TAN(RADIANS($C$5)))/LN(((2*J6*TAN(RADIANS($C$5))+K6-$C$13)*(K6+$C$13))/((2*J6*TAN(RADIANS($C$5))+K6+$C$13)*(K6-$C$13))))</f>
        <v>11594703379233.197</v>
      </c>
      <c r="N6" s="23">
        <f>IF(M6=0,0,M6^-1)</f>
        <v>8.6246277053629459E-14</v>
      </c>
      <c r="V6" s="2"/>
      <c r="W6" s="2">
        <f>IF($D$2="English",W5*10^-3,W5*10^-6)</f>
        <v>650</v>
      </c>
      <c r="X6" s="2" t="str">
        <f>IF($D$2="English","kpsi","MPa")</f>
        <v>MPa</v>
      </c>
      <c r="AD6" s="42">
        <v>8.8000000000000007</v>
      </c>
      <c r="AE6" s="28">
        <v>16</v>
      </c>
      <c r="AF6" s="28">
        <v>36</v>
      </c>
      <c r="AG6" s="109">
        <v>129000000</v>
      </c>
      <c r="AI6" s="42">
        <v>4.5999999999999996</v>
      </c>
      <c r="AJ6" s="28">
        <v>5</v>
      </c>
      <c r="AK6" s="28">
        <v>36</v>
      </c>
      <c r="AL6" s="95">
        <v>225000000</v>
      </c>
      <c r="AM6" s="92">
        <v>400000000</v>
      </c>
      <c r="AN6" s="95">
        <v>240000000</v>
      </c>
      <c r="AO6" s="63" t="s">
        <v>80</v>
      </c>
      <c r="AQ6" s="40" t="s">
        <v>42</v>
      </c>
      <c r="AR6" s="31" t="s">
        <v>41</v>
      </c>
      <c r="AS6" s="31" t="s">
        <v>40</v>
      </c>
      <c r="AT6" s="32" t="s">
        <v>43</v>
      </c>
      <c r="AU6" s="52"/>
      <c r="AV6" s="30" t="s">
        <v>42</v>
      </c>
      <c r="AW6" s="31" t="s">
        <v>41</v>
      </c>
      <c r="AX6" s="31" t="s">
        <v>40</v>
      </c>
      <c r="AY6" s="41" t="s">
        <v>43</v>
      </c>
      <c r="BA6" s="40" t="s">
        <v>46</v>
      </c>
      <c r="BB6" s="30" t="s">
        <v>47</v>
      </c>
      <c r="BC6" s="31" t="s">
        <v>48</v>
      </c>
      <c r="BD6" s="31" t="s">
        <v>49</v>
      </c>
      <c r="BE6" s="32" t="s">
        <v>50</v>
      </c>
      <c r="BF6" s="52"/>
      <c r="BG6" s="30" t="s">
        <v>46</v>
      </c>
      <c r="BH6" s="30" t="s">
        <v>47</v>
      </c>
      <c r="BI6" s="31" t="s">
        <v>48</v>
      </c>
      <c r="BJ6" s="31" t="s">
        <v>49</v>
      </c>
      <c r="BK6" s="41" t="s">
        <v>50</v>
      </c>
    </row>
    <row r="7" spans="2:63" ht="15" customHeight="1" x14ac:dyDescent="0.25">
      <c r="B7" s="1" t="s">
        <v>29</v>
      </c>
      <c r="C7" s="1">
        <v>20</v>
      </c>
      <c r="D7" s="1" t="str">
        <f t="shared" ref="D7:D9" si="1">IF($D$2="English","in", "mm")</f>
        <v>mm</v>
      </c>
      <c r="E7" s="13" t="s">
        <v>12</v>
      </c>
      <c r="F7" s="22">
        <f>207*10^9</f>
        <v>207000000000</v>
      </c>
      <c r="G7" s="1" t="str">
        <f t="shared" si="0"/>
        <v>Pa</v>
      </c>
      <c r="I7" s="16">
        <v>2</v>
      </c>
      <c r="J7" s="2">
        <f>IF(C6+C7&lt;J14,C7,J14-C6)</f>
        <v>20</v>
      </c>
      <c r="K7" s="18">
        <f>K6+2*J6*TAN(RADIANS($C$5))</f>
        <v>22.04145188432738</v>
      </c>
      <c r="L7" s="23">
        <f>F7</f>
        <v>207000000000</v>
      </c>
      <c r="M7" s="23">
        <f>IF(J7=0,0,(PI()*L7*$C$13*TAN(RADIANS($C$5)))/LN(((2*J7*TAN(RADIANS($C$5))+K7-$C$13)*(K7+$C$13))/((2*J7*TAN(RADIANS($C$5))+K7+$C$13)*(K7-$C$13))))</f>
        <v>6664549421800.0283</v>
      </c>
      <c r="N7" s="23">
        <f t="shared" ref="N7:N10" si="2">IF(M7=0,0,M7^-1)</f>
        <v>1.5004765314350537E-13</v>
      </c>
      <c r="V7" s="2" t="s">
        <v>74</v>
      </c>
      <c r="W7" s="89">
        <f>IF(AND($C$13&gt;=$AJ$29,$C$13&lt;=$AK$29),AM29,IF(AND($C$13&gt;=$AJ$30,$C$13&lt;=$AK$30),AM30,NA()))</f>
        <v>900000000</v>
      </c>
      <c r="X7" s="2" t="str">
        <f>IF($D$2="English","psi","Pa")</f>
        <v>Pa</v>
      </c>
      <c r="AD7" s="42">
        <v>9.8000000000000007</v>
      </c>
      <c r="AE7" s="28">
        <v>1.6</v>
      </c>
      <c r="AF7" s="28">
        <v>16</v>
      </c>
      <c r="AG7" s="110">
        <v>140000000</v>
      </c>
      <c r="AI7" s="42">
        <v>4.8</v>
      </c>
      <c r="AJ7" s="28">
        <v>1.6</v>
      </c>
      <c r="AK7" s="28">
        <v>16</v>
      </c>
      <c r="AL7" s="96">
        <v>310000000</v>
      </c>
      <c r="AM7" s="92">
        <v>420000000</v>
      </c>
      <c r="AN7" s="96">
        <v>340000000</v>
      </c>
      <c r="AO7" s="63" t="s">
        <v>80</v>
      </c>
      <c r="AQ7" s="42">
        <v>1.6</v>
      </c>
      <c r="AR7" s="28">
        <v>0.35</v>
      </c>
      <c r="AS7" s="28">
        <v>1.27</v>
      </c>
      <c r="AT7" s="29">
        <v>1.07</v>
      </c>
      <c r="AU7" s="52"/>
      <c r="AV7" s="27">
        <v>1.6</v>
      </c>
      <c r="AW7" s="28" t="e">
        <f>NA()</f>
        <v>#N/A</v>
      </c>
      <c r="AX7" s="28" t="e">
        <f>NA()</f>
        <v>#N/A</v>
      </c>
      <c r="AY7" s="28" t="e">
        <f>NA()</f>
        <v>#N/A</v>
      </c>
      <c r="BA7" s="49">
        <f>0</f>
        <v>0</v>
      </c>
      <c r="BB7" s="27">
        <v>0.06</v>
      </c>
      <c r="BC7" s="28" t="e">
        <f>NA()</f>
        <v>#N/A</v>
      </c>
      <c r="BD7" s="28" t="e">
        <f>NA()</f>
        <v>#N/A</v>
      </c>
      <c r="BE7" s="29" t="e">
        <f>NA()</f>
        <v>#N/A</v>
      </c>
      <c r="BF7" s="52"/>
      <c r="BG7" s="35">
        <f>0</f>
        <v>0</v>
      </c>
      <c r="BH7" s="27">
        <v>0.06</v>
      </c>
      <c r="BI7" s="28">
        <v>80</v>
      </c>
      <c r="BJ7" s="28">
        <v>1.8E-3</v>
      </c>
      <c r="BK7" s="43">
        <v>1.5100000000000001E-3</v>
      </c>
    </row>
    <row r="8" spans="2:63" ht="15" customHeight="1" x14ac:dyDescent="0.25">
      <c r="B8" s="1" t="s">
        <v>30</v>
      </c>
      <c r="C8" s="1">
        <v>25</v>
      </c>
      <c r="D8" s="1" t="str">
        <f t="shared" si="1"/>
        <v>mm</v>
      </c>
      <c r="E8" s="13" t="s">
        <v>14</v>
      </c>
      <c r="F8" s="22">
        <f>100*10^9</f>
        <v>100000000000</v>
      </c>
      <c r="G8" s="1" t="str">
        <f t="shared" si="0"/>
        <v>Pa</v>
      </c>
      <c r="I8" s="16">
        <v>3</v>
      </c>
      <c r="J8" s="2">
        <f>IF(C6+C7&lt;J14,J14-C7-C6,C6+C7-J14)</f>
        <v>2.5</v>
      </c>
      <c r="K8" s="18">
        <f>IF(J6+J7&lt;J14,K7+2*J7*TAN(RADIANS($C$5)),K7+2*J7*TAN(RADIANS($C$5))-2*J8*TAN(RADIANS($C$5)))</f>
        <v>45.135462651912405</v>
      </c>
      <c r="L8" s="23">
        <f>IF(J6+J7&lt;J14,F8,F7)</f>
        <v>100000000000</v>
      </c>
      <c r="M8" s="23">
        <f>IF(J8=0,0,(PI()*L8*$C$13*TAN(RADIANS($C$5)))/LN(((2*J8*TAN(RADIANS($C$5))+K8-$C$13)*(K8+$C$13))/((2*J8*TAN(RADIANS($C$5))+K8+$C$13)*(K8-$C$13))))</f>
        <v>63564068912540.547</v>
      </c>
      <c r="N8" s="23">
        <f t="shared" si="2"/>
        <v>1.5732158389292635E-14</v>
      </c>
      <c r="V8" s="2"/>
      <c r="W8" s="2">
        <f>IF($D$2="English",W7*10^-3,W7*10^-6)</f>
        <v>900</v>
      </c>
      <c r="X8" s="2" t="str">
        <f>IF($D$2="English","kpsi","MPa")</f>
        <v>MPa</v>
      </c>
      <c r="AD8" s="42">
        <v>10.9</v>
      </c>
      <c r="AE8" s="28">
        <v>5</v>
      </c>
      <c r="AF8" s="28">
        <v>36</v>
      </c>
      <c r="AG8" s="110">
        <v>162000000</v>
      </c>
      <c r="AI8" s="42">
        <v>5.8</v>
      </c>
      <c r="AJ8" s="28">
        <v>5</v>
      </c>
      <c r="AK8" s="28">
        <v>24</v>
      </c>
      <c r="AL8" s="96">
        <v>380000000</v>
      </c>
      <c r="AM8" s="92">
        <v>520000000</v>
      </c>
      <c r="AN8" s="96">
        <v>420000000</v>
      </c>
      <c r="AO8" s="63" t="s">
        <v>80</v>
      </c>
      <c r="AQ8" s="42">
        <v>2</v>
      </c>
      <c r="AR8" s="28">
        <v>0.4</v>
      </c>
      <c r="AS8" s="28">
        <v>2.0699999999999998</v>
      </c>
      <c r="AT8" s="29">
        <v>1.79</v>
      </c>
      <c r="AU8" s="52"/>
      <c r="AV8" s="27">
        <v>2</v>
      </c>
      <c r="AW8" s="28" t="e">
        <f>NA()</f>
        <v>#N/A</v>
      </c>
      <c r="AX8" s="28" t="e">
        <f>NA()</f>
        <v>#N/A</v>
      </c>
      <c r="AY8" s="28" t="e">
        <f>NA()</f>
        <v>#N/A</v>
      </c>
      <c r="BA8" s="49">
        <f>1</f>
        <v>1</v>
      </c>
      <c r="BB8" s="27">
        <v>7.2999999999999995E-2</v>
      </c>
      <c r="BC8" s="28">
        <v>64</v>
      </c>
      <c r="BD8" s="28">
        <v>2.63E-3</v>
      </c>
      <c r="BE8" s="29">
        <v>2.1800000000000001E-3</v>
      </c>
      <c r="BF8" s="52"/>
      <c r="BG8" s="35">
        <f>1</f>
        <v>1</v>
      </c>
      <c r="BH8" s="27">
        <v>7.2999999999999995E-2</v>
      </c>
      <c r="BI8" s="28">
        <v>72</v>
      </c>
      <c r="BJ8" s="28">
        <v>2.7799999999999999E-3</v>
      </c>
      <c r="BK8" s="43">
        <v>2.3700000000000001E-3</v>
      </c>
    </row>
    <row r="9" spans="2:63" ht="15" customHeight="1" thickBot="1" x14ac:dyDescent="0.3">
      <c r="B9" s="1" t="s">
        <v>27</v>
      </c>
      <c r="C9" s="1">
        <v>3.5</v>
      </c>
      <c r="D9" s="1" t="str">
        <f t="shared" si="1"/>
        <v>mm</v>
      </c>
      <c r="E9" s="13" t="s">
        <v>13</v>
      </c>
      <c r="F9" s="22">
        <f>207*10^9</f>
        <v>207000000000</v>
      </c>
      <c r="G9" s="1" t="str">
        <f t="shared" si="0"/>
        <v>Pa</v>
      </c>
      <c r="I9" s="16">
        <v>4</v>
      </c>
      <c r="J9" s="2">
        <f>C17-SUM(J6:J8)-J10</f>
        <v>22.5</v>
      </c>
      <c r="K9" s="18">
        <f>K10+2*J10*TAN(RADIANS($C$5))</f>
        <v>22.04145188432738</v>
      </c>
      <c r="L9" s="23">
        <f>F8</f>
        <v>100000000000</v>
      </c>
      <c r="M9" s="23">
        <f>IF(J9=0,0,(PI()*L9*$C$13*TAN(RADIANS($C$5)))/LN(((2*J9*TAN(RADIANS($C$5))+K9-$C$13)*(K9+$C$13))/((2*J9*TAN(RADIANS($C$5))+K9+$C$13)*(K9-$C$13))))</f>
        <v>3064375164052.6689</v>
      </c>
      <c r="N9" s="23">
        <f t="shared" si="2"/>
        <v>3.2633080039634875E-13</v>
      </c>
      <c r="V9" s="2" t="s">
        <v>75</v>
      </c>
      <c r="W9" s="88">
        <f>IF(AND($C$13&gt;=$AJ$29,$C$13&lt;=$AK$29),AN29,IF(AND($C$13&gt;=$AJ$30,$C$13&lt;=$AK$30),AN30,NA()))</f>
        <v>720000000</v>
      </c>
      <c r="X9" s="2" t="str">
        <f>IF($D$2="English","psi","Pa")</f>
        <v>Pa</v>
      </c>
      <c r="AD9" s="44">
        <v>12.9</v>
      </c>
      <c r="AE9" s="45">
        <v>1.6</v>
      </c>
      <c r="AF9" s="45">
        <v>36</v>
      </c>
      <c r="AG9" s="111">
        <v>190000000</v>
      </c>
      <c r="AI9" s="42">
        <v>8.8000000000000007</v>
      </c>
      <c r="AJ9" s="28">
        <v>16</v>
      </c>
      <c r="AK9" s="28">
        <v>36</v>
      </c>
      <c r="AL9" s="96">
        <v>600000000</v>
      </c>
      <c r="AM9" s="92">
        <v>830000000</v>
      </c>
      <c r="AN9" s="96">
        <v>660000000</v>
      </c>
      <c r="AO9" s="63" t="s">
        <v>81</v>
      </c>
      <c r="AQ9" s="42">
        <v>2.5</v>
      </c>
      <c r="AR9" s="28">
        <v>0.45</v>
      </c>
      <c r="AS9" s="28">
        <v>3.39</v>
      </c>
      <c r="AT9" s="29">
        <v>2.98</v>
      </c>
      <c r="AU9" s="52"/>
      <c r="AV9" s="27">
        <v>2.5</v>
      </c>
      <c r="AW9" s="28" t="e">
        <f>NA()</f>
        <v>#N/A</v>
      </c>
      <c r="AX9" s="28" t="e">
        <f>NA()</f>
        <v>#N/A</v>
      </c>
      <c r="AY9" s="28" t="e">
        <f>NA()</f>
        <v>#N/A</v>
      </c>
      <c r="BA9" s="49">
        <f>2</f>
        <v>2</v>
      </c>
      <c r="BB9" s="27">
        <v>8.5999999999999993E-2</v>
      </c>
      <c r="BC9" s="28">
        <v>56</v>
      </c>
      <c r="BD9" s="28">
        <v>3.7000000000000002E-3</v>
      </c>
      <c r="BE9" s="29">
        <v>3.0999999999999999E-3</v>
      </c>
      <c r="BF9" s="52"/>
      <c r="BG9" s="35">
        <f>2</f>
        <v>2</v>
      </c>
      <c r="BH9" s="27">
        <v>8.5999999999999993E-2</v>
      </c>
      <c r="BI9" s="28">
        <v>64</v>
      </c>
      <c r="BJ9" s="28">
        <v>3.9399999999999999E-3</v>
      </c>
      <c r="BK9" s="43">
        <v>3.3899999999999998E-3</v>
      </c>
    </row>
    <row r="10" spans="2:63" ht="15" customHeight="1" thickBot="1" x14ac:dyDescent="0.3">
      <c r="I10" s="16">
        <v>5</v>
      </c>
      <c r="J10" s="2">
        <f>C9</f>
        <v>3.5</v>
      </c>
      <c r="K10" s="2">
        <f>1.5*C13</f>
        <v>18</v>
      </c>
      <c r="L10" s="23">
        <f>F9</f>
        <v>207000000000</v>
      </c>
      <c r="M10" s="23">
        <f>IF(J10=0,0,(PI()*L10*$C$13*TAN(RADIANS($C$5)))/LN(((2*J10*TAN(RADIANS($C$5))+K10-$C$13)*(K10+$C$13))/((2*J10*TAN(RADIANS($C$5))+K10+$C$13)*(K10-$C$13))))</f>
        <v>11594703379233.197</v>
      </c>
      <c r="N10" s="23">
        <f t="shared" si="2"/>
        <v>8.6246277053629459E-14</v>
      </c>
      <c r="V10" s="2"/>
      <c r="W10" s="2">
        <f>IF($D$2="English",W9*10^-3,W9*10^-6)</f>
        <v>720</v>
      </c>
      <c r="X10" s="2" t="str">
        <f>IF($D$2="English","kpsi","MPa")</f>
        <v>MPa</v>
      </c>
      <c r="AI10" s="42">
        <v>9.8000000000000007</v>
      </c>
      <c r="AJ10" s="28">
        <v>1.6</v>
      </c>
      <c r="AK10" s="28">
        <v>16</v>
      </c>
      <c r="AL10" s="96">
        <v>650000000</v>
      </c>
      <c r="AM10" s="92">
        <v>900000000</v>
      </c>
      <c r="AN10" s="96">
        <v>720000000</v>
      </c>
      <c r="AO10" s="63" t="s">
        <v>81</v>
      </c>
      <c r="AQ10" s="42">
        <v>3</v>
      </c>
      <c r="AR10" s="28">
        <v>0.5</v>
      </c>
      <c r="AS10" s="28">
        <v>5.03</v>
      </c>
      <c r="AT10" s="29">
        <v>4.47</v>
      </c>
      <c r="AU10" s="52"/>
      <c r="AV10" s="27">
        <v>3</v>
      </c>
      <c r="AW10" s="28" t="e">
        <f>NA()</f>
        <v>#N/A</v>
      </c>
      <c r="AX10" s="28" t="e">
        <f>NA()</f>
        <v>#N/A</v>
      </c>
      <c r="AY10" s="28" t="e">
        <f>NA()</f>
        <v>#N/A</v>
      </c>
      <c r="BA10" s="49">
        <f>3</f>
        <v>3</v>
      </c>
      <c r="BB10" s="27">
        <v>9.9000000000000005E-2</v>
      </c>
      <c r="BC10" s="28">
        <v>48</v>
      </c>
      <c r="BD10" s="28">
        <v>4.8700000000000002E-3</v>
      </c>
      <c r="BE10" s="29">
        <v>4.0600000000000002E-3</v>
      </c>
      <c r="BF10" s="52"/>
      <c r="BG10" s="35">
        <f>3</f>
        <v>3</v>
      </c>
      <c r="BH10" s="27">
        <v>9.9000000000000005E-2</v>
      </c>
      <c r="BI10" s="28">
        <v>56</v>
      </c>
      <c r="BJ10" s="28">
        <v>5.2300000000000003E-3</v>
      </c>
      <c r="BK10" s="43">
        <v>4.5100000000000001E-3</v>
      </c>
    </row>
    <row r="11" spans="2:63" ht="15" customHeight="1" x14ac:dyDescent="0.25">
      <c r="B11" s="8" t="s">
        <v>15</v>
      </c>
      <c r="C11" s="34" t="str">
        <f>_xlfn.CONCAT(IF($D$2="English",_xlfn.CONCAT(TEXT(C13, "# ?/?"),"""-",C25,"-", C15, " ",C14),_xlfn.CONCAT("M",C13,"-", C25,"-", C15," ",C14)), " Grade ", C16)</f>
        <v>M12-1.75-65 UNC Grade 9.8</v>
      </c>
      <c r="D11" s="8"/>
      <c r="E11" s="8"/>
      <c r="F11" s="8"/>
      <c r="G11" s="8"/>
      <c r="V11" s="2" t="s">
        <v>129</v>
      </c>
      <c r="W11" s="88">
        <f>IF(AND($C$13&gt;=AE$19,$C$13&lt;=AF$19),AG19,IF(AND($C$13&gt;=AE$20,$C$13&lt;=AF$20),AG20,NA()))</f>
        <v>140000000</v>
      </c>
      <c r="X11" s="2" t="str">
        <f>IF($D$2="English","psi","Pa")</f>
        <v>Pa</v>
      </c>
      <c r="AD11" s="36" t="s">
        <v>2</v>
      </c>
      <c r="AE11" s="37"/>
      <c r="AF11" s="37"/>
      <c r="AG11" s="103"/>
      <c r="AI11" s="42">
        <v>10.9</v>
      </c>
      <c r="AJ11" s="28">
        <v>5</v>
      </c>
      <c r="AK11" s="28">
        <v>36</v>
      </c>
      <c r="AL11" s="96">
        <v>830000000</v>
      </c>
      <c r="AM11" s="90">
        <v>1040000000</v>
      </c>
      <c r="AN11" s="96">
        <v>940000000</v>
      </c>
      <c r="AO11" s="63" t="s">
        <v>82</v>
      </c>
      <c r="AQ11" s="42">
        <v>3.5</v>
      </c>
      <c r="AR11" s="28">
        <v>0.6</v>
      </c>
      <c r="AS11" s="28">
        <v>6.78</v>
      </c>
      <c r="AT11" s="29">
        <v>6</v>
      </c>
      <c r="AU11" s="52"/>
      <c r="AV11" s="27">
        <v>3.5</v>
      </c>
      <c r="AW11" s="28" t="e">
        <f>NA()</f>
        <v>#N/A</v>
      </c>
      <c r="AX11" s="28" t="e">
        <f>NA()</f>
        <v>#N/A</v>
      </c>
      <c r="AY11" s="28" t="e">
        <f>NA()</f>
        <v>#N/A</v>
      </c>
      <c r="BA11" s="49">
        <f>4</f>
        <v>4</v>
      </c>
      <c r="BB11" s="27">
        <v>0.112</v>
      </c>
      <c r="BC11" s="28">
        <v>40</v>
      </c>
      <c r="BD11" s="28">
        <v>6.0400000000000002E-3</v>
      </c>
      <c r="BE11" s="29">
        <v>4.96E-3</v>
      </c>
      <c r="BF11" s="52"/>
      <c r="BG11" s="35">
        <f>4</f>
        <v>4</v>
      </c>
      <c r="BH11" s="27">
        <v>0.112</v>
      </c>
      <c r="BI11" s="28">
        <v>48</v>
      </c>
      <c r="BJ11" s="28">
        <v>6.6100000000000004E-3</v>
      </c>
      <c r="BK11" s="43">
        <v>5.6600000000000001E-3</v>
      </c>
    </row>
    <row r="12" spans="2:63" ht="15" customHeight="1" thickBot="1" x14ac:dyDescent="0.3">
      <c r="B12" s="1" t="s">
        <v>51</v>
      </c>
      <c r="C12" s="22">
        <f>207*10^9</f>
        <v>207000000000</v>
      </c>
      <c r="D12" s="1" t="str">
        <f>IF($D$2="English","psi","Pa")</f>
        <v>Pa</v>
      </c>
      <c r="I12" s="25" t="s">
        <v>33</v>
      </c>
      <c r="J12" s="25">
        <f>SUM(J6:J10)</f>
        <v>52</v>
      </c>
      <c r="K12" s="25" t="str">
        <f>IF($D$2="English","in", "mm")</f>
        <v>mm</v>
      </c>
      <c r="V12" s="2"/>
      <c r="W12" s="2">
        <f>IF($D$2="English",W11*10^-3,W11*10^-6)</f>
        <v>140</v>
      </c>
      <c r="X12" s="2" t="str">
        <f>IF($D$2="English","kpsi","MPa")</f>
        <v>MPa</v>
      </c>
      <c r="AD12" s="60" t="s">
        <v>76</v>
      </c>
      <c r="AE12" s="61" t="s">
        <v>85</v>
      </c>
      <c r="AF12" s="61" t="s">
        <v>86</v>
      </c>
      <c r="AG12" s="62" t="s">
        <v>127</v>
      </c>
      <c r="AI12" s="44">
        <v>12.9</v>
      </c>
      <c r="AJ12" s="45">
        <v>1.6</v>
      </c>
      <c r="AK12" s="45">
        <v>36</v>
      </c>
      <c r="AL12" s="93">
        <v>970000000</v>
      </c>
      <c r="AM12" s="94">
        <v>1220000000</v>
      </c>
      <c r="AN12" s="91">
        <v>1100000000</v>
      </c>
      <c r="AO12" s="64" t="s">
        <v>83</v>
      </c>
      <c r="AQ12" s="42">
        <v>4</v>
      </c>
      <c r="AR12" s="28">
        <v>0.7</v>
      </c>
      <c r="AS12" s="28">
        <v>8.7799999999999994</v>
      </c>
      <c r="AT12" s="29">
        <v>7.75</v>
      </c>
      <c r="AU12" s="52"/>
      <c r="AV12" s="27">
        <v>4</v>
      </c>
      <c r="AW12" s="28" t="e">
        <f>NA()</f>
        <v>#N/A</v>
      </c>
      <c r="AX12" s="28" t="e">
        <f>NA()</f>
        <v>#N/A</v>
      </c>
      <c r="AY12" s="28" t="e">
        <f>NA()</f>
        <v>#N/A</v>
      </c>
      <c r="BA12" s="49">
        <f>5</f>
        <v>5</v>
      </c>
      <c r="BB12" s="27">
        <v>0.125</v>
      </c>
      <c r="BC12" s="28">
        <v>40</v>
      </c>
      <c r="BD12" s="28">
        <v>7.9600000000000001E-3</v>
      </c>
      <c r="BE12" s="29">
        <v>6.7200000000000003E-3</v>
      </c>
      <c r="BF12" s="52"/>
      <c r="BG12" s="35">
        <f>5</f>
        <v>5</v>
      </c>
      <c r="BH12" s="27">
        <v>0.125</v>
      </c>
      <c r="BI12" s="28">
        <v>44</v>
      </c>
      <c r="BJ12" s="28">
        <v>8.8000000000000005E-3</v>
      </c>
      <c r="BK12" s="43">
        <v>7.1599999999999997E-3</v>
      </c>
    </row>
    <row r="13" spans="2:63" ht="15" customHeight="1" x14ac:dyDescent="0.25">
      <c r="B13" s="1" t="s">
        <v>3</v>
      </c>
      <c r="C13" s="17">
        <v>12</v>
      </c>
      <c r="D13" s="1" t="str">
        <f t="shared" ref="D13" si="3">IF($D$2="English","in", "mm")</f>
        <v>mm</v>
      </c>
      <c r="I13" s="25" t="s">
        <v>22</v>
      </c>
      <c r="J13" s="25">
        <f>C17</f>
        <v>52</v>
      </c>
      <c r="K13" s="25" t="str">
        <f>IF($D$2="English","in", "mm")</f>
        <v>mm</v>
      </c>
      <c r="AD13" s="71">
        <v>5</v>
      </c>
      <c r="AE13" s="67">
        <v>0.125</v>
      </c>
      <c r="AF13" s="67">
        <v>1</v>
      </c>
      <c r="AG13" s="109">
        <v>18600</v>
      </c>
      <c r="AQ13" s="42">
        <v>5</v>
      </c>
      <c r="AR13" s="28">
        <v>0.8</v>
      </c>
      <c r="AS13" s="28">
        <v>14.2</v>
      </c>
      <c r="AT13" s="29">
        <v>12.7</v>
      </c>
      <c r="AU13" s="52"/>
      <c r="AV13" s="27">
        <v>5</v>
      </c>
      <c r="AW13" s="28" t="e">
        <f>NA()</f>
        <v>#N/A</v>
      </c>
      <c r="AX13" s="28" t="e">
        <f>NA()</f>
        <v>#N/A</v>
      </c>
      <c r="AY13" s="28" t="e">
        <f>NA()</f>
        <v>#N/A</v>
      </c>
      <c r="BA13" s="49">
        <f>6</f>
        <v>6</v>
      </c>
      <c r="BB13" s="27">
        <v>0.13800000000000001</v>
      </c>
      <c r="BC13" s="28">
        <v>32</v>
      </c>
      <c r="BD13" s="28">
        <v>9.0900000000000009E-3</v>
      </c>
      <c r="BE13" s="29">
        <v>7.45E-3</v>
      </c>
      <c r="BF13" s="52"/>
      <c r="BG13" s="35">
        <f>6</f>
        <v>6</v>
      </c>
      <c r="BH13" s="27">
        <v>0.13800000000000001</v>
      </c>
      <c r="BI13" s="28">
        <v>40</v>
      </c>
      <c r="BJ13" s="28">
        <v>1.0149999999999999E-2</v>
      </c>
      <c r="BK13" s="43">
        <v>8.7399999999999995E-3</v>
      </c>
    </row>
    <row r="14" spans="2:63" ht="15" customHeight="1" thickBot="1" x14ac:dyDescent="0.3">
      <c r="B14" s="1" t="s">
        <v>52</v>
      </c>
      <c r="C14" s="33" t="s">
        <v>44</v>
      </c>
      <c r="D14" s="1"/>
      <c r="I14" s="25" t="s">
        <v>23</v>
      </c>
      <c r="J14" s="25">
        <f>C17/2</f>
        <v>26</v>
      </c>
      <c r="K14" s="25" t="str">
        <f t="shared" ref="K14" si="4">IF($D$2="English","in", "mm")</f>
        <v>mm</v>
      </c>
      <c r="P14" s="8" t="s">
        <v>69</v>
      </c>
      <c r="Q14" s="8"/>
      <c r="R14" s="8"/>
      <c r="S14" s="8"/>
      <c r="T14" s="8"/>
      <c r="V14" s="11" t="s">
        <v>56</v>
      </c>
      <c r="W14" s="11"/>
      <c r="X14" s="12"/>
      <c r="Y14" s="12"/>
      <c r="Z14" s="12"/>
      <c r="AA14" s="12"/>
      <c r="AD14" s="73">
        <v>5</v>
      </c>
      <c r="AE14" s="69">
        <v>1.125</v>
      </c>
      <c r="AF14" s="69">
        <v>1.5</v>
      </c>
      <c r="AG14" s="112">
        <v>16300</v>
      </c>
      <c r="AI14" s="6" t="s">
        <v>89</v>
      </c>
      <c r="AQ14" s="42">
        <v>6</v>
      </c>
      <c r="AR14" s="28">
        <v>1</v>
      </c>
      <c r="AS14" s="28">
        <v>20.100000000000001</v>
      </c>
      <c r="AT14" s="29">
        <v>17.899999999999999</v>
      </c>
      <c r="AU14" s="52"/>
      <c r="AV14" s="27">
        <v>6</v>
      </c>
      <c r="AW14" s="28" t="e">
        <f>NA()</f>
        <v>#N/A</v>
      </c>
      <c r="AX14" s="28" t="e">
        <f>NA()</f>
        <v>#N/A</v>
      </c>
      <c r="AY14" s="28" t="e">
        <f>NA()</f>
        <v>#N/A</v>
      </c>
      <c r="BA14" s="49">
        <f>8</f>
        <v>8</v>
      </c>
      <c r="BB14" s="27">
        <v>0.16400000000000001</v>
      </c>
      <c r="BC14" s="28">
        <v>32</v>
      </c>
      <c r="BD14" s="28">
        <v>1.4E-2</v>
      </c>
      <c r="BE14" s="29">
        <v>1.196E-2</v>
      </c>
      <c r="BF14" s="52"/>
      <c r="BG14" s="35">
        <f>8</f>
        <v>8</v>
      </c>
      <c r="BH14" s="27">
        <v>0.16400000000000001</v>
      </c>
      <c r="BI14" s="28">
        <v>36</v>
      </c>
      <c r="BJ14" s="28">
        <v>1.474E-2</v>
      </c>
      <c r="BK14" s="43">
        <v>1.285E-2</v>
      </c>
    </row>
    <row r="15" spans="2:63" ht="15" customHeight="1" x14ac:dyDescent="0.25">
      <c r="B15" s="1" t="s">
        <v>4</v>
      </c>
      <c r="C15" s="1">
        <v>65</v>
      </c>
      <c r="D15" s="1" t="str">
        <f t="shared" ref="D15" si="5">IF($D$2="English","in", "mm")</f>
        <v>mm</v>
      </c>
      <c r="P15" s="1" t="s">
        <v>57</v>
      </c>
      <c r="Q15" s="1">
        <v>10</v>
      </c>
      <c r="R15" s="1"/>
      <c r="V15" s="2" t="s">
        <v>55</v>
      </c>
      <c r="W15" s="18">
        <f>C34/(C34+J16)</f>
        <v>0.21207419404797834</v>
      </c>
      <c r="X15" s="23"/>
      <c r="AD15" s="75">
        <v>7</v>
      </c>
      <c r="AE15" s="77">
        <v>0.25</v>
      </c>
      <c r="AF15" s="77">
        <v>1.5</v>
      </c>
      <c r="AG15" s="113">
        <v>20600</v>
      </c>
      <c r="AI15" s="36" t="s">
        <v>2</v>
      </c>
      <c r="AJ15" s="37"/>
      <c r="AK15" s="37"/>
      <c r="AL15" s="38"/>
      <c r="AM15" s="38"/>
      <c r="AN15" s="37"/>
      <c r="AO15" s="103"/>
      <c r="AQ15" s="42">
        <v>8</v>
      </c>
      <c r="AR15" s="28">
        <v>1.25</v>
      </c>
      <c r="AS15" s="28">
        <v>36.6</v>
      </c>
      <c r="AT15" s="29">
        <v>32.799999999999997</v>
      </c>
      <c r="AU15" s="52"/>
      <c r="AV15" s="27">
        <v>8</v>
      </c>
      <c r="AW15" s="28">
        <v>1</v>
      </c>
      <c r="AX15" s="28">
        <v>39.200000000000003</v>
      </c>
      <c r="AY15" s="43">
        <v>36</v>
      </c>
      <c r="BA15" s="49">
        <f>10</f>
        <v>10</v>
      </c>
      <c r="BB15" s="27">
        <v>0.19</v>
      </c>
      <c r="BC15" s="28">
        <v>24</v>
      </c>
      <c r="BD15" s="28">
        <v>1.7500000000000002E-2</v>
      </c>
      <c r="BE15" s="29">
        <v>1.4500000000000001E-2</v>
      </c>
      <c r="BF15" s="52"/>
      <c r="BG15" s="35">
        <f>10</f>
        <v>10</v>
      </c>
      <c r="BH15" s="27">
        <v>0.19</v>
      </c>
      <c r="BI15" s="28">
        <v>32</v>
      </c>
      <c r="BJ15" s="28">
        <v>0.02</v>
      </c>
      <c r="BK15" s="43">
        <v>1.7500000000000002E-2</v>
      </c>
    </row>
    <row r="16" spans="2:63" ht="15" customHeight="1" thickBot="1" x14ac:dyDescent="0.3">
      <c r="B16" s="1" t="s">
        <v>72</v>
      </c>
      <c r="C16" s="1">
        <v>9.8000000000000007</v>
      </c>
      <c r="D16" s="1"/>
      <c r="I16" s="2" t="s">
        <v>34</v>
      </c>
      <c r="J16" s="24">
        <f>SUM(N6:N10)^-1</f>
        <v>1504657291905.26</v>
      </c>
      <c r="K16" s="2" t="str">
        <f>IF($D$2="English","lbf/in","mN/m")</f>
        <v>mN/m</v>
      </c>
      <c r="P16" s="1" t="s">
        <v>100</v>
      </c>
      <c r="Q16" s="116">
        <f>Q29</f>
        <v>0</v>
      </c>
      <c r="R16" s="1" t="str">
        <f>IF($D$2="English","lbf", "N")</f>
        <v>N</v>
      </c>
      <c r="V16" s="2" t="s">
        <v>59</v>
      </c>
      <c r="W16" s="117">
        <f>Q18/(1-W15)</f>
        <v>52157.512407332455</v>
      </c>
      <c r="X16" s="2" t="str">
        <f t="shared" ref="R16:AA26" si="6">IF($D$2="English","lbf", "N")</f>
        <v>N</v>
      </c>
      <c r="AD16" s="44">
        <v>8</v>
      </c>
      <c r="AE16" s="45">
        <v>0.25</v>
      </c>
      <c r="AF16" s="45">
        <v>1.5</v>
      </c>
      <c r="AG16" s="111">
        <v>23200</v>
      </c>
      <c r="AI16" s="60" t="s">
        <v>84</v>
      </c>
      <c r="AJ16" s="61" t="s">
        <v>85</v>
      </c>
      <c r="AK16" s="61" t="s">
        <v>86</v>
      </c>
      <c r="AL16" s="61" t="s">
        <v>91</v>
      </c>
      <c r="AM16" s="61" t="s">
        <v>92</v>
      </c>
      <c r="AN16" s="61" t="s">
        <v>98</v>
      </c>
      <c r="AO16" s="62" t="s">
        <v>79</v>
      </c>
      <c r="AQ16" s="42">
        <v>10</v>
      </c>
      <c r="AR16" s="28">
        <v>1.5</v>
      </c>
      <c r="AS16" s="28">
        <v>58</v>
      </c>
      <c r="AT16" s="29">
        <v>52.3</v>
      </c>
      <c r="AU16" s="52"/>
      <c r="AV16" s="27">
        <v>10</v>
      </c>
      <c r="AW16" s="28">
        <v>1.25</v>
      </c>
      <c r="AX16" s="28">
        <v>61.2</v>
      </c>
      <c r="AY16" s="43">
        <v>56.3</v>
      </c>
      <c r="BA16" s="49">
        <f>12</f>
        <v>12</v>
      </c>
      <c r="BB16" s="27">
        <v>0.216</v>
      </c>
      <c r="BC16" s="28">
        <v>24</v>
      </c>
      <c r="BD16" s="28">
        <v>2.4199999999999999E-2</v>
      </c>
      <c r="BE16" s="29">
        <v>2.06E-2</v>
      </c>
      <c r="BF16" s="52"/>
      <c r="BG16" s="35">
        <f>12</f>
        <v>12</v>
      </c>
      <c r="BH16" s="27">
        <v>0.216</v>
      </c>
      <c r="BI16" s="28">
        <v>28</v>
      </c>
      <c r="BJ16" s="28">
        <v>2.58E-2</v>
      </c>
      <c r="BK16" s="43">
        <v>2.2599999999999999E-2</v>
      </c>
    </row>
    <row r="17" spans="2:63" ht="15" customHeight="1" x14ac:dyDescent="0.25">
      <c r="B17" s="2" t="s">
        <v>22</v>
      </c>
      <c r="C17" s="2">
        <f>IF(C28,SUM(C6:C8)+C9,IF(C13&lt;=C8, C6+C7+(C13/2), C6+C7+(C8/2)))</f>
        <v>52</v>
      </c>
      <c r="D17" s="2" t="str">
        <f>IF($D$2="English","in", "mm")</f>
        <v>mm</v>
      </c>
      <c r="I17" s="2"/>
      <c r="J17" s="19">
        <f>IF($D$2="English",J16*10^-6,J16*10^-9)</f>
        <v>1504.6572919052601</v>
      </c>
      <c r="K17" s="2" t="str">
        <f>IF($D$2="English","Mlbf/in","MN/m")</f>
        <v>MN/m</v>
      </c>
      <c r="P17" s="1" t="s">
        <v>101</v>
      </c>
      <c r="Q17" s="116">
        <f>Q30</f>
        <v>114864.48139687681</v>
      </c>
      <c r="R17" s="1" t="str">
        <f>IF($D$2="English","lbf", "N")</f>
        <v>N</v>
      </c>
      <c r="V17" s="2" t="s">
        <v>64</v>
      </c>
      <c r="W17" s="117">
        <f>IF($D$2="English",W5*$C$24,W5*$C$24)</f>
        <v>54794.999999999993</v>
      </c>
      <c r="X17" s="2" t="str">
        <f t="shared" si="6"/>
        <v>N</v>
      </c>
      <c r="AI17" s="42">
        <v>1</v>
      </c>
      <c r="AJ17" s="28">
        <v>0.25</v>
      </c>
      <c r="AK17" s="28">
        <v>1.5</v>
      </c>
      <c r="AL17" s="97">
        <v>33000</v>
      </c>
      <c r="AM17" s="97">
        <v>60000</v>
      </c>
      <c r="AN17" s="97">
        <v>36000</v>
      </c>
      <c r="AO17" s="63" t="s">
        <v>80</v>
      </c>
      <c r="AQ17" s="42">
        <v>12</v>
      </c>
      <c r="AR17" s="28">
        <v>1.75</v>
      </c>
      <c r="AS17" s="28">
        <v>84.3</v>
      </c>
      <c r="AT17" s="29">
        <v>76.3</v>
      </c>
      <c r="AU17" s="52"/>
      <c r="AV17" s="27">
        <v>12</v>
      </c>
      <c r="AW17" s="28">
        <v>1.25</v>
      </c>
      <c r="AX17" s="28">
        <v>92.1</v>
      </c>
      <c r="AY17" s="43">
        <v>86</v>
      </c>
      <c r="BA17" s="49">
        <f>1/4</f>
        <v>0.25</v>
      </c>
      <c r="BB17" s="27">
        <v>0.25</v>
      </c>
      <c r="BC17" s="28">
        <v>20</v>
      </c>
      <c r="BD17" s="28">
        <v>3.1800000000000002E-2</v>
      </c>
      <c r="BE17" s="29">
        <v>2.69E-2</v>
      </c>
      <c r="BF17" s="52"/>
      <c r="BG17" s="35">
        <f>1/4</f>
        <v>0.25</v>
      </c>
      <c r="BH17" s="27">
        <v>0.25</v>
      </c>
      <c r="BI17" s="28">
        <v>28</v>
      </c>
      <c r="BJ17" s="28">
        <v>3.6400000000000002E-2</v>
      </c>
      <c r="BK17" s="43">
        <v>3.2599999999999997E-2</v>
      </c>
    </row>
    <row r="18" spans="2:63" ht="15" customHeight="1" thickBot="1" x14ac:dyDescent="0.3">
      <c r="B18" s="2" t="s">
        <v>21</v>
      </c>
      <c r="C18" s="2">
        <f>IF(F19,C19,IF(F18,C15,IF($D$2="English",IF(C15&lt;=6, 2*C13+0.25, 2*C13+0.5),IF(AND(C15&lt;=125,C13&lt;=48),2*C13+6,IF(C15&lt;=200,2*C13+12,2*C13+25)))))</f>
        <v>30</v>
      </c>
      <c r="D18" s="2" t="str">
        <f t="shared" ref="D18:D19" si="7">IF($D$2="English","in", "mm")</f>
        <v>mm</v>
      </c>
      <c r="E18" s="1" t="s">
        <v>37</v>
      </c>
      <c r="F18" s="20" t="b">
        <v>0</v>
      </c>
      <c r="P18" s="1" t="s">
        <v>65</v>
      </c>
      <c r="Q18" s="55">
        <f>IF(T19,Q19,W17*T18)</f>
        <v>41096.249999999993</v>
      </c>
      <c r="R18" s="2" t="str">
        <f t="shared" si="6"/>
        <v>N</v>
      </c>
      <c r="S18" s="1" t="s">
        <v>71</v>
      </c>
      <c r="T18" s="58">
        <v>0.75</v>
      </c>
      <c r="AD18" s="6" t="s">
        <v>128</v>
      </c>
      <c r="AI18" s="71">
        <v>2</v>
      </c>
      <c r="AJ18" s="67">
        <v>0.25</v>
      </c>
      <c r="AK18" s="67">
        <v>0.75</v>
      </c>
      <c r="AL18" s="96">
        <v>55000</v>
      </c>
      <c r="AM18" s="96">
        <v>74000</v>
      </c>
      <c r="AN18" s="96">
        <v>57000</v>
      </c>
      <c r="AO18" s="72" t="s">
        <v>80</v>
      </c>
      <c r="AQ18" s="42">
        <v>14</v>
      </c>
      <c r="AR18" s="28">
        <v>2</v>
      </c>
      <c r="AS18" s="28">
        <v>115</v>
      </c>
      <c r="AT18" s="29">
        <v>104</v>
      </c>
      <c r="AU18" s="52"/>
      <c r="AV18" s="27">
        <v>14</v>
      </c>
      <c r="AW18" s="28">
        <v>1.5</v>
      </c>
      <c r="AX18" s="28">
        <v>125</v>
      </c>
      <c r="AY18" s="43">
        <v>116</v>
      </c>
      <c r="BA18" s="49">
        <f>5/16</f>
        <v>0.3125</v>
      </c>
      <c r="BB18" s="27">
        <v>0.3125</v>
      </c>
      <c r="BC18" s="28">
        <v>18</v>
      </c>
      <c r="BD18" s="28">
        <v>5.2400000000000002E-2</v>
      </c>
      <c r="BE18" s="29">
        <v>4.5400000000000003E-2</v>
      </c>
      <c r="BF18" s="52"/>
      <c r="BG18" s="35">
        <f>5/16</f>
        <v>0.3125</v>
      </c>
      <c r="BH18" s="27">
        <v>0.3125</v>
      </c>
      <c r="BI18" s="28">
        <v>24</v>
      </c>
      <c r="BJ18" s="28">
        <v>5.8000000000000003E-2</v>
      </c>
      <c r="BK18" s="43">
        <v>5.2400000000000002E-2</v>
      </c>
    </row>
    <row r="19" spans="2:63" ht="15" customHeight="1" x14ac:dyDescent="0.25">
      <c r="B19" s="1"/>
      <c r="C19" s="1">
        <v>133</v>
      </c>
      <c r="D19" s="1" t="str">
        <f t="shared" si="7"/>
        <v>mm</v>
      </c>
      <c r="E19" s="1" t="s">
        <v>73</v>
      </c>
      <c r="F19" s="20" t="b">
        <v>0</v>
      </c>
      <c r="I19" s="25" t="s">
        <v>55</v>
      </c>
      <c r="J19" s="108">
        <f>W15</f>
        <v>0.21207419404797834</v>
      </c>
      <c r="P19" s="1"/>
      <c r="Q19" s="54"/>
      <c r="R19" s="1" t="str">
        <f t="shared" si="6"/>
        <v>N</v>
      </c>
      <c r="S19" s="1" t="s">
        <v>70</v>
      </c>
      <c r="T19" s="20" t="b">
        <v>0</v>
      </c>
      <c r="V19" s="2" t="s">
        <v>103</v>
      </c>
      <c r="W19" s="117">
        <f>Q16/Q15</f>
        <v>0</v>
      </c>
      <c r="X19" s="2" t="str">
        <f>IF($D$2="English","lbf", "N")</f>
        <v>N</v>
      </c>
      <c r="Y19" s="2" t="s">
        <v>133</v>
      </c>
      <c r="Z19" s="117">
        <f>0.5*(W20-W19)</f>
        <v>5743.2240698438409</v>
      </c>
      <c r="AA19" s="2" t="str">
        <f t="shared" si="6"/>
        <v>N</v>
      </c>
      <c r="AD19" s="82" cm="1">
        <f t="array" ref="AD19:AG19">IF($D$2="English",_xlfn._xlws.FILTER(AD13:AG16,AD13:AD16=C16,AD17:AG18=NA()), _xlfn._xlws.FILTER(AD6:AG9,AD6:AD9=C16,AD17:AG18=NA()))</f>
        <v>9.8000000000000007</v>
      </c>
      <c r="AE19" s="83">
        <v>1.6</v>
      </c>
      <c r="AF19" s="83">
        <v>16</v>
      </c>
      <c r="AG19" s="114">
        <v>140000000</v>
      </c>
      <c r="AI19" s="73">
        <v>2</v>
      </c>
      <c r="AJ19" s="69">
        <v>0.875</v>
      </c>
      <c r="AK19" s="69">
        <v>1.5</v>
      </c>
      <c r="AL19" s="98">
        <v>33000</v>
      </c>
      <c r="AM19" s="98">
        <v>60000</v>
      </c>
      <c r="AN19" s="98">
        <v>36000</v>
      </c>
      <c r="AO19" s="74" t="e">
        <f>NA()</f>
        <v>#N/A</v>
      </c>
      <c r="AQ19" s="42">
        <v>16</v>
      </c>
      <c r="AR19" s="28">
        <v>2</v>
      </c>
      <c r="AS19" s="28">
        <v>157</v>
      </c>
      <c r="AT19" s="29">
        <v>144</v>
      </c>
      <c r="AU19" s="52"/>
      <c r="AV19" s="27">
        <v>16</v>
      </c>
      <c r="AW19" s="28">
        <v>1.5</v>
      </c>
      <c r="AX19" s="28">
        <v>167</v>
      </c>
      <c r="AY19" s="43">
        <v>157</v>
      </c>
      <c r="BA19" s="49">
        <f>3/8</f>
        <v>0.375</v>
      </c>
      <c r="BB19" s="27">
        <v>0.375</v>
      </c>
      <c r="BC19" s="28">
        <v>16</v>
      </c>
      <c r="BD19" s="28">
        <v>7.7499999999999999E-2</v>
      </c>
      <c r="BE19" s="29">
        <v>6.7799999999999999E-2</v>
      </c>
      <c r="BF19" s="52"/>
      <c r="BG19" s="35">
        <f>3/8</f>
        <v>0.375</v>
      </c>
      <c r="BH19" s="27">
        <v>0.375</v>
      </c>
      <c r="BI19" s="28">
        <v>24</v>
      </c>
      <c r="BJ19" s="28">
        <v>8.7800000000000003E-2</v>
      </c>
      <c r="BK19" s="43">
        <v>8.09E-2</v>
      </c>
    </row>
    <row r="20" spans="2:63" ht="15" customHeight="1" thickBot="1" x14ac:dyDescent="0.3">
      <c r="B20" s="2" t="s">
        <v>24</v>
      </c>
      <c r="C20" s="2">
        <f>C15-C18</f>
        <v>35</v>
      </c>
      <c r="D20" s="2" t="str">
        <f>IF($D$2="English","in", "mm")</f>
        <v>mm</v>
      </c>
      <c r="V20" s="2" t="s">
        <v>102</v>
      </c>
      <c r="W20" s="117">
        <f>Q17/Q15</f>
        <v>11486.448139687682</v>
      </c>
      <c r="X20" s="2" t="str">
        <f>IF($D$2="English","lbf", "N")</f>
        <v>N</v>
      </c>
      <c r="Y20" s="2" t="s">
        <v>134</v>
      </c>
      <c r="Z20" s="117">
        <f>0.5*(W20+W19)</f>
        <v>5743.2240698438409</v>
      </c>
      <c r="AA20" s="2" t="str">
        <f t="shared" si="6"/>
        <v>N</v>
      </c>
      <c r="AD20" s="85"/>
      <c r="AE20" s="86"/>
      <c r="AF20" s="86"/>
      <c r="AG20" s="115"/>
      <c r="AI20" s="42">
        <v>4</v>
      </c>
      <c r="AJ20" s="28">
        <v>0.25</v>
      </c>
      <c r="AK20" s="28">
        <v>1.5</v>
      </c>
      <c r="AL20" s="97">
        <v>65000</v>
      </c>
      <c r="AM20" s="97">
        <v>115000</v>
      </c>
      <c r="AN20" s="97">
        <v>100000</v>
      </c>
      <c r="AO20" s="63" t="s">
        <v>87</v>
      </c>
      <c r="AQ20" s="42">
        <v>20</v>
      </c>
      <c r="AR20" s="28">
        <v>2.5</v>
      </c>
      <c r="AS20" s="28">
        <v>245</v>
      </c>
      <c r="AT20" s="29">
        <v>225</v>
      </c>
      <c r="AU20" s="52"/>
      <c r="AV20" s="27">
        <v>20</v>
      </c>
      <c r="AW20" s="28">
        <v>1.5</v>
      </c>
      <c r="AX20" s="28">
        <v>272</v>
      </c>
      <c r="AY20" s="43">
        <v>259</v>
      </c>
      <c r="BA20" s="49">
        <f>7/16</f>
        <v>0.4375</v>
      </c>
      <c r="BB20" s="27">
        <v>0.4375</v>
      </c>
      <c r="BC20" s="28">
        <v>14</v>
      </c>
      <c r="BD20" s="28">
        <v>0.10630000000000001</v>
      </c>
      <c r="BE20" s="29">
        <v>9.3299999999999994E-2</v>
      </c>
      <c r="BF20" s="52"/>
      <c r="BG20" s="35">
        <f>7/16</f>
        <v>0.4375</v>
      </c>
      <c r="BH20" s="27">
        <v>0.4375</v>
      </c>
      <c r="BI20" s="28">
        <v>20</v>
      </c>
      <c r="BJ20" s="28">
        <v>0.1187</v>
      </c>
      <c r="BK20" s="43">
        <v>0.109</v>
      </c>
    </row>
    <row r="21" spans="2:63" ht="15" customHeight="1" x14ac:dyDescent="0.25">
      <c r="B21" s="2" t="s">
        <v>25</v>
      </c>
      <c r="C21" s="2">
        <f>C17-C20</f>
        <v>17</v>
      </c>
      <c r="D21" s="2" t="str">
        <f>IF($D$2="English","in", "mm")</f>
        <v>mm</v>
      </c>
      <c r="P21" s="8" t="s">
        <v>107</v>
      </c>
      <c r="Q21" s="8"/>
      <c r="R21" s="8"/>
      <c r="U21" s="59"/>
      <c r="AI21" s="71">
        <v>5</v>
      </c>
      <c r="AJ21" s="67">
        <v>0.25</v>
      </c>
      <c r="AK21" s="67">
        <v>1</v>
      </c>
      <c r="AL21" s="96">
        <v>85000</v>
      </c>
      <c r="AM21" s="96">
        <v>120000</v>
      </c>
      <c r="AN21" s="96">
        <v>92000</v>
      </c>
      <c r="AO21" s="72" t="s">
        <v>81</v>
      </c>
      <c r="AQ21" s="42">
        <v>24</v>
      </c>
      <c r="AR21" s="28">
        <v>3</v>
      </c>
      <c r="AS21" s="28">
        <v>353</v>
      </c>
      <c r="AT21" s="29">
        <v>324</v>
      </c>
      <c r="AU21" s="52"/>
      <c r="AV21" s="27">
        <v>24</v>
      </c>
      <c r="AW21" s="28">
        <v>2</v>
      </c>
      <c r="AX21" s="28">
        <v>384</v>
      </c>
      <c r="AY21" s="43">
        <v>365</v>
      </c>
      <c r="BA21" s="49">
        <f>1/2</f>
        <v>0.5</v>
      </c>
      <c r="BB21" s="27">
        <v>0.5</v>
      </c>
      <c r="BC21" s="28">
        <v>13</v>
      </c>
      <c r="BD21" s="28">
        <v>0.1419</v>
      </c>
      <c r="BE21" s="29">
        <v>0.12570000000000001</v>
      </c>
      <c r="BF21" s="52"/>
      <c r="BG21" s="35">
        <f>1/2</f>
        <v>0.5</v>
      </c>
      <c r="BH21" s="27">
        <v>0.5</v>
      </c>
      <c r="BI21" s="28">
        <v>20</v>
      </c>
      <c r="BJ21" s="28">
        <v>0.15989999999999999</v>
      </c>
      <c r="BK21" s="43">
        <v>0.14860000000000001</v>
      </c>
    </row>
    <row r="22" spans="2:63" ht="15" customHeight="1" x14ac:dyDescent="0.25">
      <c r="B22" s="2" t="s">
        <v>6</v>
      </c>
      <c r="C22" s="18">
        <f>(PI()*(C13^2))/4</f>
        <v>113.09733552923255</v>
      </c>
      <c r="D22" s="2" t="str">
        <f>IF($D$2="English","in^2","mm^2")</f>
        <v>mm^2</v>
      </c>
      <c r="P22" s="1" t="s">
        <v>105</v>
      </c>
      <c r="Q22" s="107">
        <f>150</f>
        <v>150</v>
      </c>
      <c r="R22" s="1" t="str">
        <f t="shared" ref="R22" si="8">IF($D$2="English","in", "mm")</f>
        <v>mm</v>
      </c>
      <c r="V22" s="2" t="s">
        <v>104</v>
      </c>
      <c r="W22" s="117">
        <f>$W$15*W19+$Q$18</f>
        <v>41096.249999999993</v>
      </c>
      <c r="X22" s="2" t="str">
        <f t="shared" si="6"/>
        <v>N</v>
      </c>
      <c r="Y22" s="2" t="s">
        <v>120</v>
      </c>
      <c r="Z22" s="117">
        <f>0.5*(W23-W22)</f>
        <v>1217.989615849081</v>
      </c>
      <c r="AA22" s="2" t="str">
        <f t="shared" si="6"/>
        <v>N</v>
      </c>
      <c r="AI22" s="73">
        <v>5</v>
      </c>
      <c r="AJ22" s="69">
        <v>1.125</v>
      </c>
      <c r="AK22" s="69">
        <v>1.5</v>
      </c>
      <c r="AL22" s="98">
        <v>74000</v>
      </c>
      <c r="AM22" s="98">
        <v>105000</v>
      </c>
      <c r="AN22" s="98">
        <v>81000</v>
      </c>
      <c r="AO22" s="74" t="e">
        <f>NA()</f>
        <v>#N/A</v>
      </c>
      <c r="AQ22" s="42">
        <v>30</v>
      </c>
      <c r="AR22" s="28">
        <v>3.5</v>
      </c>
      <c r="AS22" s="28">
        <v>561</v>
      </c>
      <c r="AT22" s="29">
        <v>519</v>
      </c>
      <c r="AU22" s="52"/>
      <c r="AV22" s="27">
        <v>30</v>
      </c>
      <c r="AW22" s="28">
        <v>2</v>
      </c>
      <c r="AX22" s="28">
        <v>621</v>
      </c>
      <c r="AY22" s="43">
        <v>596</v>
      </c>
      <c r="BA22" s="49">
        <f>9/16</f>
        <v>0.5625</v>
      </c>
      <c r="BB22" s="27">
        <v>0.5625</v>
      </c>
      <c r="BC22" s="28">
        <v>12</v>
      </c>
      <c r="BD22" s="28">
        <v>0.182</v>
      </c>
      <c r="BE22" s="29">
        <v>0.16200000000000001</v>
      </c>
      <c r="BF22" s="52"/>
      <c r="BG22" s="35">
        <f>9/16</f>
        <v>0.5625</v>
      </c>
      <c r="BH22" s="27">
        <v>0.5625</v>
      </c>
      <c r="BI22" s="28">
        <v>18</v>
      </c>
      <c r="BJ22" s="28">
        <v>0.20300000000000001</v>
      </c>
      <c r="BK22" s="43">
        <v>0.189</v>
      </c>
    </row>
    <row r="23" spans="2:63" ht="15" customHeight="1" x14ac:dyDescent="0.25">
      <c r="B23" s="2" t="s">
        <v>7</v>
      </c>
      <c r="C23" s="2">
        <f>IF($D$2="English",IF($C$14="UNC",VLOOKUP($C$13,$BB$7:$BE$28,3,FALSE),VLOOKUP($C$13,$BH$7:$BK$28,3,FALSE)), IF($C$14="UNC",VLOOKUP($C$13,$AQ$7:$AT$32,3,FALSE),VLOOKUP($C$13,$AV$7:$AY$32,3,FALSE)))</f>
        <v>84.3</v>
      </c>
      <c r="D23" s="2" t="str">
        <f>IF($D$2="English","in^2","mm^2")</f>
        <v>mm^2</v>
      </c>
      <c r="P23" s="1"/>
      <c r="Q23" s="1">
        <f>Q22*10^-3</f>
        <v>0.15</v>
      </c>
      <c r="R23" s="1" t="str">
        <f>IF($D$2="English","*10^3 in", "m")</f>
        <v>m</v>
      </c>
      <c r="V23" s="2" t="s">
        <v>112</v>
      </c>
      <c r="W23" s="117">
        <f>$W$15*W20+$Q$18</f>
        <v>43532.229231698155</v>
      </c>
      <c r="X23" s="2" t="str">
        <f t="shared" si="6"/>
        <v>N</v>
      </c>
      <c r="Y23" s="2" t="s">
        <v>119</v>
      </c>
      <c r="Z23" s="117">
        <f>0.5*(W23+W22)</f>
        <v>42314.239615849074</v>
      </c>
      <c r="AA23" s="2" t="str">
        <f t="shared" si="6"/>
        <v>N</v>
      </c>
      <c r="AI23" s="75">
        <v>5.2</v>
      </c>
      <c r="AJ23" s="77">
        <v>0.25</v>
      </c>
      <c r="AK23" s="77">
        <v>1</v>
      </c>
      <c r="AL23" s="97">
        <v>85000</v>
      </c>
      <c r="AM23" s="97">
        <v>120000</v>
      </c>
      <c r="AN23" s="97">
        <v>92000</v>
      </c>
      <c r="AO23" s="78" t="s">
        <v>82</v>
      </c>
      <c r="AQ23" s="42">
        <v>36</v>
      </c>
      <c r="AR23" s="28">
        <v>4</v>
      </c>
      <c r="AS23" s="28">
        <v>817</v>
      </c>
      <c r="AT23" s="29">
        <v>759</v>
      </c>
      <c r="AU23" s="52"/>
      <c r="AV23" s="27">
        <v>36</v>
      </c>
      <c r="AW23" s="28">
        <v>2</v>
      </c>
      <c r="AX23" s="28">
        <v>915</v>
      </c>
      <c r="AY23" s="43">
        <v>884</v>
      </c>
      <c r="BA23" s="49">
        <f>5/8</f>
        <v>0.625</v>
      </c>
      <c r="BB23" s="27">
        <v>0.625</v>
      </c>
      <c r="BC23" s="28">
        <v>11</v>
      </c>
      <c r="BD23" s="28">
        <v>0.22600000000000001</v>
      </c>
      <c r="BE23" s="29">
        <v>0.20200000000000001</v>
      </c>
      <c r="BF23" s="52"/>
      <c r="BG23" s="35">
        <f>5/8</f>
        <v>0.625</v>
      </c>
      <c r="BH23" s="27">
        <v>0.625</v>
      </c>
      <c r="BI23" s="28">
        <v>18</v>
      </c>
      <c r="BJ23" s="28">
        <v>0.25600000000000001</v>
      </c>
      <c r="BK23" s="43">
        <v>0.24</v>
      </c>
    </row>
    <row r="24" spans="2:63" ht="15" customHeight="1" x14ac:dyDescent="0.25">
      <c r="B24" s="2"/>
      <c r="C24" s="88">
        <f>IF($D$2="English",C23,C23*10^-6)</f>
        <v>8.4299999999999989E-5</v>
      </c>
      <c r="D24" s="2" t="str">
        <f>IF($D$2="English","in^2","m^2")</f>
        <v>m^2</v>
      </c>
      <c r="P24" s="1" t="s">
        <v>106</v>
      </c>
      <c r="Q24" s="1">
        <f>IF($D$2="English",PI()*(Q22^2)*0.25,PI()*(Q23^2)*0.25)</f>
        <v>1.7671458676442587E-2</v>
      </c>
      <c r="R24" s="1" t="str">
        <f>IF($D$2="English","in^2","m^2")</f>
        <v>m^2</v>
      </c>
      <c r="AI24" s="75">
        <v>7</v>
      </c>
      <c r="AJ24" s="77">
        <v>0.25</v>
      </c>
      <c r="AK24" s="77">
        <v>1.5</v>
      </c>
      <c r="AL24" s="97">
        <v>105000</v>
      </c>
      <c r="AM24" s="97">
        <v>133000</v>
      </c>
      <c r="AN24" s="97">
        <v>115000</v>
      </c>
      <c r="AO24" s="78" t="s">
        <v>88</v>
      </c>
      <c r="AQ24" s="42">
        <v>42</v>
      </c>
      <c r="AR24" s="28">
        <v>4.5</v>
      </c>
      <c r="AS24" s="28">
        <v>1120</v>
      </c>
      <c r="AT24" s="29">
        <v>1050</v>
      </c>
      <c r="AU24" s="52"/>
      <c r="AV24" s="27">
        <v>42</v>
      </c>
      <c r="AW24" s="28">
        <v>2</v>
      </c>
      <c r="AX24" s="28">
        <v>1260</v>
      </c>
      <c r="AY24" s="43">
        <v>1230</v>
      </c>
      <c r="BA24" s="49">
        <f>3/4</f>
        <v>0.75</v>
      </c>
      <c r="BB24" s="27">
        <v>0.75</v>
      </c>
      <c r="BC24" s="28">
        <v>10</v>
      </c>
      <c r="BD24" s="28">
        <v>0.33400000000000002</v>
      </c>
      <c r="BE24" s="29">
        <v>0.30199999999999999</v>
      </c>
      <c r="BF24" s="52"/>
      <c r="BG24" s="35">
        <f>3/4</f>
        <v>0.75</v>
      </c>
      <c r="BH24" s="27">
        <v>0.75</v>
      </c>
      <c r="BI24" s="28">
        <v>16</v>
      </c>
      <c r="BJ24" s="28">
        <v>0.373</v>
      </c>
      <c r="BK24" s="43">
        <v>0.35099999999999998</v>
      </c>
    </row>
    <row r="25" spans="2:63" ht="15" customHeight="1" x14ac:dyDescent="0.25">
      <c r="B25" s="2" t="str">
        <f>IF($D$2="English","Bolt threads per inch, p","Bolt pitch, p")</f>
        <v>Bolt pitch, p</v>
      </c>
      <c r="C25" s="2">
        <f>IF($D$2="English",IF($C$14="UNC",VLOOKUP($C$13,$BB$7:$BE$28,2,FALSE),VLOOKUP($C$13,$BH$7:$BK$28,2,FALSE)), IF($C$14="UNC",VLOOKUP($C$13,$AQ$7:$AT$32,2,FALSE),VLOOKUP($C$13,$AV$7:$AY$32,2,FALSE)))</f>
        <v>1.75</v>
      </c>
      <c r="D25" s="2" t="str">
        <f>IF($D$2="English","threads/in","mm")</f>
        <v>mm</v>
      </c>
      <c r="U25" s="59"/>
      <c r="V25" s="2" t="s">
        <v>111</v>
      </c>
      <c r="W25" s="117">
        <f>(1-$W$15)*W19-$Q$18</f>
        <v>-41096.249999999993</v>
      </c>
      <c r="X25" s="2" t="str">
        <f t="shared" si="6"/>
        <v>N</v>
      </c>
      <c r="AI25" s="75">
        <v>8</v>
      </c>
      <c r="AJ25" s="77">
        <v>0.25</v>
      </c>
      <c r="AK25" s="77">
        <v>1.5</v>
      </c>
      <c r="AL25" s="97">
        <v>120000</v>
      </c>
      <c r="AM25" s="97">
        <v>150000</v>
      </c>
      <c r="AN25" s="97">
        <v>130000</v>
      </c>
      <c r="AO25" s="78" t="s">
        <v>88</v>
      </c>
      <c r="AQ25" s="42">
        <v>48</v>
      </c>
      <c r="AR25" s="28">
        <v>5</v>
      </c>
      <c r="AS25" s="28">
        <v>1470</v>
      </c>
      <c r="AT25" s="29">
        <v>1380</v>
      </c>
      <c r="AU25" s="52"/>
      <c r="AV25" s="27">
        <v>48</v>
      </c>
      <c r="AW25" s="28">
        <v>2</v>
      </c>
      <c r="AX25" s="28">
        <v>1670</v>
      </c>
      <c r="AY25" s="43">
        <v>1630</v>
      </c>
      <c r="BA25" s="49">
        <f>7/8</f>
        <v>0.875</v>
      </c>
      <c r="BB25" s="27">
        <v>0.875</v>
      </c>
      <c r="BC25" s="28">
        <v>9</v>
      </c>
      <c r="BD25" s="28">
        <v>0.46200000000000002</v>
      </c>
      <c r="BE25" s="29">
        <v>0.41899999999999998</v>
      </c>
      <c r="BF25" s="52"/>
      <c r="BG25" s="35">
        <f>7/8</f>
        <v>0.875</v>
      </c>
      <c r="BH25" s="27">
        <v>0.875</v>
      </c>
      <c r="BI25" s="28">
        <v>14</v>
      </c>
      <c r="BJ25" s="28">
        <v>0.50900000000000001</v>
      </c>
      <c r="BK25" s="43">
        <v>0.48</v>
      </c>
    </row>
    <row r="26" spans="2:63" ht="15" customHeight="1" thickBot="1" x14ac:dyDescent="0.3">
      <c r="P26" s="1" t="s">
        <v>109</v>
      </c>
      <c r="Q26" s="116">
        <v>0</v>
      </c>
      <c r="R26" s="1" t="str">
        <f t="shared" ref="R26:R27" si="9">IF($D$2="English","psi","Pa")</f>
        <v>Pa</v>
      </c>
      <c r="V26" s="2" t="s">
        <v>118</v>
      </c>
      <c r="W26" s="117">
        <f>(1-$W$15)*W20-$Q$18</f>
        <v>-32045.781092010475</v>
      </c>
      <c r="X26" s="2" t="str">
        <f t="shared" si="6"/>
        <v>N</v>
      </c>
      <c r="AI26" s="79">
        <v>8.1999999999999993</v>
      </c>
      <c r="AJ26" s="80">
        <v>0.25</v>
      </c>
      <c r="AK26" s="80">
        <v>1</v>
      </c>
      <c r="AL26" s="93">
        <v>120000</v>
      </c>
      <c r="AM26" s="93">
        <v>150000</v>
      </c>
      <c r="AN26" s="93">
        <v>130000</v>
      </c>
      <c r="AO26" s="81" t="s">
        <v>82</v>
      </c>
      <c r="AQ26" s="42">
        <v>56</v>
      </c>
      <c r="AR26" s="28">
        <v>5.5</v>
      </c>
      <c r="AS26" s="28">
        <v>2030</v>
      </c>
      <c r="AT26" s="29">
        <v>1910</v>
      </c>
      <c r="AU26" s="52"/>
      <c r="AV26" s="27">
        <v>56</v>
      </c>
      <c r="AW26" s="28">
        <v>2</v>
      </c>
      <c r="AX26" s="28">
        <v>2300</v>
      </c>
      <c r="AY26" s="43">
        <v>2250</v>
      </c>
      <c r="BA26" s="49">
        <f>1</f>
        <v>1</v>
      </c>
      <c r="BB26" s="27">
        <v>1</v>
      </c>
      <c r="BC26" s="28">
        <v>8</v>
      </c>
      <c r="BD26" s="28">
        <v>0.60599999999999998</v>
      </c>
      <c r="BE26" s="29">
        <v>0.55100000000000005</v>
      </c>
      <c r="BF26" s="52"/>
      <c r="BG26" s="35">
        <f>1</f>
        <v>1</v>
      </c>
      <c r="BH26" s="27">
        <v>1</v>
      </c>
      <c r="BI26" s="28">
        <v>12</v>
      </c>
      <c r="BJ26" s="28">
        <v>0.66300000000000003</v>
      </c>
      <c r="BK26" s="43">
        <v>0.625</v>
      </c>
    </row>
    <row r="27" spans="2:63" ht="15" customHeight="1" x14ac:dyDescent="0.25">
      <c r="B27" s="1" t="s">
        <v>8</v>
      </c>
      <c r="C27" s="20" t="b">
        <v>0</v>
      </c>
      <c r="D27" s="136" t="s">
        <v>35</v>
      </c>
      <c r="E27" s="136"/>
      <c r="F27" s="136"/>
      <c r="P27" s="1" t="s">
        <v>110</v>
      </c>
      <c r="Q27" s="116">
        <f>6.5*10^6</f>
        <v>6500000</v>
      </c>
      <c r="R27" s="1" t="str">
        <f t="shared" si="9"/>
        <v>Pa</v>
      </c>
      <c r="AQ27" s="42">
        <v>64</v>
      </c>
      <c r="AR27" s="28">
        <v>6</v>
      </c>
      <c r="AS27" s="28">
        <v>2680</v>
      </c>
      <c r="AT27" s="29">
        <v>2520</v>
      </c>
      <c r="AU27" s="52"/>
      <c r="AV27" s="27">
        <v>64</v>
      </c>
      <c r="AW27" s="28">
        <v>2</v>
      </c>
      <c r="AX27" s="28">
        <v>3030</v>
      </c>
      <c r="AY27" s="43">
        <v>2980</v>
      </c>
      <c r="BA27" s="49">
        <f>1.25</f>
        <v>1.25</v>
      </c>
      <c r="BB27" s="27">
        <v>1.25</v>
      </c>
      <c r="BC27" s="28">
        <v>7</v>
      </c>
      <c r="BD27" s="28">
        <v>0.96899999999999997</v>
      </c>
      <c r="BE27" s="29">
        <v>0.89</v>
      </c>
      <c r="BF27" s="52"/>
      <c r="BG27" s="35">
        <f>1.25</f>
        <v>1.25</v>
      </c>
      <c r="BH27" s="27">
        <v>1.25</v>
      </c>
      <c r="BI27" s="28">
        <v>12</v>
      </c>
      <c r="BJ27" s="28">
        <v>1.073</v>
      </c>
      <c r="BK27" s="43">
        <v>1.024</v>
      </c>
    </row>
    <row r="28" spans="2:63" ht="15" customHeight="1" thickBot="1" x14ac:dyDescent="0.3">
      <c r="B28" s="1" t="s">
        <v>9</v>
      </c>
      <c r="C28" s="21" t="b">
        <f>NOT(C27)</f>
        <v>1</v>
      </c>
      <c r="D28" s="136"/>
      <c r="E28" s="136"/>
      <c r="F28" s="136"/>
      <c r="V28" s="11" t="s">
        <v>113</v>
      </c>
      <c r="W28" s="11"/>
      <c r="X28" s="12"/>
      <c r="Y28" s="12"/>
      <c r="Z28" s="12"/>
      <c r="AA28" s="12"/>
      <c r="AI28" s="86" t="s">
        <v>96</v>
      </c>
      <c r="AJ28" s="86"/>
      <c r="AK28" s="86"/>
      <c r="AL28" s="86"/>
      <c r="AM28" s="86"/>
      <c r="AN28" s="86"/>
      <c r="AO28" s="86"/>
      <c r="AQ28" s="42">
        <v>72</v>
      </c>
      <c r="AR28" s="28">
        <v>6</v>
      </c>
      <c r="AS28" s="28">
        <v>3460</v>
      </c>
      <c r="AT28" s="29">
        <v>3280</v>
      </c>
      <c r="AU28" s="52"/>
      <c r="AV28" s="27">
        <v>72</v>
      </c>
      <c r="AW28" s="28">
        <v>2</v>
      </c>
      <c r="AX28" s="28">
        <v>3860</v>
      </c>
      <c r="AY28" s="43">
        <v>3800</v>
      </c>
      <c r="BA28" s="50">
        <f>1.5</f>
        <v>1.5</v>
      </c>
      <c r="BB28" s="47">
        <v>1.5</v>
      </c>
      <c r="BC28" s="45">
        <v>6</v>
      </c>
      <c r="BD28" s="45">
        <v>1.405</v>
      </c>
      <c r="BE28" s="46">
        <v>1.294</v>
      </c>
      <c r="BF28" s="53"/>
      <c r="BG28" s="51">
        <f>1.5</f>
        <v>1.5</v>
      </c>
      <c r="BH28" s="47">
        <v>1.5</v>
      </c>
      <c r="BI28" s="45">
        <v>12</v>
      </c>
      <c r="BJ28" s="45">
        <v>1.581</v>
      </c>
      <c r="BK28" s="48">
        <v>1.5209999999999999</v>
      </c>
    </row>
    <row r="29" spans="2:63" ht="15" customHeight="1" x14ac:dyDescent="0.25">
      <c r="P29" s="2" t="s">
        <v>100</v>
      </c>
      <c r="Q29" s="117">
        <f>Q26*$Q$24</f>
        <v>0</v>
      </c>
      <c r="R29" s="2" t="str">
        <f>IF($D$2="English","lbf", "N")</f>
        <v>N</v>
      </c>
      <c r="V29" s="2" t="s">
        <v>123</v>
      </c>
      <c r="W29" s="89">
        <f>Q18/$C$24</f>
        <v>487500000</v>
      </c>
      <c r="X29" s="2" t="str">
        <f>IF($D$2="English","psi","Pa")</f>
        <v>Pa</v>
      </c>
      <c r="AI29" s="82" cm="1">
        <f t="array" ref="AI29:AO29">IF($D$2="English",_xlfn._xlws.FILTER(AI17:AO26,AI17:AI26=C16,AI27:AO28=NA()), _xlfn._xlws.FILTER(AI6:AO12,AI6:AI12=C16,AI27:AO28=NA()))</f>
        <v>9.8000000000000007</v>
      </c>
      <c r="AJ29" s="83">
        <v>1.6</v>
      </c>
      <c r="AK29" s="83">
        <v>16</v>
      </c>
      <c r="AL29" s="99">
        <v>650000000</v>
      </c>
      <c r="AM29" s="100">
        <v>900000000</v>
      </c>
      <c r="AN29" s="100">
        <v>720000000</v>
      </c>
      <c r="AO29" s="84" t="str">
        <v>Medium carbon, Q&amp;T</v>
      </c>
      <c r="AQ29" s="42">
        <v>80</v>
      </c>
      <c r="AR29" s="28">
        <v>6</v>
      </c>
      <c r="AS29" s="28">
        <v>4340</v>
      </c>
      <c r="AT29" s="29">
        <v>4140</v>
      </c>
      <c r="AU29" s="52"/>
      <c r="AV29" s="27">
        <v>80</v>
      </c>
      <c r="AW29" s="28">
        <v>1.5</v>
      </c>
      <c r="AX29" s="28">
        <v>4850</v>
      </c>
      <c r="AY29" s="43">
        <v>4800</v>
      </c>
    </row>
    <row r="30" spans="2:63" ht="15" customHeight="1" thickBot="1" x14ac:dyDescent="0.3">
      <c r="B30" s="2" t="s">
        <v>38</v>
      </c>
      <c r="C30" s="24">
        <f>IF(C20=0,0,(C22*C12)/C20)</f>
        <v>668889955844.31824</v>
      </c>
      <c r="D30" s="2" t="str">
        <f>IF($D$2="English","lbf/in","mN/m")</f>
        <v>mN/m</v>
      </c>
      <c r="P30" s="2" t="s">
        <v>101</v>
      </c>
      <c r="Q30" s="117">
        <f>Q27*$Q$24</f>
        <v>114864.48139687681</v>
      </c>
      <c r="R30" s="2" t="str">
        <f>IF($D$2="English","lbf", "N")</f>
        <v>N</v>
      </c>
      <c r="V30" s="2"/>
      <c r="W30" s="19">
        <f>IF($D$2="English",W29*10^-3,W29*10^-6)</f>
        <v>487.5</v>
      </c>
      <c r="X30" s="2" t="str">
        <f>IF($D$2="English","kpsi","MPa")</f>
        <v>MPa</v>
      </c>
      <c r="AI30" s="85"/>
      <c r="AJ30" s="86"/>
      <c r="AK30" s="86"/>
      <c r="AL30" s="101"/>
      <c r="AM30" s="102"/>
      <c r="AN30" s="102"/>
      <c r="AO30" s="87"/>
      <c r="AQ30" s="42">
        <v>90</v>
      </c>
      <c r="AR30" s="28">
        <v>6</v>
      </c>
      <c r="AS30" s="28">
        <v>5590</v>
      </c>
      <c r="AT30" s="29">
        <v>5360</v>
      </c>
      <c r="AU30" s="52"/>
      <c r="AV30" s="27">
        <v>90</v>
      </c>
      <c r="AW30" s="28">
        <v>2</v>
      </c>
      <c r="AX30" s="28">
        <v>6100</v>
      </c>
      <c r="AY30" s="43">
        <v>6020</v>
      </c>
    </row>
    <row r="31" spans="2:63" ht="15" customHeight="1" x14ac:dyDescent="0.25">
      <c r="B31" s="2"/>
      <c r="C31" s="19">
        <f>IF($D$2="English",C30*10^-6,C30*10^-9)</f>
        <v>668.88995584431825</v>
      </c>
      <c r="D31" s="2" t="str">
        <f>IF($D$2="English","Mlbf/in","MN/m")</f>
        <v>MN/m</v>
      </c>
      <c r="P31" s="6" t="s">
        <v>108</v>
      </c>
      <c r="V31" s="2" t="s">
        <v>117</v>
      </c>
      <c r="W31" s="89">
        <f>W22/$C$24</f>
        <v>487500000</v>
      </c>
      <c r="X31" s="2" t="str">
        <f>IF($D$2="English","psi","Pa")</f>
        <v>Pa</v>
      </c>
      <c r="Y31" s="2" t="s">
        <v>115</v>
      </c>
      <c r="Z31" s="89">
        <f>0.5*(W33-W31)</f>
        <v>14448275.395599991</v>
      </c>
      <c r="AA31" s="2" t="str">
        <f>IF($D$2="English","psi","Pa")</f>
        <v>Pa</v>
      </c>
      <c r="AQ31" s="42">
        <v>100</v>
      </c>
      <c r="AR31" s="28">
        <v>6</v>
      </c>
      <c r="AS31" s="28">
        <v>6990</v>
      </c>
      <c r="AT31" s="29">
        <v>6740</v>
      </c>
      <c r="AU31" s="52"/>
      <c r="AV31" s="27">
        <v>100</v>
      </c>
      <c r="AW31" s="28">
        <v>2</v>
      </c>
      <c r="AX31" s="28">
        <v>7560</v>
      </c>
      <c r="AY31" s="43">
        <v>7470</v>
      </c>
    </row>
    <row r="32" spans="2:63" ht="15" customHeight="1" thickBot="1" x14ac:dyDescent="0.3">
      <c r="B32" s="2" t="s">
        <v>39</v>
      </c>
      <c r="C32" s="24">
        <f>IF(C21=0,0,(C23*C12)/C21)</f>
        <v>1026476470588.2354</v>
      </c>
      <c r="D32" s="2" t="str">
        <f>IF($D$2="English","lbf/in","mN/m")</f>
        <v>mN/m</v>
      </c>
      <c r="V32" s="2"/>
      <c r="W32" s="19">
        <f>IF($D$2="English",W31*10^-3,W31*10^-6)</f>
        <v>487.5</v>
      </c>
      <c r="X32" s="2" t="str">
        <f>IF($D$2="English","kpsi","MPa")</f>
        <v>MPa</v>
      </c>
      <c r="Y32" s="2"/>
      <c r="Z32" s="19">
        <f>IF($D$2="English",Z31*10^-3,Z31*10^-6)</f>
        <v>14.448275395599991</v>
      </c>
      <c r="AA32" s="2" t="str">
        <f>IF($D$2="English","kpsi","MPa")</f>
        <v>MPa</v>
      </c>
      <c r="AQ32" s="44">
        <v>110</v>
      </c>
      <c r="AR32" s="45">
        <v>6</v>
      </c>
      <c r="AS32" s="45" t="e">
        <f>NA()</f>
        <v>#N/A</v>
      </c>
      <c r="AT32" s="46" t="e">
        <f>NA()</f>
        <v>#N/A</v>
      </c>
      <c r="AU32" s="53"/>
      <c r="AV32" s="47">
        <v>110</v>
      </c>
      <c r="AW32" s="45">
        <v>2</v>
      </c>
      <c r="AX32" s="45">
        <v>9180</v>
      </c>
      <c r="AY32" s="48">
        <v>9080</v>
      </c>
    </row>
    <row r="33" spans="2:27" ht="15" customHeight="1" x14ac:dyDescent="0.25">
      <c r="B33" s="2"/>
      <c r="C33" s="19">
        <f>IF($D$2="English",C32*10^-6,C32*10^-9)</f>
        <v>1026.4764705882353</v>
      </c>
      <c r="D33" s="2" t="str">
        <f>IF($D$2="English","Mlbf/in","MN/m")</f>
        <v>MN/m</v>
      </c>
      <c r="V33" s="2" t="s">
        <v>114</v>
      </c>
      <c r="W33" s="89">
        <f>W23/$C$24</f>
        <v>516396550.79119998</v>
      </c>
      <c r="X33" s="2" t="str">
        <f>IF($D$2="English","psi","Pa")</f>
        <v>Pa</v>
      </c>
      <c r="Y33" s="2" t="s">
        <v>116</v>
      </c>
      <c r="Z33" s="89">
        <f>0.5*(W33+W31)</f>
        <v>501948275.39559996</v>
      </c>
      <c r="AA33" s="2" t="str">
        <f>IF($D$2="English","psi","Pa")</f>
        <v>Pa</v>
      </c>
    </row>
    <row r="34" spans="2:27" ht="15" customHeight="1" x14ac:dyDescent="0.25">
      <c r="B34" s="2" t="s">
        <v>5</v>
      </c>
      <c r="C34" s="24">
        <f>SUM(IF(C30=0,0,C30^-1),IF(C32=0,0,C32^-1))^-1</f>
        <v>404986078750.98871</v>
      </c>
      <c r="D34" s="2" t="str">
        <f>IF($D$2="English","lbf/in","mN/m")</f>
        <v>mN/m</v>
      </c>
      <c r="V34" s="2"/>
      <c r="W34" s="19">
        <f>IF($D$2="English",W33*10^-3,W33*10^-6)</f>
        <v>516.39655079119996</v>
      </c>
      <c r="X34" s="2" t="str">
        <f>IF($D$2="English","kpsi","MPa")</f>
        <v>MPa</v>
      </c>
      <c r="Y34" s="2"/>
      <c r="Z34" s="19">
        <f>IF($D$2="English",Z33*10^-3,Z33*10^-6)</f>
        <v>501.94827539559992</v>
      </c>
      <c r="AA34" s="2" t="str">
        <f>IF($D$2="English","kpsi","MPa")</f>
        <v>MPa</v>
      </c>
    </row>
    <row r="35" spans="2:27" ht="15" customHeight="1" x14ac:dyDescent="0.25">
      <c r="B35" s="2"/>
      <c r="C35" s="19">
        <f>IF($D$2="English",C34*10^-6,C34*10^-9)</f>
        <v>404.98607875098872</v>
      </c>
      <c r="D35" s="2" t="str">
        <f>IF($D$2="English","Mlbf/in","MN/m")</f>
        <v>MN/m</v>
      </c>
      <c r="V35" s="11" t="s">
        <v>60</v>
      </c>
      <c r="W35" s="11"/>
      <c r="X35" s="12"/>
    </row>
    <row r="36" spans="2:27" ht="15" customHeight="1" x14ac:dyDescent="0.25">
      <c r="V36" s="2" t="s">
        <v>63</v>
      </c>
      <c r="W36" s="26">
        <f>W16/W20</f>
        <v>4.5407868274892698</v>
      </c>
      <c r="X36" s="2"/>
    </row>
    <row r="37" spans="2:27" ht="15" customHeight="1" x14ac:dyDescent="0.25">
      <c r="U37" s="59" t="s">
        <v>131</v>
      </c>
      <c r="V37" s="2" t="s">
        <v>61</v>
      </c>
      <c r="W37" s="26">
        <f>(W5*$C$24)/(W23)</f>
        <v>1.2587225824883972</v>
      </c>
      <c r="X37" s="2"/>
    </row>
    <row r="38" spans="2:27" ht="15" customHeight="1" x14ac:dyDescent="0.25">
      <c r="V38" s="2" t="s">
        <v>130</v>
      </c>
      <c r="W38" s="26">
        <f>(W11*(W7-W29))/(W7*Z31+W11*(Z33-W29))</f>
        <v>3.84328541873978</v>
      </c>
      <c r="X38" s="118" t="s">
        <v>132</v>
      </c>
      <c r="Y38"/>
    </row>
    <row r="39" spans="2:27" ht="15" customHeight="1" x14ac:dyDescent="0.25">
      <c r="V39" s="2" t="s">
        <v>62</v>
      </c>
      <c r="W39" s="26">
        <f>(W5*$C$24-Q18)/(W15*W20)</f>
        <v>5.6235085347794014</v>
      </c>
      <c r="X39" s="2"/>
    </row>
    <row r="41" spans="2:27" ht="15" customHeight="1" x14ac:dyDescent="0.25">
      <c r="V41" s="11" t="s">
        <v>124</v>
      </c>
      <c r="W41" s="11"/>
      <c r="X41" s="12"/>
    </row>
    <row r="42" spans="2:27" ht="15" customHeight="1" x14ac:dyDescent="0.25">
      <c r="V42" s="2" t="s">
        <v>66</v>
      </c>
      <c r="W42" s="55">
        <f>IF($D$2="English",W43*Q18*C13,W43*Q18*(C13*10^-3))</f>
        <v>98.630999999999986</v>
      </c>
      <c r="X42" s="2" t="str">
        <f>IF($D$2="English","in-lbf", "Nm")</f>
        <v>Nm</v>
      </c>
    </row>
    <row r="43" spans="2:27" ht="15" customHeight="1" x14ac:dyDescent="0.25">
      <c r="V43" s="1" t="s">
        <v>67</v>
      </c>
      <c r="W43" s="57">
        <v>0.2</v>
      </c>
      <c r="X43" s="22"/>
      <c r="Z43"/>
    </row>
    <row r="48" spans="2:27" ht="15" customHeight="1" x14ac:dyDescent="0.25">
      <c r="S48"/>
    </row>
    <row r="67" spans="18:21" ht="15" customHeight="1" x14ac:dyDescent="0.25">
      <c r="R67" s="59" t="s">
        <v>135</v>
      </c>
    </row>
    <row r="68" spans="18:21" ht="15" customHeight="1" x14ac:dyDescent="0.25">
      <c r="R68" s="6">
        <v>1</v>
      </c>
      <c r="S68" s="6" t="str">
        <f>B23</f>
        <v>Area of threaded portion, At</v>
      </c>
      <c r="T68" s="2">
        <f>C23</f>
        <v>84.3</v>
      </c>
      <c r="U68" s="6" t="str">
        <f>D23</f>
        <v>mm^2</v>
      </c>
    </row>
    <row r="69" spans="18:21" ht="15" customHeight="1" x14ac:dyDescent="0.25">
      <c r="R69" s="6">
        <v>2</v>
      </c>
      <c r="S69" s="119" t="str">
        <f>B22</f>
        <v>Area of unthreaded portion, Ad</v>
      </c>
      <c r="T69" s="18">
        <f>C22</f>
        <v>113.09733552923255</v>
      </c>
      <c r="U69" s="119" t="str">
        <f>D22</f>
        <v>mm^2</v>
      </c>
    </row>
    <row r="70" spans="18:21" ht="15" customHeight="1" x14ac:dyDescent="0.25">
      <c r="R70" s="6">
        <v>3</v>
      </c>
      <c r="S70" s="6" t="str">
        <f>P30</f>
        <v>External Load total, Pmax_total</v>
      </c>
      <c r="T70" s="117">
        <f t="shared" ref="T70:U70" si="10">Q30</f>
        <v>114864.48139687681</v>
      </c>
      <c r="U70" s="6" t="str">
        <f t="shared" si="10"/>
        <v>N</v>
      </c>
    </row>
    <row r="71" spans="18:21" ht="15" customHeight="1" x14ac:dyDescent="0.25">
      <c r="R71" s="6">
        <v>4</v>
      </c>
      <c r="S71" s="6" t="str">
        <f>V20</f>
        <v>External Load per joint, Pmax</v>
      </c>
      <c r="T71" s="117">
        <f>W20</f>
        <v>11486.448139687682</v>
      </c>
      <c r="U71" s="6" t="str">
        <f t="shared" ref="U71" si="11">X20</f>
        <v>N</v>
      </c>
    </row>
    <row r="72" spans="18:21" ht="15" customHeight="1" x14ac:dyDescent="0.25">
      <c r="R72" s="6">
        <v>5</v>
      </c>
      <c r="S72" s="6" t="str">
        <f>V5</f>
        <v>Minimum Proof Strength, Sp</v>
      </c>
      <c r="T72" s="2">
        <f>W6</f>
        <v>650</v>
      </c>
      <c r="U72" s="6" t="str">
        <f>X6</f>
        <v>MPa</v>
      </c>
    </row>
    <row r="73" spans="18:21" ht="15" customHeight="1" x14ac:dyDescent="0.25">
      <c r="R73" s="6">
        <v>6</v>
      </c>
      <c r="S73" s="6" t="str">
        <f>V7</f>
        <v>Minimum Tensile Strength, Sut</v>
      </c>
      <c r="T73" s="2">
        <f>W8</f>
        <v>900</v>
      </c>
      <c r="U73" s="6" t="str">
        <f>X8</f>
        <v>MPa</v>
      </c>
    </row>
    <row r="74" spans="18:21" ht="15" customHeight="1" x14ac:dyDescent="0.25">
      <c r="R74" s="6">
        <v>7</v>
      </c>
      <c r="S74" s="6" t="str">
        <f>V11</f>
        <v>Corrected Endurance Strength, Se</v>
      </c>
      <c r="T74" s="2">
        <f>W12</f>
        <v>140</v>
      </c>
      <c r="U74" s="6" t="str">
        <f>X12</f>
        <v>MPa</v>
      </c>
    </row>
    <row r="75" spans="18:21" ht="15" customHeight="1" x14ac:dyDescent="0.25">
      <c r="R75" s="6">
        <v>8</v>
      </c>
      <c r="S75" s="6" t="str">
        <f>B17</f>
        <v>Grip length, l</v>
      </c>
      <c r="T75" s="2">
        <f t="shared" ref="T75:U75" si="12">C17</f>
        <v>52</v>
      </c>
      <c r="U75" s="6" t="str">
        <f t="shared" si="12"/>
        <v>mm</v>
      </c>
    </row>
    <row r="76" spans="18:21" ht="15" customHeight="1" x14ac:dyDescent="0.25">
      <c r="R76" s="6">
        <v>9</v>
      </c>
      <c r="S76" s="6" t="str">
        <f>B34</f>
        <v>Fastener Stiffness, kb</v>
      </c>
      <c r="T76" s="19">
        <f>C35</f>
        <v>404.98607875098872</v>
      </c>
      <c r="U76" s="121" t="str">
        <f>D35</f>
        <v>MN/m</v>
      </c>
    </row>
    <row r="77" spans="18:21" ht="15" customHeight="1" x14ac:dyDescent="0.25">
      <c r="R77" s="6">
        <v>10</v>
      </c>
      <c r="S77" s="6" t="str">
        <f>I16</f>
        <v>Member Stiffness, km</v>
      </c>
      <c r="T77" s="19">
        <f>J17</f>
        <v>1504.6572919052601</v>
      </c>
      <c r="U77" s="121" t="str">
        <f>K17</f>
        <v>MN/m</v>
      </c>
    </row>
    <row r="78" spans="18:21" ht="15" customHeight="1" x14ac:dyDescent="0.25">
      <c r="R78" s="6">
        <v>11</v>
      </c>
      <c r="S78" s="6" t="str">
        <f>V15</f>
        <v>Joint Compliance, C</v>
      </c>
      <c r="T78" s="26">
        <f t="shared" ref="T78" si="13">W15</f>
        <v>0.21207419404797834</v>
      </c>
      <c r="U78" s="6" t="s">
        <v>136</v>
      </c>
    </row>
    <row r="79" spans="18:21" ht="15" customHeight="1" x14ac:dyDescent="0.25">
      <c r="R79" s="6">
        <v>12</v>
      </c>
      <c r="S79" s="6" t="str">
        <f>P18</f>
        <v>Preload, Fi</v>
      </c>
      <c r="T79" s="2">
        <f t="shared" ref="T79:U79" si="14">Q18</f>
        <v>41096.249999999993</v>
      </c>
      <c r="U79" s="6" t="str">
        <f t="shared" si="14"/>
        <v>N</v>
      </c>
    </row>
    <row r="80" spans="18:21" ht="15" customHeight="1" x14ac:dyDescent="0.25">
      <c r="R80" s="6">
        <v>13</v>
      </c>
      <c r="S80" s="120" t="str">
        <f>Y19</f>
        <v>Alternating External  Load per joint, Pa</v>
      </c>
      <c r="T80" s="122">
        <f t="shared" ref="T80:U80" si="15">Z19</f>
        <v>5743.2240698438409</v>
      </c>
      <c r="U80" s="120" t="str">
        <f t="shared" si="15"/>
        <v>N</v>
      </c>
    </row>
    <row r="81" spans="18:21" ht="15" customHeight="1" x14ac:dyDescent="0.25">
      <c r="R81" s="6">
        <v>14</v>
      </c>
      <c r="S81" s="120" t="str">
        <f>Y20</f>
        <v>Mean External Load per joint, Pm</v>
      </c>
      <c r="T81" s="122">
        <f t="shared" ref="T81" si="16">Z20</f>
        <v>5743.2240698438409</v>
      </c>
      <c r="U81" s="120" t="str">
        <f t="shared" ref="U81" si="17">AA20</f>
        <v>N</v>
      </c>
    </row>
    <row r="82" spans="18:21" ht="15" customHeight="1" x14ac:dyDescent="0.25">
      <c r="R82" s="6">
        <v>15</v>
      </c>
      <c r="S82" s="6" t="str">
        <f>V29</f>
        <v>Initial Bolt Sress, σi</v>
      </c>
      <c r="T82" s="19">
        <f>W30</f>
        <v>487.5</v>
      </c>
      <c r="U82" s="121" t="str">
        <f>X30</f>
        <v>MPa</v>
      </c>
    </row>
    <row r="83" spans="18:21" ht="15" customHeight="1" x14ac:dyDescent="0.25">
      <c r="R83" s="6">
        <v>16</v>
      </c>
      <c r="S83" s="6" t="str">
        <f>Y31</f>
        <v>Alternating Bolt Sress, σa</v>
      </c>
      <c r="T83" s="19">
        <f>Z32</f>
        <v>14.448275395599991</v>
      </c>
      <c r="U83" s="121" t="str">
        <f>AA32</f>
        <v>MPa</v>
      </c>
    </row>
    <row r="84" spans="18:21" ht="15" customHeight="1" x14ac:dyDescent="0.25">
      <c r="R84" s="6">
        <v>17</v>
      </c>
      <c r="S84" s="6" t="str">
        <f>Y33</f>
        <v>Mean Bolt Sress, σm</v>
      </c>
      <c r="T84" s="19">
        <f>Z34</f>
        <v>501.94827539559992</v>
      </c>
      <c r="U84" s="121" t="str">
        <f>AA34</f>
        <v>MPa</v>
      </c>
    </row>
    <row r="85" spans="18:21" ht="15" customHeight="1" x14ac:dyDescent="0.25">
      <c r="R85" s="6">
        <v>18</v>
      </c>
      <c r="S85" s="6" t="str">
        <f>B17</f>
        <v>Grip length, l</v>
      </c>
      <c r="T85" s="2">
        <f t="shared" ref="T85:U85" si="18">C17</f>
        <v>52</v>
      </c>
      <c r="U85" s="6" t="str">
        <f t="shared" si="18"/>
        <v>mm</v>
      </c>
    </row>
    <row r="86" spans="18:21" ht="15" customHeight="1" x14ac:dyDescent="0.25">
      <c r="R86" s="6">
        <v>19</v>
      </c>
      <c r="S86" s="6" t="str">
        <f>V36</f>
        <v>Joint opening FoS, ηo</v>
      </c>
      <c r="T86" s="26">
        <f t="shared" ref="T86" si="19">W36</f>
        <v>4.5407868274892698</v>
      </c>
      <c r="U86" s="6" t="s">
        <v>136</v>
      </c>
    </row>
    <row r="87" spans="18:21" ht="15" customHeight="1" x14ac:dyDescent="0.25">
      <c r="R87" s="6">
        <v>20</v>
      </c>
      <c r="S87" s="6" t="str">
        <f t="shared" ref="S87" si="20">V37</f>
        <v>Proof strength FoS, ηp</v>
      </c>
      <c r="T87" s="26">
        <f t="shared" ref="T87" si="21">W37</f>
        <v>1.2587225824883972</v>
      </c>
      <c r="U87" s="6" t="s">
        <v>136</v>
      </c>
    </row>
    <row r="88" spans="18:21" ht="15" customHeight="1" x14ac:dyDescent="0.25">
      <c r="R88" s="6">
        <v>21</v>
      </c>
      <c r="S88" s="6" t="str">
        <f>V39</f>
        <v>Proof load FoS, ηL</v>
      </c>
      <c r="T88" s="26">
        <f>W39</f>
        <v>5.6235085347794014</v>
      </c>
      <c r="U88" s="6" t="s">
        <v>136</v>
      </c>
    </row>
    <row r="89" spans="18:21" ht="15" customHeight="1" x14ac:dyDescent="0.25">
      <c r="R89" s="6">
        <v>22</v>
      </c>
      <c r="S89" s="6" t="str">
        <f>V38</f>
        <v>Goodman Fatigue FoS, ηf</v>
      </c>
      <c r="T89" s="26">
        <f>W38</f>
        <v>3.84328541873978</v>
      </c>
      <c r="U89" s="6" t="s">
        <v>136</v>
      </c>
    </row>
    <row r="150" spans="64:64" ht="15" customHeight="1" x14ac:dyDescent="0.25">
      <c r="BL150" s="6" t="s">
        <v>26</v>
      </c>
    </row>
  </sheetData>
  <mergeCells count="5">
    <mergeCell ref="AQ5:AT5"/>
    <mergeCell ref="AV5:AY5"/>
    <mergeCell ref="BA5:BE5"/>
    <mergeCell ref="BG5:BK5"/>
    <mergeCell ref="D27:F28"/>
  </mergeCells>
  <conditionalFormatting sqref="B19 D19 F19">
    <cfRule type="expression" dxfId="37" priority="1">
      <formula>NOT($F$19)</formula>
    </cfRule>
  </conditionalFormatting>
  <conditionalFormatting sqref="C17:D17">
    <cfRule type="expression" dxfId="36" priority="8">
      <formula>$C$17&lt;&gt;$J$12</formula>
    </cfRule>
    <cfRule type="duplicateValues" dxfId="35" priority="9"/>
  </conditionalFormatting>
  <conditionalFormatting sqref="I6:N6">
    <cfRule type="expression" dxfId="34" priority="6">
      <formula>0=$J$6</formula>
    </cfRule>
  </conditionalFormatting>
  <conditionalFormatting sqref="I7:N7">
    <cfRule type="expression" dxfId="33" priority="7">
      <formula>0=$J$7</formula>
    </cfRule>
  </conditionalFormatting>
  <conditionalFormatting sqref="I8:N8">
    <cfRule type="expression" dxfId="32" priority="5">
      <formula>0=$J$8</formula>
    </cfRule>
  </conditionalFormatting>
  <conditionalFormatting sqref="I9:N9">
    <cfRule type="expression" dxfId="31" priority="4">
      <formula>0=$J$9</formula>
    </cfRule>
  </conditionalFormatting>
  <conditionalFormatting sqref="I10:N10">
    <cfRule type="expression" dxfId="30" priority="3">
      <formula>0=$J$10</formula>
    </cfRule>
  </conditionalFormatting>
  <conditionalFormatting sqref="J12:K13">
    <cfRule type="expression" dxfId="29" priority="10">
      <formula>$C$17&lt;&gt;$J$12</formula>
    </cfRule>
  </conditionalFormatting>
  <conditionalFormatting sqref="P19 R19 T19">
    <cfRule type="expression" dxfId="28" priority="2">
      <formula>NOT($T$19)</formula>
    </cfRule>
  </conditionalFormatting>
  <dataValidations disablePrompts="1" count="2">
    <dataValidation type="list" allowBlank="1" showInputMessage="1" showErrorMessage="1" sqref="C14" xr:uid="{E4A43C3B-1917-4295-9228-550E3A71E453}">
      <formula1>"UNC, UNF"</formula1>
    </dataValidation>
    <dataValidation type="list" allowBlank="1" showInputMessage="1" showErrorMessage="1" sqref="D2" xr:uid="{DE4A8152-1FD6-4B57-83F0-90D542FDF970}">
      <formula1>"English, Metric"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76EA-2448-49BE-B8D7-35AA027F3A2A}">
  <sheetPr>
    <tabColor rgb="FF00B050"/>
  </sheetPr>
  <dimension ref="B2:BL150"/>
  <sheetViews>
    <sheetView zoomScale="70" zoomScaleNormal="70" workbookViewId="0">
      <selection activeCell="S35" sqref="S35"/>
    </sheetView>
  </sheetViews>
  <sheetFormatPr defaultColWidth="8.85546875" defaultRowHeight="15" customHeight="1" x14ac:dyDescent="0.25"/>
  <cols>
    <col min="1" max="1" width="8.85546875" style="6"/>
    <col min="2" max="2" width="30.7109375" style="6" bestFit="1" customWidth="1"/>
    <col min="3" max="3" width="13" style="6" customWidth="1"/>
    <col min="4" max="4" width="10.140625" style="6" customWidth="1"/>
    <col min="5" max="5" width="23" style="6" bestFit="1" customWidth="1"/>
    <col min="6" max="6" width="10.7109375" style="6" customWidth="1"/>
    <col min="7" max="8" width="9.140625" style="6" customWidth="1"/>
    <col min="9" max="9" width="19.28515625" style="6" bestFit="1" customWidth="1"/>
    <col min="10" max="10" width="15" style="6" bestFit="1" customWidth="1"/>
    <col min="11" max="11" width="10.140625" style="6" bestFit="1" customWidth="1"/>
    <col min="12" max="12" width="9.7109375" style="6" bestFit="1" customWidth="1"/>
    <col min="13" max="13" width="11" style="6" bestFit="1" customWidth="1"/>
    <col min="14" max="14" width="12" style="6" bestFit="1" customWidth="1"/>
    <col min="15" max="15" width="8.85546875" style="6"/>
    <col min="16" max="16" width="30.7109375" style="6" bestFit="1" customWidth="1"/>
    <col min="17" max="17" width="13" style="6" customWidth="1"/>
    <col min="18" max="18" width="10.140625" style="6" customWidth="1"/>
    <col min="19" max="19" width="35" style="6" bestFit="1" customWidth="1"/>
    <col min="20" max="20" width="10.7109375" style="6" customWidth="1"/>
    <col min="21" max="21" width="8.85546875" style="6"/>
    <col min="22" max="22" width="30.28515625" style="6" bestFit="1" customWidth="1"/>
    <col min="23" max="23" width="16.42578125" style="6" bestFit="1" customWidth="1"/>
    <col min="24" max="24" width="10.140625" style="6" bestFit="1" customWidth="1"/>
    <col min="25" max="25" width="34.5703125" style="6" bestFit="1" customWidth="1"/>
    <col min="26" max="26" width="16.42578125" style="6" bestFit="1" customWidth="1"/>
    <col min="27" max="27" width="10.140625" style="6" customWidth="1"/>
    <col min="28" max="28" width="8.85546875" style="6"/>
    <col min="29" max="29" width="21.85546875" style="6" customWidth="1"/>
    <col min="30" max="30" width="14.28515625" style="6" bestFit="1" customWidth="1"/>
    <col min="31" max="31" width="12" style="6" bestFit="1" customWidth="1"/>
    <col min="32" max="32" width="12.28515625" style="6" bestFit="1" customWidth="1"/>
    <col min="33" max="33" width="23.7109375" style="6" bestFit="1" customWidth="1"/>
    <col min="34" max="34" width="21.28515625" style="6" customWidth="1"/>
    <col min="35" max="35" width="14.28515625" style="6" bestFit="1" customWidth="1"/>
    <col min="36" max="36" width="12" style="6" bestFit="1" customWidth="1"/>
    <col min="37" max="37" width="12.28515625" style="6" bestFit="1" customWidth="1"/>
    <col min="38" max="38" width="18.85546875" style="6" bestFit="1" customWidth="1"/>
    <col min="39" max="39" width="20.5703125" style="6" bestFit="1" customWidth="1"/>
    <col min="40" max="40" width="18.5703125" style="6" bestFit="1" customWidth="1"/>
    <col min="41" max="41" width="26.5703125" style="6" bestFit="1" customWidth="1"/>
    <col min="42" max="42" width="8.85546875" style="6"/>
    <col min="43" max="43" width="16.85546875" style="6" bestFit="1" customWidth="1"/>
    <col min="44" max="44" width="7.7109375" style="6" bestFit="1" customWidth="1"/>
    <col min="45" max="45" width="15.140625" style="6" customWidth="1"/>
    <col min="46" max="46" width="15.85546875" style="6" customWidth="1"/>
    <col min="47" max="47" width="8.85546875" style="6"/>
    <col min="48" max="48" width="16.85546875" style="6" bestFit="1" customWidth="1"/>
    <col min="49" max="49" width="7.7109375" style="6" bestFit="1" customWidth="1"/>
    <col min="50" max="50" width="15.140625" style="6" customWidth="1"/>
    <col min="51" max="51" width="15.85546875" style="6" customWidth="1"/>
    <col min="52" max="52" width="8.85546875" style="6"/>
    <col min="53" max="54" width="16.85546875" style="6" bestFit="1" customWidth="1"/>
    <col min="55" max="55" width="12" style="6" bestFit="1" customWidth="1"/>
    <col min="56" max="56" width="15.140625" style="6" customWidth="1"/>
    <col min="57" max="57" width="15.85546875" style="6" customWidth="1"/>
    <col min="58" max="58" width="8.85546875" style="6"/>
    <col min="59" max="60" width="16.85546875" style="6" bestFit="1" customWidth="1"/>
    <col min="61" max="61" width="12" style="6" bestFit="1" customWidth="1"/>
    <col min="62" max="62" width="15.140625" style="6" customWidth="1"/>
    <col min="63" max="63" width="15.85546875" style="6" customWidth="1"/>
    <col min="64" max="16384" width="8.85546875" style="6"/>
  </cols>
  <sheetData>
    <row r="2" spans="2:63" ht="15" customHeight="1" x14ac:dyDescent="0.25">
      <c r="B2" s="3" t="s">
        <v>0</v>
      </c>
      <c r="C2" s="4" t="s">
        <v>17</v>
      </c>
      <c r="D2" s="5" t="s">
        <v>36</v>
      </c>
      <c r="I2" s="7" t="s">
        <v>1</v>
      </c>
      <c r="J2" s="2"/>
      <c r="K2" s="2"/>
      <c r="L2" s="2"/>
      <c r="M2" s="2"/>
      <c r="N2" s="2"/>
      <c r="P2" s="3" t="s">
        <v>0</v>
      </c>
      <c r="Q2" s="1"/>
      <c r="R2" s="1"/>
      <c r="S2" s="1"/>
      <c r="T2" s="1"/>
      <c r="AC2" s="104" t="s">
        <v>99</v>
      </c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</row>
    <row r="3" spans="2:63" ht="15" customHeight="1" thickBot="1" x14ac:dyDescent="0.3">
      <c r="AD3" s="6" t="s">
        <v>125</v>
      </c>
      <c r="AI3" s="6" t="s">
        <v>90</v>
      </c>
      <c r="AQ3" s="6" t="s">
        <v>53</v>
      </c>
      <c r="BA3" s="6" t="s">
        <v>54</v>
      </c>
    </row>
    <row r="4" spans="2:63" ht="15" customHeight="1" x14ac:dyDescent="0.25">
      <c r="B4" s="8" t="s">
        <v>16</v>
      </c>
      <c r="C4" s="9"/>
      <c r="D4" s="9"/>
      <c r="I4" s="11" t="s">
        <v>18</v>
      </c>
      <c r="J4" s="11"/>
      <c r="K4" s="12"/>
      <c r="L4" s="12"/>
      <c r="M4" s="12"/>
      <c r="N4" s="12"/>
      <c r="V4" s="11" t="s">
        <v>97</v>
      </c>
      <c r="W4" s="11"/>
      <c r="X4" s="12"/>
      <c r="AD4" s="36" t="s">
        <v>36</v>
      </c>
      <c r="AE4" s="37"/>
      <c r="AF4" s="37"/>
      <c r="AG4" s="39"/>
      <c r="AI4" s="36" t="s">
        <v>36</v>
      </c>
      <c r="AJ4" s="37"/>
      <c r="AK4" s="37"/>
      <c r="AL4" s="38"/>
      <c r="AM4" s="38"/>
      <c r="AN4" s="37"/>
      <c r="AO4" s="39"/>
      <c r="AQ4" s="36"/>
      <c r="AR4" s="37"/>
      <c r="AS4" s="37"/>
      <c r="AT4" s="37"/>
      <c r="AU4" s="38" t="s">
        <v>36</v>
      </c>
      <c r="AV4" s="37"/>
      <c r="AW4" s="37"/>
      <c r="AX4" s="37"/>
      <c r="AY4" s="39"/>
      <c r="BA4" s="36"/>
      <c r="BB4" s="37"/>
      <c r="BC4" s="37"/>
      <c r="BD4" s="37"/>
      <c r="BE4" s="37"/>
      <c r="BF4" s="38" t="s">
        <v>2</v>
      </c>
      <c r="BG4" s="37"/>
      <c r="BH4" s="37"/>
      <c r="BI4" s="37"/>
      <c r="BJ4" s="37"/>
      <c r="BK4" s="39"/>
    </row>
    <row r="5" spans="2:63" ht="15" customHeight="1" x14ac:dyDescent="0.25">
      <c r="B5" s="1" t="s">
        <v>31</v>
      </c>
      <c r="C5" s="1">
        <v>30</v>
      </c>
      <c r="D5" s="1" t="s">
        <v>32</v>
      </c>
      <c r="E5" s="10" t="s">
        <v>10</v>
      </c>
      <c r="F5" s="9"/>
      <c r="G5" s="9"/>
      <c r="I5" s="14" t="s">
        <v>19</v>
      </c>
      <c r="J5" s="15" t="str">
        <f>_xlfn.CONCAT("Thickness ", "[",D6,"]")</f>
        <v>Thickness [mm]</v>
      </c>
      <c r="K5" s="15" t="str">
        <f>_xlfn.CONCAT("D ", "[",D13,"]")</f>
        <v>D [mm]</v>
      </c>
      <c r="L5" s="15" t="str">
        <f>_xlfn.CONCAT("E ", "[",G6,"]")</f>
        <v>E [Pa]</v>
      </c>
      <c r="M5" s="15" t="str">
        <f>_xlfn.CONCAT("k ", "[",D34,"]")</f>
        <v>k [mN/m]</v>
      </c>
      <c r="N5" s="15" t="s">
        <v>20</v>
      </c>
      <c r="V5" s="2" t="s">
        <v>68</v>
      </c>
      <c r="W5" s="88">
        <f>IF(AND($C$13&gt;=$AJ$29,$C$13&lt;=$AK$29),AL29,IF(AND($C$13&gt;=$AJ$30,$C$13&lt;=$AK$30),AL30,NA()))</f>
        <v>650000000</v>
      </c>
      <c r="X5" s="2" t="str">
        <f>IF($D$2="English","psi","Pa")</f>
        <v>Pa</v>
      </c>
      <c r="AD5" s="60" t="s">
        <v>76</v>
      </c>
      <c r="AE5" s="61" t="s">
        <v>77</v>
      </c>
      <c r="AF5" s="61" t="s">
        <v>78</v>
      </c>
      <c r="AG5" s="62" t="s">
        <v>126</v>
      </c>
      <c r="AI5" s="60" t="s">
        <v>76</v>
      </c>
      <c r="AJ5" s="61" t="s">
        <v>77</v>
      </c>
      <c r="AK5" s="61" t="s">
        <v>78</v>
      </c>
      <c r="AL5" s="61" t="s">
        <v>94</v>
      </c>
      <c r="AM5" s="61" t="s">
        <v>93</v>
      </c>
      <c r="AN5" s="61" t="s">
        <v>95</v>
      </c>
      <c r="AO5" s="62" t="s">
        <v>79</v>
      </c>
      <c r="AQ5" s="131" t="s">
        <v>44</v>
      </c>
      <c r="AR5" s="132"/>
      <c r="AS5" s="132"/>
      <c r="AT5" s="132"/>
      <c r="AU5" s="52"/>
      <c r="AV5" s="132" t="s">
        <v>45</v>
      </c>
      <c r="AW5" s="132"/>
      <c r="AX5" s="132"/>
      <c r="AY5" s="133"/>
      <c r="BA5" s="131" t="s">
        <v>44</v>
      </c>
      <c r="BB5" s="132"/>
      <c r="BC5" s="132"/>
      <c r="BD5" s="132"/>
      <c r="BE5" s="132"/>
      <c r="BF5" s="52"/>
      <c r="BG5" s="132" t="s">
        <v>45</v>
      </c>
      <c r="BH5" s="132"/>
      <c r="BI5" s="132"/>
      <c r="BJ5" s="132"/>
      <c r="BK5" s="133"/>
    </row>
    <row r="6" spans="2:63" ht="15" customHeight="1" x14ac:dyDescent="0.25">
      <c r="B6" s="1" t="s">
        <v>28</v>
      </c>
      <c r="C6" s="1">
        <v>3.5</v>
      </c>
      <c r="D6" s="1" t="str">
        <f>IF($D$2="English","in", "mm")</f>
        <v>mm</v>
      </c>
      <c r="E6" s="13" t="s">
        <v>11</v>
      </c>
      <c r="F6" s="22">
        <f>207*10^9</f>
        <v>207000000000</v>
      </c>
      <c r="G6" s="1" t="str">
        <f t="shared" ref="G6:G9" si="0">IF($D$2="English","psi","Pa")</f>
        <v>Pa</v>
      </c>
      <c r="I6" s="16">
        <v>1</v>
      </c>
      <c r="J6" s="2">
        <f>C6</f>
        <v>3.5</v>
      </c>
      <c r="K6" s="2">
        <f>1.5*C13</f>
        <v>18</v>
      </c>
      <c r="L6" s="23">
        <f>F6</f>
        <v>207000000000</v>
      </c>
      <c r="M6" s="23">
        <f>IF(J6=0,0,(PI()*L6*$C$13*TAN(RADIANS($C$5)))/LN(((2*J6*TAN(RADIANS($C$5))+K6-$C$13)*(K6+$C$13))/((2*J6*TAN(RADIANS($C$5))+K6+$C$13)*(K6-$C$13))))</f>
        <v>11594703379233.197</v>
      </c>
      <c r="N6" s="23">
        <f>IF(M6=0,0,M6^-1)</f>
        <v>8.6246277053629459E-14</v>
      </c>
      <c r="V6" s="2"/>
      <c r="W6" s="2">
        <f>IF($D$2="English",W5*10^-3,W5*10^-6)</f>
        <v>650</v>
      </c>
      <c r="X6" s="2" t="str">
        <f>IF($D$2="English","kpsi","MPa")</f>
        <v>MPa</v>
      </c>
      <c r="AD6" s="42">
        <v>8.8000000000000007</v>
      </c>
      <c r="AE6" s="28">
        <v>16</v>
      </c>
      <c r="AF6" s="28">
        <v>36</v>
      </c>
      <c r="AG6" s="109">
        <v>129000000</v>
      </c>
      <c r="AI6" s="42">
        <v>4.5999999999999996</v>
      </c>
      <c r="AJ6" s="28">
        <v>5</v>
      </c>
      <c r="AK6" s="28">
        <v>36</v>
      </c>
      <c r="AL6" s="95">
        <v>225000000</v>
      </c>
      <c r="AM6" s="92">
        <v>400000000</v>
      </c>
      <c r="AN6" s="95">
        <v>240000000</v>
      </c>
      <c r="AO6" s="63" t="s">
        <v>80</v>
      </c>
      <c r="AQ6" s="40" t="s">
        <v>42</v>
      </c>
      <c r="AR6" s="31" t="s">
        <v>41</v>
      </c>
      <c r="AS6" s="31" t="s">
        <v>40</v>
      </c>
      <c r="AT6" s="32" t="s">
        <v>43</v>
      </c>
      <c r="AU6" s="52"/>
      <c r="AV6" s="30" t="s">
        <v>42</v>
      </c>
      <c r="AW6" s="31" t="s">
        <v>41</v>
      </c>
      <c r="AX6" s="31" t="s">
        <v>40</v>
      </c>
      <c r="AY6" s="41" t="s">
        <v>43</v>
      </c>
      <c r="BA6" s="40" t="s">
        <v>46</v>
      </c>
      <c r="BB6" s="30" t="s">
        <v>47</v>
      </c>
      <c r="BC6" s="31" t="s">
        <v>48</v>
      </c>
      <c r="BD6" s="31" t="s">
        <v>49</v>
      </c>
      <c r="BE6" s="32" t="s">
        <v>50</v>
      </c>
      <c r="BF6" s="52"/>
      <c r="BG6" s="30" t="s">
        <v>46</v>
      </c>
      <c r="BH6" s="30" t="s">
        <v>47</v>
      </c>
      <c r="BI6" s="31" t="s">
        <v>48</v>
      </c>
      <c r="BJ6" s="31" t="s">
        <v>49</v>
      </c>
      <c r="BK6" s="41" t="s">
        <v>50</v>
      </c>
    </row>
    <row r="7" spans="2:63" ht="15" customHeight="1" x14ac:dyDescent="0.25">
      <c r="B7" s="1" t="s">
        <v>29</v>
      </c>
      <c r="C7" s="1">
        <v>20</v>
      </c>
      <c r="D7" s="1" t="str">
        <f t="shared" ref="D7:D9" si="1">IF($D$2="English","in", "mm")</f>
        <v>mm</v>
      </c>
      <c r="E7" s="13" t="s">
        <v>12</v>
      </c>
      <c r="F7" s="22">
        <f>207*10^9</f>
        <v>207000000000</v>
      </c>
      <c r="G7" s="1" t="str">
        <f t="shared" si="0"/>
        <v>Pa</v>
      </c>
      <c r="I7" s="16">
        <v>2</v>
      </c>
      <c r="J7" s="2">
        <f>IF(C6+C7&lt;J14,C7,J14-C6)</f>
        <v>11.25</v>
      </c>
      <c r="K7" s="18">
        <f>K6+2*J6*TAN(RADIANS($C$5))</f>
        <v>22.04145188432738</v>
      </c>
      <c r="L7" s="23">
        <f>F7</f>
        <v>207000000000</v>
      </c>
      <c r="M7" s="23">
        <f>IF(J7=0,0,(PI()*L7*$C$13*TAN(RADIANS($C$5)))/LN(((2*J7*TAN(RADIANS($C$5))+K7-$C$13)*(K7+$C$13))/((2*J7*TAN(RADIANS($C$5))+K7+$C$13)*(K7-$C$13))))</f>
        <v>8888123645033.8867</v>
      </c>
      <c r="N7" s="23">
        <f t="shared" ref="N7:N10" si="2">IF(M7=0,0,M7^-1)</f>
        <v>1.1250968595140278E-13</v>
      </c>
      <c r="V7" s="2" t="s">
        <v>74</v>
      </c>
      <c r="W7" s="89">
        <f>IF(AND($C$13&gt;=$AJ$29,$C$13&lt;=$AK$29),AM29,IF(AND($C$13&gt;=$AJ$30,$C$13&lt;=$AK$30),AM30,NA()))</f>
        <v>900000000</v>
      </c>
      <c r="X7" s="2" t="str">
        <f>IF($D$2="English","psi","Pa")</f>
        <v>Pa</v>
      </c>
      <c r="AD7" s="42">
        <v>9.8000000000000007</v>
      </c>
      <c r="AE7" s="28">
        <v>1.6</v>
      </c>
      <c r="AF7" s="28">
        <v>16</v>
      </c>
      <c r="AG7" s="110">
        <v>140000000</v>
      </c>
      <c r="AI7" s="42">
        <v>4.8</v>
      </c>
      <c r="AJ7" s="28">
        <v>1.6</v>
      </c>
      <c r="AK7" s="28">
        <v>16</v>
      </c>
      <c r="AL7" s="96">
        <v>310000000</v>
      </c>
      <c r="AM7" s="92">
        <v>420000000</v>
      </c>
      <c r="AN7" s="96">
        <v>340000000</v>
      </c>
      <c r="AO7" s="63" t="s">
        <v>80</v>
      </c>
      <c r="AQ7" s="42">
        <v>1.6</v>
      </c>
      <c r="AR7" s="28">
        <v>0.35</v>
      </c>
      <c r="AS7" s="28">
        <v>1.27</v>
      </c>
      <c r="AT7" s="29">
        <v>1.07</v>
      </c>
      <c r="AU7" s="52"/>
      <c r="AV7" s="27">
        <v>1.6</v>
      </c>
      <c r="AW7" s="28" t="e">
        <f>NA()</f>
        <v>#N/A</v>
      </c>
      <c r="AX7" s="28" t="e">
        <f>NA()</f>
        <v>#N/A</v>
      </c>
      <c r="AY7" s="28" t="e">
        <f>NA()</f>
        <v>#N/A</v>
      </c>
      <c r="BA7" s="49">
        <f>0</f>
        <v>0</v>
      </c>
      <c r="BB7" s="27">
        <v>0.06</v>
      </c>
      <c r="BC7" s="28" t="e">
        <f>NA()</f>
        <v>#N/A</v>
      </c>
      <c r="BD7" s="28" t="e">
        <f>NA()</f>
        <v>#N/A</v>
      </c>
      <c r="BE7" s="29" t="e">
        <f>NA()</f>
        <v>#N/A</v>
      </c>
      <c r="BF7" s="52"/>
      <c r="BG7" s="35">
        <f>0</f>
        <v>0</v>
      </c>
      <c r="BH7" s="27">
        <v>0.06</v>
      </c>
      <c r="BI7" s="28">
        <v>80</v>
      </c>
      <c r="BJ7" s="28">
        <v>1.8E-3</v>
      </c>
      <c r="BK7" s="43">
        <v>1.5100000000000001E-3</v>
      </c>
    </row>
    <row r="8" spans="2:63" ht="15" customHeight="1" x14ac:dyDescent="0.25">
      <c r="B8" s="1" t="s">
        <v>30</v>
      </c>
      <c r="C8" s="1">
        <v>25</v>
      </c>
      <c r="D8" s="1" t="str">
        <f t="shared" si="1"/>
        <v>mm</v>
      </c>
      <c r="E8" s="13" t="s">
        <v>14</v>
      </c>
      <c r="F8" s="22">
        <f>100*10^9</f>
        <v>100000000000</v>
      </c>
      <c r="G8" s="1" t="str">
        <f t="shared" si="0"/>
        <v>Pa</v>
      </c>
      <c r="I8" s="16">
        <v>3</v>
      </c>
      <c r="J8" s="2">
        <f>IF(C6+C7&lt;J14,J14-C7-C6,C6+C7-J14)</f>
        <v>8.75</v>
      </c>
      <c r="K8" s="18">
        <f>IF(J6+J7&lt;J14,K7+2*J7*TAN(RADIANS($C$5)),K7+2*J7*TAN(RADIANS($C$5))-2*J8*TAN(RADIANS($C$5)))</f>
        <v>24.928203230275507</v>
      </c>
      <c r="L8" s="23">
        <f>IF(J6+J7&lt;J14,F8,F7)</f>
        <v>207000000000</v>
      </c>
      <c r="M8" s="23">
        <f>IF(J8=0,0,(PI()*L8*$C$13*TAN(RADIANS($C$5)))/LN(((2*J8*TAN(RADIANS($C$5))+K8-$C$13)*(K8+$C$13))/((2*J8*TAN(RADIANS($C$5))+K8+$C$13)*(K8-$C$13))))</f>
        <v>13424462540027.336</v>
      </c>
      <c r="N8" s="23">
        <f t="shared" si="2"/>
        <v>7.4490877904298108E-14</v>
      </c>
      <c r="V8" s="2"/>
      <c r="W8" s="2">
        <f>IF($D$2="English",W7*10^-3,W7*10^-6)</f>
        <v>900</v>
      </c>
      <c r="X8" s="2" t="str">
        <f>IF($D$2="English","kpsi","MPa")</f>
        <v>MPa</v>
      </c>
      <c r="AD8" s="42">
        <v>10.9</v>
      </c>
      <c r="AE8" s="28">
        <v>5</v>
      </c>
      <c r="AF8" s="28">
        <v>36</v>
      </c>
      <c r="AG8" s="110">
        <v>162000000</v>
      </c>
      <c r="AI8" s="42">
        <v>5.8</v>
      </c>
      <c r="AJ8" s="28">
        <v>5</v>
      </c>
      <c r="AK8" s="28">
        <v>24</v>
      </c>
      <c r="AL8" s="96">
        <v>380000000</v>
      </c>
      <c r="AM8" s="92">
        <v>520000000</v>
      </c>
      <c r="AN8" s="96">
        <v>420000000</v>
      </c>
      <c r="AO8" s="63" t="s">
        <v>80</v>
      </c>
      <c r="AQ8" s="42">
        <v>2</v>
      </c>
      <c r="AR8" s="28">
        <v>0.4</v>
      </c>
      <c r="AS8" s="28">
        <v>2.0699999999999998</v>
      </c>
      <c r="AT8" s="29">
        <v>1.79</v>
      </c>
      <c r="AU8" s="52"/>
      <c r="AV8" s="27">
        <v>2</v>
      </c>
      <c r="AW8" s="28" t="e">
        <f>NA()</f>
        <v>#N/A</v>
      </c>
      <c r="AX8" s="28" t="e">
        <f>NA()</f>
        <v>#N/A</v>
      </c>
      <c r="AY8" s="28" t="e">
        <f>NA()</f>
        <v>#N/A</v>
      </c>
      <c r="BA8" s="49">
        <f>1</f>
        <v>1</v>
      </c>
      <c r="BB8" s="27">
        <v>7.2999999999999995E-2</v>
      </c>
      <c r="BC8" s="28">
        <v>64</v>
      </c>
      <c r="BD8" s="28">
        <v>2.63E-3</v>
      </c>
      <c r="BE8" s="29">
        <v>2.1800000000000001E-3</v>
      </c>
      <c r="BF8" s="52"/>
      <c r="BG8" s="35">
        <f>1</f>
        <v>1</v>
      </c>
      <c r="BH8" s="27">
        <v>7.2999999999999995E-2</v>
      </c>
      <c r="BI8" s="28">
        <v>72</v>
      </c>
      <c r="BJ8" s="28">
        <v>2.7799999999999999E-3</v>
      </c>
      <c r="BK8" s="43">
        <v>2.3700000000000001E-3</v>
      </c>
    </row>
    <row r="9" spans="2:63" ht="15" customHeight="1" thickBot="1" x14ac:dyDescent="0.3">
      <c r="B9" s="1" t="s">
        <v>27</v>
      </c>
      <c r="C9" s="1"/>
      <c r="D9" s="1" t="str">
        <f t="shared" si="1"/>
        <v>mm</v>
      </c>
      <c r="E9" s="13" t="s">
        <v>13</v>
      </c>
      <c r="F9" s="22">
        <f>207*10^9</f>
        <v>207000000000</v>
      </c>
      <c r="G9" s="1" t="str">
        <f t="shared" si="0"/>
        <v>Pa</v>
      </c>
      <c r="I9" s="16">
        <v>4</v>
      </c>
      <c r="J9" s="2">
        <f>C17-SUM(J6:J8)-J10</f>
        <v>6</v>
      </c>
      <c r="K9" s="18">
        <f>K10+2*J10*TAN(RADIANS($C$5))</f>
        <v>18</v>
      </c>
      <c r="L9" s="23">
        <f>F8</f>
        <v>100000000000</v>
      </c>
      <c r="M9" s="23">
        <f>IF(J9=0,0,(PI()*L9*$C$13*TAN(RADIANS($C$5)))/LN(((2*J9*TAN(RADIANS($C$5))+K9-$C$13)*(K9+$C$13))/((2*J9*TAN(RADIANS($C$5))+K9+$C$13)*(K9-$C$13))))</f>
        <v>3887590686056.3486</v>
      </c>
      <c r="N9" s="23">
        <f t="shared" si="2"/>
        <v>2.5722872615851964E-13</v>
      </c>
      <c r="V9" s="2" t="s">
        <v>75</v>
      </c>
      <c r="W9" s="88">
        <f>IF(AND($C$13&gt;=$AJ$29,$C$13&lt;=$AK$29),AN29,IF(AND($C$13&gt;=$AJ$30,$C$13&lt;=$AK$30),AN30,NA()))</f>
        <v>720000000</v>
      </c>
      <c r="X9" s="2" t="str">
        <f>IF($D$2="English","psi","Pa")</f>
        <v>Pa</v>
      </c>
      <c r="AD9" s="44">
        <v>12.9</v>
      </c>
      <c r="AE9" s="45">
        <v>1.6</v>
      </c>
      <c r="AF9" s="45">
        <v>36</v>
      </c>
      <c r="AG9" s="111">
        <v>190000000</v>
      </c>
      <c r="AI9" s="42">
        <v>8.8000000000000007</v>
      </c>
      <c r="AJ9" s="28">
        <v>16</v>
      </c>
      <c r="AK9" s="28">
        <v>36</v>
      </c>
      <c r="AL9" s="96">
        <v>600000000</v>
      </c>
      <c r="AM9" s="92">
        <v>830000000</v>
      </c>
      <c r="AN9" s="96">
        <v>660000000</v>
      </c>
      <c r="AO9" s="63" t="s">
        <v>81</v>
      </c>
      <c r="AQ9" s="42">
        <v>2.5</v>
      </c>
      <c r="AR9" s="28">
        <v>0.45</v>
      </c>
      <c r="AS9" s="28">
        <v>3.39</v>
      </c>
      <c r="AT9" s="29">
        <v>2.98</v>
      </c>
      <c r="AU9" s="52"/>
      <c r="AV9" s="27">
        <v>2.5</v>
      </c>
      <c r="AW9" s="28" t="e">
        <f>NA()</f>
        <v>#N/A</v>
      </c>
      <c r="AX9" s="28" t="e">
        <f>NA()</f>
        <v>#N/A</v>
      </c>
      <c r="AY9" s="28" t="e">
        <f>NA()</f>
        <v>#N/A</v>
      </c>
      <c r="BA9" s="49">
        <f>2</f>
        <v>2</v>
      </c>
      <c r="BB9" s="27">
        <v>8.5999999999999993E-2</v>
      </c>
      <c r="BC9" s="28">
        <v>56</v>
      </c>
      <c r="BD9" s="28">
        <v>3.7000000000000002E-3</v>
      </c>
      <c r="BE9" s="29">
        <v>3.0999999999999999E-3</v>
      </c>
      <c r="BF9" s="52"/>
      <c r="BG9" s="35">
        <f>2</f>
        <v>2</v>
      </c>
      <c r="BH9" s="27">
        <v>8.5999999999999993E-2</v>
      </c>
      <c r="BI9" s="28">
        <v>64</v>
      </c>
      <c r="BJ9" s="28">
        <v>3.9399999999999999E-3</v>
      </c>
      <c r="BK9" s="43">
        <v>3.3899999999999998E-3</v>
      </c>
    </row>
    <row r="10" spans="2:63" ht="15" customHeight="1" thickBot="1" x14ac:dyDescent="0.3">
      <c r="I10" s="16">
        <v>5</v>
      </c>
      <c r="J10" s="2">
        <f>C9</f>
        <v>0</v>
      </c>
      <c r="K10" s="2">
        <f>1.5*C13</f>
        <v>18</v>
      </c>
      <c r="L10" s="23">
        <f>F9</f>
        <v>207000000000</v>
      </c>
      <c r="M10" s="23">
        <f>IF(J10=0,0,(PI()*L10*$C$13*TAN(RADIANS($C$5)))/LN(((2*J10*TAN(RADIANS($C$5))+K10-$C$13)*(K10+$C$13))/((2*J10*TAN(RADIANS($C$5))+K10+$C$13)*(K10-$C$13))))</f>
        <v>0</v>
      </c>
      <c r="N10" s="23">
        <f t="shared" si="2"/>
        <v>0</v>
      </c>
      <c r="V10" s="2"/>
      <c r="W10" s="2">
        <f>IF($D$2="English",W9*10^-3,W9*10^-6)</f>
        <v>720</v>
      </c>
      <c r="X10" s="2" t="str">
        <f>IF($D$2="English","kpsi","MPa")</f>
        <v>MPa</v>
      </c>
      <c r="AI10" s="42">
        <v>9.8000000000000007</v>
      </c>
      <c r="AJ10" s="28">
        <v>1.6</v>
      </c>
      <c r="AK10" s="28">
        <v>16</v>
      </c>
      <c r="AL10" s="96">
        <v>650000000</v>
      </c>
      <c r="AM10" s="92">
        <v>900000000</v>
      </c>
      <c r="AN10" s="96">
        <v>720000000</v>
      </c>
      <c r="AO10" s="63" t="s">
        <v>81</v>
      </c>
      <c r="AQ10" s="42">
        <v>3</v>
      </c>
      <c r="AR10" s="28">
        <v>0.5</v>
      </c>
      <c r="AS10" s="28">
        <v>5.03</v>
      </c>
      <c r="AT10" s="29">
        <v>4.47</v>
      </c>
      <c r="AU10" s="52"/>
      <c r="AV10" s="27">
        <v>3</v>
      </c>
      <c r="AW10" s="28" t="e">
        <f>NA()</f>
        <v>#N/A</v>
      </c>
      <c r="AX10" s="28" t="e">
        <f>NA()</f>
        <v>#N/A</v>
      </c>
      <c r="AY10" s="28" t="e">
        <f>NA()</f>
        <v>#N/A</v>
      </c>
      <c r="BA10" s="49">
        <f>3</f>
        <v>3</v>
      </c>
      <c r="BB10" s="27">
        <v>9.9000000000000005E-2</v>
      </c>
      <c r="BC10" s="28">
        <v>48</v>
      </c>
      <c r="BD10" s="28">
        <v>4.8700000000000002E-3</v>
      </c>
      <c r="BE10" s="29">
        <v>4.0600000000000002E-3</v>
      </c>
      <c r="BF10" s="52"/>
      <c r="BG10" s="35">
        <f>3</f>
        <v>3</v>
      </c>
      <c r="BH10" s="27">
        <v>9.9000000000000005E-2</v>
      </c>
      <c r="BI10" s="28">
        <v>56</v>
      </c>
      <c r="BJ10" s="28">
        <v>5.2300000000000003E-3</v>
      </c>
      <c r="BK10" s="43">
        <v>4.5100000000000001E-3</v>
      </c>
    </row>
    <row r="11" spans="2:63" ht="15" customHeight="1" x14ac:dyDescent="0.25">
      <c r="B11" s="8" t="s">
        <v>15</v>
      </c>
      <c r="C11" s="34" t="str">
        <f>_xlfn.CONCAT(IF($D$2="English",_xlfn.CONCAT(TEXT(C13, "# ?/?"),"""-",C25,"-", C15, " ",C14),_xlfn.CONCAT("M",C13,"-", C25,"-", C15," ",C14)), " Grade ", C16)</f>
        <v>M12-1.75-35 UNC Grade 9.8</v>
      </c>
      <c r="D11" s="8"/>
      <c r="E11" s="8"/>
      <c r="F11" s="8"/>
      <c r="G11" s="8"/>
      <c r="V11" s="2" t="s">
        <v>129</v>
      </c>
      <c r="W11" s="88">
        <f>IF(AND($C$13&gt;=AE$19,$C$13&lt;=AF$19),AG19,IF(AND($C$13&gt;=AE$20,$C$13&lt;=AF$20),AG20,NA()))</f>
        <v>140000000</v>
      </c>
      <c r="X11" s="2" t="str">
        <f>IF($D$2="English","psi","Pa")</f>
        <v>Pa</v>
      </c>
      <c r="AD11" s="36" t="s">
        <v>2</v>
      </c>
      <c r="AE11" s="37"/>
      <c r="AF11" s="37"/>
      <c r="AG11" s="103"/>
      <c r="AI11" s="42">
        <v>10.9</v>
      </c>
      <c r="AJ11" s="28">
        <v>5</v>
      </c>
      <c r="AK11" s="28">
        <v>36</v>
      </c>
      <c r="AL11" s="96">
        <v>830000000</v>
      </c>
      <c r="AM11" s="90">
        <v>1040000000</v>
      </c>
      <c r="AN11" s="96">
        <v>940000000</v>
      </c>
      <c r="AO11" s="63" t="s">
        <v>82</v>
      </c>
      <c r="AQ11" s="42">
        <v>3.5</v>
      </c>
      <c r="AR11" s="28">
        <v>0.6</v>
      </c>
      <c r="AS11" s="28">
        <v>6.78</v>
      </c>
      <c r="AT11" s="29">
        <v>6</v>
      </c>
      <c r="AU11" s="52"/>
      <c r="AV11" s="27">
        <v>3.5</v>
      </c>
      <c r="AW11" s="28" t="e">
        <f>NA()</f>
        <v>#N/A</v>
      </c>
      <c r="AX11" s="28" t="e">
        <f>NA()</f>
        <v>#N/A</v>
      </c>
      <c r="AY11" s="28" t="e">
        <f>NA()</f>
        <v>#N/A</v>
      </c>
      <c r="BA11" s="49">
        <f>4</f>
        <v>4</v>
      </c>
      <c r="BB11" s="27">
        <v>0.112</v>
      </c>
      <c r="BC11" s="28">
        <v>40</v>
      </c>
      <c r="BD11" s="28">
        <v>6.0400000000000002E-3</v>
      </c>
      <c r="BE11" s="29">
        <v>4.96E-3</v>
      </c>
      <c r="BF11" s="52"/>
      <c r="BG11" s="35">
        <f>4</f>
        <v>4</v>
      </c>
      <c r="BH11" s="27">
        <v>0.112</v>
      </c>
      <c r="BI11" s="28">
        <v>48</v>
      </c>
      <c r="BJ11" s="28">
        <v>6.6100000000000004E-3</v>
      </c>
      <c r="BK11" s="43">
        <v>5.6600000000000001E-3</v>
      </c>
    </row>
    <row r="12" spans="2:63" ht="15" customHeight="1" thickBot="1" x14ac:dyDescent="0.3">
      <c r="B12" s="1" t="s">
        <v>51</v>
      </c>
      <c r="C12" s="22">
        <f>207*10^9</f>
        <v>207000000000</v>
      </c>
      <c r="D12" s="1" t="str">
        <f>IF($D$2="English","psi","Pa")</f>
        <v>Pa</v>
      </c>
      <c r="I12" s="25" t="s">
        <v>33</v>
      </c>
      <c r="J12" s="25">
        <f>SUM(J6:J10)</f>
        <v>29.5</v>
      </c>
      <c r="K12" s="25" t="str">
        <f>IF($D$2="English","in", "mm")</f>
        <v>mm</v>
      </c>
      <c r="V12" s="2"/>
      <c r="W12" s="2">
        <f>IF($D$2="English",W11*10^-3,W11*10^-6)</f>
        <v>140</v>
      </c>
      <c r="X12" s="2" t="str">
        <f>IF($D$2="English","kpsi","MPa")</f>
        <v>MPa</v>
      </c>
      <c r="AD12" s="60" t="s">
        <v>76</v>
      </c>
      <c r="AE12" s="61" t="s">
        <v>85</v>
      </c>
      <c r="AF12" s="61" t="s">
        <v>86</v>
      </c>
      <c r="AG12" s="62" t="s">
        <v>127</v>
      </c>
      <c r="AI12" s="44">
        <v>12.9</v>
      </c>
      <c r="AJ12" s="45">
        <v>1.6</v>
      </c>
      <c r="AK12" s="45">
        <v>36</v>
      </c>
      <c r="AL12" s="93">
        <v>970000000</v>
      </c>
      <c r="AM12" s="94">
        <v>1220000000</v>
      </c>
      <c r="AN12" s="91">
        <v>1100000000</v>
      </c>
      <c r="AO12" s="64" t="s">
        <v>83</v>
      </c>
      <c r="AQ12" s="42">
        <v>4</v>
      </c>
      <c r="AR12" s="28">
        <v>0.7</v>
      </c>
      <c r="AS12" s="28">
        <v>8.7799999999999994</v>
      </c>
      <c r="AT12" s="29">
        <v>7.75</v>
      </c>
      <c r="AU12" s="52"/>
      <c r="AV12" s="27">
        <v>4</v>
      </c>
      <c r="AW12" s="28" t="e">
        <f>NA()</f>
        <v>#N/A</v>
      </c>
      <c r="AX12" s="28" t="e">
        <f>NA()</f>
        <v>#N/A</v>
      </c>
      <c r="AY12" s="28" t="e">
        <f>NA()</f>
        <v>#N/A</v>
      </c>
      <c r="BA12" s="49">
        <f>5</f>
        <v>5</v>
      </c>
      <c r="BB12" s="27">
        <v>0.125</v>
      </c>
      <c r="BC12" s="28">
        <v>40</v>
      </c>
      <c r="BD12" s="28">
        <v>7.9600000000000001E-3</v>
      </c>
      <c r="BE12" s="29">
        <v>6.7200000000000003E-3</v>
      </c>
      <c r="BF12" s="52"/>
      <c r="BG12" s="35">
        <f>5</f>
        <v>5</v>
      </c>
      <c r="BH12" s="27">
        <v>0.125</v>
      </c>
      <c r="BI12" s="28">
        <v>44</v>
      </c>
      <c r="BJ12" s="28">
        <v>8.8000000000000005E-3</v>
      </c>
      <c r="BK12" s="43">
        <v>7.1599999999999997E-3</v>
      </c>
    </row>
    <row r="13" spans="2:63" ht="15" customHeight="1" x14ac:dyDescent="0.25">
      <c r="B13" s="1" t="s">
        <v>3</v>
      </c>
      <c r="C13" s="17">
        <v>12</v>
      </c>
      <c r="D13" s="1" t="str">
        <f t="shared" ref="D13" si="3">IF($D$2="English","in", "mm")</f>
        <v>mm</v>
      </c>
      <c r="I13" s="25" t="s">
        <v>22</v>
      </c>
      <c r="J13" s="25">
        <f>C17</f>
        <v>29.5</v>
      </c>
      <c r="K13" s="25" t="str">
        <f>IF($D$2="English","in", "mm")</f>
        <v>mm</v>
      </c>
      <c r="AD13" s="71">
        <v>5</v>
      </c>
      <c r="AE13" s="67">
        <v>0.125</v>
      </c>
      <c r="AF13" s="67">
        <v>1</v>
      </c>
      <c r="AG13" s="109">
        <v>18600</v>
      </c>
      <c r="AQ13" s="42">
        <v>5</v>
      </c>
      <c r="AR13" s="28">
        <v>0.8</v>
      </c>
      <c r="AS13" s="28">
        <v>14.2</v>
      </c>
      <c r="AT13" s="29">
        <v>12.7</v>
      </c>
      <c r="AU13" s="52"/>
      <c r="AV13" s="27">
        <v>5</v>
      </c>
      <c r="AW13" s="28" t="e">
        <f>NA()</f>
        <v>#N/A</v>
      </c>
      <c r="AX13" s="28" t="e">
        <f>NA()</f>
        <v>#N/A</v>
      </c>
      <c r="AY13" s="28" t="e">
        <f>NA()</f>
        <v>#N/A</v>
      </c>
      <c r="BA13" s="49">
        <f>6</f>
        <v>6</v>
      </c>
      <c r="BB13" s="27">
        <v>0.13800000000000001</v>
      </c>
      <c r="BC13" s="28">
        <v>32</v>
      </c>
      <c r="BD13" s="28">
        <v>9.0900000000000009E-3</v>
      </c>
      <c r="BE13" s="29">
        <v>7.45E-3</v>
      </c>
      <c r="BF13" s="52"/>
      <c r="BG13" s="35">
        <f>6</f>
        <v>6</v>
      </c>
      <c r="BH13" s="27">
        <v>0.13800000000000001</v>
      </c>
      <c r="BI13" s="28">
        <v>40</v>
      </c>
      <c r="BJ13" s="28">
        <v>1.0149999999999999E-2</v>
      </c>
      <c r="BK13" s="43">
        <v>8.7399999999999995E-3</v>
      </c>
    </row>
    <row r="14" spans="2:63" ht="15" customHeight="1" thickBot="1" x14ac:dyDescent="0.3">
      <c r="B14" s="1" t="s">
        <v>52</v>
      </c>
      <c r="C14" s="33" t="s">
        <v>44</v>
      </c>
      <c r="D14" s="1"/>
      <c r="I14" s="25" t="s">
        <v>23</v>
      </c>
      <c r="J14" s="25">
        <f>C17/2</f>
        <v>14.75</v>
      </c>
      <c r="K14" s="25" t="str">
        <f t="shared" ref="K14" si="4">IF($D$2="English","in", "mm")</f>
        <v>mm</v>
      </c>
      <c r="P14" s="8" t="s">
        <v>69</v>
      </c>
      <c r="Q14" s="8"/>
      <c r="R14" s="8"/>
      <c r="S14" s="8"/>
      <c r="T14" s="8"/>
      <c r="V14" s="11" t="s">
        <v>56</v>
      </c>
      <c r="W14" s="11"/>
      <c r="X14" s="12"/>
      <c r="Y14" s="12"/>
      <c r="Z14" s="12"/>
      <c r="AA14" s="12"/>
      <c r="AD14" s="73">
        <v>5</v>
      </c>
      <c r="AE14" s="69">
        <v>1.125</v>
      </c>
      <c r="AF14" s="69">
        <v>1.5</v>
      </c>
      <c r="AG14" s="112">
        <v>16300</v>
      </c>
      <c r="AI14" s="6" t="s">
        <v>89</v>
      </c>
      <c r="AQ14" s="42">
        <v>6</v>
      </c>
      <c r="AR14" s="28">
        <v>1</v>
      </c>
      <c r="AS14" s="28">
        <v>20.100000000000001</v>
      </c>
      <c r="AT14" s="29">
        <v>17.899999999999999</v>
      </c>
      <c r="AU14" s="52"/>
      <c r="AV14" s="27">
        <v>6</v>
      </c>
      <c r="AW14" s="28" t="e">
        <f>NA()</f>
        <v>#N/A</v>
      </c>
      <c r="AX14" s="28" t="e">
        <f>NA()</f>
        <v>#N/A</v>
      </c>
      <c r="AY14" s="28" t="e">
        <f>NA()</f>
        <v>#N/A</v>
      </c>
      <c r="BA14" s="49">
        <f>8</f>
        <v>8</v>
      </c>
      <c r="BB14" s="27">
        <v>0.16400000000000001</v>
      </c>
      <c r="BC14" s="28">
        <v>32</v>
      </c>
      <c r="BD14" s="28">
        <v>1.4E-2</v>
      </c>
      <c r="BE14" s="29">
        <v>1.196E-2</v>
      </c>
      <c r="BF14" s="52"/>
      <c r="BG14" s="35">
        <f>8</f>
        <v>8</v>
      </c>
      <c r="BH14" s="27">
        <v>0.16400000000000001</v>
      </c>
      <c r="BI14" s="28">
        <v>36</v>
      </c>
      <c r="BJ14" s="28">
        <v>1.474E-2</v>
      </c>
      <c r="BK14" s="43">
        <v>1.285E-2</v>
      </c>
    </row>
    <row r="15" spans="2:63" ht="15" customHeight="1" x14ac:dyDescent="0.25">
      <c r="B15" s="1" t="s">
        <v>4</v>
      </c>
      <c r="C15" s="1">
        <v>35</v>
      </c>
      <c r="D15" s="1" t="str">
        <f t="shared" ref="D15" si="5">IF($D$2="English","in", "mm")</f>
        <v>mm</v>
      </c>
      <c r="P15" s="1" t="s">
        <v>57</v>
      </c>
      <c r="Q15" s="1">
        <v>10</v>
      </c>
      <c r="R15" s="1"/>
      <c r="V15" s="2" t="s">
        <v>55</v>
      </c>
      <c r="W15" s="18">
        <f>C34/(C34+J16)</f>
        <v>0.24695652505267321</v>
      </c>
      <c r="X15" s="23"/>
      <c r="AD15" s="75">
        <v>7</v>
      </c>
      <c r="AE15" s="77">
        <v>0.25</v>
      </c>
      <c r="AF15" s="77">
        <v>1.5</v>
      </c>
      <c r="AG15" s="113">
        <v>20600</v>
      </c>
      <c r="AI15" s="36" t="s">
        <v>2</v>
      </c>
      <c r="AJ15" s="37"/>
      <c r="AK15" s="37"/>
      <c r="AL15" s="38"/>
      <c r="AM15" s="38"/>
      <c r="AN15" s="37"/>
      <c r="AO15" s="103"/>
      <c r="AQ15" s="42">
        <v>8</v>
      </c>
      <c r="AR15" s="28">
        <v>1.25</v>
      </c>
      <c r="AS15" s="28">
        <v>36.6</v>
      </c>
      <c r="AT15" s="29">
        <v>32.799999999999997</v>
      </c>
      <c r="AU15" s="52"/>
      <c r="AV15" s="27">
        <v>8</v>
      </c>
      <c r="AW15" s="28">
        <v>1</v>
      </c>
      <c r="AX15" s="28">
        <v>39.200000000000003</v>
      </c>
      <c r="AY15" s="43">
        <v>36</v>
      </c>
      <c r="BA15" s="49">
        <f>10</f>
        <v>10</v>
      </c>
      <c r="BB15" s="27">
        <v>0.19</v>
      </c>
      <c r="BC15" s="28">
        <v>24</v>
      </c>
      <c r="BD15" s="28">
        <v>1.7500000000000002E-2</v>
      </c>
      <c r="BE15" s="29">
        <v>1.4500000000000001E-2</v>
      </c>
      <c r="BF15" s="52"/>
      <c r="BG15" s="35">
        <f>10</f>
        <v>10</v>
      </c>
      <c r="BH15" s="27">
        <v>0.19</v>
      </c>
      <c r="BI15" s="28">
        <v>32</v>
      </c>
      <c r="BJ15" s="28">
        <v>0.02</v>
      </c>
      <c r="BK15" s="43">
        <v>1.7500000000000002E-2</v>
      </c>
    </row>
    <row r="16" spans="2:63" ht="15" customHeight="1" thickBot="1" x14ac:dyDescent="0.3">
      <c r="B16" s="1" t="s">
        <v>72</v>
      </c>
      <c r="C16" s="1">
        <v>9.8000000000000007</v>
      </c>
      <c r="D16" s="1"/>
      <c r="I16" s="2" t="s">
        <v>34</v>
      </c>
      <c r="J16" s="24">
        <f>SUM(N6:N10)^-1</f>
        <v>1885100958612.2861</v>
      </c>
      <c r="K16" s="2" t="str">
        <f>IF($D$2="English","lbf/in","mN/m")</f>
        <v>mN/m</v>
      </c>
      <c r="P16" s="1" t="s">
        <v>100</v>
      </c>
      <c r="Q16" s="116">
        <f>Q29</f>
        <v>0</v>
      </c>
      <c r="R16" s="1" t="str">
        <f>IF($D$2="English","lbf", "N")</f>
        <v>N</v>
      </c>
      <c r="V16" s="2" t="s">
        <v>59</v>
      </c>
      <c r="W16" s="117">
        <f>Q18/(1-W15)</f>
        <v>54573.542387940557</v>
      </c>
      <c r="X16" s="2" t="str">
        <f t="shared" ref="R16:AA26" si="6">IF($D$2="English","lbf", "N")</f>
        <v>N</v>
      </c>
      <c r="AD16" s="44">
        <v>8</v>
      </c>
      <c r="AE16" s="45">
        <v>0.25</v>
      </c>
      <c r="AF16" s="45">
        <v>1.5</v>
      </c>
      <c r="AG16" s="111">
        <v>23200</v>
      </c>
      <c r="AI16" s="60" t="s">
        <v>84</v>
      </c>
      <c r="AJ16" s="61" t="s">
        <v>85</v>
      </c>
      <c r="AK16" s="61" t="s">
        <v>86</v>
      </c>
      <c r="AL16" s="61" t="s">
        <v>91</v>
      </c>
      <c r="AM16" s="61" t="s">
        <v>92</v>
      </c>
      <c r="AN16" s="61" t="s">
        <v>98</v>
      </c>
      <c r="AO16" s="62" t="s">
        <v>79</v>
      </c>
      <c r="AQ16" s="42">
        <v>10</v>
      </c>
      <c r="AR16" s="28">
        <v>1.5</v>
      </c>
      <c r="AS16" s="28">
        <v>58</v>
      </c>
      <c r="AT16" s="29">
        <v>52.3</v>
      </c>
      <c r="AU16" s="52"/>
      <c r="AV16" s="27">
        <v>10</v>
      </c>
      <c r="AW16" s="28">
        <v>1.25</v>
      </c>
      <c r="AX16" s="28">
        <v>61.2</v>
      </c>
      <c r="AY16" s="43">
        <v>56.3</v>
      </c>
      <c r="BA16" s="49">
        <f>12</f>
        <v>12</v>
      </c>
      <c r="BB16" s="27">
        <v>0.216</v>
      </c>
      <c r="BC16" s="28">
        <v>24</v>
      </c>
      <c r="BD16" s="28">
        <v>2.4199999999999999E-2</v>
      </c>
      <c r="BE16" s="29">
        <v>2.06E-2</v>
      </c>
      <c r="BF16" s="52"/>
      <c r="BG16" s="35">
        <f>12</f>
        <v>12</v>
      </c>
      <c r="BH16" s="27">
        <v>0.216</v>
      </c>
      <c r="BI16" s="28">
        <v>28</v>
      </c>
      <c r="BJ16" s="28">
        <v>2.58E-2</v>
      </c>
      <c r="BK16" s="43">
        <v>2.2599999999999999E-2</v>
      </c>
    </row>
    <row r="17" spans="2:63" ht="15" customHeight="1" x14ac:dyDescent="0.25">
      <c r="B17" s="2" t="s">
        <v>22</v>
      </c>
      <c r="C17" s="2">
        <f>IF(C28,SUM(C6:C8)+C9,IF(C13&lt;=C8, C6+C7+(C13/2), C6+C7+(C8/2)))</f>
        <v>29.5</v>
      </c>
      <c r="D17" s="2" t="str">
        <f>IF($D$2="English","in", "mm")</f>
        <v>mm</v>
      </c>
      <c r="I17" s="2"/>
      <c r="J17" s="19">
        <f>IF($D$2="English",J16*10^-6,J16*10^-9)</f>
        <v>1885.1009586122861</v>
      </c>
      <c r="K17" s="2" t="str">
        <f>IF($D$2="English","Mlbf/in","MN/m")</f>
        <v>MN/m</v>
      </c>
      <c r="P17" s="1" t="s">
        <v>101</v>
      </c>
      <c r="Q17" s="116">
        <f>Q30</f>
        <v>114864.48139687681</v>
      </c>
      <c r="R17" s="1" t="str">
        <f>IF($D$2="English","lbf", "N")</f>
        <v>N</v>
      </c>
      <c r="V17" s="2" t="s">
        <v>64</v>
      </c>
      <c r="W17" s="117">
        <f>IF($D$2="English",W5*$C$24,W5*$C$24)</f>
        <v>54794.999999999993</v>
      </c>
      <c r="X17" s="2" t="str">
        <f t="shared" si="6"/>
        <v>N</v>
      </c>
      <c r="AI17" s="42">
        <v>1</v>
      </c>
      <c r="AJ17" s="28">
        <v>0.25</v>
      </c>
      <c r="AK17" s="28">
        <v>1.5</v>
      </c>
      <c r="AL17" s="97">
        <v>33000</v>
      </c>
      <c r="AM17" s="97">
        <v>60000</v>
      </c>
      <c r="AN17" s="97">
        <v>36000</v>
      </c>
      <c r="AO17" s="63" t="s">
        <v>80</v>
      </c>
      <c r="AQ17" s="42">
        <v>12</v>
      </c>
      <c r="AR17" s="28">
        <v>1.75</v>
      </c>
      <c r="AS17" s="28">
        <v>84.3</v>
      </c>
      <c r="AT17" s="29">
        <v>76.3</v>
      </c>
      <c r="AU17" s="52"/>
      <c r="AV17" s="27">
        <v>12</v>
      </c>
      <c r="AW17" s="28">
        <v>1.25</v>
      </c>
      <c r="AX17" s="28">
        <v>92.1</v>
      </c>
      <c r="AY17" s="43">
        <v>86</v>
      </c>
      <c r="BA17" s="49">
        <f>1/4</f>
        <v>0.25</v>
      </c>
      <c r="BB17" s="27">
        <v>0.25</v>
      </c>
      <c r="BC17" s="28">
        <v>20</v>
      </c>
      <c r="BD17" s="28">
        <v>3.1800000000000002E-2</v>
      </c>
      <c r="BE17" s="29">
        <v>2.69E-2</v>
      </c>
      <c r="BF17" s="52"/>
      <c r="BG17" s="35">
        <f>1/4</f>
        <v>0.25</v>
      </c>
      <c r="BH17" s="27">
        <v>0.25</v>
      </c>
      <c r="BI17" s="28">
        <v>28</v>
      </c>
      <c r="BJ17" s="28">
        <v>3.6400000000000002E-2</v>
      </c>
      <c r="BK17" s="43">
        <v>3.2599999999999997E-2</v>
      </c>
    </row>
    <row r="18" spans="2:63" ht="15" customHeight="1" thickBot="1" x14ac:dyDescent="0.3">
      <c r="B18" s="2" t="s">
        <v>21</v>
      </c>
      <c r="C18" s="2">
        <f>IF(F19,C19,IF(F18,C15,IF($D$2="English",IF(C15&lt;=6, 2*C13+0.25, 2*C13+0.5),IF(AND(C15&lt;=125,C13&lt;=48),2*C13+6,IF(C15&lt;=200,2*C13+12,2*C13+25)))))</f>
        <v>30</v>
      </c>
      <c r="D18" s="2" t="str">
        <f t="shared" ref="D18:D19" si="7">IF($D$2="English","in", "mm")</f>
        <v>mm</v>
      </c>
      <c r="E18" s="1" t="s">
        <v>37</v>
      </c>
      <c r="F18" s="20" t="b">
        <v>0</v>
      </c>
      <c r="P18" s="1" t="s">
        <v>65</v>
      </c>
      <c r="Q18" s="55">
        <f>IF(T19,Q19,W17*T18)</f>
        <v>41096.249999999993</v>
      </c>
      <c r="R18" s="2" t="str">
        <f t="shared" si="6"/>
        <v>N</v>
      </c>
      <c r="S18" s="1" t="s">
        <v>71</v>
      </c>
      <c r="T18" s="58">
        <v>0.75</v>
      </c>
      <c r="AD18" s="6" t="s">
        <v>128</v>
      </c>
      <c r="AI18" s="71">
        <v>2</v>
      </c>
      <c r="AJ18" s="67">
        <v>0.25</v>
      </c>
      <c r="AK18" s="67">
        <v>0.75</v>
      </c>
      <c r="AL18" s="96">
        <v>55000</v>
      </c>
      <c r="AM18" s="96">
        <v>74000</v>
      </c>
      <c r="AN18" s="96">
        <v>57000</v>
      </c>
      <c r="AO18" s="72" t="s">
        <v>80</v>
      </c>
      <c r="AQ18" s="42">
        <v>14</v>
      </c>
      <c r="AR18" s="28">
        <v>2</v>
      </c>
      <c r="AS18" s="28">
        <v>115</v>
      </c>
      <c r="AT18" s="29">
        <v>104</v>
      </c>
      <c r="AU18" s="52"/>
      <c r="AV18" s="27">
        <v>14</v>
      </c>
      <c r="AW18" s="28">
        <v>1.5</v>
      </c>
      <c r="AX18" s="28">
        <v>125</v>
      </c>
      <c r="AY18" s="43">
        <v>116</v>
      </c>
      <c r="BA18" s="49">
        <f>5/16</f>
        <v>0.3125</v>
      </c>
      <c r="BB18" s="27">
        <v>0.3125</v>
      </c>
      <c r="BC18" s="28">
        <v>18</v>
      </c>
      <c r="BD18" s="28">
        <v>5.2400000000000002E-2</v>
      </c>
      <c r="BE18" s="29">
        <v>4.5400000000000003E-2</v>
      </c>
      <c r="BF18" s="52"/>
      <c r="BG18" s="35">
        <f>5/16</f>
        <v>0.3125</v>
      </c>
      <c r="BH18" s="27">
        <v>0.3125</v>
      </c>
      <c r="BI18" s="28">
        <v>24</v>
      </c>
      <c r="BJ18" s="28">
        <v>5.8000000000000003E-2</v>
      </c>
      <c r="BK18" s="43">
        <v>5.2400000000000002E-2</v>
      </c>
    </row>
    <row r="19" spans="2:63" ht="15" customHeight="1" x14ac:dyDescent="0.25">
      <c r="B19" s="1"/>
      <c r="C19" s="1">
        <v>133</v>
      </c>
      <c r="D19" s="1" t="str">
        <f t="shared" si="7"/>
        <v>mm</v>
      </c>
      <c r="E19" s="1" t="s">
        <v>73</v>
      </c>
      <c r="F19" s="20" t="b">
        <v>0</v>
      </c>
      <c r="I19" s="25" t="s">
        <v>55</v>
      </c>
      <c r="J19" s="108">
        <f>W15</f>
        <v>0.24695652505267321</v>
      </c>
      <c r="P19" s="1"/>
      <c r="Q19" s="54"/>
      <c r="R19" s="1" t="str">
        <f t="shared" si="6"/>
        <v>N</v>
      </c>
      <c r="S19" s="1" t="s">
        <v>70</v>
      </c>
      <c r="T19" s="20" t="b">
        <v>0</v>
      </c>
      <c r="V19" s="2" t="s">
        <v>103</v>
      </c>
      <c r="W19" s="117">
        <f>Q16/Q15</f>
        <v>0</v>
      </c>
      <c r="X19" s="2" t="str">
        <f>IF($D$2="English","lbf", "N")</f>
        <v>N</v>
      </c>
      <c r="Y19" s="2" t="s">
        <v>133</v>
      </c>
      <c r="Z19" s="117">
        <f>0.5*(W20-W19)</f>
        <v>5743.2240698438409</v>
      </c>
      <c r="AA19" s="2" t="str">
        <f t="shared" si="6"/>
        <v>N</v>
      </c>
      <c r="AD19" s="82" cm="1">
        <f t="array" ref="AD19:AG19">IF($D$2="English",_xlfn._xlws.FILTER(AD13:AG16,AD13:AD16=C16,AD17:AG18=NA()), _xlfn._xlws.FILTER(AD6:AG9,AD6:AD9=C16,AD17:AG18=NA()))</f>
        <v>9.8000000000000007</v>
      </c>
      <c r="AE19" s="83">
        <v>1.6</v>
      </c>
      <c r="AF19" s="83">
        <v>16</v>
      </c>
      <c r="AG19" s="114">
        <v>140000000</v>
      </c>
      <c r="AI19" s="73">
        <v>2</v>
      </c>
      <c r="AJ19" s="69">
        <v>0.875</v>
      </c>
      <c r="AK19" s="69">
        <v>1.5</v>
      </c>
      <c r="AL19" s="98">
        <v>33000</v>
      </c>
      <c r="AM19" s="98">
        <v>60000</v>
      </c>
      <c r="AN19" s="98">
        <v>36000</v>
      </c>
      <c r="AO19" s="74" t="e">
        <f>NA()</f>
        <v>#N/A</v>
      </c>
      <c r="AQ19" s="42">
        <v>16</v>
      </c>
      <c r="AR19" s="28">
        <v>2</v>
      </c>
      <c r="AS19" s="28">
        <v>157</v>
      </c>
      <c r="AT19" s="29">
        <v>144</v>
      </c>
      <c r="AU19" s="52"/>
      <c r="AV19" s="27">
        <v>16</v>
      </c>
      <c r="AW19" s="28">
        <v>1.5</v>
      </c>
      <c r="AX19" s="28">
        <v>167</v>
      </c>
      <c r="AY19" s="43">
        <v>157</v>
      </c>
      <c r="BA19" s="49">
        <f>3/8</f>
        <v>0.375</v>
      </c>
      <c r="BB19" s="27">
        <v>0.375</v>
      </c>
      <c r="BC19" s="28">
        <v>16</v>
      </c>
      <c r="BD19" s="28">
        <v>7.7499999999999999E-2</v>
      </c>
      <c r="BE19" s="29">
        <v>6.7799999999999999E-2</v>
      </c>
      <c r="BF19" s="52"/>
      <c r="BG19" s="35">
        <f>3/8</f>
        <v>0.375</v>
      </c>
      <c r="BH19" s="27">
        <v>0.375</v>
      </c>
      <c r="BI19" s="28">
        <v>24</v>
      </c>
      <c r="BJ19" s="28">
        <v>8.7800000000000003E-2</v>
      </c>
      <c r="BK19" s="43">
        <v>8.09E-2</v>
      </c>
    </row>
    <row r="20" spans="2:63" ht="15" customHeight="1" thickBot="1" x14ac:dyDescent="0.3">
      <c r="B20" s="2" t="s">
        <v>24</v>
      </c>
      <c r="C20" s="2">
        <f>C15-C18</f>
        <v>5</v>
      </c>
      <c r="D20" s="2" t="str">
        <f>IF($D$2="English","in", "mm")</f>
        <v>mm</v>
      </c>
      <c r="V20" s="2" t="s">
        <v>102</v>
      </c>
      <c r="W20" s="117">
        <f>Q17/Q15</f>
        <v>11486.448139687682</v>
      </c>
      <c r="X20" s="2" t="str">
        <f>IF($D$2="English","lbf", "N")</f>
        <v>N</v>
      </c>
      <c r="Y20" s="2" t="s">
        <v>134</v>
      </c>
      <c r="Z20" s="117">
        <f>0.5*(W20+W19)</f>
        <v>5743.2240698438409</v>
      </c>
      <c r="AA20" s="2" t="str">
        <f t="shared" si="6"/>
        <v>N</v>
      </c>
      <c r="AD20" s="85"/>
      <c r="AE20" s="86"/>
      <c r="AF20" s="86"/>
      <c r="AG20" s="115"/>
      <c r="AI20" s="42">
        <v>4</v>
      </c>
      <c r="AJ20" s="28">
        <v>0.25</v>
      </c>
      <c r="AK20" s="28">
        <v>1.5</v>
      </c>
      <c r="AL20" s="97">
        <v>65000</v>
      </c>
      <c r="AM20" s="97">
        <v>115000</v>
      </c>
      <c r="AN20" s="97">
        <v>100000</v>
      </c>
      <c r="AO20" s="63" t="s">
        <v>87</v>
      </c>
      <c r="AQ20" s="42">
        <v>20</v>
      </c>
      <c r="AR20" s="28">
        <v>2.5</v>
      </c>
      <c r="AS20" s="28">
        <v>245</v>
      </c>
      <c r="AT20" s="29">
        <v>225</v>
      </c>
      <c r="AU20" s="52"/>
      <c r="AV20" s="27">
        <v>20</v>
      </c>
      <c r="AW20" s="28">
        <v>1.5</v>
      </c>
      <c r="AX20" s="28">
        <v>272</v>
      </c>
      <c r="AY20" s="43">
        <v>259</v>
      </c>
      <c r="BA20" s="49">
        <f>7/16</f>
        <v>0.4375</v>
      </c>
      <c r="BB20" s="27">
        <v>0.4375</v>
      </c>
      <c r="BC20" s="28">
        <v>14</v>
      </c>
      <c r="BD20" s="28">
        <v>0.10630000000000001</v>
      </c>
      <c r="BE20" s="29">
        <v>9.3299999999999994E-2</v>
      </c>
      <c r="BF20" s="52"/>
      <c r="BG20" s="35">
        <f>7/16</f>
        <v>0.4375</v>
      </c>
      <c r="BH20" s="27">
        <v>0.4375</v>
      </c>
      <c r="BI20" s="28">
        <v>20</v>
      </c>
      <c r="BJ20" s="28">
        <v>0.1187</v>
      </c>
      <c r="BK20" s="43">
        <v>0.109</v>
      </c>
    </row>
    <row r="21" spans="2:63" ht="15" customHeight="1" x14ac:dyDescent="0.25">
      <c r="B21" s="2" t="s">
        <v>25</v>
      </c>
      <c r="C21" s="2">
        <f>C17-C20</f>
        <v>24.5</v>
      </c>
      <c r="D21" s="2" t="str">
        <f>IF($D$2="English","in", "mm")</f>
        <v>mm</v>
      </c>
      <c r="P21" s="8" t="s">
        <v>107</v>
      </c>
      <c r="Q21" s="8"/>
      <c r="R21" s="8"/>
      <c r="U21" s="59"/>
      <c r="AI21" s="71">
        <v>5</v>
      </c>
      <c r="AJ21" s="67">
        <v>0.25</v>
      </c>
      <c r="AK21" s="67">
        <v>1</v>
      </c>
      <c r="AL21" s="96">
        <v>85000</v>
      </c>
      <c r="AM21" s="96">
        <v>120000</v>
      </c>
      <c r="AN21" s="96">
        <v>92000</v>
      </c>
      <c r="AO21" s="72" t="s">
        <v>81</v>
      </c>
      <c r="AQ21" s="42">
        <v>24</v>
      </c>
      <c r="AR21" s="28">
        <v>3</v>
      </c>
      <c r="AS21" s="28">
        <v>353</v>
      </c>
      <c r="AT21" s="29">
        <v>324</v>
      </c>
      <c r="AU21" s="52"/>
      <c r="AV21" s="27">
        <v>24</v>
      </c>
      <c r="AW21" s="28">
        <v>2</v>
      </c>
      <c r="AX21" s="28">
        <v>384</v>
      </c>
      <c r="AY21" s="43">
        <v>365</v>
      </c>
      <c r="BA21" s="49">
        <f>1/2</f>
        <v>0.5</v>
      </c>
      <c r="BB21" s="27">
        <v>0.5</v>
      </c>
      <c r="BC21" s="28">
        <v>13</v>
      </c>
      <c r="BD21" s="28">
        <v>0.1419</v>
      </c>
      <c r="BE21" s="29">
        <v>0.12570000000000001</v>
      </c>
      <c r="BF21" s="52"/>
      <c r="BG21" s="35">
        <f>1/2</f>
        <v>0.5</v>
      </c>
      <c r="BH21" s="27">
        <v>0.5</v>
      </c>
      <c r="BI21" s="28">
        <v>20</v>
      </c>
      <c r="BJ21" s="28">
        <v>0.15989999999999999</v>
      </c>
      <c r="BK21" s="43">
        <v>0.14860000000000001</v>
      </c>
    </row>
    <row r="22" spans="2:63" ht="15" customHeight="1" x14ac:dyDescent="0.25">
      <c r="B22" s="2" t="s">
        <v>6</v>
      </c>
      <c r="C22" s="18">
        <f>(PI()*(C13^2))/4</f>
        <v>113.09733552923255</v>
      </c>
      <c r="D22" s="2" t="str">
        <f>IF($D$2="English","in^2","mm^2")</f>
        <v>mm^2</v>
      </c>
      <c r="P22" s="1" t="s">
        <v>105</v>
      </c>
      <c r="Q22" s="107">
        <f>150</f>
        <v>150</v>
      </c>
      <c r="R22" s="1" t="str">
        <f t="shared" ref="R22" si="8">IF($D$2="English","in", "mm")</f>
        <v>mm</v>
      </c>
      <c r="V22" s="2" t="s">
        <v>104</v>
      </c>
      <c r="W22" s="117">
        <f>$W$15*W19+$Q$18</f>
        <v>41096.249999999993</v>
      </c>
      <c r="X22" s="2" t="str">
        <f t="shared" si="6"/>
        <v>N</v>
      </c>
      <c r="Y22" s="2" t="s">
        <v>120</v>
      </c>
      <c r="Z22" s="117">
        <f>0.5*(W23-W22)</f>
        <v>1418.3266588875049</v>
      </c>
      <c r="AA22" s="2" t="str">
        <f t="shared" si="6"/>
        <v>N</v>
      </c>
      <c r="AI22" s="73">
        <v>5</v>
      </c>
      <c r="AJ22" s="69">
        <v>1.125</v>
      </c>
      <c r="AK22" s="69">
        <v>1.5</v>
      </c>
      <c r="AL22" s="98">
        <v>74000</v>
      </c>
      <c r="AM22" s="98">
        <v>105000</v>
      </c>
      <c r="AN22" s="98">
        <v>81000</v>
      </c>
      <c r="AO22" s="74" t="e">
        <f>NA()</f>
        <v>#N/A</v>
      </c>
      <c r="AQ22" s="42">
        <v>30</v>
      </c>
      <c r="AR22" s="28">
        <v>3.5</v>
      </c>
      <c r="AS22" s="28">
        <v>561</v>
      </c>
      <c r="AT22" s="29">
        <v>519</v>
      </c>
      <c r="AU22" s="52"/>
      <c r="AV22" s="27">
        <v>30</v>
      </c>
      <c r="AW22" s="28">
        <v>2</v>
      </c>
      <c r="AX22" s="28">
        <v>621</v>
      </c>
      <c r="AY22" s="43">
        <v>596</v>
      </c>
      <c r="BA22" s="49">
        <f>9/16</f>
        <v>0.5625</v>
      </c>
      <c r="BB22" s="27">
        <v>0.5625</v>
      </c>
      <c r="BC22" s="28">
        <v>12</v>
      </c>
      <c r="BD22" s="28">
        <v>0.182</v>
      </c>
      <c r="BE22" s="29">
        <v>0.16200000000000001</v>
      </c>
      <c r="BF22" s="52"/>
      <c r="BG22" s="35">
        <f>9/16</f>
        <v>0.5625</v>
      </c>
      <c r="BH22" s="27">
        <v>0.5625</v>
      </c>
      <c r="BI22" s="28">
        <v>18</v>
      </c>
      <c r="BJ22" s="28">
        <v>0.20300000000000001</v>
      </c>
      <c r="BK22" s="43">
        <v>0.189</v>
      </c>
    </row>
    <row r="23" spans="2:63" ht="15" customHeight="1" x14ac:dyDescent="0.25">
      <c r="B23" s="2" t="s">
        <v>7</v>
      </c>
      <c r="C23" s="2">
        <f>IF($D$2="English",IF($C$14="UNC",VLOOKUP($C$13,$BB$7:$BE$28,3,FALSE),VLOOKUP($C$13,$BH$7:$BK$28,3,FALSE)), IF($C$14="UNC",VLOOKUP($C$13,$AQ$7:$AT$32,3,FALSE),VLOOKUP($C$13,$AV$7:$AY$32,3,FALSE)))</f>
        <v>84.3</v>
      </c>
      <c r="D23" s="2" t="str">
        <f>IF($D$2="English","in^2","mm^2")</f>
        <v>mm^2</v>
      </c>
      <c r="P23" s="1"/>
      <c r="Q23" s="1">
        <f>Q22*10^-3</f>
        <v>0.15</v>
      </c>
      <c r="R23" s="1" t="str">
        <f>IF($D$2="English","*10^3 in", "m")</f>
        <v>m</v>
      </c>
      <c r="V23" s="2" t="s">
        <v>112</v>
      </c>
      <c r="W23" s="117">
        <f>$W$15*W20+$Q$18</f>
        <v>43932.903317775003</v>
      </c>
      <c r="X23" s="2" t="str">
        <f t="shared" si="6"/>
        <v>N</v>
      </c>
      <c r="Y23" s="2" t="s">
        <v>119</v>
      </c>
      <c r="Z23" s="117">
        <f>0.5*(W23+W22)</f>
        <v>42514.576658887498</v>
      </c>
      <c r="AA23" s="2" t="str">
        <f t="shared" si="6"/>
        <v>N</v>
      </c>
      <c r="AI23" s="75">
        <v>5.2</v>
      </c>
      <c r="AJ23" s="77">
        <v>0.25</v>
      </c>
      <c r="AK23" s="77">
        <v>1</v>
      </c>
      <c r="AL23" s="97">
        <v>85000</v>
      </c>
      <c r="AM23" s="97">
        <v>120000</v>
      </c>
      <c r="AN23" s="97">
        <v>92000</v>
      </c>
      <c r="AO23" s="78" t="s">
        <v>82</v>
      </c>
      <c r="AQ23" s="42">
        <v>36</v>
      </c>
      <c r="AR23" s="28">
        <v>4</v>
      </c>
      <c r="AS23" s="28">
        <v>817</v>
      </c>
      <c r="AT23" s="29">
        <v>759</v>
      </c>
      <c r="AU23" s="52"/>
      <c r="AV23" s="27">
        <v>36</v>
      </c>
      <c r="AW23" s="28">
        <v>2</v>
      </c>
      <c r="AX23" s="28">
        <v>915</v>
      </c>
      <c r="AY23" s="43">
        <v>884</v>
      </c>
      <c r="BA23" s="49">
        <f>5/8</f>
        <v>0.625</v>
      </c>
      <c r="BB23" s="27">
        <v>0.625</v>
      </c>
      <c r="BC23" s="28">
        <v>11</v>
      </c>
      <c r="BD23" s="28">
        <v>0.22600000000000001</v>
      </c>
      <c r="BE23" s="29">
        <v>0.20200000000000001</v>
      </c>
      <c r="BF23" s="52"/>
      <c r="BG23" s="35">
        <f>5/8</f>
        <v>0.625</v>
      </c>
      <c r="BH23" s="27">
        <v>0.625</v>
      </c>
      <c r="BI23" s="28">
        <v>18</v>
      </c>
      <c r="BJ23" s="28">
        <v>0.25600000000000001</v>
      </c>
      <c r="BK23" s="43">
        <v>0.24</v>
      </c>
    </row>
    <row r="24" spans="2:63" ht="15" customHeight="1" x14ac:dyDescent="0.25">
      <c r="B24" s="2"/>
      <c r="C24" s="88">
        <f>IF($D$2="English",C23,C23*10^-6)</f>
        <v>8.4299999999999989E-5</v>
      </c>
      <c r="D24" s="2" t="str">
        <f>IF($D$2="English","in^2","m^2")</f>
        <v>m^2</v>
      </c>
      <c r="P24" s="1" t="s">
        <v>106</v>
      </c>
      <c r="Q24" s="1">
        <f>IF($D$2="English",PI()*(Q22^2)*0.25,PI()*(Q23^2)*0.25)</f>
        <v>1.7671458676442587E-2</v>
      </c>
      <c r="R24" s="1" t="str">
        <f>IF($D$2="English","in^2","m^2")</f>
        <v>m^2</v>
      </c>
      <c r="AI24" s="75">
        <v>7</v>
      </c>
      <c r="AJ24" s="77">
        <v>0.25</v>
      </c>
      <c r="AK24" s="77">
        <v>1.5</v>
      </c>
      <c r="AL24" s="97">
        <v>105000</v>
      </c>
      <c r="AM24" s="97">
        <v>133000</v>
      </c>
      <c r="AN24" s="97">
        <v>115000</v>
      </c>
      <c r="AO24" s="78" t="s">
        <v>88</v>
      </c>
      <c r="AQ24" s="42">
        <v>42</v>
      </c>
      <c r="AR24" s="28">
        <v>4.5</v>
      </c>
      <c r="AS24" s="28">
        <v>1120</v>
      </c>
      <c r="AT24" s="29">
        <v>1050</v>
      </c>
      <c r="AU24" s="52"/>
      <c r="AV24" s="27">
        <v>42</v>
      </c>
      <c r="AW24" s="28">
        <v>2</v>
      </c>
      <c r="AX24" s="28">
        <v>1260</v>
      </c>
      <c r="AY24" s="43">
        <v>1230</v>
      </c>
      <c r="BA24" s="49">
        <f>3/4</f>
        <v>0.75</v>
      </c>
      <c r="BB24" s="27">
        <v>0.75</v>
      </c>
      <c r="BC24" s="28">
        <v>10</v>
      </c>
      <c r="BD24" s="28">
        <v>0.33400000000000002</v>
      </c>
      <c r="BE24" s="29">
        <v>0.30199999999999999</v>
      </c>
      <c r="BF24" s="52"/>
      <c r="BG24" s="35">
        <f>3/4</f>
        <v>0.75</v>
      </c>
      <c r="BH24" s="27">
        <v>0.75</v>
      </c>
      <c r="BI24" s="28">
        <v>16</v>
      </c>
      <c r="BJ24" s="28">
        <v>0.373</v>
      </c>
      <c r="BK24" s="43">
        <v>0.35099999999999998</v>
      </c>
    </row>
    <row r="25" spans="2:63" ht="15" customHeight="1" x14ac:dyDescent="0.25">
      <c r="B25" s="2" t="str">
        <f>IF($D$2="English","Bolt threads per inch, p","Bolt pitch, p")</f>
        <v>Bolt pitch, p</v>
      </c>
      <c r="C25" s="2">
        <f>IF($D$2="English",IF($C$14="UNC",VLOOKUP($C$13,$BB$7:$BE$28,2,FALSE),VLOOKUP($C$13,$BH$7:$BK$28,2,FALSE)), IF($C$14="UNC",VLOOKUP($C$13,$AQ$7:$AT$32,2,FALSE),VLOOKUP($C$13,$AV$7:$AY$32,2,FALSE)))</f>
        <v>1.75</v>
      </c>
      <c r="D25" s="2" t="str">
        <f>IF($D$2="English","threads/in","mm")</f>
        <v>mm</v>
      </c>
      <c r="U25" s="59"/>
      <c r="V25" s="2" t="s">
        <v>111</v>
      </c>
      <c r="W25" s="117">
        <f>(1-$W$15)*W19-$Q$18</f>
        <v>-41096.249999999993</v>
      </c>
      <c r="X25" s="2" t="str">
        <f t="shared" si="6"/>
        <v>N</v>
      </c>
      <c r="AI25" s="75">
        <v>8</v>
      </c>
      <c r="AJ25" s="77">
        <v>0.25</v>
      </c>
      <c r="AK25" s="77">
        <v>1.5</v>
      </c>
      <c r="AL25" s="97">
        <v>120000</v>
      </c>
      <c r="AM25" s="97">
        <v>150000</v>
      </c>
      <c r="AN25" s="97">
        <v>130000</v>
      </c>
      <c r="AO25" s="78" t="s">
        <v>88</v>
      </c>
      <c r="AQ25" s="42">
        <v>48</v>
      </c>
      <c r="AR25" s="28">
        <v>5</v>
      </c>
      <c r="AS25" s="28">
        <v>1470</v>
      </c>
      <c r="AT25" s="29">
        <v>1380</v>
      </c>
      <c r="AU25" s="52"/>
      <c r="AV25" s="27">
        <v>48</v>
      </c>
      <c r="AW25" s="28">
        <v>2</v>
      </c>
      <c r="AX25" s="28">
        <v>1670</v>
      </c>
      <c r="AY25" s="43">
        <v>1630</v>
      </c>
      <c r="BA25" s="49">
        <f>7/8</f>
        <v>0.875</v>
      </c>
      <c r="BB25" s="27">
        <v>0.875</v>
      </c>
      <c r="BC25" s="28">
        <v>9</v>
      </c>
      <c r="BD25" s="28">
        <v>0.46200000000000002</v>
      </c>
      <c r="BE25" s="29">
        <v>0.41899999999999998</v>
      </c>
      <c r="BF25" s="52"/>
      <c r="BG25" s="35">
        <f>7/8</f>
        <v>0.875</v>
      </c>
      <c r="BH25" s="27">
        <v>0.875</v>
      </c>
      <c r="BI25" s="28">
        <v>14</v>
      </c>
      <c r="BJ25" s="28">
        <v>0.50900000000000001</v>
      </c>
      <c r="BK25" s="43">
        <v>0.48</v>
      </c>
    </row>
    <row r="26" spans="2:63" ht="15" customHeight="1" thickBot="1" x14ac:dyDescent="0.3">
      <c r="P26" s="1" t="s">
        <v>109</v>
      </c>
      <c r="Q26" s="116">
        <v>0</v>
      </c>
      <c r="R26" s="1" t="str">
        <f t="shared" ref="R26:R27" si="9">IF($D$2="English","psi","Pa")</f>
        <v>Pa</v>
      </c>
      <c r="V26" s="2" t="s">
        <v>118</v>
      </c>
      <c r="W26" s="117">
        <f>(1-$W$15)*W20-$Q$18</f>
        <v>-32446.455178087323</v>
      </c>
      <c r="X26" s="2" t="str">
        <f t="shared" si="6"/>
        <v>N</v>
      </c>
      <c r="AI26" s="79">
        <v>8.1999999999999993</v>
      </c>
      <c r="AJ26" s="80">
        <v>0.25</v>
      </c>
      <c r="AK26" s="80">
        <v>1</v>
      </c>
      <c r="AL26" s="93">
        <v>120000</v>
      </c>
      <c r="AM26" s="93">
        <v>150000</v>
      </c>
      <c r="AN26" s="93">
        <v>130000</v>
      </c>
      <c r="AO26" s="81" t="s">
        <v>82</v>
      </c>
      <c r="AQ26" s="42">
        <v>56</v>
      </c>
      <c r="AR26" s="28">
        <v>5.5</v>
      </c>
      <c r="AS26" s="28">
        <v>2030</v>
      </c>
      <c r="AT26" s="29">
        <v>1910</v>
      </c>
      <c r="AU26" s="52"/>
      <c r="AV26" s="27">
        <v>56</v>
      </c>
      <c r="AW26" s="28">
        <v>2</v>
      </c>
      <c r="AX26" s="28">
        <v>2300</v>
      </c>
      <c r="AY26" s="43">
        <v>2250</v>
      </c>
      <c r="BA26" s="49">
        <f>1</f>
        <v>1</v>
      </c>
      <c r="BB26" s="27">
        <v>1</v>
      </c>
      <c r="BC26" s="28">
        <v>8</v>
      </c>
      <c r="BD26" s="28">
        <v>0.60599999999999998</v>
      </c>
      <c r="BE26" s="29">
        <v>0.55100000000000005</v>
      </c>
      <c r="BF26" s="52"/>
      <c r="BG26" s="35">
        <f>1</f>
        <v>1</v>
      </c>
      <c r="BH26" s="27">
        <v>1</v>
      </c>
      <c r="BI26" s="28">
        <v>12</v>
      </c>
      <c r="BJ26" s="28">
        <v>0.66300000000000003</v>
      </c>
      <c r="BK26" s="43">
        <v>0.625</v>
      </c>
    </row>
    <row r="27" spans="2:63" ht="15" customHeight="1" x14ac:dyDescent="0.25">
      <c r="B27" s="1" t="s">
        <v>8</v>
      </c>
      <c r="C27" s="20" t="b">
        <v>1</v>
      </c>
      <c r="D27" s="136" t="s">
        <v>35</v>
      </c>
      <c r="E27" s="136"/>
      <c r="F27" s="136"/>
      <c r="P27" s="1" t="s">
        <v>110</v>
      </c>
      <c r="Q27" s="116">
        <f>6.5*10^6</f>
        <v>6500000</v>
      </c>
      <c r="R27" s="1" t="str">
        <f t="shared" si="9"/>
        <v>Pa</v>
      </c>
      <c r="AQ27" s="42">
        <v>64</v>
      </c>
      <c r="AR27" s="28">
        <v>6</v>
      </c>
      <c r="AS27" s="28">
        <v>2680</v>
      </c>
      <c r="AT27" s="29">
        <v>2520</v>
      </c>
      <c r="AU27" s="52"/>
      <c r="AV27" s="27">
        <v>64</v>
      </c>
      <c r="AW27" s="28">
        <v>2</v>
      </c>
      <c r="AX27" s="28">
        <v>3030</v>
      </c>
      <c r="AY27" s="43">
        <v>2980</v>
      </c>
      <c r="BA27" s="49">
        <f>1.25</f>
        <v>1.25</v>
      </c>
      <c r="BB27" s="27">
        <v>1.25</v>
      </c>
      <c r="BC27" s="28">
        <v>7</v>
      </c>
      <c r="BD27" s="28">
        <v>0.96899999999999997</v>
      </c>
      <c r="BE27" s="29">
        <v>0.89</v>
      </c>
      <c r="BF27" s="52"/>
      <c r="BG27" s="35">
        <f>1.25</f>
        <v>1.25</v>
      </c>
      <c r="BH27" s="27">
        <v>1.25</v>
      </c>
      <c r="BI27" s="28">
        <v>12</v>
      </c>
      <c r="BJ27" s="28">
        <v>1.073</v>
      </c>
      <c r="BK27" s="43">
        <v>1.024</v>
      </c>
    </row>
    <row r="28" spans="2:63" ht="15" customHeight="1" thickBot="1" x14ac:dyDescent="0.3">
      <c r="B28" s="1" t="s">
        <v>9</v>
      </c>
      <c r="C28" s="21" t="b">
        <f>NOT(C27)</f>
        <v>0</v>
      </c>
      <c r="D28" s="136"/>
      <c r="E28" s="136"/>
      <c r="F28" s="136"/>
      <c r="V28" s="11" t="s">
        <v>113</v>
      </c>
      <c r="W28" s="11"/>
      <c r="X28" s="12"/>
      <c r="Y28" s="12"/>
      <c r="Z28" s="12"/>
      <c r="AA28" s="12"/>
      <c r="AI28" s="86" t="s">
        <v>96</v>
      </c>
      <c r="AJ28" s="86"/>
      <c r="AK28" s="86"/>
      <c r="AL28" s="86"/>
      <c r="AM28" s="86"/>
      <c r="AN28" s="86"/>
      <c r="AO28" s="86"/>
      <c r="AQ28" s="42">
        <v>72</v>
      </c>
      <c r="AR28" s="28">
        <v>6</v>
      </c>
      <c r="AS28" s="28">
        <v>3460</v>
      </c>
      <c r="AT28" s="29">
        <v>3280</v>
      </c>
      <c r="AU28" s="52"/>
      <c r="AV28" s="27">
        <v>72</v>
      </c>
      <c r="AW28" s="28">
        <v>2</v>
      </c>
      <c r="AX28" s="28">
        <v>3860</v>
      </c>
      <c r="AY28" s="43">
        <v>3800</v>
      </c>
      <c r="BA28" s="50">
        <f>1.5</f>
        <v>1.5</v>
      </c>
      <c r="BB28" s="47">
        <v>1.5</v>
      </c>
      <c r="BC28" s="45">
        <v>6</v>
      </c>
      <c r="BD28" s="45">
        <v>1.405</v>
      </c>
      <c r="BE28" s="46">
        <v>1.294</v>
      </c>
      <c r="BF28" s="53"/>
      <c r="BG28" s="51">
        <f>1.5</f>
        <v>1.5</v>
      </c>
      <c r="BH28" s="47">
        <v>1.5</v>
      </c>
      <c r="BI28" s="45">
        <v>12</v>
      </c>
      <c r="BJ28" s="45">
        <v>1.581</v>
      </c>
      <c r="BK28" s="48">
        <v>1.5209999999999999</v>
      </c>
    </row>
    <row r="29" spans="2:63" ht="15" customHeight="1" x14ac:dyDescent="0.25">
      <c r="P29" s="2" t="s">
        <v>100</v>
      </c>
      <c r="Q29" s="117">
        <f>Q26*$Q$24</f>
        <v>0</v>
      </c>
      <c r="R29" s="2" t="str">
        <f>IF($D$2="English","lbf", "N")</f>
        <v>N</v>
      </c>
      <c r="V29" s="2" t="s">
        <v>123</v>
      </c>
      <c r="W29" s="89">
        <f>Q18/$C$24</f>
        <v>487500000</v>
      </c>
      <c r="X29" s="2" t="str">
        <f>IF($D$2="English","psi","Pa")</f>
        <v>Pa</v>
      </c>
      <c r="AI29" s="82" cm="1">
        <f t="array" ref="AI29:AO29">IF($D$2="English",_xlfn._xlws.FILTER(AI17:AO26,AI17:AI26=C16,AI27:AO28=NA()), _xlfn._xlws.FILTER(AI6:AO12,AI6:AI12=C16,AI27:AO28=NA()))</f>
        <v>9.8000000000000007</v>
      </c>
      <c r="AJ29" s="83">
        <v>1.6</v>
      </c>
      <c r="AK29" s="83">
        <v>16</v>
      </c>
      <c r="AL29" s="99">
        <v>650000000</v>
      </c>
      <c r="AM29" s="100">
        <v>900000000</v>
      </c>
      <c r="AN29" s="100">
        <v>720000000</v>
      </c>
      <c r="AO29" s="84" t="str">
        <v>Medium carbon, Q&amp;T</v>
      </c>
      <c r="AQ29" s="42">
        <v>80</v>
      </c>
      <c r="AR29" s="28">
        <v>6</v>
      </c>
      <c r="AS29" s="28">
        <v>4340</v>
      </c>
      <c r="AT29" s="29">
        <v>4140</v>
      </c>
      <c r="AU29" s="52"/>
      <c r="AV29" s="27">
        <v>80</v>
      </c>
      <c r="AW29" s="28">
        <v>1.5</v>
      </c>
      <c r="AX29" s="28">
        <v>4850</v>
      </c>
      <c r="AY29" s="43">
        <v>4800</v>
      </c>
    </row>
    <row r="30" spans="2:63" ht="15" customHeight="1" thickBot="1" x14ac:dyDescent="0.3">
      <c r="B30" s="2" t="s">
        <v>38</v>
      </c>
      <c r="C30" s="24">
        <f>IF(C20=0,0,(C22*C12)/C20)</f>
        <v>4682229690910.2275</v>
      </c>
      <c r="D30" s="2" t="str">
        <f>IF($D$2="English","lbf/in","mN/m")</f>
        <v>mN/m</v>
      </c>
      <c r="P30" s="2" t="s">
        <v>101</v>
      </c>
      <c r="Q30" s="117">
        <f>Q27*$Q$24</f>
        <v>114864.48139687681</v>
      </c>
      <c r="R30" s="2" t="str">
        <f>IF($D$2="English","lbf", "N")</f>
        <v>N</v>
      </c>
      <c r="V30" s="2"/>
      <c r="W30" s="19">
        <f>IF($D$2="English",W29*10^-3,W29*10^-6)</f>
        <v>487.5</v>
      </c>
      <c r="X30" s="2" t="str">
        <f>IF($D$2="English","kpsi","MPa")</f>
        <v>MPa</v>
      </c>
      <c r="AI30" s="85"/>
      <c r="AJ30" s="86"/>
      <c r="AK30" s="86"/>
      <c r="AL30" s="101"/>
      <c r="AM30" s="102"/>
      <c r="AN30" s="102"/>
      <c r="AO30" s="87"/>
      <c r="AQ30" s="42">
        <v>90</v>
      </c>
      <c r="AR30" s="28">
        <v>6</v>
      </c>
      <c r="AS30" s="28">
        <v>5590</v>
      </c>
      <c r="AT30" s="29">
        <v>5360</v>
      </c>
      <c r="AU30" s="52"/>
      <c r="AV30" s="27">
        <v>90</v>
      </c>
      <c r="AW30" s="28">
        <v>2</v>
      </c>
      <c r="AX30" s="28">
        <v>6100</v>
      </c>
      <c r="AY30" s="43">
        <v>6020</v>
      </c>
    </row>
    <row r="31" spans="2:63" ht="15" customHeight="1" x14ac:dyDescent="0.25">
      <c r="B31" s="2"/>
      <c r="C31" s="19">
        <f>IF($D$2="English",C30*10^-6,C30*10^-9)</f>
        <v>4682.2296909102279</v>
      </c>
      <c r="D31" s="2" t="str">
        <f>IF($D$2="English","Mlbf/in","MN/m")</f>
        <v>MN/m</v>
      </c>
      <c r="P31" s="6" t="s">
        <v>108</v>
      </c>
      <c r="V31" s="2" t="s">
        <v>117</v>
      </c>
      <c r="W31" s="89">
        <f>W22/$C$24</f>
        <v>487500000</v>
      </c>
      <c r="X31" s="2" t="str">
        <f>IF($D$2="English","psi","Pa")</f>
        <v>Pa</v>
      </c>
      <c r="Y31" s="2" t="s">
        <v>115</v>
      </c>
      <c r="Z31" s="89">
        <f>0.5*(W33-W31)</f>
        <v>16824752.774466246</v>
      </c>
      <c r="AA31" s="2" t="str">
        <f>IF($D$2="English","psi","Pa")</f>
        <v>Pa</v>
      </c>
      <c r="AQ31" s="42">
        <v>100</v>
      </c>
      <c r="AR31" s="28">
        <v>6</v>
      </c>
      <c r="AS31" s="28">
        <v>6990</v>
      </c>
      <c r="AT31" s="29">
        <v>6740</v>
      </c>
      <c r="AU31" s="52"/>
      <c r="AV31" s="27">
        <v>100</v>
      </c>
      <c r="AW31" s="28">
        <v>2</v>
      </c>
      <c r="AX31" s="28">
        <v>7560</v>
      </c>
      <c r="AY31" s="43">
        <v>7470</v>
      </c>
    </row>
    <row r="32" spans="2:63" ht="15" customHeight="1" thickBot="1" x14ac:dyDescent="0.3">
      <c r="B32" s="2" t="s">
        <v>39</v>
      </c>
      <c r="C32" s="24">
        <f>IF(C21=0,0,(C23*C12)/C21)</f>
        <v>712248979591.83679</v>
      </c>
      <c r="D32" s="2" t="str">
        <f>IF($D$2="English","lbf/in","mN/m")</f>
        <v>mN/m</v>
      </c>
      <c r="V32" s="2"/>
      <c r="W32" s="19">
        <f>IF($D$2="English",W31*10^-3,W31*10^-6)</f>
        <v>487.5</v>
      </c>
      <c r="X32" s="2" t="str">
        <f>IF($D$2="English","kpsi","MPa")</f>
        <v>MPa</v>
      </c>
      <c r="Y32" s="2"/>
      <c r="Z32" s="19">
        <f>IF($D$2="English",Z31*10^-3,Z31*10^-6)</f>
        <v>16.824752774466244</v>
      </c>
      <c r="AA32" s="2" t="str">
        <f>IF($D$2="English","kpsi","MPa")</f>
        <v>MPa</v>
      </c>
      <c r="AQ32" s="44">
        <v>110</v>
      </c>
      <c r="AR32" s="45">
        <v>6</v>
      </c>
      <c r="AS32" s="45" t="e">
        <f>NA()</f>
        <v>#N/A</v>
      </c>
      <c r="AT32" s="46" t="e">
        <f>NA()</f>
        <v>#N/A</v>
      </c>
      <c r="AU32" s="53"/>
      <c r="AV32" s="47">
        <v>110</v>
      </c>
      <c r="AW32" s="45">
        <v>2</v>
      </c>
      <c r="AX32" s="45">
        <v>9180</v>
      </c>
      <c r="AY32" s="48">
        <v>9080</v>
      </c>
    </row>
    <row r="33" spans="2:27" ht="15" customHeight="1" x14ac:dyDescent="0.25">
      <c r="B33" s="2"/>
      <c r="C33" s="19">
        <f>IF($D$2="English",C32*10^-6,C32*10^-9)</f>
        <v>712.24897959183681</v>
      </c>
      <c r="D33" s="2" t="str">
        <f>IF($D$2="English","Mlbf/in","MN/m")</f>
        <v>MN/m</v>
      </c>
      <c r="V33" s="2" t="s">
        <v>114</v>
      </c>
      <c r="W33" s="89">
        <f>W23/$C$24</f>
        <v>521149505.54893249</v>
      </c>
      <c r="X33" s="2" t="str">
        <f>IF($D$2="English","psi","Pa")</f>
        <v>Pa</v>
      </c>
      <c r="Y33" s="2" t="s">
        <v>116</v>
      </c>
      <c r="Z33" s="89">
        <f>0.5*(W33+W31)</f>
        <v>504324752.77446628</v>
      </c>
      <c r="AA33" s="2" t="str">
        <f>IF($D$2="English","psi","Pa")</f>
        <v>Pa</v>
      </c>
    </row>
    <row r="34" spans="2:27" ht="15" customHeight="1" x14ac:dyDescent="0.25">
      <c r="B34" s="2" t="s">
        <v>5</v>
      </c>
      <c r="C34" s="24">
        <f>SUM(IF(C30=0,0,C30^-1),IF(C32=0,0,C32^-1))^-1</f>
        <v>618208639474.52222</v>
      </c>
      <c r="D34" s="2" t="str">
        <f>IF($D$2="English","lbf/in","mN/m")</f>
        <v>mN/m</v>
      </c>
      <c r="V34" s="2"/>
      <c r="W34" s="19">
        <f>IF($D$2="English",W33*10^-3,W33*10^-6)</f>
        <v>521.14950554893244</v>
      </c>
      <c r="X34" s="2" t="str">
        <f>IF($D$2="English","kpsi","MPa")</f>
        <v>MPa</v>
      </c>
      <c r="Y34" s="2"/>
      <c r="Z34" s="19">
        <f>IF($D$2="English",Z33*10^-3,Z33*10^-6)</f>
        <v>504.32475277446628</v>
      </c>
      <c r="AA34" s="2" t="str">
        <f>IF($D$2="English","kpsi","MPa")</f>
        <v>MPa</v>
      </c>
    </row>
    <row r="35" spans="2:27" ht="15" customHeight="1" x14ac:dyDescent="0.25">
      <c r="B35" s="2"/>
      <c r="C35" s="19">
        <f>IF($D$2="English",C34*10^-6,C34*10^-9)</f>
        <v>618.20863947452222</v>
      </c>
      <c r="D35" s="2" t="str">
        <f>IF($D$2="English","Mlbf/in","MN/m")</f>
        <v>MN/m</v>
      </c>
      <c r="V35" s="11" t="s">
        <v>60</v>
      </c>
      <c r="W35" s="11"/>
      <c r="X35" s="12"/>
    </row>
    <row r="36" spans="2:27" ht="15" customHeight="1" x14ac:dyDescent="0.25">
      <c r="V36" s="2" t="s">
        <v>63</v>
      </c>
      <c r="W36" s="26">
        <f>W16/W20</f>
        <v>4.7511242574089936</v>
      </c>
      <c r="X36" s="2"/>
    </row>
    <row r="37" spans="2:27" ht="15" customHeight="1" x14ac:dyDescent="0.25">
      <c r="U37" s="59" t="s">
        <v>131</v>
      </c>
      <c r="V37" s="2" t="s">
        <v>61</v>
      </c>
      <c r="W37" s="26">
        <f>(W5*$C$24)/(W23)</f>
        <v>1.2472428604059556</v>
      </c>
      <c r="X37" s="2"/>
    </row>
    <row r="38" spans="2:27" ht="15" customHeight="1" x14ac:dyDescent="0.25">
      <c r="V38" s="2" t="s">
        <v>130</v>
      </c>
      <c r="W38" s="26">
        <f>(W11*(W7-W29))/(W7*Z31+W11*(Z33-W29))</f>
        <v>3.3004256822197351</v>
      </c>
      <c r="X38" s="118" t="s">
        <v>132</v>
      </c>
      <c r="Y38"/>
    </row>
    <row r="39" spans="2:27" ht="15" customHeight="1" x14ac:dyDescent="0.25">
      <c r="V39" s="2" t="s">
        <v>62</v>
      </c>
      <c r="W39" s="26">
        <f>(W5*$C$24-Q18)/(W15*W20)</f>
        <v>4.829194288269564</v>
      </c>
      <c r="X39" s="2"/>
    </row>
    <row r="41" spans="2:27" ht="15" customHeight="1" x14ac:dyDescent="0.25">
      <c r="V41" s="11" t="s">
        <v>124</v>
      </c>
      <c r="W41" s="11"/>
      <c r="X41" s="12"/>
    </row>
    <row r="42" spans="2:27" ht="15" customHeight="1" x14ac:dyDescent="0.25">
      <c r="V42" s="2" t="s">
        <v>66</v>
      </c>
      <c r="W42" s="55">
        <f>IF($D$2="English",W43*Q18*C13,W43*Q18*(C13*10^-3))</f>
        <v>98.630999999999986</v>
      </c>
      <c r="X42" s="2" t="str">
        <f>IF($D$2="English","in-lbf", "Nm")</f>
        <v>Nm</v>
      </c>
    </row>
    <row r="43" spans="2:27" ht="15" customHeight="1" x14ac:dyDescent="0.25">
      <c r="V43" s="1" t="s">
        <v>67</v>
      </c>
      <c r="W43" s="57">
        <v>0.2</v>
      </c>
      <c r="X43" s="22"/>
      <c r="Z43"/>
    </row>
    <row r="48" spans="2:27" ht="15" customHeight="1" x14ac:dyDescent="0.25">
      <c r="S48"/>
    </row>
    <row r="67" spans="18:21" ht="15" customHeight="1" x14ac:dyDescent="0.25">
      <c r="R67" s="59" t="s">
        <v>135</v>
      </c>
    </row>
    <row r="68" spans="18:21" ht="15" customHeight="1" x14ac:dyDescent="0.25">
      <c r="R68" s="6">
        <v>1</v>
      </c>
      <c r="S68" s="6" t="str">
        <f>B23</f>
        <v>Area of threaded portion, At</v>
      </c>
      <c r="T68" s="2">
        <f>C23</f>
        <v>84.3</v>
      </c>
      <c r="U68" s="6" t="str">
        <f>D23</f>
        <v>mm^2</v>
      </c>
    </row>
    <row r="69" spans="18:21" ht="15" customHeight="1" x14ac:dyDescent="0.25">
      <c r="R69" s="6">
        <v>2</v>
      </c>
      <c r="S69" s="119" t="str">
        <f>B22</f>
        <v>Area of unthreaded portion, Ad</v>
      </c>
      <c r="T69" s="18">
        <f>C22</f>
        <v>113.09733552923255</v>
      </c>
      <c r="U69" s="119" t="str">
        <f>D22</f>
        <v>mm^2</v>
      </c>
    </row>
    <row r="70" spans="18:21" ht="15" customHeight="1" x14ac:dyDescent="0.25">
      <c r="R70" s="6">
        <v>3</v>
      </c>
      <c r="S70" s="6" t="str">
        <f>P30</f>
        <v>External Load total, Pmax_total</v>
      </c>
      <c r="T70" s="117">
        <f t="shared" ref="T70:U70" si="10">Q30</f>
        <v>114864.48139687681</v>
      </c>
      <c r="U70" s="6" t="str">
        <f t="shared" si="10"/>
        <v>N</v>
      </c>
    </row>
    <row r="71" spans="18:21" ht="15" customHeight="1" x14ac:dyDescent="0.25">
      <c r="R71" s="6">
        <v>4</v>
      </c>
      <c r="S71" s="6" t="str">
        <f>V20</f>
        <v>External Load per joint, Pmax</v>
      </c>
      <c r="T71" s="117">
        <f>W20</f>
        <v>11486.448139687682</v>
      </c>
      <c r="U71" s="6" t="str">
        <f t="shared" ref="U71" si="11">X20</f>
        <v>N</v>
      </c>
    </row>
    <row r="72" spans="18:21" ht="15" customHeight="1" x14ac:dyDescent="0.25">
      <c r="R72" s="6">
        <v>5</v>
      </c>
      <c r="S72" s="6" t="str">
        <f>V5</f>
        <v>Minimum Proof Strength, Sp</v>
      </c>
      <c r="T72" s="2">
        <f>W6</f>
        <v>650</v>
      </c>
      <c r="U72" s="6" t="str">
        <f>X6</f>
        <v>MPa</v>
      </c>
    </row>
    <row r="73" spans="18:21" ht="15" customHeight="1" x14ac:dyDescent="0.25">
      <c r="R73" s="6">
        <v>6</v>
      </c>
      <c r="S73" s="6" t="str">
        <f>V7</f>
        <v>Minimum Tensile Strength, Sut</v>
      </c>
      <c r="T73" s="2">
        <f>W8</f>
        <v>900</v>
      </c>
      <c r="U73" s="6" t="str">
        <f>X8</f>
        <v>MPa</v>
      </c>
    </row>
    <row r="74" spans="18:21" ht="15" customHeight="1" x14ac:dyDescent="0.25">
      <c r="R74" s="6">
        <v>7</v>
      </c>
      <c r="S74" s="6" t="str">
        <f>V11</f>
        <v>Corrected Endurance Strength, Se</v>
      </c>
      <c r="T74" s="2">
        <f>W12</f>
        <v>140</v>
      </c>
      <c r="U74" s="6" t="str">
        <f>X12</f>
        <v>MPa</v>
      </c>
    </row>
    <row r="75" spans="18:21" ht="15" customHeight="1" x14ac:dyDescent="0.25">
      <c r="R75" s="6">
        <v>8</v>
      </c>
      <c r="S75" s="6" t="str">
        <f>B17</f>
        <v>Grip length, l</v>
      </c>
      <c r="T75" s="2">
        <f t="shared" ref="T75:U75" si="12">C17</f>
        <v>29.5</v>
      </c>
      <c r="U75" s="6" t="str">
        <f t="shared" si="12"/>
        <v>mm</v>
      </c>
    </row>
    <row r="76" spans="18:21" ht="15" customHeight="1" x14ac:dyDescent="0.25">
      <c r="R76" s="6">
        <v>9</v>
      </c>
      <c r="S76" s="6" t="str">
        <f>B34</f>
        <v>Fastener Stiffness, kb</v>
      </c>
      <c r="T76" s="19">
        <f>C35</f>
        <v>618.20863947452222</v>
      </c>
      <c r="U76" s="121" t="str">
        <f>D35</f>
        <v>MN/m</v>
      </c>
    </row>
    <row r="77" spans="18:21" ht="15" customHeight="1" x14ac:dyDescent="0.25">
      <c r="R77" s="6">
        <v>10</v>
      </c>
      <c r="S77" s="6" t="str">
        <f>I16</f>
        <v>Member Stiffness, km</v>
      </c>
      <c r="T77" s="19">
        <f>J17</f>
        <v>1885.1009586122861</v>
      </c>
      <c r="U77" s="121" t="str">
        <f>K17</f>
        <v>MN/m</v>
      </c>
    </row>
    <row r="78" spans="18:21" ht="15" customHeight="1" x14ac:dyDescent="0.25">
      <c r="R78" s="6">
        <v>11</v>
      </c>
      <c r="S78" s="6" t="str">
        <f>V15</f>
        <v>Joint Compliance, C</v>
      </c>
      <c r="T78" s="26">
        <f t="shared" ref="T78:U78" si="13">W15</f>
        <v>0.24695652505267321</v>
      </c>
      <c r="U78" s="6">
        <f t="shared" si="13"/>
        <v>0</v>
      </c>
    </row>
    <row r="79" spans="18:21" ht="15" customHeight="1" x14ac:dyDescent="0.25">
      <c r="R79" s="6">
        <v>12</v>
      </c>
      <c r="S79" s="6" t="str">
        <f>P18</f>
        <v>Preload, Fi</v>
      </c>
      <c r="T79" s="2">
        <f t="shared" ref="T79:U79" si="14">Q18</f>
        <v>41096.249999999993</v>
      </c>
      <c r="U79" s="6" t="str">
        <f t="shared" si="14"/>
        <v>N</v>
      </c>
    </row>
    <row r="80" spans="18:21" ht="15" customHeight="1" x14ac:dyDescent="0.25">
      <c r="R80" s="6">
        <v>13</v>
      </c>
      <c r="S80" s="120" t="str">
        <f>Y19</f>
        <v>Alternating External  Load per joint, Pa</v>
      </c>
      <c r="T80" s="122">
        <f t="shared" ref="T80:U81" si="15">Z19</f>
        <v>5743.2240698438409</v>
      </c>
      <c r="U80" s="120" t="str">
        <f t="shared" si="15"/>
        <v>N</v>
      </c>
    </row>
    <row r="81" spans="18:21" ht="15" customHeight="1" x14ac:dyDescent="0.25">
      <c r="R81" s="6">
        <v>14</v>
      </c>
      <c r="S81" s="120" t="str">
        <f>Y20</f>
        <v>Mean External Load per joint, Pm</v>
      </c>
      <c r="T81" s="122">
        <f t="shared" si="15"/>
        <v>5743.2240698438409</v>
      </c>
      <c r="U81" s="120" t="str">
        <f t="shared" si="15"/>
        <v>N</v>
      </c>
    </row>
    <row r="82" spans="18:21" ht="15" customHeight="1" x14ac:dyDescent="0.25">
      <c r="R82" s="6">
        <v>15</v>
      </c>
      <c r="S82" s="6" t="str">
        <f>V29</f>
        <v>Initial Bolt Sress, σi</v>
      </c>
      <c r="T82" s="19">
        <f>W30</f>
        <v>487.5</v>
      </c>
      <c r="U82" s="121" t="str">
        <f>X30</f>
        <v>MPa</v>
      </c>
    </row>
    <row r="83" spans="18:21" ht="15" customHeight="1" x14ac:dyDescent="0.25">
      <c r="R83" s="6">
        <v>16</v>
      </c>
      <c r="S83" s="6" t="str">
        <f>Y31</f>
        <v>Alternating Bolt Sress, σa</v>
      </c>
      <c r="T83" s="19">
        <f>Z32</f>
        <v>16.824752774466244</v>
      </c>
      <c r="U83" s="121" t="str">
        <f>AA32</f>
        <v>MPa</v>
      </c>
    </row>
    <row r="84" spans="18:21" ht="15" customHeight="1" x14ac:dyDescent="0.25">
      <c r="R84" s="6">
        <v>17</v>
      </c>
      <c r="S84" s="6" t="str">
        <f>Y33</f>
        <v>Mean Bolt Sress, σm</v>
      </c>
      <c r="T84" s="19">
        <f>Z34</f>
        <v>504.32475277446628</v>
      </c>
      <c r="U84" s="121" t="str">
        <f>AA34</f>
        <v>MPa</v>
      </c>
    </row>
    <row r="85" spans="18:21" ht="15" customHeight="1" x14ac:dyDescent="0.25">
      <c r="R85" s="6">
        <v>18</v>
      </c>
      <c r="S85" s="6" t="str">
        <f>B17</f>
        <v>Grip length, l</v>
      </c>
      <c r="T85" s="2">
        <f t="shared" ref="T85:U85" si="16">C17</f>
        <v>29.5</v>
      </c>
      <c r="U85" s="6" t="str">
        <f t="shared" si="16"/>
        <v>mm</v>
      </c>
    </row>
    <row r="86" spans="18:21" ht="15" customHeight="1" x14ac:dyDescent="0.25">
      <c r="R86" s="6">
        <v>19</v>
      </c>
      <c r="S86" s="6" t="str">
        <f>V36</f>
        <v>Joint opening FoS, ηo</v>
      </c>
      <c r="T86" s="26">
        <f t="shared" ref="T86:T87" si="17">W36</f>
        <v>4.7511242574089936</v>
      </c>
      <c r="U86" s="6" t="s">
        <v>136</v>
      </c>
    </row>
    <row r="87" spans="18:21" ht="15" customHeight="1" x14ac:dyDescent="0.25">
      <c r="R87" s="6">
        <v>20</v>
      </c>
      <c r="S87" s="6" t="str">
        <f t="shared" ref="S87" si="18">V37</f>
        <v>Proof strength FoS, ηp</v>
      </c>
      <c r="T87" s="26">
        <f t="shared" si="17"/>
        <v>1.2472428604059556</v>
      </c>
      <c r="U87" s="6" t="s">
        <v>136</v>
      </c>
    </row>
    <row r="88" spans="18:21" ht="15" customHeight="1" x14ac:dyDescent="0.25">
      <c r="R88" s="6">
        <v>21</v>
      </c>
      <c r="S88" s="6" t="str">
        <f>V39</f>
        <v>Proof load FoS, ηL</v>
      </c>
      <c r="T88" s="26">
        <f>W39</f>
        <v>4.829194288269564</v>
      </c>
      <c r="U88" s="6" t="s">
        <v>136</v>
      </c>
    </row>
    <row r="89" spans="18:21" ht="15" customHeight="1" x14ac:dyDescent="0.25">
      <c r="R89" s="6">
        <v>22</v>
      </c>
      <c r="S89" s="6" t="str">
        <f>V38</f>
        <v>Goodman Fatigue FoS, ηf</v>
      </c>
      <c r="T89" s="26">
        <f>W38</f>
        <v>3.3004256822197351</v>
      </c>
      <c r="U89" s="6" t="s">
        <v>136</v>
      </c>
    </row>
    <row r="97" spans="18:21" ht="15" customHeight="1" x14ac:dyDescent="0.25">
      <c r="R97" s="6">
        <v>1</v>
      </c>
      <c r="S97" s="6" t="str">
        <f>B17</f>
        <v>Grip length, l</v>
      </c>
      <c r="T97" s="2">
        <f>C17</f>
        <v>29.5</v>
      </c>
      <c r="U97" s="6" t="str">
        <f>D17</f>
        <v>mm</v>
      </c>
    </row>
    <row r="98" spans="18:21" ht="15" customHeight="1" x14ac:dyDescent="0.25">
      <c r="R98" s="6">
        <v>2</v>
      </c>
      <c r="S98" s="6" t="str">
        <f>B34</f>
        <v>Fastener Stiffness, kb</v>
      </c>
      <c r="T98" s="19">
        <f>C35</f>
        <v>618.20863947452222</v>
      </c>
      <c r="U98" s="121" t="str">
        <f>D35</f>
        <v>MN/m</v>
      </c>
    </row>
    <row r="99" spans="18:21" ht="15" customHeight="1" x14ac:dyDescent="0.25">
      <c r="R99" s="6">
        <v>3</v>
      </c>
      <c r="S99" s="6" t="str">
        <f>I16</f>
        <v>Member Stiffness, km</v>
      </c>
      <c r="T99" s="19">
        <f>J17</f>
        <v>1885.1009586122861</v>
      </c>
      <c r="U99" s="121" t="str">
        <f>K17</f>
        <v>MN/m</v>
      </c>
    </row>
    <row r="100" spans="18:21" ht="15" customHeight="1" x14ac:dyDescent="0.25">
      <c r="R100" s="6">
        <v>4</v>
      </c>
      <c r="S100" s="6" t="str">
        <f>V15</f>
        <v>Joint Compliance, C</v>
      </c>
      <c r="T100" s="26">
        <f>W15</f>
        <v>0.24695652505267321</v>
      </c>
      <c r="U100" s="6" t="s">
        <v>136</v>
      </c>
    </row>
    <row r="101" spans="18:21" ht="15" customHeight="1" x14ac:dyDescent="0.25">
      <c r="R101" s="6">
        <v>5</v>
      </c>
      <c r="S101" s="6" t="str">
        <f>V36</f>
        <v>Joint opening FoS, ηo</v>
      </c>
      <c r="T101" s="26">
        <f>W36</f>
        <v>4.7511242574089936</v>
      </c>
      <c r="U101" s="6" t="s">
        <v>136</v>
      </c>
    </row>
    <row r="102" spans="18:21" ht="15" customHeight="1" x14ac:dyDescent="0.25">
      <c r="R102" s="6">
        <v>6</v>
      </c>
      <c r="S102" s="6" t="str">
        <f>V37</f>
        <v>Proof strength FoS, ηp</v>
      </c>
      <c r="T102" s="26">
        <f>W37</f>
        <v>1.2472428604059556</v>
      </c>
      <c r="U102" s="6" t="s">
        <v>136</v>
      </c>
    </row>
    <row r="103" spans="18:21" ht="15" customHeight="1" x14ac:dyDescent="0.25">
      <c r="R103" s="6">
        <v>7</v>
      </c>
      <c r="S103" s="6" t="str">
        <f>V39</f>
        <v>Proof load FoS, ηL</v>
      </c>
      <c r="T103" s="26">
        <f>W39</f>
        <v>4.829194288269564</v>
      </c>
      <c r="U103" s="6" t="s">
        <v>136</v>
      </c>
    </row>
    <row r="104" spans="18:21" ht="15" customHeight="1" x14ac:dyDescent="0.25">
      <c r="R104" s="6">
        <v>8</v>
      </c>
      <c r="S104" s="6" t="str">
        <f>V38</f>
        <v>Goodman Fatigue FoS, ηf</v>
      </c>
      <c r="T104" s="26">
        <f>W38</f>
        <v>3.3004256822197351</v>
      </c>
      <c r="U104" s="6" t="s">
        <v>136</v>
      </c>
    </row>
    <row r="150" spans="64:64" ht="15" customHeight="1" x14ac:dyDescent="0.25">
      <c r="BL150" s="6" t="s">
        <v>26</v>
      </c>
    </row>
  </sheetData>
  <mergeCells count="5">
    <mergeCell ref="AQ5:AT5"/>
    <mergeCell ref="AV5:AY5"/>
    <mergeCell ref="BA5:BE5"/>
    <mergeCell ref="BG5:BK5"/>
    <mergeCell ref="D27:F28"/>
  </mergeCells>
  <conditionalFormatting sqref="B19 D19 F19">
    <cfRule type="expression" dxfId="27" priority="1">
      <formula>NOT($F$19)</formula>
    </cfRule>
  </conditionalFormatting>
  <conditionalFormatting sqref="C17:D17">
    <cfRule type="expression" dxfId="26" priority="8">
      <formula>$C$17&lt;&gt;$J$12</formula>
    </cfRule>
    <cfRule type="duplicateValues" dxfId="25" priority="9"/>
  </conditionalFormatting>
  <conditionalFormatting sqref="I6:N6">
    <cfRule type="expression" dxfId="24" priority="6">
      <formula>0=$J$6</formula>
    </cfRule>
  </conditionalFormatting>
  <conditionalFormatting sqref="I7:N7">
    <cfRule type="expression" dxfId="23" priority="7">
      <formula>0=$J$7</formula>
    </cfRule>
  </conditionalFormatting>
  <conditionalFormatting sqref="I8:N8">
    <cfRule type="expression" dxfId="22" priority="5">
      <formula>0=$J$8</formula>
    </cfRule>
  </conditionalFormatting>
  <conditionalFormatting sqref="I9:N9">
    <cfRule type="expression" dxfId="21" priority="4">
      <formula>0=$J$9</formula>
    </cfRule>
  </conditionalFormatting>
  <conditionalFormatting sqref="I10:N10">
    <cfRule type="expression" dxfId="20" priority="3">
      <formula>0=$J$10</formula>
    </cfRule>
  </conditionalFormatting>
  <conditionalFormatting sqref="J12:K13">
    <cfRule type="expression" dxfId="19" priority="10">
      <formula>$C$17&lt;&gt;$J$12</formula>
    </cfRule>
  </conditionalFormatting>
  <conditionalFormatting sqref="P19 R19 T19">
    <cfRule type="expression" dxfId="18" priority="2">
      <formula>NOT($T$19)</formula>
    </cfRule>
  </conditionalFormatting>
  <dataValidations disablePrompts="1" count="2">
    <dataValidation type="list" allowBlank="1" showInputMessage="1" showErrorMessage="1" sqref="D2" xr:uid="{4B0E45B1-8547-43F0-80FF-8F61EBC56D0B}">
      <formula1>"English, Metric"</formula1>
    </dataValidation>
    <dataValidation type="list" allowBlank="1" showInputMessage="1" showErrorMessage="1" sqref="C14" xr:uid="{BF6648F5-271D-4EA6-B3D6-08042BF76606}">
      <formula1>"UNC, UNF"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2E44-6E44-44D6-870D-E58B9D46438F}">
  <sheetPr>
    <tabColor theme="1" tint="0.499984740745262"/>
  </sheetPr>
  <dimension ref="B2:BC150"/>
  <sheetViews>
    <sheetView zoomScaleNormal="100" workbookViewId="0">
      <selection activeCell="I35" sqref="I35"/>
    </sheetView>
  </sheetViews>
  <sheetFormatPr defaultColWidth="8.85546875" defaultRowHeight="15" customHeight="1" x14ac:dyDescent="0.25"/>
  <cols>
    <col min="1" max="1" width="8.85546875" style="6"/>
    <col min="2" max="2" width="30.7109375" style="6" bestFit="1" customWidth="1"/>
    <col min="3" max="3" width="13" style="6" customWidth="1"/>
    <col min="4" max="4" width="10.140625" style="6" customWidth="1"/>
    <col min="5" max="5" width="21.85546875" style="6" bestFit="1" customWidth="1"/>
    <col min="6" max="6" width="10.7109375" style="6" customWidth="1"/>
    <col min="7" max="8" width="9.140625" style="6" customWidth="1"/>
    <col min="9" max="9" width="19.28515625" style="6" bestFit="1" customWidth="1"/>
    <col min="10" max="10" width="15" style="6" bestFit="1" customWidth="1"/>
    <col min="11" max="11" width="10.140625" style="6" bestFit="1" customWidth="1"/>
    <col min="12" max="12" width="9.7109375" style="6" bestFit="1" customWidth="1"/>
    <col min="13" max="13" width="11" style="6" bestFit="1" customWidth="1"/>
    <col min="14" max="14" width="12" style="6" bestFit="1" customWidth="1"/>
    <col min="15" max="15" width="8.85546875" style="6"/>
    <col min="16" max="16" width="30.7109375" style="6" bestFit="1" customWidth="1"/>
    <col min="17" max="17" width="13" style="6" customWidth="1"/>
    <col min="18" max="18" width="10.140625" style="6" customWidth="1"/>
    <col min="19" max="19" width="21.85546875" style="6" bestFit="1" customWidth="1"/>
    <col min="20" max="20" width="10.7109375" style="6" customWidth="1"/>
    <col min="21" max="21" width="8.85546875" style="6"/>
    <col min="22" max="22" width="28.85546875" style="6" bestFit="1" customWidth="1"/>
    <col min="23" max="23" width="16.42578125" style="6" bestFit="1" customWidth="1"/>
    <col min="24" max="24" width="10.140625" style="6" bestFit="1" customWidth="1"/>
    <col min="25" max="25" width="8.85546875" style="6"/>
    <col min="26" max="26" width="14.28515625" style="6" bestFit="1" customWidth="1"/>
    <col min="27" max="27" width="12" style="6" bestFit="1" customWidth="1"/>
    <col min="28" max="28" width="12.28515625" style="6" bestFit="1" customWidth="1"/>
    <col min="29" max="29" width="18.85546875" style="6" bestFit="1" customWidth="1"/>
    <col min="30" max="30" width="20.5703125" style="6" bestFit="1" customWidth="1"/>
    <col min="31" max="31" width="18.5703125" style="6" bestFit="1" customWidth="1"/>
    <col min="32" max="32" width="26.5703125" style="6" bestFit="1" customWidth="1"/>
    <col min="33" max="33" width="8.85546875" style="6"/>
    <col min="34" max="34" width="16.85546875" style="6" bestFit="1" customWidth="1"/>
    <col min="35" max="35" width="7.7109375" style="6" bestFit="1" customWidth="1"/>
    <col min="36" max="36" width="15.140625" style="6" customWidth="1"/>
    <col min="37" max="37" width="15.85546875" style="6" customWidth="1"/>
    <col min="38" max="38" width="8.85546875" style="6"/>
    <col min="39" max="39" width="16.85546875" style="6" bestFit="1" customWidth="1"/>
    <col min="40" max="40" width="7.7109375" style="6" bestFit="1" customWidth="1"/>
    <col min="41" max="41" width="15.140625" style="6" customWidth="1"/>
    <col min="42" max="42" width="15.85546875" style="6" customWidth="1"/>
    <col min="43" max="43" width="8.85546875" style="6"/>
    <col min="44" max="45" width="16.85546875" style="6" bestFit="1" customWidth="1"/>
    <col min="46" max="46" width="12" style="6" bestFit="1" customWidth="1"/>
    <col min="47" max="47" width="15.140625" style="6" customWidth="1"/>
    <col min="48" max="48" width="15.85546875" style="6" customWidth="1"/>
    <col min="49" max="49" width="8.85546875" style="6"/>
    <col min="50" max="51" width="16.85546875" style="6" bestFit="1" customWidth="1"/>
    <col min="52" max="52" width="12" style="6" bestFit="1" customWidth="1"/>
    <col min="53" max="53" width="15.140625" style="6" customWidth="1"/>
    <col min="54" max="54" width="15.85546875" style="6" customWidth="1"/>
    <col min="55" max="16384" width="8.85546875" style="6"/>
  </cols>
  <sheetData>
    <row r="2" spans="2:54" ht="15" customHeight="1" x14ac:dyDescent="0.25">
      <c r="B2" s="3" t="s">
        <v>0</v>
      </c>
      <c r="C2" s="4" t="s">
        <v>17</v>
      </c>
      <c r="D2" s="5" t="s">
        <v>36</v>
      </c>
      <c r="I2" s="7" t="s">
        <v>1</v>
      </c>
      <c r="J2" s="2"/>
      <c r="K2" s="2"/>
      <c r="L2" s="2"/>
      <c r="M2" s="2"/>
      <c r="N2" s="2"/>
      <c r="Z2" s="137" t="s">
        <v>99</v>
      </c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</row>
    <row r="3" spans="2:54" ht="15" customHeight="1" thickBot="1" x14ac:dyDescent="0.3">
      <c r="Z3" s="6" t="s">
        <v>90</v>
      </c>
      <c r="AH3" s="6" t="s">
        <v>53</v>
      </c>
      <c r="AR3" s="6" t="s">
        <v>54</v>
      </c>
    </row>
    <row r="4" spans="2:54" ht="15" customHeight="1" x14ac:dyDescent="0.25">
      <c r="B4" s="8" t="s">
        <v>16</v>
      </c>
      <c r="C4" s="9"/>
      <c r="D4" s="9"/>
      <c r="I4" s="11" t="s">
        <v>18</v>
      </c>
      <c r="J4" s="11"/>
      <c r="K4" s="12"/>
      <c r="L4" s="12"/>
      <c r="M4" s="12"/>
      <c r="N4" s="12"/>
      <c r="V4" s="11" t="s">
        <v>97</v>
      </c>
      <c r="W4" s="11"/>
      <c r="X4" s="12"/>
      <c r="Z4" s="36" t="s">
        <v>36</v>
      </c>
      <c r="AA4" s="37"/>
      <c r="AB4" s="37"/>
      <c r="AC4" s="38"/>
      <c r="AD4" s="38"/>
      <c r="AE4" s="37"/>
      <c r="AF4" s="39"/>
      <c r="AH4" s="36"/>
      <c r="AI4" s="37"/>
      <c r="AJ4" s="37"/>
      <c r="AK4" s="37"/>
      <c r="AL4" s="38" t="s">
        <v>36</v>
      </c>
      <c r="AM4" s="37"/>
      <c r="AN4" s="37"/>
      <c r="AO4" s="37"/>
      <c r="AP4" s="39"/>
      <c r="AR4" s="36"/>
      <c r="AS4" s="37"/>
      <c r="AT4" s="37"/>
      <c r="AU4" s="37"/>
      <c r="AV4" s="37"/>
      <c r="AW4" s="38" t="s">
        <v>2</v>
      </c>
      <c r="AX4" s="37"/>
      <c r="AY4" s="37"/>
      <c r="AZ4" s="37"/>
      <c r="BA4" s="37"/>
      <c r="BB4" s="39"/>
    </row>
    <row r="5" spans="2:54" ht="15" customHeight="1" x14ac:dyDescent="0.25">
      <c r="B5" s="1" t="s">
        <v>31</v>
      </c>
      <c r="C5" s="1">
        <v>30</v>
      </c>
      <c r="D5" s="1" t="s">
        <v>32</v>
      </c>
      <c r="E5" s="10" t="s">
        <v>10</v>
      </c>
      <c r="F5" s="9"/>
      <c r="G5" s="9"/>
      <c r="I5" s="14" t="s">
        <v>19</v>
      </c>
      <c r="J5" s="15" t="str">
        <f>_xlfn.CONCAT("Thickness ", "[",D6,"]")</f>
        <v>Thickness [mm]</v>
      </c>
      <c r="K5" s="15" t="str">
        <f>_xlfn.CONCAT("D ", "[",D13,"]")</f>
        <v>D [mm]</v>
      </c>
      <c r="L5" s="15" t="str">
        <f>_xlfn.CONCAT("E ", "[",G6,"]")</f>
        <v>E [Pa]</v>
      </c>
      <c r="M5" s="15" t="str">
        <f>_xlfn.CONCAT("k ", "[",D33,"]")</f>
        <v>k [mN/m]</v>
      </c>
      <c r="N5" s="15" t="s">
        <v>20</v>
      </c>
      <c r="V5" s="2" t="s">
        <v>68</v>
      </c>
      <c r="W5" s="88">
        <f>IF(AND($C$13&gt;=$AA$29,$C$13&lt;=$AB$29),AC29,IF(AND($C$13&gt;=$AA$30,$C$13&lt;=$AB$30),AC30,NA()))</f>
        <v>830000000</v>
      </c>
      <c r="X5" s="2" t="str">
        <f>IF($D$2="English","psi","Pa")</f>
        <v>Pa</v>
      </c>
      <c r="Z5" s="60" t="s">
        <v>76</v>
      </c>
      <c r="AA5" s="61" t="s">
        <v>77</v>
      </c>
      <c r="AB5" s="61" t="s">
        <v>78</v>
      </c>
      <c r="AC5" s="65" t="s">
        <v>94</v>
      </c>
      <c r="AD5" s="65" t="s">
        <v>93</v>
      </c>
      <c r="AE5" s="65" t="s">
        <v>95</v>
      </c>
      <c r="AF5" s="62" t="s">
        <v>79</v>
      </c>
      <c r="AH5" s="131" t="s">
        <v>44</v>
      </c>
      <c r="AI5" s="132"/>
      <c r="AJ5" s="132"/>
      <c r="AK5" s="132"/>
      <c r="AL5" s="52"/>
      <c r="AM5" s="132" t="s">
        <v>45</v>
      </c>
      <c r="AN5" s="132"/>
      <c r="AO5" s="132"/>
      <c r="AP5" s="133"/>
      <c r="AR5" s="131" t="s">
        <v>44</v>
      </c>
      <c r="AS5" s="132"/>
      <c r="AT5" s="132"/>
      <c r="AU5" s="132"/>
      <c r="AV5" s="132"/>
      <c r="AW5" s="52"/>
      <c r="AX5" s="132" t="s">
        <v>45</v>
      </c>
      <c r="AY5" s="132"/>
      <c r="AZ5" s="132"/>
      <c r="BA5" s="132"/>
      <c r="BB5" s="133"/>
    </row>
    <row r="6" spans="2:54" ht="15" customHeight="1" x14ac:dyDescent="0.25">
      <c r="B6" s="1" t="s">
        <v>28</v>
      </c>
      <c r="C6" s="1"/>
      <c r="D6" s="1" t="str">
        <f>IF($D$2="English","in", "mm")</f>
        <v>mm</v>
      </c>
      <c r="E6" s="13" t="s">
        <v>11</v>
      </c>
      <c r="F6" s="22"/>
      <c r="G6" s="1" t="str">
        <f t="shared" ref="G6:G9" si="0">IF($D$2="English","psi","Pa")</f>
        <v>Pa</v>
      </c>
      <c r="I6" s="16">
        <v>1</v>
      </c>
      <c r="J6" s="2">
        <f>C6</f>
        <v>0</v>
      </c>
      <c r="K6" s="2">
        <f>1.5*C13</f>
        <v>21</v>
      </c>
      <c r="L6" s="23">
        <f>F6</f>
        <v>0</v>
      </c>
      <c r="M6" s="23">
        <f>IF(J6=0,0,(PI()*L6*$C$13*TAN(RADIANS($C$5)))/LN(((2*J6*TAN(RADIANS($C$5))+K6-$C$13)*(K6+$C$13))/((2*J6*TAN(RADIANS($C$5))+K6+$C$13)*(K6-$C$13))))</f>
        <v>0</v>
      </c>
      <c r="N6" s="23">
        <f>IF(M6=0,0,M6^-1)</f>
        <v>0</v>
      </c>
      <c r="V6" s="2"/>
      <c r="W6" s="2">
        <f>IF($D$2="English",W5*10^-3,W5*10^-6)</f>
        <v>830</v>
      </c>
      <c r="X6" s="2" t="str">
        <f>IF($D$2="English","kpsi","MPa")</f>
        <v>MPa</v>
      </c>
      <c r="Z6" s="42">
        <v>4.5999999999999996</v>
      </c>
      <c r="AA6" s="28">
        <v>5</v>
      </c>
      <c r="AB6" s="28">
        <v>36</v>
      </c>
      <c r="AC6" s="95">
        <v>225000000</v>
      </c>
      <c r="AD6" s="92">
        <v>400000000</v>
      </c>
      <c r="AE6" s="95">
        <v>240000000</v>
      </c>
      <c r="AF6" s="63" t="s">
        <v>80</v>
      </c>
      <c r="AH6" s="40" t="s">
        <v>42</v>
      </c>
      <c r="AI6" s="31" t="s">
        <v>41</v>
      </c>
      <c r="AJ6" s="31" t="s">
        <v>40</v>
      </c>
      <c r="AK6" s="32" t="s">
        <v>43</v>
      </c>
      <c r="AL6" s="52"/>
      <c r="AM6" s="30" t="s">
        <v>42</v>
      </c>
      <c r="AN6" s="31" t="s">
        <v>41</v>
      </c>
      <c r="AO6" s="31" t="s">
        <v>40</v>
      </c>
      <c r="AP6" s="41" t="s">
        <v>43</v>
      </c>
      <c r="AR6" s="40" t="s">
        <v>46</v>
      </c>
      <c r="AS6" s="30" t="s">
        <v>47</v>
      </c>
      <c r="AT6" s="31" t="s">
        <v>48</v>
      </c>
      <c r="AU6" s="31" t="s">
        <v>49</v>
      </c>
      <c r="AV6" s="32" t="s">
        <v>50</v>
      </c>
      <c r="AW6" s="52"/>
      <c r="AX6" s="30" t="s">
        <v>46</v>
      </c>
      <c r="AY6" s="30" t="s">
        <v>47</v>
      </c>
      <c r="AZ6" s="31" t="s">
        <v>48</v>
      </c>
      <c r="BA6" s="31" t="s">
        <v>49</v>
      </c>
      <c r="BB6" s="41" t="s">
        <v>50</v>
      </c>
    </row>
    <row r="7" spans="2:54" ht="15" customHeight="1" x14ac:dyDescent="0.25">
      <c r="B7" s="1" t="s">
        <v>29</v>
      </c>
      <c r="C7" s="1">
        <v>51</v>
      </c>
      <c r="D7" s="1" t="str">
        <f t="shared" ref="D7:D9" si="1">IF($D$2="English","in", "mm")</f>
        <v>mm</v>
      </c>
      <c r="E7" s="13" t="s">
        <v>12</v>
      </c>
      <c r="F7" s="22">
        <f>71*10^9</f>
        <v>71000000000</v>
      </c>
      <c r="G7" s="1" t="str">
        <f t="shared" si="0"/>
        <v>Pa</v>
      </c>
      <c r="I7" s="16">
        <v>2</v>
      </c>
      <c r="J7" s="2">
        <f>IF(C6+C7&lt;J14,C7,J14-C6)</f>
        <v>51</v>
      </c>
      <c r="K7" s="18">
        <f>K6+2*J6*TAN(RADIANS($C$5))</f>
        <v>21</v>
      </c>
      <c r="L7" s="23">
        <f>F7</f>
        <v>71000000000</v>
      </c>
      <c r="M7" s="23">
        <f>IF(J7=0,0,(PI()*L7*$C$13*TAN(RADIANS($C$5)))/LN(((2*J7*TAN(RADIANS($C$5))+K7-$C$13)*(K7+$C$13))/((2*J7*TAN(RADIANS($C$5))+K7+$C$13)*(K7-$C$13))))</f>
        <v>1436244177129.7749</v>
      </c>
      <c r="N7" s="23">
        <f t="shared" ref="N7:N10" si="2">IF(M7=0,0,M7^-1)</f>
        <v>6.9626043810908549E-13</v>
      </c>
      <c r="V7" s="2" t="s">
        <v>74</v>
      </c>
      <c r="W7" s="89">
        <f>IF(AND($C$13&gt;=$AA$29,$C$13&lt;=$AB$29),AD29,IF(AND($C$13&gt;=$AA$30,$C$13&lt;=$AB$30),AD30,NA()))</f>
        <v>1040000000</v>
      </c>
      <c r="X7" s="2" t="str">
        <f>IF($D$2="English","psi","Pa")</f>
        <v>Pa</v>
      </c>
      <c r="Z7" s="42">
        <v>4.8</v>
      </c>
      <c r="AA7" s="28">
        <v>1.6</v>
      </c>
      <c r="AB7" s="28">
        <v>16</v>
      </c>
      <c r="AC7" s="96">
        <v>310000000</v>
      </c>
      <c r="AD7" s="92">
        <v>420000000</v>
      </c>
      <c r="AE7" s="96">
        <v>340000000</v>
      </c>
      <c r="AF7" s="63" t="s">
        <v>80</v>
      </c>
      <c r="AH7" s="42">
        <v>1.6</v>
      </c>
      <c r="AI7" s="28">
        <v>0.35</v>
      </c>
      <c r="AJ7" s="28">
        <v>1.27</v>
      </c>
      <c r="AK7" s="29">
        <v>1.07</v>
      </c>
      <c r="AL7" s="52"/>
      <c r="AM7" s="27">
        <v>1.6</v>
      </c>
      <c r="AN7" s="28" t="e">
        <f>NA()</f>
        <v>#N/A</v>
      </c>
      <c r="AO7" s="28" t="e">
        <f>NA()</f>
        <v>#N/A</v>
      </c>
      <c r="AP7" s="28" t="e">
        <f>NA()</f>
        <v>#N/A</v>
      </c>
      <c r="AR7" s="49">
        <f>0</f>
        <v>0</v>
      </c>
      <c r="AS7" s="27">
        <v>0.06</v>
      </c>
      <c r="AT7" s="28" t="e">
        <f>NA()</f>
        <v>#N/A</v>
      </c>
      <c r="AU7" s="28" t="e">
        <f>NA()</f>
        <v>#N/A</v>
      </c>
      <c r="AV7" s="29" t="e">
        <f>NA()</f>
        <v>#N/A</v>
      </c>
      <c r="AW7" s="52"/>
      <c r="AX7" s="35">
        <f>0</f>
        <v>0</v>
      </c>
      <c r="AY7" s="27">
        <v>0.06</v>
      </c>
      <c r="AZ7" s="28">
        <v>80</v>
      </c>
      <c r="BA7" s="28">
        <v>1.8E-3</v>
      </c>
      <c r="BB7" s="43">
        <v>1.5100000000000001E-3</v>
      </c>
    </row>
    <row r="8" spans="2:54" ht="15" customHeight="1" x14ac:dyDescent="0.25">
      <c r="B8" s="1" t="s">
        <v>30</v>
      </c>
      <c r="C8" s="1">
        <v>95</v>
      </c>
      <c r="D8" s="1" t="str">
        <f t="shared" si="1"/>
        <v>mm</v>
      </c>
      <c r="E8" s="13" t="s">
        <v>14</v>
      </c>
      <c r="F8" s="22">
        <f>100*10^9</f>
        <v>100000000000</v>
      </c>
      <c r="G8" s="1" t="str">
        <f t="shared" si="0"/>
        <v>Pa</v>
      </c>
      <c r="I8" s="16">
        <v>3</v>
      </c>
      <c r="J8" s="2">
        <f>IF(C6+C7&lt;J14,J14-C7-C6,C6+C7-J14)</f>
        <v>22</v>
      </c>
      <c r="K8" s="18">
        <f>IF(J6+J7&lt;J14,K7+2*J7*TAN(RADIANS($C$5)),K7+2*J7*TAN(RADIANS($C$5))-2*J8*TAN(RADIANS($C$5)))</f>
        <v>79.88972745734182</v>
      </c>
      <c r="L8" s="23">
        <f>IF(J6+J7&lt;J14,F8,F7)</f>
        <v>100000000000</v>
      </c>
      <c r="M8" s="23">
        <f>IF(J8=0,0,(PI()*L8*$C$13*TAN(RADIANS($C$5)))/LN(((2*J8*TAN(RADIANS($C$5))+K8-$C$13)*(K8+$C$13))/((2*J8*TAN(RADIANS($C$5))+K8+$C$13)*(K8-$C$13))))</f>
        <v>29312151404495.973</v>
      </c>
      <c r="N8" s="23">
        <f t="shared" si="2"/>
        <v>3.4115544307901516E-14</v>
      </c>
      <c r="V8" s="2"/>
      <c r="W8" s="2">
        <f>IF($D$2="English",W7*10^-3,W7*10^-6)</f>
        <v>1040</v>
      </c>
      <c r="X8" s="2" t="str">
        <f>IF($D$2="English","kpsi","MPa")</f>
        <v>MPa</v>
      </c>
      <c r="Z8" s="42">
        <v>5.8</v>
      </c>
      <c r="AA8" s="28">
        <v>5</v>
      </c>
      <c r="AB8" s="28">
        <v>24</v>
      </c>
      <c r="AC8" s="96">
        <v>380000000</v>
      </c>
      <c r="AD8" s="92">
        <v>520000000</v>
      </c>
      <c r="AE8" s="96">
        <v>420000000</v>
      </c>
      <c r="AF8" s="63" t="s">
        <v>80</v>
      </c>
      <c r="AH8" s="42">
        <v>2</v>
      </c>
      <c r="AI8" s="28">
        <v>0.4</v>
      </c>
      <c r="AJ8" s="28">
        <v>2.0699999999999998</v>
      </c>
      <c r="AK8" s="29">
        <v>1.79</v>
      </c>
      <c r="AL8" s="52"/>
      <c r="AM8" s="27">
        <v>2</v>
      </c>
      <c r="AN8" s="28" t="e">
        <f>NA()</f>
        <v>#N/A</v>
      </c>
      <c r="AO8" s="28" t="e">
        <f>NA()</f>
        <v>#N/A</v>
      </c>
      <c r="AP8" s="28" t="e">
        <f>NA()</f>
        <v>#N/A</v>
      </c>
      <c r="AR8" s="49">
        <f>1</f>
        <v>1</v>
      </c>
      <c r="AS8" s="27">
        <v>7.2999999999999995E-2</v>
      </c>
      <c r="AT8" s="28">
        <v>64</v>
      </c>
      <c r="AU8" s="28">
        <v>2.63E-3</v>
      </c>
      <c r="AV8" s="29">
        <v>2.1800000000000001E-3</v>
      </c>
      <c r="AW8" s="52"/>
      <c r="AX8" s="35">
        <f>1</f>
        <v>1</v>
      </c>
      <c r="AY8" s="27">
        <v>7.2999999999999995E-2</v>
      </c>
      <c r="AZ8" s="28">
        <v>72</v>
      </c>
      <c r="BA8" s="28">
        <v>2.7799999999999999E-3</v>
      </c>
      <c r="BB8" s="43">
        <v>2.3700000000000001E-3</v>
      </c>
    </row>
    <row r="9" spans="2:54" ht="15" customHeight="1" x14ac:dyDescent="0.25">
      <c r="B9" s="1" t="s">
        <v>27</v>
      </c>
      <c r="C9" s="1"/>
      <c r="D9" s="1" t="str">
        <f t="shared" si="1"/>
        <v>mm</v>
      </c>
      <c r="E9" s="13" t="s">
        <v>13</v>
      </c>
      <c r="F9" s="22"/>
      <c r="G9" s="1" t="str">
        <f t="shared" si="0"/>
        <v>Pa</v>
      </c>
      <c r="I9" s="16">
        <v>4</v>
      </c>
      <c r="J9" s="2">
        <f>C17-SUM(J6:J8)-J10</f>
        <v>73</v>
      </c>
      <c r="K9" s="18">
        <f>K10+2*J10*TAN(RADIANS($C$5))</f>
        <v>21</v>
      </c>
      <c r="L9" s="23">
        <f>F8</f>
        <v>100000000000</v>
      </c>
      <c r="M9" s="23">
        <f>IF(J9=0,0,(PI()*L9*$C$13*TAN(RADIANS($C$5)))/LN(((2*J9*TAN(RADIANS($C$5))+K9-$C$13)*(K9+$C$13))/((2*J9*TAN(RADIANS($C$5))+K9+$C$13)*(K9-$C$13))))</f>
        <v>1892289176696.5752</v>
      </c>
      <c r="N9" s="23">
        <f t="shared" si="2"/>
        <v>5.2846045536535246E-13</v>
      </c>
      <c r="V9" s="2" t="s">
        <v>75</v>
      </c>
      <c r="W9" s="88">
        <f>IF(AND($C$13&gt;=$AA$29,$C$13&lt;=$AB$29),AE29,IF(AND($C$13&gt;=$AA$30,$C$13&lt;=$AB$30),AE30,NA()))</f>
        <v>940000000</v>
      </c>
      <c r="X9" s="2" t="str">
        <f>IF($D$2="English","psi","Pa")</f>
        <v>Pa</v>
      </c>
      <c r="Z9" s="42">
        <v>8.8000000000000007</v>
      </c>
      <c r="AA9" s="28">
        <v>16</v>
      </c>
      <c r="AB9" s="28">
        <v>36</v>
      </c>
      <c r="AC9" s="96">
        <v>600000000</v>
      </c>
      <c r="AD9" s="92">
        <v>830000000</v>
      </c>
      <c r="AE9" s="96">
        <v>660000000</v>
      </c>
      <c r="AF9" s="63" t="s">
        <v>81</v>
      </c>
      <c r="AH9" s="42">
        <v>2.5</v>
      </c>
      <c r="AI9" s="28">
        <v>0.45</v>
      </c>
      <c r="AJ9" s="28">
        <v>3.39</v>
      </c>
      <c r="AK9" s="29">
        <v>2.98</v>
      </c>
      <c r="AL9" s="52"/>
      <c r="AM9" s="27">
        <v>2.5</v>
      </c>
      <c r="AN9" s="28" t="e">
        <f>NA()</f>
        <v>#N/A</v>
      </c>
      <c r="AO9" s="28" t="e">
        <f>NA()</f>
        <v>#N/A</v>
      </c>
      <c r="AP9" s="28" t="e">
        <f>NA()</f>
        <v>#N/A</v>
      </c>
      <c r="AR9" s="49">
        <f>2</f>
        <v>2</v>
      </c>
      <c r="AS9" s="27">
        <v>8.5999999999999993E-2</v>
      </c>
      <c r="AT9" s="28">
        <v>56</v>
      </c>
      <c r="AU9" s="28">
        <v>3.7000000000000002E-3</v>
      </c>
      <c r="AV9" s="29">
        <v>3.0999999999999999E-3</v>
      </c>
      <c r="AW9" s="52"/>
      <c r="AX9" s="35">
        <f>2</f>
        <v>2</v>
      </c>
      <c r="AY9" s="27">
        <v>8.5999999999999993E-2</v>
      </c>
      <c r="AZ9" s="28">
        <v>64</v>
      </c>
      <c r="BA9" s="28">
        <v>3.9399999999999999E-3</v>
      </c>
      <c r="BB9" s="43">
        <v>3.3899999999999998E-3</v>
      </c>
    </row>
    <row r="10" spans="2:54" ht="15" customHeight="1" x14ac:dyDescent="0.25">
      <c r="I10" s="16">
        <v>5</v>
      </c>
      <c r="J10" s="2">
        <f>C9</f>
        <v>0</v>
      </c>
      <c r="K10" s="2">
        <f>1.5*C13</f>
        <v>21</v>
      </c>
      <c r="L10" s="23">
        <f>F9</f>
        <v>0</v>
      </c>
      <c r="M10" s="23">
        <f>IF(J10=0,0,(PI()*L10*$C$13*TAN(RADIANS($C$5)))/LN(((2*J10*TAN(RADIANS($C$5))+K10-$C$13)*(K10+$C$13))/((2*J10*TAN(RADIANS($C$5))+K10+$C$13)*(K10-$C$13))))</f>
        <v>0</v>
      </c>
      <c r="N10" s="23">
        <f t="shared" si="2"/>
        <v>0</v>
      </c>
      <c r="V10" s="2"/>
      <c r="W10" s="2">
        <f>IF($D$2="English",W9*10^-3,W9*10^-6)</f>
        <v>940</v>
      </c>
      <c r="X10" s="2" t="str">
        <f>IF($D$2="English","kpsi","MPa")</f>
        <v>MPa</v>
      </c>
      <c r="Z10" s="42">
        <v>9.8000000000000007</v>
      </c>
      <c r="AA10" s="28">
        <v>1.6</v>
      </c>
      <c r="AB10" s="28">
        <v>16</v>
      </c>
      <c r="AC10" s="96">
        <v>650000000</v>
      </c>
      <c r="AD10" s="92">
        <v>900000000</v>
      </c>
      <c r="AE10" s="96">
        <v>720000000</v>
      </c>
      <c r="AF10" s="63" t="s">
        <v>81</v>
      </c>
      <c r="AH10" s="42">
        <v>3</v>
      </c>
      <c r="AI10" s="28">
        <v>0.5</v>
      </c>
      <c r="AJ10" s="28">
        <v>5.03</v>
      </c>
      <c r="AK10" s="29">
        <v>4.47</v>
      </c>
      <c r="AL10" s="52"/>
      <c r="AM10" s="27">
        <v>3</v>
      </c>
      <c r="AN10" s="28" t="e">
        <f>NA()</f>
        <v>#N/A</v>
      </c>
      <c r="AO10" s="28" t="e">
        <f>NA()</f>
        <v>#N/A</v>
      </c>
      <c r="AP10" s="28" t="e">
        <f>NA()</f>
        <v>#N/A</v>
      </c>
      <c r="AR10" s="49">
        <f>3</f>
        <v>3</v>
      </c>
      <c r="AS10" s="27">
        <v>9.9000000000000005E-2</v>
      </c>
      <c r="AT10" s="28">
        <v>48</v>
      </c>
      <c r="AU10" s="28">
        <v>4.8700000000000002E-3</v>
      </c>
      <c r="AV10" s="29">
        <v>4.0600000000000002E-3</v>
      </c>
      <c r="AW10" s="52"/>
      <c r="AX10" s="35">
        <f>3</f>
        <v>3</v>
      </c>
      <c r="AY10" s="27">
        <v>9.9000000000000005E-2</v>
      </c>
      <c r="AZ10" s="28">
        <v>56</v>
      </c>
      <c r="BA10" s="28">
        <v>5.2300000000000003E-3</v>
      </c>
      <c r="BB10" s="43">
        <v>4.5100000000000001E-3</v>
      </c>
    </row>
    <row r="11" spans="2:54" ht="15" customHeight="1" x14ac:dyDescent="0.25">
      <c r="B11" s="8" t="s">
        <v>15</v>
      </c>
      <c r="C11" s="34" t="str">
        <f>_xlfn.CONCAT(IF($D$2="English",_xlfn.CONCAT(TEXT(C13, "# ?/?"),"""-",C24,"-", C15, " ",C14),_xlfn.CONCAT("M",C13,"-", C24,"-", C15," ",C14)), " Grade ", C16)</f>
        <v>M14-2-238 UNC Grade 10.9</v>
      </c>
      <c r="D11" s="8"/>
      <c r="Z11" s="42">
        <v>10.9</v>
      </c>
      <c r="AA11" s="28">
        <v>5</v>
      </c>
      <c r="AB11" s="28">
        <v>36</v>
      </c>
      <c r="AC11" s="96">
        <v>830000000</v>
      </c>
      <c r="AD11" s="90">
        <v>1040000000</v>
      </c>
      <c r="AE11" s="96">
        <v>940000000</v>
      </c>
      <c r="AF11" s="63" t="s">
        <v>82</v>
      </c>
      <c r="AH11" s="42">
        <v>3.5</v>
      </c>
      <c r="AI11" s="28">
        <v>0.6</v>
      </c>
      <c r="AJ11" s="28">
        <v>6.78</v>
      </c>
      <c r="AK11" s="29">
        <v>6</v>
      </c>
      <c r="AL11" s="52"/>
      <c r="AM11" s="27">
        <v>3.5</v>
      </c>
      <c r="AN11" s="28" t="e">
        <f>NA()</f>
        <v>#N/A</v>
      </c>
      <c r="AO11" s="28" t="e">
        <f>NA()</f>
        <v>#N/A</v>
      </c>
      <c r="AP11" s="28" t="e">
        <f>NA()</f>
        <v>#N/A</v>
      </c>
      <c r="AR11" s="49">
        <f>4</f>
        <v>4</v>
      </c>
      <c r="AS11" s="27">
        <v>0.112</v>
      </c>
      <c r="AT11" s="28">
        <v>40</v>
      </c>
      <c r="AU11" s="28">
        <v>6.0400000000000002E-3</v>
      </c>
      <c r="AV11" s="29">
        <v>4.96E-3</v>
      </c>
      <c r="AW11" s="52"/>
      <c r="AX11" s="35">
        <f>4</f>
        <v>4</v>
      </c>
      <c r="AY11" s="27">
        <v>0.112</v>
      </c>
      <c r="AZ11" s="28">
        <v>48</v>
      </c>
      <c r="BA11" s="28">
        <v>6.6100000000000004E-3</v>
      </c>
      <c r="BB11" s="43">
        <v>5.6600000000000001E-3</v>
      </c>
    </row>
    <row r="12" spans="2:54" ht="15" customHeight="1" thickBot="1" x14ac:dyDescent="0.3">
      <c r="B12" s="1" t="s">
        <v>51</v>
      </c>
      <c r="C12" s="22">
        <f>30*10^6</f>
        <v>30000000</v>
      </c>
      <c r="D12" s="1" t="str">
        <f>IF($D$2="English","psi","Pa")</f>
        <v>Pa</v>
      </c>
      <c r="I12" s="25" t="s">
        <v>33</v>
      </c>
      <c r="J12" s="25">
        <f>SUM(J6:J10)</f>
        <v>146</v>
      </c>
      <c r="K12" s="25" t="str">
        <f>IF($D$2="English","in", "mm")</f>
        <v>mm</v>
      </c>
      <c r="P12" s="8" t="s">
        <v>69</v>
      </c>
      <c r="Q12" s="8"/>
      <c r="R12" s="8"/>
      <c r="V12" s="11" t="s">
        <v>56</v>
      </c>
      <c r="W12" s="11"/>
      <c r="X12" s="12"/>
      <c r="Z12" s="44">
        <v>12.9</v>
      </c>
      <c r="AA12" s="45">
        <v>1.6</v>
      </c>
      <c r="AB12" s="45">
        <v>36</v>
      </c>
      <c r="AC12" s="93">
        <v>970000000</v>
      </c>
      <c r="AD12" s="94">
        <v>1220000000</v>
      </c>
      <c r="AE12" s="91">
        <v>1100000000</v>
      </c>
      <c r="AF12" s="64" t="s">
        <v>83</v>
      </c>
      <c r="AH12" s="42">
        <v>4</v>
      </c>
      <c r="AI12" s="28">
        <v>0.7</v>
      </c>
      <c r="AJ12" s="28">
        <v>8.7799999999999994</v>
      </c>
      <c r="AK12" s="29">
        <v>7.75</v>
      </c>
      <c r="AL12" s="52"/>
      <c r="AM12" s="27">
        <v>4</v>
      </c>
      <c r="AN12" s="28" t="e">
        <f>NA()</f>
        <v>#N/A</v>
      </c>
      <c r="AO12" s="28" t="e">
        <f>NA()</f>
        <v>#N/A</v>
      </c>
      <c r="AP12" s="28" t="e">
        <f>NA()</f>
        <v>#N/A</v>
      </c>
      <c r="AR12" s="49">
        <f>5</f>
        <v>5</v>
      </c>
      <c r="AS12" s="27">
        <v>0.125</v>
      </c>
      <c r="AT12" s="28">
        <v>40</v>
      </c>
      <c r="AU12" s="28">
        <v>7.9600000000000001E-3</v>
      </c>
      <c r="AV12" s="29">
        <v>6.7200000000000003E-3</v>
      </c>
      <c r="AW12" s="52"/>
      <c r="AX12" s="35">
        <f>5</f>
        <v>5</v>
      </c>
      <c r="AY12" s="27">
        <v>0.125</v>
      </c>
      <c r="AZ12" s="28">
        <v>44</v>
      </c>
      <c r="BA12" s="28">
        <v>8.8000000000000005E-3</v>
      </c>
      <c r="BB12" s="43">
        <v>7.1599999999999997E-3</v>
      </c>
    </row>
    <row r="13" spans="2:54" ht="15" customHeight="1" x14ac:dyDescent="0.25">
      <c r="B13" s="1" t="s">
        <v>3</v>
      </c>
      <c r="C13" s="17">
        <v>14</v>
      </c>
      <c r="D13" s="1" t="str">
        <f t="shared" ref="D13" si="3">IF($D$2="English","in", "mm")</f>
        <v>mm</v>
      </c>
      <c r="I13" s="25" t="s">
        <v>22</v>
      </c>
      <c r="J13" s="25">
        <f>C17</f>
        <v>146</v>
      </c>
      <c r="K13" s="25" t="str">
        <f>IF($D$2="English","in", "mm")</f>
        <v>mm</v>
      </c>
      <c r="P13" s="1" t="s">
        <v>57</v>
      </c>
      <c r="Q13" s="1">
        <v>4</v>
      </c>
      <c r="R13" s="1"/>
      <c r="V13" s="2" t="s">
        <v>55</v>
      </c>
      <c r="W13" s="2">
        <f>C33/(C33+J16)</f>
        <v>3.6359713226498669E-5</v>
      </c>
      <c r="X13" s="23"/>
      <c r="AH13" s="42">
        <v>5</v>
      </c>
      <c r="AI13" s="28">
        <v>0.8</v>
      </c>
      <c r="AJ13" s="28">
        <v>14.2</v>
      </c>
      <c r="AK13" s="29">
        <v>12.7</v>
      </c>
      <c r="AL13" s="52"/>
      <c r="AM13" s="27">
        <v>5</v>
      </c>
      <c r="AN13" s="28" t="e">
        <f>NA()</f>
        <v>#N/A</v>
      </c>
      <c r="AO13" s="28" t="e">
        <f>NA()</f>
        <v>#N/A</v>
      </c>
      <c r="AP13" s="28" t="e">
        <f>NA()</f>
        <v>#N/A</v>
      </c>
      <c r="AR13" s="49">
        <f>6</f>
        <v>6</v>
      </c>
      <c r="AS13" s="27">
        <v>0.13800000000000001</v>
      </c>
      <c r="AT13" s="28">
        <v>32</v>
      </c>
      <c r="AU13" s="28">
        <v>9.0900000000000009E-3</v>
      </c>
      <c r="AV13" s="29">
        <v>7.45E-3</v>
      </c>
      <c r="AW13" s="52"/>
      <c r="AX13" s="35">
        <f>6</f>
        <v>6</v>
      </c>
      <c r="AY13" s="27">
        <v>0.13800000000000001</v>
      </c>
      <c r="AZ13" s="28">
        <v>40</v>
      </c>
      <c r="BA13" s="28">
        <v>1.0149999999999999E-2</v>
      </c>
      <c r="BB13" s="43">
        <v>8.7399999999999995E-3</v>
      </c>
    </row>
    <row r="14" spans="2:54" ht="15" customHeight="1" thickBot="1" x14ac:dyDescent="0.3">
      <c r="B14" s="1" t="s">
        <v>52</v>
      </c>
      <c r="C14" s="33" t="s">
        <v>44</v>
      </c>
      <c r="D14" s="1"/>
      <c r="I14" s="25" t="s">
        <v>23</v>
      </c>
      <c r="J14" s="25">
        <f>C17/2</f>
        <v>73</v>
      </c>
      <c r="K14" s="25" t="str">
        <f t="shared" ref="K14" si="4">IF($D$2="English","in", "mm")</f>
        <v>mm</v>
      </c>
      <c r="P14" s="1" t="s">
        <v>100</v>
      </c>
      <c r="Q14" s="54">
        <f>80000</f>
        <v>80000</v>
      </c>
      <c r="R14" s="1" t="str">
        <f>IF($D$2="English","lbf", "N")</f>
        <v>N</v>
      </c>
      <c r="V14" s="2" t="s">
        <v>103</v>
      </c>
      <c r="W14" s="105">
        <f>Q14/Q13</f>
        <v>20000</v>
      </c>
      <c r="X14" s="2" t="str">
        <f>IF($D$2="English","lbf", "N")</f>
        <v>N</v>
      </c>
      <c r="Z14" s="6" t="s">
        <v>89</v>
      </c>
      <c r="AH14" s="42">
        <v>6</v>
      </c>
      <c r="AI14" s="28">
        <v>1</v>
      </c>
      <c r="AJ14" s="28">
        <v>20.100000000000001</v>
      </c>
      <c r="AK14" s="29">
        <v>17.899999999999999</v>
      </c>
      <c r="AL14" s="52"/>
      <c r="AM14" s="27">
        <v>6</v>
      </c>
      <c r="AN14" s="28" t="e">
        <f>NA()</f>
        <v>#N/A</v>
      </c>
      <c r="AO14" s="28" t="e">
        <f>NA()</f>
        <v>#N/A</v>
      </c>
      <c r="AP14" s="28" t="e">
        <f>NA()</f>
        <v>#N/A</v>
      </c>
      <c r="AR14" s="49">
        <f>8</f>
        <v>8</v>
      </c>
      <c r="AS14" s="27">
        <v>0.16400000000000001</v>
      </c>
      <c r="AT14" s="28">
        <v>32</v>
      </c>
      <c r="AU14" s="28">
        <v>1.4E-2</v>
      </c>
      <c r="AV14" s="29">
        <v>1.196E-2</v>
      </c>
      <c r="AW14" s="52"/>
      <c r="AX14" s="35">
        <f>8</f>
        <v>8</v>
      </c>
      <c r="AY14" s="27">
        <v>0.16400000000000001</v>
      </c>
      <c r="AZ14" s="28">
        <v>36</v>
      </c>
      <c r="BA14" s="28">
        <v>1.474E-2</v>
      </c>
      <c r="BB14" s="43">
        <v>1.285E-2</v>
      </c>
    </row>
    <row r="15" spans="2:54" ht="15" customHeight="1" x14ac:dyDescent="0.25">
      <c r="B15" s="1" t="s">
        <v>4</v>
      </c>
      <c r="C15" s="1">
        <v>238</v>
      </c>
      <c r="D15" s="1" t="str">
        <f t="shared" ref="D15" si="5">IF($D$2="English","in", "mm")</f>
        <v>mm</v>
      </c>
      <c r="P15" s="1" t="s">
        <v>101</v>
      </c>
      <c r="Q15" s="54">
        <v>40000</v>
      </c>
      <c r="R15" s="1" t="str">
        <f>IF($D$2="English","lbf", "N")</f>
        <v>N</v>
      </c>
      <c r="V15" s="2" t="s">
        <v>102</v>
      </c>
      <c r="W15" s="105">
        <f>Q15/Q13</f>
        <v>10000</v>
      </c>
      <c r="X15" s="2" t="str">
        <f>IF($D$2="English","lbf", "N")</f>
        <v>N</v>
      </c>
      <c r="Z15" s="36" t="s">
        <v>2</v>
      </c>
      <c r="AA15" s="37"/>
      <c r="AB15" s="37"/>
      <c r="AC15" s="38"/>
      <c r="AD15" s="38"/>
      <c r="AE15" s="37"/>
      <c r="AF15" s="103"/>
      <c r="AH15" s="42">
        <v>8</v>
      </c>
      <c r="AI15" s="28">
        <v>1.25</v>
      </c>
      <c r="AJ15" s="28">
        <v>36.6</v>
      </c>
      <c r="AK15" s="29">
        <v>32.799999999999997</v>
      </c>
      <c r="AL15" s="52"/>
      <c r="AM15" s="27">
        <v>8</v>
      </c>
      <c r="AN15" s="28">
        <v>1</v>
      </c>
      <c r="AO15" s="28">
        <v>39.200000000000003</v>
      </c>
      <c r="AP15" s="43">
        <v>36</v>
      </c>
      <c r="AR15" s="49">
        <f>10</f>
        <v>10</v>
      </c>
      <c r="AS15" s="27">
        <v>0.19</v>
      </c>
      <c r="AT15" s="28">
        <v>24</v>
      </c>
      <c r="AU15" s="28">
        <v>1.7500000000000002E-2</v>
      </c>
      <c r="AV15" s="29">
        <v>1.4500000000000001E-2</v>
      </c>
      <c r="AW15" s="52"/>
      <c r="AX15" s="35">
        <f>10</f>
        <v>10</v>
      </c>
      <c r="AY15" s="27">
        <v>0.19</v>
      </c>
      <c r="AZ15" s="28">
        <v>32</v>
      </c>
      <c r="BA15" s="28">
        <v>0.02</v>
      </c>
      <c r="BB15" s="43">
        <v>1.7500000000000002E-2</v>
      </c>
    </row>
    <row r="16" spans="2:54" ht="15" customHeight="1" x14ac:dyDescent="0.25">
      <c r="B16" s="1" t="s">
        <v>72</v>
      </c>
      <c r="C16" s="1">
        <v>10.9</v>
      </c>
      <c r="D16" s="1"/>
      <c r="I16" s="2" t="s">
        <v>34</v>
      </c>
      <c r="J16" s="24">
        <f>SUM(N6:N10)^-1</f>
        <v>794384377498.37854</v>
      </c>
      <c r="K16" s="2" t="str">
        <f>IF($D$2="English","lbf/in","mN/m")</f>
        <v>mN/m</v>
      </c>
      <c r="P16" s="1" t="s">
        <v>65</v>
      </c>
      <c r="Q16" s="55">
        <f>IF(T17,Q17,W27*T16)</f>
        <v>71587.5</v>
      </c>
      <c r="R16" s="2" t="str">
        <f t="shared" ref="R16:X27" si="6">IF($D$2="English","lbf", "N")</f>
        <v>N</v>
      </c>
      <c r="S16" s="1" t="s">
        <v>71</v>
      </c>
      <c r="T16" s="58">
        <v>0.75</v>
      </c>
      <c r="V16" s="2" t="s">
        <v>104</v>
      </c>
      <c r="W16" s="106">
        <f>$W$13*W14+$Q$16</f>
        <v>71588.227194264531</v>
      </c>
      <c r="X16" s="2" t="str">
        <f t="shared" ref="X16:X20" si="7">IF($D$2="English","lbf", "N")</f>
        <v>N</v>
      </c>
      <c r="Z16" s="60" t="s">
        <v>84</v>
      </c>
      <c r="AA16" s="61" t="s">
        <v>85</v>
      </c>
      <c r="AB16" s="61" t="s">
        <v>86</v>
      </c>
      <c r="AC16" s="65" t="s">
        <v>91</v>
      </c>
      <c r="AD16" s="65" t="s">
        <v>92</v>
      </c>
      <c r="AE16" s="65" t="s">
        <v>98</v>
      </c>
      <c r="AF16" s="62" t="s">
        <v>79</v>
      </c>
      <c r="AH16" s="42">
        <v>10</v>
      </c>
      <c r="AI16" s="28">
        <v>1.5</v>
      </c>
      <c r="AJ16" s="28">
        <v>58</v>
      </c>
      <c r="AK16" s="29">
        <v>52.3</v>
      </c>
      <c r="AL16" s="52"/>
      <c r="AM16" s="27">
        <v>10</v>
      </c>
      <c r="AN16" s="28">
        <v>1.25</v>
      </c>
      <c r="AO16" s="28">
        <v>61.2</v>
      </c>
      <c r="AP16" s="43">
        <v>56.3</v>
      </c>
      <c r="AR16" s="49">
        <f>12</f>
        <v>12</v>
      </c>
      <c r="AS16" s="27">
        <v>0.216</v>
      </c>
      <c r="AT16" s="28">
        <v>24</v>
      </c>
      <c r="AU16" s="28">
        <v>2.4199999999999999E-2</v>
      </c>
      <c r="AV16" s="29">
        <v>2.06E-2</v>
      </c>
      <c r="AW16" s="52"/>
      <c r="AX16" s="35">
        <f>12</f>
        <v>12</v>
      </c>
      <c r="AY16" s="27">
        <v>0.216</v>
      </c>
      <c r="AZ16" s="28">
        <v>28</v>
      </c>
      <c r="BA16" s="28">
        <v>2.58E-2</v>
      </c>
      <c r="BB16" s="43">
        <v>2.2599999999999999E-2</v>
      </c>
    </row>
    <row r="17" spans="2:54" ht="15" customHeight="1" x14ac:dyDescent="0.25">
      <c r="B17" s="2" t="s">
        <v>22</v>
      </c>
      <c r="C17" s="2">
        <f>IF(C27,SUM(C6:C8)+C9,IF(C13&lt;=C8, C6+C7+(C13/2), C6+C7+(C8/2)))</f>
        <v>146</v>
      </c>
      <c r="D17" s="2" t="str">
        <f>IF($D$2="English","in", "mm")</f>
        <v>mm</v>
      </c>
      <c r="I17" s="2"/>
      <c r="J17" s="19">
        <f>IF($D$2="English",J16*10^-6,J16*10^-9)</f>
        <v>794.38437749837863</v>
      </c>
      <c r="K17" s="2" t="str">
        <f>IF($D$2="English","Mlbf/in","MN/m")</f>
        <v>MN/m</v>
      </c>
      <c r="P17" s="1"/>
      <c r="Q17" s="56">
        <v>20000</v>
      </c>
      <c r="R17" s="1" t="str">
        <f t="shared" si="6"/>
        <v>N</v>
      </c>
      <c r="S17" s="1" t="s">
        <v>70</v>
      </c>
      <c r="T17" s="20" t="b">
        <v>0</v>
      </c>
      <c r="V17" s="2" t="s">
        <v>104</v>
      </c>
      <c r="W17" s="106">
        <f>$W$13*W15+$Q$16</f>
        <v>71587.863597132266</v>
      </c>
      <c r="X17" s="2" t="str">
        <f t="shared" si="7"/>
        <v>N</v>
      </c>
      <c r="Z17" s="42">
        <v>1</v>
      </c>
      <c r="AA17" s="28">
        <v>0.25</v>
      </c>
      <c r="AB17" s="28">
        <v>1.5</v>
      </c>
      <c r="AC17" s="97">
        <v>33000</v>
      </c>
      <c r="AD17" s="97">
        <v>60000</v>
      </c>
      <c r="AE17" s="97">
        <v>36000</v>
      </c>
      <c r="AF17" s="63" t="s">
        <v>80</v>
      </c>
      <c r="AH17" s="42">
        <v>12</v>
      </c>
      <c r="AI17" s="28">
        <v>1.75</v>
      </c>
      <c r="AJ17" s="28">
        <v>84.3</v>
      </c>
      <c r="AK17" s="29">
        <v>76.3</v>
      </c>
      <c r="AL17" s="52"/>
      <c r="AM17" s="27">
        <v>12</v>
      </c>
      <c r="AN17" s="28">
        <v>1.25</v>
      </c>
      <c r="AO17" s="28">
        <v>92.1</v>
      </c>
      <c r="AP17" s="43">
        <v>86</v>
      </c>
      <c r="AR17" s="49">
        <f>1/4</f>
        <v>0.25</v>
      </c>
      <c r="AS17" s="27">
        <v>0.25</v>
      </c>
      <c r="AT17" s="28">
        <v>20</v>
      </c>
      <c r="AU17" s="28">
        <v>3.1800000000000002E-2</v>
      </c>
      <c r="AV17" s="29">
        <v>2.69E-2</v>
      </c>
      <c r="AW17" s="52"/>
      <c r="AX17" s="35">
        <f>1/4</f>
        <v>0.25</v>
      </c>
      <c r="AY17" s="27">
        <v>0.25</v>
      </c>
      <c r="AZ17" s="28">
        <v>28</v>
      </c>
      <c r="BA17" s="28">
        <v>3.6400000000000002E-2</v>
      </c>
      <c r="BB17" s="43">
        <v>3.2599999999999997E-2</v>
      </c>
    </row>
    <row r="18" spans="2:54" ht="15" customHeight="1" x14ac:dyDescent="0.25">
      <c r="B18" s="2" t="s">
        <v>21</v>
      </c>
      <c r="C18" s="2">
        <f>IF(F19,C19,IF(F18,C15,IF($D$2="English",IF(C15&lt;=6, 2*C13+0.25, 2*C13+0.5),IF(AND(C15&lt;=125,C13&lt;=48),2*C13+6,IF(C15&lt;=200,2*C13+12,2*C13+25)))))</f>
        <v>133</v>
      </c>
      <c r="D18" s="2" t="str">
        <f t="shared" ref="D18:D19" si="8">IF($D$2="English","in", "mm")</f>
        <v>mm</v>
      </c>
      <c r="E18" s="1" t="s">
        <v>37</v>
      </c>
      <c r="F18" s="20" t="b">
        <v>0</v>
      </c>
      <c r="V18" s="2" t="s">
        <v>58</v>
      </c>
      <c r="W18" s="2">
        <f>(1-W13)*W14-Q16</f>
        <v>-51588.227194264531</v>
      </c>
      <c r="X18" s="2" t="str">
        <f t="shared" si="7"/>
        <v>N</v>
      </c>
      <c r="Z18" s="71">
        <v>2</v>
      </c>
      <c r="AA18" s="67">
        <v>0.25</v>
      </c>
      <c r="AB18" s="67">
        <v>0.75</v>
      </c>
      <c r="AC18" s="96">
        <v>55000</v>
      </c>
      <c r="AD18" s="96">
        <v>74000</v>
      </c>
      <c r="AE18" s="96">
        <v>57000</v>
      </c>
      <c r="AF18" s="72" t="s">
        <v>80</v>
      </c>
      <c r="AH18" s="42">
        <v>14</v>
      </c>
      <c r="AI18" s="28">
        <v>2</v>
      </c>
      <c r="AJ18" s="28">
        <v>115</v>
      </c>
      <c r="AK18" s="29">
        <v>104</v>
      </c>
      <c r="AL18" s="52"/>
      <c r="AM18" s="27">
        <v>14</v>
      </c>
      <c r="AN18" s="28">
        <v>1.5</v>
      </c>
      <c r="AO18" s="28">
        <v>125</v>
      </c>
      <c r="AP18" s="43">
        <v>116</v>
      </c>
      <c r="AR18" s="49">
        <f>5/16</f>
        <v>0.3125</v>
      </c>
      <c r="AS18" s="27">
        <v>0.3125</v>
      </c>
      <c r="AT18" s="28">
        <v>18</v>
      </c>
      <c r="AU18" s="28">
        <v>5.2400000000000002E-2</v>
      </c>
      <c r="AV18" s="29">
        <v>4.5400000000000003E-2</v>
      </c>
      <c r="AW18" s="52"/>
      <c r="AX18" s="35">
        <f>5/16</f>
        <v>0.3125</v>
      </c>
      <c r="AY18" s="27">
        <v>0.3125</v>
      </c>
      <c r="AZ18" s="28">
        <v>24</v>
      </c>
      <c r="BA18" s="28">
        <v>5.8000000000000003E-2</v>
      </c>
      <c r="BB18" s="43">
        <v>5.2400000000000002E-2</v>
      </c>
    </row>
    <row r="19" spans="2:54" ht="15" customHeight="1" x14ac:dyDescent="0.25">
      <c r="B19" s="1"/>
      <c r="C19" s="1">
        <v>133</v>
      </c>
      <c r="D19" s="1" t="str">
        <f t="shared" si="8"/>
        <v>mm</v>
      </c>
      <c r="E19" s="1" t="s">
        <v>73</v>
      </c>
      <c r="F19" s="20" t="b">
        <v>1</v>
      </c>
      <c r="Z19" s="73">
        <v>2</v>
      </c>
      <c r="AA19" s="69">
        <v>0.875</v>
      </c>
      <c r="AB19" s="69">
        <v>1.5</v>
      </c>
      <c r="AC19" s="98">
        <v>33000</v>
      </c>
      <c r="AD19" s="98">
        <v>60000</v>
      </c>
      <c r="AE19" s="98">
        <v>36000</v>
      </c>
      <c r="AF19" s="74" t="e">
        <f>NA()</f>
        <v>#N/A</v>
      </c>
      <c r="AH19" s="42">
        <v>16</v>
      </c>
      <c r="AI19" s="28">
        <v>2</v>
      </c>
      <c r="AJ19" s="28">
        <v>157</v>
      </c>
      <c r="AK19" s="29">
        <v>144</v>
      </c>
      <c r="AL19" s="52"/>
      <c r="AM19" s="27">
        <v>16</v>
      </c>
      <c r="AN19" s="28">
        <v>1.5</v>
      </c>
      <c r="AO19" s="28">
        <v>167</v>
      </c>
      <c r="AP19" s="43">
        <v>157</v>
      </c>
      <c r="AR19" s="49">
        <f>3/8</f>
        <v>0.375</v>
      </c>
      <c r="AS19" s="27">
        <v>0.375</v>
      </c>
      <c r="AT19" s="28">
        <v>16</v>
      </c>
      <c r="AU19" s="28">
        <v>7.7499999999999999E-2</v>
      </c>
      <c r="AV19" s="29">
        <v>6.7799999999999999E-2</v>
      </c>
      <c r="AW19" s="52"/>
      <c r="AX19" s="35">
        <f>3/8</f>
        <v>0.375</v>
      </c>
      <c r="AY19" s="27">
        <v>0.375</v>
      </c>
      <c r="AZ19" s="28">
        <v>24</v>
      </c>
      <c r="BA19" s="28">
        <v>8.7800000000000003E-2</v>
      </c>
      <c r="BB19" s="43">
        <v>8.09E-2</v>
      </c>
    </row>
    <row r="20" spans="2:54" ht="15" customHeight="1" x14ac:dyDescent="0.25">
      <c r="B20" s="2" t="s">
        <v>24</v>
      </c>
      <c r="C20" s="2">
        <f>C15-C18</f>
        <v>105</v>
      </c>
      <c r="D20" s="2" t="str">
        <f>IF($D$2="English","in", "mm")</f>
        <v>mm</v>
      </c>
      <c r="V20" s="2" t="s">
        <v>59</v>
      </c>
      <c r="W20" s="2">
        <f>Q16/(1-W13)</f>
        <v>71590.102995614769</v>
      </c>
      <c r="X20" s="2" t="str">
        <f t="shared" si="7"/>
        <v>N</v>
      </c>
      <c r="Z20" s="42">
        <v>4</v>
      </c>
      <c r="AA20" s="28">
        <v>0.25</v>
      </c>
      <c r="AB20" s="28">
        <v>1.5</v>
      </c>
      <c r="AC20" s="97">
        <v>65000</v>
      </c>
      <c r="AD20" s="97">
        <v>115000</v>
      </c>
      <c r="AE20" s="97">
        <v>100000</v>
      </c>
      <c r="AF20" s="63" t="s">
        <v>87</v>
      </c>
      <c r="AH20" s="42">
        <v>20</v>
      </c>
      <c r="AI20" s="28">
        <v>2.5</v>
      </c>
      <c r="AJ20" s="28">
        <v>245</v>
      </c>
      <c r="AK20" s="29">
        <v>225</v>
      </c>
      <c r="AL20" s="52"/>
      <c r="AM20" s="27">
        <v>20</v>
      </c>
      <c r="AN20" s="28">
        <v>1.5</v>
      </c>
      <c r="AO20" s="28">
        <v>272</v>
      </c>
      <c r="AP20" s="43">
        <v>259</v>
      </c>
      <c r="AR20" s="49">
        <f>7/16</f>
        <v>0.4375</v>
      </c>
      <c r="AS20" s="27">
        <v>0.4375</v>
      </c>
      <c r="AT20" s="28">
        <v>14</v>
      </c>
      <c r="AU20" s="28">
        <v>0.10630000000000001</v>
      </c>
      <c r="AV20" s="29">
        <v>9.3299999999999994E-2</v>
      </c>
      <c r="AW20" s="52"/>
      <c r="AX20" s="35">
        <f>7/16</f>
        <v>0.4375</v>
      </c>
      <c r="AY20" s="27">
        <v>0.4375</v>
      </c>
      <c r="AZ20" s="28">
        <v>20</v>
      </c>
      <c r="BA20" s="28">
        <v>0.1187</v>
      </c>
      <c r="BB20" s="43">
        <v>0.109</v>
      </c>
    </row>
    <row r="21" spans="2:54" ht="15" customHeight="1" x14ac:dyDescent="0.25">
      <c r="B21" s="2" t="s">
        <v>25</v>
      </c>
      <c r="C21" s="2">
        <f>C17-C20</f>
        <v>41</v>
      </c>
      <c r="D21" s="2" t="str">
        <f>IF($D$2="English","in", "mm")</f>
        <v>mm</v>
      </c>
      <c r="U21" s="59"/>
      <c r="Z21" s="71">
        <v>5</v>
      </c>
      <c r="AA21" s="67">
        <v>0.25</v>
      </c>
      <c r="AB21" s="67">
        <v>1</v>
      </c>
      <c r="AC21" s="96">
        <v>85000</v>
      </c>
      <c r="AD21" s="96">
        <v>120000</v>
      </c>
      <c r="AE21" s="96">
        <v>92000</v>
      </c>
      <c r="AF21" s="72" t="s">
        <v>81</v>
      </c>
      <c r="AH21" s="42">
        <v>24</v>
      </c>
      <c r="AI21" s="28">
        <v>3</v>
      </c>
      <c r="AJ21" s="28">
        <v>353</v>
      </c>
      <c r="AK21" s="29">
        <v>324</v>
      </c>
      <c r="AL21" s="52"/>
      <c r="AM21" s="27">
        <v>24</v>
      </c>
      <c r="AN21" s="28">
        <v>2</v>
      </c>
      <c r="AO21" s="28">
        <v>384</v>
      </c>
      <c r="AP21" s="43">
        <v>365</v>
      </c>
      <c r="AR21" s="49">
        <f>1/2</f>
        <v>0.5</v>
      </c>
      <c r="AS21" s="27">
        <v>0.5</v>
      </c>
      <c r="AT21" s="28">
        <v>13</v>
      </c>
      <c r="AU21" s="28">
        <v>0.1419</v>
      </c>
      <c r="AV21" s="29">
        <v>0.12570000000000001</v>
      </c>
      <c r="AW21" s="52"/>
      <c r="AX21" s="35">
        <f>1/2</f>
        <v>0.5</v>
      </c>
      <c r="AY21" s="27">
        <v>0.5</v>
      </c>
      <c r="AZ21" s="28">
        <v>20</v>
      </c>
      <c r="BA21" s="28">
        <v>0.15989999999999999</v>
      </c>
      <c r="BB21" s="43">
        <v>0.14860000000000001</v>
      </c>
    </row>
    <row r="22" spans="2:54" ht="15" customHeight="1" x14ac:dyDescent="0.25">
      <c r="B22" s="2" t="s">
        <v>6</v>
      </c>
      <c r="C22" s="18">
        <f>(PI()*(C13^2))/4</f>
        <v>153.93804002589985</v>
      </c>
      <c r="D22" s="2" t="str">
        <f>IF($D$2="English","in^2","mm^2")</f>
        <v>mm^2</v>
      </c>
      <c r="V22" s="11" t="s">
        <v>60</v>
      </c>
      <c r="W22" s="11"/>
      <c r="X22" s="12"/>
      <c r="Z22" s="73">
        <v>5</v>
      </c>
      <c r="AA22" s="69">
        <v>1.125</v>
      </c>
      <c r="AB22" s="69">
        <v>1.5</v>
      </c>
      <c r="AC22" s="98">
        <v>74000</v>
      </c>
      <c r="AD22" s="98">
        <v>105000</v>
      </c>
      <c r="AE22" s="98">
        <v>81000</v>
      </c>
      <c r="AF22" s="74" t="e">
        <f>NA()</f>
        <v>#N/A</v>
      </c>
      <c r="AH22" s="42">
        <v>30</v>
      </c>
      <c r="AI22" s="28">
        <v>3.5</v>
      </c>
      <c r="AJ22" s="28">
        <v>561</v>
      </c>
      <c r="AK22" s="29">
        <v>519</v>
      </c>
      <c r="AL22" s="52"/>
      <c r="AM22" s="27">
        <v>30</v>
      </c>
      <c r="AN22" s="28">
        <v>2</v>
      </c>
      <c r="AO22" s="28">
        <v>621</v>
      </c>
      <c r="AP22" s="43">
        <v>596</v>
      </c>
      <c r="AR22" s="49">
        <f>9/16</f>
        <v>0.5625</v>
      </c>
      <c r="AS22" s="27">
        <v>0.5625</v>
      </c>
      <c r="AT22" s="28">
        <v>12</v>
      </c>
      <c r="AU22" s="28">
        <v>0.182</v>
      </c>
      <c r="AV22" s="29">
        <v>0.16200000000000001</v>
      </c>
      <c r="AW22" s="52"/>
      <c r="AX22" s="35">
        <f>9/16</f>
        <v>0.5625</v>
      </c>
      <c r="AY22" s="27">
        <v>0.5625</v>
      </c>
      <c r="AZ22" s="28">
        <v>18</v>
      </c>
      <c r="BA22" s="28">
        <v>0.20300000000000001</v>
      </c>
      <c r="BB22" s="43">
        <v>0.189</v>
      </c>
    </row>
    <row r="23" spans="2:54" ht="15" customHeight="1" x14ac:dyDescent="0.25">
      <c r="B23" s="2" t="s">
        <v>7</v>
      </c>
      <c r="C23" s="2">
        <f>IF($D$2="English",IF($C$14="UNC",VLOOKUP($C$13,$AS$7:$AV$28,3,FALSE),VLOOKUP($C$13,$AY$7:$BB$28,3,FALSE)), IF($C$14="UNC",VLOOKUP($C$13,$AH$7:$AK$32,3,FALSE),VLOOKUP($C$13,$AM$7:$AP$32,3,FALSE)))</f>
        <v>115</v>
      </c>
      <c r="D23" s="2" t="str">
        <f>IF($D$2="English","in^2","mm^2")</f>
        <v>mm^2</v>
      </c>
      <c r="V23" s="2" t="s">
        <v>61</v>
      </c>
      <c r="W23" s="26">
        <f>(W5*C23)/(W16)</f>
        <v>1333319.7893137268</v>
      </c>
      <c r="X23" s="2"/>
      <c r="Z23" s="75">
        <v>5.2</v>
      </c>
      <c r="AA23" s="77">
        <v>0.25</v>
      </c>
      <c r="AB23" s="77">
        <v>1</v>
      </c>
      <c r="AC23" s="97">
        <v>85000</v>
      </c>
      <c r="AD23" s="97">
        <v>120000</v>
      </c>
      <c r="AE23" s="97">
        <v>92000</v>
      </c>
      <c r="AF23" s="78" t="s">
        <v>82</v>
      </c>
      <c r="AH23" s="42">
        <v>36</v>
      </c>
      <c r="AI23" s="28">
        <v>4</v>
      </c>
      <c r="AJ23" s="28">
        <v>817</v>
      </c>
      <c r="AK23" s="29">
        <v>759</v>
      </c>
      <c r="AL23" s="52"/>
      <c r="AM23" s="27">
        <v>36</v>
      </c>
      <c r="AN23" s="28">
        <v>2</v>
      </c>
      <c r="AO23" s="28">
        <v>915</v>
      </c>
      <c r="AP23" s="43">
        <v>884</v>
      </c>
      <c r="AR23" s="49">
        <f>5/8</f>
        <v>0.625</v>
      </c>
      <c r="AS23" s="27">
        <v>0.625</v>
      </c>
      <c r="AT23" s="28">
        <v>11</v>
      </c>
      <c r="AU23" s="28">
        <v>0.22600000000000001</v>
      </c>
      <c r="AV23" s="29">
        <v>0.20200000000000001</v>
      </c>
      <c r="AW23" s="52"/>
      <c r="AX23" s="35">
        <f>5/8</f>
        <v>0.625</v>
      </c>
      <c r="AY23" s="27">
        <v>0.625</v>
      </c>
      <c r="AZ23" s="28">
        <v>18</v>
      </c>
      <c r="BA23" s="28">
        <v>0.25600000000000001</v>
      </c>
      <c r="BB23" s="43">
        <v>0.24</v>
      </c>
    </row>
    <row r="24" spans="2:54" ht="15" customHeight="1" x14ac:dyDescent="0.25">
      <c r="B24" s="2" t="str">
        <f>IF($D$2="English","Bolt threads per inch, p","Bolt pitch, p")</f>
        <v>Bolt pitch, p</v>
      </c>
      <c r="C24" s="2">
        <f>IF($D$2="English",IF($C$14="UNC",VLOOKUP($C$13,$AS$7:$AV$28,2,FALSE),VLOOKUP($C$13,$AY$7:$BB$28,2,FALSE)), IF($C$14="UNC",VLOOKUP($C$13,$AH$7:$AK$32,2,FALSE),VLOOKUP($C$13,$AM$7:$AP$32,2,FALSE)))</f>
        <v>2</v>
      </c>
      <c r="D24" s="2" t="str">
        <f>IF($D$2="English","threads/in","mm")</f>
        <v>mm</v>
      </c>
      <c r="V24" s="2" t="s">
        <v>62</v>
      </c>
      <c r="W24" s="26">
        <f>(W5*C23-Q16)/(W13*W14)</f>
        <v>131257812483.15355</v>
      </c>
      <c r="X24" s="2"/>
      <c r="Z24" s="75">
        <v>7</v>
      </c>
      <c r="AA24" s="77">
        <v>0.25</v>
      </c>
      <c r="AB24" s="77">
        <v>1.5</v>
      </c>
      <c r="AC24" s="97">
        <v>105000</v>
      </c>
      <c r="AD24" s="97">
        <v>133000</v>
      </c>
      <c r="AE24" s="97">
        <v>115000</v>
      </c>
      <c r="AF24" s="78" t="s">
        <v>88</v>
      </c>
      <c r="AH24" s="42">
        <v>42</v>
      </c>
      <c r="AI24" s="28">
        <v>4.5</v>
      </c>
      <c r="AJ24" s="28">
        <v>1120</v>
      </c>
      <c r="AK24" s="29">
        <v>1050</v>
      </c>
      <c r="AL24" s="52"/>
      <c r="AM24" s="27">
        <v>42</v>
      </c>
      <c r="AN24" s="28">
        <v>2</v>
      </c>
      <c r="AO24" s="28">
        <v>1260</v>
      </c>
      <c r="AP24" s="43">
        <v>1230</v>
      </c>
      <c r="AR24" s="49">
        <f>3/4</f>
        <v>0.75</v>
      </c>
      <c r="AS24" s="27">
        <v>0.75</v>
      </c>
      <c r="AT24" s="28">
        <v>10</v>
      </c>
      <c r="AU24" s="28">
        <v>0.33400000000000002</v>
      </c>
      <c r="AV24" s="29">
        <v>0.30199999999999999</v>
      </c>
      <c r="AW24" s="52"/>
      <c r="AX24" s="35">
        <f>3/4</f>
        <v>0.75</v>
      </c>
      <c r="AY24" s="27">
        <v>0.75</v>
      </c>
      <c r="AZ24" s="28">
        <v>16</v>
      </c>
      <c r="BA24" s="28">
        <v>0.373</v>
      </c>
      <c r="BB24" s="43">
        <v>0.35099999999999998</v>
      </c>
    </row>
    <row r="25" spans="2:54" ht="15" customHeight="1" x14ac:dyDescent="0.25">
      <c r="V25" s="2" t="s">
        <v>63</v>
      </c>
      <c r="W25" s="26">
        <f>W20/W14</f>
        <v>3.5795051497807386</v>
      </c>
      <c r="X25" s="2"/>
      <c r="Z25" s="75">
        <v>8</v>
      </c>
      <c r="AA25" s="77">
        <v>0.25</v>
      </c>
      <c r="AB25" s="77">
        <v>1.5</v>
      </c>
      <c r="AC25" s="97">
        <v>120000</v>
      </c>
      <c r="AD25" s="97">
        <v>150000</v>
      </c>
      <c r="AE25" s="97">
        <v>130000</v>
      </c>
      <c r="AF25" s="78" t="s">
        <v>88</v>
      </c>
      <c r="AH25" s="42">
        <v>48</v>
      </c>
      <c r="AI25" s="28">
        <v>5</v>
      </c>
      <c r="AJ25" s="28">
        <v>1470</v>
      </c>
      <c r="AK25" s="29">
        <v>1380</v>
      </c>
      <c r="AL25" s="52"/>
      <c r="AM25" s="27">
        <v>48</v>
      </c>
      <c r="AN25" s="28">
        <v>2</v>
      </c>
      <c r="AO25" s="28">
        <v>1670</v>
      </c>
      <c r="AP25" s="43">
        <v>1630</v>
      </c>
      <c r="AR25" s="49">
        <f>7/8</f>
        <v>0.875</v>
      </c>
      <c r="AS25" s="27">
        <v>0.875</v>
      </c>
      <c r="AT25" s="28">
        <v>9</v>
      </c>
      <c r="AU25" s="28">
        <v>0.46200000000000002</v>
      </c>
      <c r="AV25" s="29">
        <v>0.41899999999999998</v>
      </c>
      <c r="AW25" s="52"/>
      <c r="AX25" s="35">
        <f>7/8</f>
        <v>0.875</v>
      </c>
      <c r="AY25" s="27">
        <v>0.875</v>
      </c>
      <c r="AZ25" s="28">
        <v>14</v>
      </c>
      <c r="BA25" s="28">
        <v>0.50900000000000001</v>
      </c>
      <c r="BB25" s="43">
        <v>0.48</v>
      </c>
    </row>
    <row r="26" spans="2:54" ht="15.75" thickBot="1" x14ac:dyDescent="0.3">
      <c r="B26" s="1" t="s">
        <v>8</v>
      </c>
      <c r="C26" s="20" t="b">
        <v>0</v>
      </c>
      <c r="D26" s="136" t="s">
        <v>35</v>
      </c>
      <c r="E26" s="136"/>
      <c r="F26" s="136"/>
      <c r="Z26" s="79">
        <v>8.1999999999999993</v>
      </c>
      <c r="AA26" s="80">
        <v>0.25</v>
      </c>
      <c r="AB26" s="80">
        <v>1</v>
      </c>
      <c r="AC26" s="93">
        <v>120000</v>
      </c>
      <c r="AD26" s="93">
        <v>150000</v>
      </c>
      <c r="AE26" s="93">
        <v>130000</v>
      </c>
      <c r="AF26" s="81" t="s">
        <v>82</v>
      </c>
      <c r="AH26" s="42">
        <v>56</v>
      </c>
      <c r="AI26" s="28">
        <v>5.5</v>
      </c>
      <c r="AJ26" s="28">
        <v>2030</v>
      </c>
      <c r="AK26" s="29">
        <v>1910</v>
      </c>
      <c r="AL26" s="52"/>
      <c r="AM26" s="27">
        <v>56</v>
      </c>
      <c r="AN26" s="28">
        <v>2</v>
      </c>
      <c r="AO26" s="28">
        <v>2300</v>
      </c>
      <c r="AP26" s="43">
        <v>2250</v>
      </c>
      <c r="AR26" s="49">
        <f>1</f>
        <v>1</v>
      </c>
      <c r="AS26" s="27">
        <v>1</v>
      </c>
      <c r="AT26" s="28">
        <v>8</v>
      </c>
      <c r="AU26" s="28">
        <v>0.60599999999999998</v>
      </c>
      <c r="AV26" s="29">
        <v>0.55100000000000005</v>
      </c>
      <c r="AW26" s="52"/>
      <c r="AX26" s="35">
        <f>1</f>
        <v>1</v>
      </c>
      <c r="AY26" s="27">
        <v>1</v>
      </c>
      <c r="AZ26" s="28">
        <v>12</v>
      </c>
      <c r="BA26" s="28">
        <v>0.66300000000000003</v>
      </c>
      <c r="BB26" s="43">
        <v>0.625</v>
      </c>
    </row>
    <row r="27" spans="2:54" ht="18" x14ac:dyDescent="0.25">
      <c r="B27" s="1" t="s">
        <v>9</v>
      </c>
      <c r="C27" s="21" t="b">
        <f>NOT(C26)</f>
        <v>1</v>
      </c>
      <c r="D27" s="136"/>
      <c r="E27" s="136"/>
      <c r="F27" s="136"/>
      <c r="V27" s="2" t="s">
        <v>64</v>
      </c>
      <c r="W27" s="55">
        <f>IF($D$2="English",W5*C23,W5*C23*10^-6)</f>
        <v>95450</v>
      </c>
      <c r="X27" s="2" t="str">
        <f t="shared" si="6"/>
        <v>N</v>
      </c>
      <c r="AH27" s="42">
        <v>64</v>
      </c>
      <c r="AI27" s="28">
        <v>6</v>
      </c>
      <c r="AJ27" s="28">
        <v>2680</v>
      </c>
      <c r="AK27" s="29">
        <v>2520</v>
      </c>
      <c r="AL27" s="52"/>
      <c r="AM27" s="27">
        <v>64</v>
      </c>
      <c r="AN27" s="28">
        <v>2</v>
      </c>
      <c r="AO27" s="28">
        <v>3030</v>
      </c>
      <c r="AP27" s="43">
        <v>2980</v>
      </c>
      <c r="AR27" s="49">
        <f>1.25</f>
        <v>1.25</v>
      </c>
      <c r="AS27" s="27">
        <v>1.25</v>
      </c>
      <c r="AT27" s="28">
        <v>7</v>
      </c>
      <c r="AU27" s="28">
        <v>0.96899999999999997</v>
      </c>
      <c r="AV27" s="29">
        <v>0.89</v>
      </c>
      <c r="AW27" s="52"/>
      <c r="AX27" s="35">
        <f>1.25</f>
        <v>1.25</v>
      </c>
      <c r="AY27" s="27">
        <v>1.25</v>
      </c>
      <c r="AZ27" s="28">
        <v>12</v>
      </c>
      <c r="BA27" s="28">
        <v>1.073</v>
      </c>
      <c r="BB27" s="43">
        <v>1.024</v>
      </c>
    </row>
    <row r="28" spans="2:54" ht="15" customHeight="1" thickBot="1" x14ac:dyDescent="0.3">
      <c r="V28" s="2" t="s">
        <v>65</v>
      </c>
      <c r="W28" s="55">
        <f>Q16</f>
        <v>71587.5</v>
      </c>
      <c r="X28" s="2" t="str">
        <f>R16</f>
        <v>N</v>
      </c>
      <c r="Z28" s="86" t="s">
        <v>96</v>
      </c>
      <c r="AA28" s="86"/>
      <c r="AB28" s="86"/>
      <c r="AC28" s="86"/>
      <c r="AD28" s="86"/>
      <c r="AE28" s="86"/>
      <c r="AF28" s="86"/>
      <c r="AH28" s="42">
        <v>72</v>
      </c>
      <c r="AI28" s="28">
        <v>6</v>
      </c>
      <c r="AJ28" s="28">
        <v>3460</v>
      </c>
      <c r="AK28" s="29">
        <v>3280</v>
      </c>
      <c r="AL28" s="52"/>
      <c r="AM28" s="27">
        <v>72</v>
      </c>
      <c r="AN28" s="28">
        <v>2</v>
      </c>
      <c r="AO28" s="28">
        <v>3860</v>
      </c>
      <c r="AP28" s="43">
        <v>3800</v>
      </c>
      <c r="AR28" s="50">
        <f>1.5</f>
        <v>1.5</v>
      </c>
      <c r="AS28" s="47">
        <v>1.5</v>
      </c>
      <c r="AT28" s="45">
        <v>6</v>
      </c>
      <c r="AU28" s="45">
        <v>1.405</v>
      </c>
      <c r="AV28" s="46">
        <v>1.294</v>
      </c>
      <c r="AW28" s="53"/>
      <c r="AX28" s="51">
        <f>1.5</f>
        <v>1.5</v>
      </c>
      <c r="AY28" s="47">
        <v>1.5</v>
      </c>
      <c r="AZ28" s="45">
        <v>12</v>
      </c>
      <c r="BA28" s="45">
        <v>1.581</v>
      </c>
      <c r="BB28" s="48">
        <v>1.5209999999999999</v>
      </c>
    </row>
    <row r="29" spans="2:54" ht="15" customHeight="1" x14ac:dyDescent="0.25">
      <c r="B29" s="2" t="s">
        <v>38</v>
      </c>
      <c r="C29" s="24">
        <f>IF(C20=0,0,(C22*C12)/C20)</f>
        <v>43982297.150257103</v>
      </c>
      <c r="D29" s="2" t="str">
        <f>IF($D$2="English","lbf/in","mN/m")</f>
        <v>mN/m</v>
      </c>
      <c r="Z29" s="82" cm="1">
        <f t="array" ref="Z29:AF29">IF($D$2="English",_xlfn._xlws.FILTER(Z17:AF26,Z17:Z26=C16,Z27:AF28=NA()), _xlfn._xlws.FILTER(Z6:AF12,Z6:Z12=C16,Z27:AF28=NA()))</f>
        <v>10.9</v>
      </c>
      <c r="AA29" s="83">
        <v>5</v>
      </c>
      <c r="AB29" s="83">
        <v>36</v>
      </c>
      <c r="AC29" s="99">
        <v>830000000</v>
      </c>
      <c r="AD29" s="100">
        <v>1040000000</v>
      </c>
      <c r="AE29" s="100">
        <v>940000000</v>
      </c>
      <c r="AF29" s="84" t="str">
        <v>Low-carbon martensite, Q&amp;T</v>
      </c>
      <c r="AH29" s="42">
        <v>80</v>
      </c>
      <c r="AI29" s="28">
        <v>6</v>
      </c>
      <c r="AJ29" s="28">
        <v>4340</v>
      </c>
      <c r="AK29" s="29">
        <v>4140</v>
      </c>
      <c r="AL29" s="52"/>
      <c r="AM29" s="27">
        <v>80</v>
      </c>
      <c r="AN29" s="28">
        <v>1.5</v>
      </c>
      <c r="AO29" s="28">
        <v>4850</v>
      </c>
      <c r="AP29" s="43">
        <v>4800</v>
      </c>
    </row>
    <row r="30" spans="2:54" ht="15" customHeight="1" thickBot="1" x14ac:dyDescent="0.3">
      <c r="B30" s="2"/>
      <c r="C30" s="19">
        <f>IF($D$2="English",C29*10^-6,C29*10^-9)</f>
        <v>4.3982297150257109E-2</v>
      </c>
      <c r="D30" s="2" t="str">
        <f>IF($D$2="English","Mlbf/in","MN/m")</f>
        <v>MN/m</v>
      </c>
      <c r="V30" s="1" t="s">
        <v>67</v>
      </c>
      <c r="W30" s="57">
        <v>0.2</v>
      </c>
      <c r="X30" s="22"/>
      <c r="Z30" s="85"/>
      <c r="AA30" s="86"/>
      <c r="AB30" s="86"/>
      <c r="AC30" s="101"/>
      <c r="AD30" s="102"/>
      <c r="AE30" s="102"/>
      <c r="AF30" s="87"/>
      <c r="AH30" s="42">
        <v>90</v>
      </c>
      <c r="AI30" s="28">
        <v>6</v>
      </c>
      <c r="AJ30" s="28">
        <v>5590</v>
      </c>
      <c r="AK30" s="29">
        <v>5360</v>
      </c>
      <c r="AL30" s="52"/>
      <c r="AM30" s="27">
        <v>90</v>
      </c>
      <c r="AN30" s="28">
        <v>2</v>
      </c>
      <c r="AO30" s="28">
        <v>6100</v>
      </c>
      <c r="AP30" s="43">
        <v>6020</v>
      </c>
    </row>
    <row r="31" spans="2:54" ht="15" customHeight="1" x14ac:dyDescent="0.25">
      <c r="B31" s="2" t="s">
        <v>39</v>
      </c>
      <c r="C31" s="24">
        <f>IF(C21=0,0,(C23*C12)/C21)</f>
        <v>84146341.463414639</v>
      </c>
      <c r="D31" s="2" t="str">
        <f>IF($D$2="English","lbf/in","mN/m")</f>
        <v>mN/m</v>
      </c>
      <c r="V31" s="2" t="s">
        <v>66</v>
      </c>
      <c r="W31" s="55">
        <f>IF($D$2="English",W30*Q16*C13,W30*Q16*(C13*10^-3))</f>
        <v>200.44499999999999</v>
      </c>
      <c r="X31" s="2" t="str">
        <f>IF($D$2="English","in-lbf", "Nm")</f>
        <v>Nm</v>
      </c>
      <c r="AH31" s="42">
        <v>100</v>
      </c>
      <c r="AI31" s="28">
        <v>6</v>
      </c>
      <c r="AJ31" s="28">
        <v>6990</v>
      </c>
      <c r="AK31" s="29">
        <v>6740</v>
      </c>
      <c r="AL31" s="52"/>
      <c r="AM31" s="27">
        <v>100</v>
      </c>
      <c r="AN31" s="28">
        <v>2</v>
      </c>
      <c r="AO31" s="28">
        <v>7560</v>
      </c>
      <c r="AP31" s="43">
        <v>7470</v>
      </c>
    </row>
    <row r="32" spans="2:54" ht="15" customHeight="1" thickBot="1" x14ac:dyDescent="0.3">
      <c r="B32" s="2"/>
      <c r="C32" s="19">
        <f>IF($D$2="English",C31*10^-6,C31*10^-9)</f>
        <v>8.4146341463414639E-2</v>
      </c>
      <c r="D32" s="2" t="str">
        <f>IF($D$2="English","Mlbf/in","MN/m")</f>
        <v>MN/m</v>
      </c>
      <c r="AH32" s="44">
        <v>110</v>
      </c>
      <c r="AI32" s="45">
        <v>6</v>
      </c>
      <c r="AJ32" s="45" t="e">
        <f>NA()</f>
        <v>#N/A</v>
      </c>
      <c r="AK32" s="46" t="e">
        <f>NA()</f>
        <v>#N/A</v>
      </c>
      <c r="AL32" s="53"/>
      <c r="AM32" s="47">
        <v>110</v>
      </c>
      <c r="AN32" s="45">
        <v>2</v>
      </c>
      <c r="AO32" s="45">
        <v>9180</v>
      </c>
      <c r="AP32" s="48">
        <v>9080</v>
      </c>
    </row>
    <row r="33" spans="2:4" ht="15" customHeight="1" x14ac:dyDescent="0.25">
      <c r="B33" s="2" t="s">
        <v>5</v>
      </c>
      <c r="C33" s="24">
        <f>SUM(IF(C29=0,0,C29^-1),IF(C31=0,0,C31^-1))^-1</f>
        <v>28884638.394620385</v>
      </c>
      <c r="D33" s="2" t="str">
        <f>IF($D$2="English","lbf/in","mN/m")</f>
        <v>mN/m</v>
      </c>
    </row>
    <row r="34" spans="2:4" ht="15" customHeight="1" x14ac:dyDescent="0.25">
      <c r="B34" s="2"/>
      <c r="C34" s="19">
        <f>IF($D$2="English",C33*10^-6,C33*10^-9)</f>
        <v>2.8884638394620386E-2</v>
      </c>
      <c r="D34" s="2" t="str">
        <f>IF($D$2="English","Mlbf/in","MN/m")</f>
        <v>MN/m</v>
      </c>
    </row>
    <row r="150" spans="55:55" ht="15" customHeight="1" x14ac:dyDescent="0.25">
      <c r="BC150" s="6" t="s">
        <v>26</v>
      </c>
    </row>
  </sheetData>
  <mergeCells count="6">
    <mergeCell ref="D26:F27"/>
    <mergeCell ref="Z2:BB2"/>
    <mergeCell ref="AH5:AK5"/>
    <mergeCell ref="AM5:AP5"/>
    <mergeCell ref="AR5:AV5"/>
    <mergeCell ref="AX5:BB5"/>
  </mergeCells>
  <conditionalFormatting sqref="C17:D17">
    <cfRule type="expression" dxfId="17" priority="6">
      <formula>$C$17&lt;&gt;$J$12</formula>
    </cfRule>
    <cfRule type="duplicateValues" dxfId="16" priority="7"/>
  </conditionalFormatting>
  <conditionalFormatting sqref="I6:N6">
    <cfRule type="expression" dxfId="15" priority="4">
      <formula>0=$J$6</formula>
    </cfRule>
  </conditionalFormatting>
  <conditionalFormatting sqref="I7:N7">
    <cfRule type="expression" dxfId="14" priority="5">
      <formula>0=$J$7</formula>
    </cfRule>
  </conditionalFormatting>
  <conditionalFormatting sqref="I8:N8">
    <cfRule type="expression" dxfId="13" priority="3">
      <formula>0=$J$8</formula>
    </cfRule>
  </conditionalFormatting>
  <conditionalFormatting sqref="I9:N9">
    <cfRule type="expression" dxfId="12" priority="2">
      <formula>0=$J$9</formula>
    </cfRule>
  </conditionalFormatting>
  <conditionalFormatting sqref="I10:N10">
    <cfRule type="expression" dxfId="11" priority="1">
      <formula>0=$J$10</formula>
    </cfRule>
  </conditionalFormatting>
  <conditionalFormatting sqref="J12:K13">
    <cfRule type="expression" dxfId="10" priority="8">
      <formula>$C$17&lt;&gt;$J$12</formula>
    </cfRule>
  </conditionalFormatting>
  <dataValidations count="2">
    <dataValidation type="list" allowBlank="1" showInputMessage="1" showErrorMessage="1" sqref="C14" xr:uid="{67769309-EB29-471B-9539-2B8331F08142}">
      <formula1>"UNC, UNF"</formula1>
    </dataValidation>
    <dataValidation type="list" allowBlank="1" showInputMessage="1" showErrorMessage="1" sqref="D2" xr:uid="{6F671492-0526-4174-B2AA-C273D696E9D6}">
      <formula1>"English, Metric"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7C6A-72F3-40AE-BCFC-DFAFD96EB56B}">
  <sheetPr>
    <tabColor rgb="FF00B0F0"/>
  </sheetPr>
  <dimension ref="B2:BL150"/>
  <sheetViews>
    <sheetView topLeftCell="E34" zoomScale="85" zoomScaleNormal="85" workbookViewId="0">
      <selection activeCell="Y19" sqref="Y19"/>
    </sheetView>
  </sheetViews>
  <sheetFormatPr defaultColWidth="8.85546875" defaultRowHeight="15" customHeight="1" x14ac:dyDescent="0.25"/>
  <cols>
    <col min="1" max="1" width="8.85546875" style="6"/>
    <col min="2" max="2" width="30.7109375" style="6" bestFit="1" customWidth="1"/>
    <col min="3" max="3" width="13" style="6" customWidth="1"/>
    <col min="4" max="4" width="10.140625" style="6" customWidth="1"/>
    <col min="5" max="5" width="23" style="6" bestFit="1" customWidth="1"/>
    <col min="6" max="6" width="10.7109375" style="6" customWidth="1"/>
    <col min="7" max="8" width="9.140625" style="6" customWidth="1"/>
    <col min="9" max="9" width="19.28515625" style="6" bestFit="1" customWidth="1"/>
    <col min="10" max="10" width="15" style="6" bestFit="1" customWidth="1"/>
    <col min="11" max="11" width="10.140625" style="6" bestFit="1" customWidth="1"/>
    <col min="12" max="12" width="9.7109375" style="6" bestFit="1" customWidth="1"/>
    <col min="13" max="13" width="11" style="6" bestFit="1" customWidth="1"/>
    <col min="14" max="14" width="12" style="6" bestFit="1" customWidth="1"/>
    <col min="15" max="15" width="8.85546875" style="6"/>
    <col min="16" max="16" width="30.7109375" style="6" bestFit="1" customWidth="1"/>
    <col min="17" max="17" width="13" style="6" customWidth="1"/>
    <col min="18" max="18" width="10.140625" style="6" customWidth="1"/>
    <col min="19" max="19" width="21.85546875" style="6" bestFit="1" customWidth="1"/>
    <col min="20" max="20" width="10.7109375" style="6" customWidth="1"/>
    <col min="21" max="21" width="8.85546875" style="6"/>
    <col min="22" max="22" width="30.28515625" style="6" bestFit="1" customWidth="1"/>
    <col min="23" max="23" width="16.42578125" style="6" bestFit="1" customWidth="1"/>
    <col min="24" max="24" width="10.140625" style="6" bestFit="1" customWidth="1"/>
    <col min="25" max="25" width="28.85546875" style="6" bestFit="1" customWidth="1"/>
    <col min="26" max="26" width="16.42578125" style="6" bestFit="1" customWidth="1"/>
    <col min="27" max="27" width="10.140625" style="6" customWidth="1"/>
    <col min="28" max="28" width="8.85546875" style="6"/>
    <col min="29" max="29" width="21.85546875" style="6" customWidth="1"/>
    <col min="30" max="30" width="14.28515625" style="6" bestFit="1" customWidth="1"/>
    <col min="31" max="31" width="12" style="6" bestFit="1" customWidth="1"/>
    <col min="32" max="32" width="12.28515625" style="6" bestFit="1" customWidth="1"/>
    <col min="33" max="33" width="23.7109375" style="6" bestFit="1" customWidth="1"/>
    <col min="34" max="34" width="21.28515625" style="6" customWidth="1"/>
    <col min="35" max="35" width="14.28515625" style="6" bestFit="1" customWidth="1"/>
    <col min="36" max="36" width="12" style="6" bestFit="1" customWidth="1"/>
    <col min="37" max="37" width="12.28515625" style="6" bestFit="1" customWidth="1"/>
    <col min="38" max="38" width="18.85546875" style="6" bestFit="1" customWidth="1"/>
    <col min="39" max="39" width="20.5703125" style="6" bestFit="1" customWidth="1"/>
    <col min="40" max="40" width="18.5703125" style="6" bestFit="1" customWidth="1"/>
    <col min="41" max="41" width="26.5703125" style="6" bestFit="1" customWidth="1"/>
    <col min="42" max="42" width="8.85546875" style="6"/>
    <col min="43" max="43" width="16.85546875" style="6" bestFit="1" customWidth="1"/>
    <col min="44" max="44" width="7.7109375" style="6" bestFit="1" customWidth="1"/>
    <col min="45" max="45" width="15.140625" style="6" customWidth="1"/>
    <col min="46" max="46" width="15.85546875" style="6" customWidth="1"/>
    <col min="47" max="47" width="8.85546875" style="6"/>
    <col min="48" max="48" width="16.85546875" style="6" bestFit="1" customWidth="1"/>
    <col min="49" max="49" width="7.7109375" style="6" bestFit="1" customWidth="1"/>
    <col min="50" max="50" width="15.140625" style="6" customWidth="1"/>
    <col min="51" max="51" width="15.85546875" style="6" customWidth="1"/>
    <col min="52" max="52" width="8.85546875" style="6"/>
    <col min="53" max="54" width="16.85546875" style="6" bestFit="1" customWidth="1"/>
    <col min="55" max="55" width="12" style="6" bestFit="1" customWidth="1"/>
    <col min="56" max="56" width="15.140625" style="6" customWidth="1"/>
    <col min="57" max="57" width="15.85546875" style="6" customWidth="1"/>
    <col min="58" max="58" width="8.85546875" style="6"/>
    <col min="59" max="60" width="16.85546875" style="6" bestFit="1" customWidth="1"/>
    <col min="61" max="61" width="12" style="6" bestFit="1" customWidth="1"/>
    <col min="62" max="62" width="15.140625" style="6" customWidth="1"/>
    <col min="63" max="63" width="15.85546875" style="6" customWidth="1"/>
    <col min="64" max="16384" width="8.85546875" style="6"/>
  </cols>
  <sheetData>
    <row r="2" spans="2:63" ht="15" customHeight="1" x14ac:dyDescent="0.25">
      <c r="B2" s="3" t="s">
        <v>0</v>
      </c>
      <c r="C2" s="4" t="s">
        <v>17</v>
      </c>
      <c r="D2" s="5" t="s">
        <v>36</v>
      </c>
      <c r="I2" s="7" t="s">
        <v>1</v>
      </c>
      <c r="J2" s="2"/>
      <c r="K2" s="2"/>
      <c r="L2" s="2"/>
      <c r="M2" s="2"/>
      <c r="N2" s="2"/>
      <c r="P2" s="3" t="s">
        <v>0</v>
      </c>
      <c r="Q2" s="1"/>
      <c r="R2" s="1"/>
      <c r="S2" s="1"/>
      <c r="T2" s="1"/>
      <c r="AC2" s="104" t="s">
        <v>99</v>
      </c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</row>
    <row r="3" spans="2:63" ht="15" customHeight="1" thickBot="1" x14ac:dyDescent="0.3">
      <c r="AD3" s="6" t="s">
        <v>125</v>
      </c>
      <c r="AI3" s="6" t="s">
        <v>90</v>
      </c>
      <c r="AQ3" s="6" t="s">
        <v>53</v>
      </c>
      <c r="BA3" s="6" t="s">
        <v>54</v>
      </c>
    </row>
    <row r="4" spans="2:63" ht="15" customHeight="1" x14ac:dyDescent="0.25">
      <c r="B4" s="8" t="s">
        <v>16</v>
      </c>
      <c r="C4" s="9"/>
      <c r="D4" s="9"/>
      <c r="I4" s="11" t="s">
        <v>18</v>
      </c>
      <c r="J4" s="11"/>
      <c r="K4" s="12"/>
      <c r="L4" s="12"/>
      <c r="M4" s="12"/>
      <c r="N4" s="12"/>
      <c r="V4" s="11" t="s">
        <v>97</v>
      </c>
      <c r="W4" s="11"/>
      <c r="X4" s="12"/>
      <c r="AD4" s="36" t="s">
        <v>36</v>
      </c>
      <c r="AE4" s="37"/>
      <c r="AF4" s="37"/>
      <c r="AG4" s="39"/>
      <c r="AI4" s="36" t="s">
        <v>36</v>
      </c>
      <c r="AJ4" s="37"/>
      <c r="AK4" s="37"/>
      <c r="AL4" s="38"/>
      <c r="AM4" s="38"/>
      <c r="AN4" s="37"/>
      <c r="AO4" s="39"/>
      <c r="AQ4" s="36"/>
      <c r="AR4" s="37"/>
      <c r="AS4" s="37"/>
      <c r="AT4" s="37"/>
      <c r="AU4" s="38" t="s">
        <v>36</v>
      </c>
      <c r="AV4" s="37"/>
      <c r="AW4" s="37"/>
      <c r="AX4" s="37"/>
      <c r="AY4" s="39"/>
      <c r="BA4" s="36"/>
      <c r="BB4" s="37"/>
      <c r="BC4" s="37"/>
      <c r="BD4" s="37"/>
      <c r="BE4" s="37"/>
      <c r="BF4" s="38" t="s">
        <v>2</v>
      </c>
      <c r="BG4" s="37"/>
      <c r="BH4" s="37"/>
      <c r="BI4" s="37"/>
      <c r="BJ4" s="37"/>
      <c r="BK4" s="39"/>
    </row>
    <row r="5" spans="2:63" ht="15" customHeight="1" x14ac:dyDescent="0.25">
      <c r="B5" s="1" t="s">
        <v>31</v>
      </c>
      <c r="C5" s="1">
        <v>30</v>
      </c>
      <c r="D5" s="1" t="s">
        <v>32</v>
      </c>
      <c r="E5" s="10" t="s">
        <v>10</v>
      </c>
      <c r="F5" s="9"/>
      <c r="G5" s="9"/>
      <c r="I5" s="14" t="s">
        <v>19</v>
      </c>
      <c r="J5" s="15" t="str">
        <f>_xlfn.CONCAT("Thickness ", "[",D6,"]")</f>
        <v>Thickness [mm]</v>
      </c>
      <c r="K5" s="15" t="str">
        <f>_xlfn.CONCAT("D ", "[",D13,"]")</f>
        <v>D [mm]</v>
      </c>
      <c r="L5" s="15" t="str">
        <f>_xlfn.CONCAT("E ", "[",G6,"]")</f>
        <v>E [Pa]</v>
      </c>
      <c r="M5" s="15" t="str">
        <f>_xlfn.CONCAT("k ", "[",D34,"]")</f>
        <v>k [mN/m]</v>
      </c>
      <c r="N5" s="15" t="s">
        <v>20</v>
      </c>
      <c r="V5" s="2" t="s">
        <v>68</v>
      </c>
      <c r="W5" s="88">
        <f>IF(AND($C$13&gt;=$AJ$29,$C$13&lt;=$AK$29),AL29,IF(AND($C$13&gt;=$AJ$30,$C$13&lt;=$AK$30),AL30,NA()))</f>
        <v>830000000</v>
      </c>
      <c r="X5" s="2" t="str">
        <f>IF($D$2="English","psi","Pa")</f>
        <v>Pa</v>
      </c>
      <c r="AD5" s="60" t="s">
        <v>76</v>
      </c>
      <c r="AE5" s="61" t="s">
        <v>77</v>
      </c>
      <c r="AF5" s="61" t="s">
        <v>78</v>
      </c>
      <c r="AG5" s="62" t="s">
        <v>126</v>
      </c>
      <c r="AI5" s="60" t="s">
        <v>76</v>
      </c>
      <c r="AJ5" s="61" t="s">
        <v>77</v>
      </c>
      <c r="AK5" s="61" t="s">
        <v>78</v>
      </c>
      <c r="AL5" s="61" t="s">
        <v>94</v>
      </c>
      <c r="AM5" s="61" t="s">
        <v>93</v>
      </c>
      <c r="AN5" s="61" t="s">
        <v>95</v>
      </c>
      <c r="AO5" s="62" t="s">
        <v>79</v>
      </c>
      <c r="AQ5" s="131" t="s">
        <v>44</v>
      </c>
      <c r="AR5" s="132"/>
      <c r="AS5" s="132"/>
      <c r="AT5" s="132"/>
      <c r="AU5" s="52"/>
      <c r="AV5" s="132" t="s">
        <v>45</v>
      </c>
      <c r="AW5" s="132"/>
      <c r="AX5" s="132"/>
      <c r="AY5" s="133"/>
      <c r="BA5" s="131" t="s">
        <v>44</v>
      </c>
      <c r="BB5" s="132"/>
      <c r="BC5" s="132"/>
      <c r="BD5" s="132"/>
      <c r="BE5" s="132"/>
      <c r="BF5" s="52"/>
      <c r="BG5" s="132" t="s">
        <v>45</v>
      </c>
      <c r="BH5" s="132"/>
      <c r="BI5" s="132"/>
      <c r="BJ5" s="132"/>
      <c r="BK5" s="133"/>
    </row>
    <row r="6" spans="2:63" ht="15" customHeight="1" x14ac:dyDescent="0.25">
      <c r="B6" s="1" t="s">
        <v>28</v>
      </c>
      <c r="C6" s="1">
        <v>3.5</v>
      </c>
      <c r="D6" s="1" t="str">
        <f>IF($D$2="English","in", "mm")</f>
        <v>mm</v>
      </c>
      <c r="E6" s="13" t="s">
        <v>11</v>
      </c>
      <c r="F6" s="22">
        <f>207*10^9</f>
        <v>207000000000</v>
      </c>
      <c r="G6" s="1" t="str">
        <f t="shared" ref="G6:G9" si="0">IF($D$2="English","psi","Pa")</f>
        <v>Pa</v>
      </c>
      <c r="I6" s="16">
        <v>1</v>
      </c>
      <c r="J6" s="2">
        <f>C6</f>
        <v>3.5</v>
      </c>
      <c r="K6" s="2">
        <f>1.5*C13</f>
        <v>15</v>
      </c>
      <c r="L6" s="23">
        <f>F6</f>
        <v>207000000000</v>
      </c>
      <c r="M6" s="23">
        <f>IF(J6=0,0,(PI()*L6*$C$13*TAN(RADIANS($C$5)))/LN(((2*J6*TAN(RADIANS($C$5))+K6-$C$13)*(K6+$C$13))/((2*J6*TAN(RADIANS($C$5))+K6+$C$13)*(K6-$C$13))))</f>
        <v>8484249709496.4932</v>
      </c>
      <c r="N6" s="23">
        <f>IF(M6=0,0,M6^-1)</f>
        <v>1.1786546061706451E-13</v>
      </c>
      <c r="V6" s="2"/>
      <c r="W6" s="2">
        <f>IF($D$2="English",W5*10^-3,W5*10^-6)</f>
        <v>830</v>
      </c>
      <c r="X6" s="2" t="str">
        <f>IF($D$2="English","kpsi","MPa")</f>
        <v>MPa</v>
      </c>
      <c r="AD6" s="42">
        <v>8.8000000000000007</v>
      </c>
      <c r="AE6" s="28">
        <v>16</v>
      </c>
      <c r="AF6" s="28">
        <v>36</v>
      </c>
      <c r="AG6" s="109">
        <v>129000000</v>
      </c>
      <c r="AI6" s="42">
        <v>4.5999999999999996</v>
      </c>
      <c r="AJ6" s="28">
        <v>5</v>
      </c>
      <c r="AK6" s="28">
        <v>36</v>
      </c>
      <c r="AL6" s="95">
        <v>225000000</v>
      </c>
      <c r="AM6" s="92">
        <v>400000000</v>
      </c>
      <c r="AN6" s="95">
        <v>240000000</v>
      </c>
      <c r="AO6" s="63" t="s">
        <v>80</v>
      </c>
      <c r="AQ6" s="40" t="s">
        <v>42</v>
      </c>
      <c r="AR6" s="31" t="s">
        <v>41</v>
      </c>
      <c r="AS6" s="31" t="s">
        <v>40</v>
      </c>
      <c r="AT6" s="32" t="s">
        <v>43</v>
      </c>
      <c r="AU6" s="52"/>
      <c r="AV6" s="30" t="s">
        <v>42</v>
      </c>
      <c r="AW6" s="31" t="s">
        <v>41</v>
      </c>
      <c r="AX6" s="31" t="s">
        <v>40</v>
      </c>
      <c r="AY6" s="41" t="s">
        <v>43</v>
      </c>
      <c r="BA6" s="40" t="s">
        <v>46</v>
      </c>
      <c r="BB6" s="30" t="s">
        <v>47</v>
      </c>
      <c r="BC6" s="31" t="s">
        <v>48</v>
      </c>
      <c r="BD6" s="31" t="s">
        <v>49</v>
      </c>
      <c r="BE6" s="32" t="s">
        <v>50</v>
      </c>
      <c r="BF6" s="52"/>
      <c r="BG6" s="30" t="s">
        <v>46</v>
      </c>
      <c r="BH6" s="30" t="s">
        <v>47</v>
      </c>
      <c r="BI6" s="31" t="s">
        <v>48</v>
      </c>
      <c r="BJ6" s="31" t="s">
        <v>49</v>
      </c>
      <c r="BK6" s="41" t="s">
        <v>50</v>
      </c>
    </row>
    <row r="7" spans="2:63" ht="15" customHeight="1" x14ac:dyDescent="0.25">
      <c r="B7" s="1" t="s">
        <v>29</v>
      </c>
      <c r="C7" s="1">
        <v>20</v>
      </c>
      <c r="D7" s="1" t="str">
        <f t="shared" ref="D7:D9" si="1">IF($D$2="English","in", "mm")</f>
        <v>mm</v>
      </c>
      <c r="E7" s="13" t="s">
        <v>12</v>
      </c>
      <c r="F7" s="22">
        <f>207*10^9</f>
        <v>207000000000</v>
      </c>
      <c r="G7" s="1" t="str">
        <f t="shared" si="0"/>
        <v>Pa</v>
      </c>
      <c r="I7" s="16">
        <v>2</v>
      </c>
      <c r="J7" s="2">
        <f>IF(C6+C7&lt;J14,C7,J14-C6)</f>
        <v>20</v>
      </c>
      <c r="K7" s="18">
        <f>K6+2*J6*TAN(RADIANS($C$5))</f>
        <v>19.04145188432738</v>
      </c>
      <c r="L7" s="23">
        <f>F7</f>
        <v>207000000000</v>
      </c>
      <c r="M7" s="23">
        <f>IF(J7=0,0,(PI()*L7*$C$13*TAN(RADIANS($C$5)))/LN(((2*J7*TAN(RADIANS($C$5))+K7-$C$13)*(K7+$C$13))/((2*J7*TAN(RADIANS($C$5))+K7+$C$13)*(K7-$C$13))))</f>
        <v>5497011838838.2236</v>
      </c>
      <c r="N7" s="23">
        <f t="shared" ref="N7:N10" si="2">IF(M7=0,0,M7^-1)</f>
        <v>1.8191701770308484E-13</v>
      </c>
      <c r="V7" s="2" t="s">
        <v>74</v>
      </c>
      <c r="W7" s="89">
        <f>IF(AND($C$13&gt;=$AJ$29,$C$13&lt;=$AK$29),AM29,IF(AND($C$13&gt;=$AJ$30,$C$13&lt;=$AK$30),AM30,NA()))</f>
        <v>1040000000</v>
      </c>
      <c r="X7" s="2" t="str">
        <f>IF($D$2="English","psi","Pa")</f>
        <v>Pa</v>
      </c>
      <c r="AD7" s="42">
        <v>9.8000000000000007</v>
      </c>
      <c r="AE7" s="28">
        <v>1.6</v>
      </c>
      <c r="AF7" s="28">
        <v>16</v>
      </c>
      <c r="AG7" s="110">
        <v>140000000</v>
      </c>
      <c r="AI7" s="42">
        <v>4.8</v>
      </c>
      <c r="AJ7" s="28">
        <v>1.6</v>
      </c>
      <c r="AK7" s="28">
        <v>16</v>
      </c>
      <c r="AL7" s="96">
        <v>310000000</v>
      </c>
      <c r="AM7" s="92">
        <v>420000000</v>
      </c>
      <c r="AN7" s="96">
        <v>340000000</v>
      </c>
      <c r="AO7" s="63" t="s">
        <v>80</v>
      </c>
      <c r="AQ7" s="42">
        <v>1.6</v>
      </c>
      <c r="AR7" s="28">
        <v>0.35</v>
      </c>
      <c r="AS7" s="28">
        <v>1.27</v>
      </c>
      <c r="AT7" s="29">
        <v>1.07</v>
      </c>
      <c r="AU7" s="52"/>
      <c r="AV7" s="27">
        <v>1.6</v>
      </c>
      <c r="AW7" s="28" t="e">
        <f>NA()</f>
        <v>#N/A</v>
      </c>
      <c r="AX7" s="28" t="e">
        <f>NA()</f>
        <v>#N/A</v>
      </c>
      <c r="AY7" s="28" t="e">
        <f>NA()</f>
        <v>#N/A</v>
      </c>
      <c r="BA7" s="49">
        <f>0</f>
        <v>0</v>
      </c>
      <c r="BB7" s="27">
        <v>0.06</v>
      </c>
      <c r="BC7" s="28" t="e">
        <f>NA()</f>
        <v>#N/A</v>
      </c>
      <c r="BD7" s="28" t="e">
        <f>NA()</f>
        <v>#N/A</v>
      </c>
      <c r="BE7" s="29" t="e">
        <f>NA()</f>
        <v>#N/A</v>
      </c>
      <c r="BF7" s="52"/>
      <c r="BG7" s="35">
        <f>0</f>
        <v>0</v>
      </c>
      <c r="BH7" s="27">
        <v>0.06</v>
      </c>
      <c r="BI7" s="28">
        <v>80</v>
      </c>
      <c r="BJ7" s="28">
        <v>1.8E-3</v>
      </c>
      <c r="BK7" s="43">
        <v>1.5100000000000001E-3</v>
      </c>
    </row>
    <row r="8" spans="2:63" ht="15" customHeight="1" x14ac:dyDescent="0.25">
      <c r="B8" s="1" t="s">
        <v>30</v>
      </c>
      <c r="C8" s="1">
        <v>25</v>
      </c>
      <c r="D8" s="1" t="str">
        <f t="shared" si="1"/>
        <v>mm</v>
      </c>
      <c r="E8" s="13" t="s">
        <v>14</v>
      </c>
      <c r="F8" s="22">
        <f>100*10^9</f>
        <v>100000000000</v>
      </c>
      <c r="G8" s="1" t="str">
        <f t="shared" si="0"/>
        <v>Pa</v>
      </c>
      <c r="I8" s="16">
        <v>3</v>
      </c>
      <c r="J8" s="2">
        <f>IF(C6+C7&lt;J14,J14-C7-C6,C6+C7-J14)</f>
        <v>2.5</v>
      </c>
      <c r="K8" s="18">
        <f>IF(J6+J7&lt;J14,K7+2*J7*TAN(RADIANS($C$5)),K7+2*J7*TAN(RADIANS($C$5))-2*J8*TAN(RADIANS($C$5)))</f>
        <v>42.135462651912405</v>
      </c>
      <c r="L8" s="23">
        <f>IF(J6+J7&lt;J14,F8,F7)</f>
        <v>100000000000</v>
      </c>
      <c r="M8" s="23">
        <f>IF(J8=0,0,(PI()*L8*$C$13*TAN(RADIANS($C$5)))/LN(((2*J8*TAN(RADIANS($C$5))+K8-$C$13)*(K8+$C$13))/((2*J8*TAN(RADIANS($C$5))+K8+$C$13)*(K8-$C$13))))</f>
        <v>56450563048345.82</v>
      </c>
      <c r="N8" s="23">
        <f t="shared" si="2"/>
        <v>1.7714615160588787E-14</v>
      </c>
      <c r="V8" s="2"/>
      <c r="W8" s="2">
        <f>IF($D$2="English",W7*10^-3,W7*10^-6)</f>
        <v>1040</v>
      </c>
      <c r="X8" s="2" t="str">
        <f>IF($D$2="English","kpsi","MPa")</f>
        <v>MPa</v>
      </c>
      <c r="AD8" s="42">
        <v>10.9</v>
      </c>
      <c r="AE8" s="28">
        <v>5</v>
      </c>
      <c r="AF8" s="28">
        <v>36</v>
      </c>
      <c r="AG8" s="110">
        <v>162000000</v>
      </c>
      <c r="AI8" s="42">
        <v>5.8</v>
      </c>
      <c r="AJ8" s="28">
        <v>5</v>
      </c>
      <c r="AK8" s="28">
        <v>24</v>
      </c>
      <c r="AL8" s="96">
        <v>380000000</v>
      </c>
      <c r="AM8" s="92">
        <v>520000000</v>
      </c>
      <c r="AN8" s="96">
        <v>420000000</v>
      </c>
      <c r="AO8" s="63" t="s">
        <v>80</v>
      </c>
      <c r="AQ8" s="42">
        <v>2</v>
      </c>
      <c r="AR8" s="28">
        <v>0.4</v>
      </c>
      <c r="AS8" s="28">
        <v>2.0699999999999998</v>
      </c>
      <c r="AT8" s="29">
        <v>1.79</v>
      </c>
      <c r="AU8" s="52"/>
      <c r="AV8" s="27">
        <v>2</v>
      </c>
      <c r="AW8" s="28" t="e">
        <f>NA()</f>
        <v>#N/A</v>
      </c>
      <c r="AX8" s="28" t="e">
        <f>NA()</f>
        <v>#N/A</v>
      </c>
      <c r="AY8" s="28" t="e">
        <f>NA()</f>
        <v>#N/A</v>
      </c>
      <c r="BA8" s="49">
        <f>1</f>
        <v>1</v>
      </c>
      <c r="BB8" s="27">
        <v>7.2999999999999995E-2</v>
      </c>
      <c r="BC8" s="28">
        <v>64</v>
      </c>
      <c r="BD8" s="28">
        <v>2.63E-3</v>
      </c>
      <c r="BE8" s="29">
        <v>2.1800000000000001E-3</v>
      </c>
      <c r="BF8" s="52"/>
      <c r="BG8" s="35">
        <f>1</f>
        <v>1</v>
      </c>
      <c r="BH8" s="27">
        <v>7.2999999999999995E-2</v>
      </c>
      <c r="BI8" s="28">
        <v>72</v>
      </c>
      <c r="BJ8" s="28">
        <v>2.7799999999999999E-3</v>
      </c>
      <c r="BK8" s="43">
        <v>2.3700000000000001E-3</v>
      </c>
    </row>
    <row r="9" spans="2:63" ht="15" customHeight="1" thickBot="1" x14ac:dyDescent="0.3">
      <c r="B9" s="1" t="s">
        <v>27</v>
      </c>
      <c r="C9" s="1">
        <v>3.5</v>
      </c>
      <c r="D9" s="1" t="str">
        <f t="shared" si="1"/>
        <v>mm</v>
      </c>
      <c r="E9" s="13" t="s">
        <v>13</v>
      </c>
      <c r="F9" s="22">
        <f>207*10^9</f>
        <v>207000000000</v>
      </c>
      <c r="G9" s="1" t="str">
        <f t="shared" si="0"/>
        <v>Pa</v>
      </c>
      <c r="I9" s="16">
        <v>4</v>
      </c>
      <c r="J9" s="2">
        <f>C17-SUM(J6:J8)-J10</f>
        <v>22.5</v>
      </c>
      <c r="K9" s="18">
        <f>K10+2*J10*TAN(RADIANS($C$5))</f>
        <v>19.04145188432738</v>
      </c>
      <c r="L9" s="23">
        <f>F8</f>
        <v>100000000000</v>
      </c>
      <c r="M9" s="23">
        <f>IF(J9=0,0,(PI()*L9*$C$13*TAN(RADIANS($C$5)))/LN(((2*J9*TAN(RADIANS($C$5))+K9-$C$13)*(K9+$C$13))/((2*J9*TAN(RADIANS($C$5))+K9+$C$13)*(K9-$C$13))))</f>
        <v>2536250361338.5679</v>
      </c>
      <c r="N9" s="23">
        <f t="shared" si="2"/>
        <v>3.9428284180597439E-13</v>
      </c>
      <c r="V9" s="2" t="s">
        <v>75</v>
      </c>
      <c r="W9" s="88">
        <f>IF(AND($C$13&gt;=$AJ$29,$C$13&lt;=$AK$29),AN29,IF(AND($C$13&gt;=$AJ$30,$C$13&lt;=$AK$30),AN30,NA()))</f>
        <v>940000000</v>
      </c>
      <c r="X9" s="2" t="str">
        <f>IF($D$2="English","psi","Pa")</f>
        <v>Pa</v>
      </c>
      <c r="AD9" s="44">
        <v>12.9</v>
      </c>
      <c r="AE9" s="45">
        <v>1.6</v>
      </c>
      <c r="AF9" s="45">
        <v>36</v>
      </c>
      <c r="AG9" s="111">
        <v>190000000</v>
      </c>
      <c r="AI9" s="42">
        <v>8.8000000000000007</v>
      </c>
      <c r="AJ9" s="28">
        <v>16</v>
      </c>
      <c r="AK9" s="28">
        <v>36</v>
      </c>
      <c r="AL9" s="96">
        <v>600000000</v>
      </c>
      <c r="AM9" s="92">
        <v>830000000</v>
      </c>
      <c r="AN9" s="96">
        <v>660000000</v>
      </c>
      <c r="AO9" s="63" t="s">
        <v>81</v>
      </c>
      <c r="AQ9" s="42">
        <v>2.5</v>
      </c>
      <c r="AR9" s="28">
        <v>0.45</v>
      </c>
      <c r="AS9" s="28">
        <v>3.39</v>
      </c>
      <c r="AT9" s="29">
        <v>2.98</v>
      </c>
      <c r="AU9" s="52"/>
      <c r="AV9" s="27">
        <v>2.5</v>
      </c>
      <c r="AW9" s="28" t="e">
        <f>NA()</f>
        <v>#N/A</v>
      </c>
      <c r="AX9" s="28" t="e">
        <f>NA()</f>
        <v>#N/A</v>
      </c>
      <c r="AY9" s="28" t="e">
        <f>NA()</f>
        <v>#N/A</v>
      </c>
      <c r="BA9" s="49">
        <f>2</f>
        <v>2</v>
      </c>
      <c r="BB9" s="27">
        <v>8.5999999999999993E-2</v>
      </c>
      <c r="BC9" s="28">
        <v>56</v>
      </c>
      <c r="BD9" s="28">
        <v>3.7000000000000002E-3</v>
      </c>
      <c r="BE9" s="29">
        <v>3.0999999999999999E-3</v>
      </c>
      <c r="BF9" s="52"/>
      <c r="BG9" s="35">
        <f>2</f>
        <v>2</v>
      </c>
      <c r="BH9" s="27">
        <v>8.5999999999999993E-2</v>
      </c>
      <c r="BI9" s="28">
        <v>64</v>
      </c>
      <c r="BJ9" s="28">
        <v>3.9399999999999999E-3</v>
      </c>
      <c r="BK9" s="43">
        <v>3.3899999999999998E-3</v>
      </c>
    </row>
    <row r="10" spans="2:63" ht="15" customHeight="1" thickBot="1" x14ac:dyDescent="0.3">
      <c r="I10" s="16">
        <v>5</v>
      </c>
      <c r="J10" s="2">
        <f>C9</f>
        <v>3.5</v>
      </c>
      <c r="K10" s="2">
        <f>1.5*C13</f>
        <v>15</v>
      </c>
      <c r="L10" s="23">
        <f>F9</f>
        <v>207000000000</v>
      </c>
      <c r="M10" s="23">
        <f>IF(J10=0,0,(PI()*L10*$C$13*TAN(RADIANS($C$5)))/LN(((2*J10*TAN(RADIANS($C$5))+K10-$C$13)*(K10+$C$13))/((2*J10*TAN(RADIANS($C$5))+K10+$C$13)*(K10-$C$13))))</f>
        <v>8484249709496.4932</v>
      </c>
      <c r="N10" s="23">
        <f t="shared" si="2"/>
        <v>1.1786546061706451E-13</v>
      </c>
      <c r="V10" s="2"/>
      <c r="W10" s="2">
        <f>IF($D$2="English",W9*10^-3,W9*10^-6)</f>
        <v>940</v>
      </c>
      <c r="X10" s="2" t="str">
        <f>IF($D$2="English","kpsi","MPa")</f>
        <v>MPa</v>
      </c>
      <c r="AI10" s="42">
        <v>9.8000000000000007</v>
      </c>
      <c r="AJ10" s="28">
        <v>1.6</v>
      </c>
      <c r="AK10" s="28">
        <v>16</v>
      </c>
      <c r="AL10" s="96">
        <v>650000000</v>
      </c>
      <c r="AM10" s="92">
        <v>900000000</v>
      </c>
      <c r="AN10" s="96">
        <v>720000000</v>
      </c>
      <c r="AO10" s="63" t="s">
        <v>81</v>
      </c>
      <c r="AQ10" s="42">
        <v>3</v>
      </c>
      <c r="AR10" s="28">
        <v>0.5</v>
      </c>
      <c r="AS10" s="28">
        <v>5.03</v>
      </c>
      <c r="AT10" s="29">
        <v>4.47</v>
      </c>
      <c r="AU10" s="52"/>
      <c r="AV10" s="27">
        <v>3</v>
      </c>
      <c r="AW10" s="28" t="e">
        <f>NA()</f>
        <v>#N/A</v>
      </c>
      <c r="AX10" s="28" t="e">
        <f>NA()</f>
        <v>#N/A</v>
      </c>
      <c r="AY10" s="28" t="e">
        <f>NA()</f>
        <v>#N/A</v>
      </c>
      <c r="BA10" s="49">
        <f>3</f>
        <v>3</v>
      </c>
      <c r="BB10" s="27">
        <v>9.9000000000000005E-2</v>
      </c>
      <c r="BC10" s="28">
        <v>48</v>
      </c>
      <c r="BD10" s="28">
        <v>4.8700000000000002E-3</v>
      </c>
      <c r="BE10" s="29">
        <v>4.0600000000000002E-3</v>
      </c>
      <c r="BF10" s="52"/>
      <c r="BG10" s="35">
        <f>3</f>
        <v>3</v>
      </c>
      <c r="BH10" s="27">
        <v>9.9000000000000005E-2</v>
      </c>
      <c r="BI10" s="28">
        <v>56</v>
      </c>
      <c r="BJ10" s="28">
        <v>5.2300000000000003E-3</v>
      </c>
      <c r="BK10" s="43">
        <v>4.5100000000000001E-3</v>
      </c>
    </row>
    <row r="11" spans="2:63" ht="15" customHeight="1" x14ac:dyDescent="0.25">
      <c r="B11" s="8" t="s">
        <v>15</v>
      </c>
      <c r="C11" s="34" t="str">
        <f>_xlfn.CONCAT(IF($D$2="English",_xlfn.CONCAT(TEXT(C13, "# ?/?"),"""-",C25,"-", C15, " ",C14),_xlfn.CONCAT("M",C13,"-", C25,"-", C15," ",C14)), " Grade ", C16)</f>
        <v>M10-1.5-65 UNC Grade 10.9</v>
      </c>
      <c r="D11" s="8"/>
      <c r="V11" s="2" t="s">
        <v>129</v>
      </c>
      <c r="W11" s="88">
        <f>IF(AND($C$13&gt;=AE$19,$C$13&lt;=AF$19),AG19,IF(AND($C$13&gt;=AE$20,$C$13&lt;=AF$20),AG20,NA()))</f>
        <v>162000000</v>
      </c>
      <c r="X11" s="2" t="str">
        <f>IF($D$2="English","psi","Pa")</f>
        <v>Pa</v>
      </c>
      <c r="AD11" s="36" t="s">
        <v>2</v>
      </c>
      <c r="AE11" s="37"/>
      <c r="AF11" s="37"/>
      <c r="AG11" s="103"/>
      <c r="AI11" s="42">
        <v>10.9</v>
      </c>
      <c r="AJ11" s="28">
        <v>5</v>
      </c>
      <c r="AK11" s="28">
        <v>36</v>
      </c>
      <c r="AL11" s="96">
        <v>830000000</v>
      </c>
      <c r="AM11" s="90">
        <v>1040000000</v>
      </c>
      <c r="AN11" s="96">
        <v>940000000</v>
      </c>
      <c r="AO11" s="63" t="s">
        <v>82</v>
      </c>
      <c r="AQ11" s="42">
        <v>3.5</v>
      </c>
      <c r="AR11" s="28">
        <v>0.6</v>
      </c>
      <c r="AS11" s="28">
        <v>6.78</v>
      </c>
      <c r="AT11" s="29">
        <v>6</v>
      </c>
      <c r="AU11" s="52"/>
      <c r="AV11" s="27">
        <v>3.5</v>
      </c>
      <c r="AW11" s="28" t="e">
        <f>NA()</f>
        <v>#N/A</v>
      </c>
      <c r="AX11" s="28" t="e">
        <f>NA()</f>
        <v>#N/A</v>
      </c>
      <c r="AY11" s="28" t="e">
        <f>NA()</f>
        <v>#N/A</v>
      </c>
      <c r="BA11" s="49">
        <f>4</f>
        <v>4</v>
      </c>
      <c r="BB11" s="27">
        <v>0.112</v>
      </c>
      <c r="BC11" s="28">
        <v>40</v>
      </c>
      <c r="BD11" s="28">
        <v>6.0400000000000002E-3</v>
      </c>
      <c r="BE11" s="29">
        <v>4.96E-3</v>
      </c>
      <c r="BF11" s="52"/>
      <c r="BG11" s="35">
        <f>4</f>
        <v>4</v>
      </c>
      <c r="BH11" s="27">
        <v>0.112</v>
      </c>
      <c r="BI11" s="28">
        <v>48</v>
      </c>
      <c r="BJ11" s="28">
        <v>6.6100000000000004E-3</v>
      </c>
      <c r="BK11" s="43">
        <v>5.6600000000000001E-3</v>
      </c>
    </row>
    <row r="12" spans="2:63" ht="15" customHeight="1" thickBot="1" x14ac:dyDescent="0.3">
      <c r="B12" s="1" t="s">
        <v>51</v>
      </c>
      <c r="C12" s="22">
        <f>207*10^9</f>
        <v>207000000000</v>
      </c>
      <c r="D12" s="1" t="str">
        <f>IF($D$2="English","psi","Pa")</f>
        <v>Pa</v>
      </c>
      <c r="I12" s="25" t="s">
        <v>33</v>
      </c>
      <c r="J12" s="25">
        <f>SUM(J6:J10)</f>
        <v>52</v>
      </c>
      <c r="K12" s="25" t="str">
        <f>IF($D$2="English","in", "mm")</f>
        <v>mm</v>
      </c>
      <c r="V12" s="2"/>
      <c r="W12" s="2">
        <f>IF($D$2="English",W11*10^-3,W11*10^-6)</f>
        <v>162</v>
      </c>
      <c r="X12" s="2" t="str">
        <f>IF($D$2="English","kpsi","MPa")</f>
        <v>MPa</v>
      </c>
      <c r="AD12" s="60" t="s">
        <v>76</v>
      </c>
      <c r="AE12" s="61" t="s">
        <v>85</v>
      </c>
      <c r="AF12" s="61" t="s">
        <v>86</v>
      </c>
      <c r="AG12" s="62" t="s">
        <v>127</v>
      </c>
      <c r="AI12" s="44">
        <v>12.9</v>
      </c>
      <c r="AJ12" s="45">
        <v>1.6</v>
      </c>
      <c r="AK12" s="45">
        <v>36</v>
      </c>
      <c r="AL12" s="93">
        <v>970000000</v>
      </c>
      <c r="AM12" s="94">
        <v>1220000000</v>
      </c>
      <c r="AN12" s="91">
        <v>1100000000</v>
      </c>
      <c r="AO12" s="64" t="s">
        <v>83</v>
      </c>
      <c r="AQ12" s="42">
        <v>4</v>
      </c>
      <c r="AR12" s="28">
        <v>0.7</v>
      </c>
      <c r="AS12" s="28">
        <v>8.7799999999999994</v>
      </c>
      <c r="AT12" s="29">
        <v>7.75</v>
      </c>
      <c r="AU12" s="52"/>
      <c r="AV12" s="27">
        <v>4</v>
      </c>
      <c r="AW12" s="28" t="e">
        <f>NA()</f>
        <v>#N/A</v>
      </c>
      <c r="AX12" s="28" t="e">
        <f>NA()</f>
        <v>#N/A</v>
      </c>
      <c r="AY12" s="28" t="e">
        <f>NA()</f>
        <v>#N/A</v>
      </c>
      <c r="BA12" s="49">
        <f>5</f>
        <v>5</v>
      </c>
      <c r="BB12" s="27">
        <v>0.125</v>
      </c>
      <c r="BC12" s="28">
        <v>40</v>
      </c>
      <c r="BD12" s="28">
        <v>7.9600000000000001E-3</v>
      </c>
      <c r="BE12" s="29">
        <v>6.7200000000000003E-3</v>
      </c>
      <c r="BF12" s="52"/>
      <c r="BG12" s="35">
        <f>5</f>
        <v>5</v>
      </c>
      <c r="BH12" s="27">
        <v>0.125</v>
      </c>
      <c r="BI12" s="28">
        <v>44</v>
      </c>
      <c r="BJ12" s="28">
        <v>8.8000000000000005E-3</v>
      </c>
      <c r="BK12" s="43">
        <v>7.1599999999999997E-3</v>
      </c>
    </row>
    <row r="13" spans="2:63" ht="15" customHeight="1" x14ac:dyDescent="0.25">
      <c r="B13" s="1" t="s">
        <v>3</v>
      </c>
      <c r="C13" s="17">
        <v>10</v>
      </c>
      <c r="D13" s="1" t="str">
        <f t="shared" ref="D13" si="3">IF($D$2="English","in", "mm")</f>
        <v>mm</v>
      </c>
      <c r="I13" s="25" t="s">
        <v>22</v>
      </c>
      <c r="J13" s="25">
        <f>C17</f>
        <v>52</v>
      </c>
      <c r="K13" s="25" t="str">
        <f>IF($D$2="English","in", "mm")</f>
        <v>mm</v>
      </c>
      <c r="AD13" s="71">
        <v>5</v>
      </c>
      <c r="AE13" s="68">
        <v>0.125</v>
      </c>
      <c r="AF13" s="68">
        <v>1</v>
      </c>
      <c r="AG13" s="109">
        <v>18600</v>
      </c>
      <c r="AQ13" s="42">
        <v>5</v>
      </c>
      <c r="AR13" s="28">
        <v>0.8</v>
      </c>
      <c r="AS13" s="28">
        <v>14.2</v>
      </c>
      <c r="AT13" s="29">
        <v>12.7</v>
      </c>
      <c r="AU13" s="52"/>
      <c r="AV13" s="27">
        <v>5</v>
      </c>
      <c r="AW13" s="28" t="e">
        <f>NA()</f>
        <v>#N/A</v>
      </c>
      <c r="AX13" s="28" t="e">
        <f>NA()</f>
        <v>#N/A</v>
      </c>
      <c r="AY13" s="28" t="e">
        <f>NA()</f>
        <v>#N/A</v>
      </c>
      <c r="BA13" s="49">
        <f>6</f>
        <v>6</v>
      </c>
      <c r="BB13" s="27">
        <v>0.13800000000000001</v>
      </c>
      <c r="BC13" s="28">
        <v>32</v>
      </c>
      <c r="BD13" s="28">
        <v>9.0900000000000009E-3</v>
      </c>
      <c r="BE13" s="29">
        <v>7.45E-3</v>
      </c>
      <c r="BF13" s="52"/>
      <c r="BG13" s="35">
        <f>6</f>
        <v>6</v>
      </c>
      <c r="BH13" s="27">
        <v>0.13800000000000001</v>
      </c>
      <c r="BI13" s="28">
        <v>40</v>
      </c>
      <c r="BJ13" s="28">
        <v>1.0149999999999999E-2</v>
      </c>
      <c r="BK13" s="43">
        <v>8.7399999999999995E-3</v>
      </c>
    </row>
    <row r="14" spans="2:63" ht="15" customHeight="1" thickBot="1" x14ac:dyDescent="0.3">
      <c r="B14" s="1" t="s">
        <v>52</v>
      </c>
      <c r="C14" s="33" t="s">
        <v>44</v>
      </c>
      <c r="D14" s="1"/>
      <c r="I14" s="25" t="s">
        <v>23</v>
      </c>
      <c r="J14" s="25">
        <f>C17/2</f>
        <v>26</v>
      </c>
      <c r="K14" s="25" t="str">
        <f t="shared" ref="K14" si="4">IF($D$2="English","in", "mm")</f>
        <v>mm</v>
      </c>
      <c r="P14" s="8" t="s">
        <v>69</v>
      </c>
      <c r="Q14" s="8"/>
      <c r="R14" s="8"/>
      <c r="S14" s="8"/>
      <c r="T14" s="8"/>
      <c r="V14" s="11" t="s">
        <v>56</v>
      </c>
      <c r="W14" s="11"/>
      <c r="X14" s="12"/>
      <c r="Y14" s="12"/>
      <c r="Z14" s="12"/>
      <c r="AA14" s="12"/>
      <c r="AD14" s="73">
        <v>5</v>
      </c>
      <c r="AE14" s="70">
        <v>1.125</v>
      </c>
      <c r="AF14" s="70">
        <v>1.5</v>
      </c>
      <c r="AG14" s="112">
        <v>16300</v>
      </c>
      <c r="AI14" s="6" t="s">
        <v>89</v>
      </c>
      <c r="AQ14" s="42">
        <v>6</v>
      </c>
      <c r="AR14" s="28">
        <v>1</v>
      </c>
      <c r="AS14" s="28">
        <v>20.100000000000001</v>
      </c>
      <c r="AT14" s="29">
        <v>17.899999999999999</v>
      </c>
      <c r="AU14" s="52"/>
      <c r="AV14" s="27">
        <v>6</v>
      </c>
      <c r="AW14" s="28" t="e">
        <f>NA()</f>
        <v>#N/A</v>
      </c>
      <c r="AX14" s="28" t="e">
        <f>NA()</f>
        <v>#N/A</v>
      </c>
      <c r="AY14" s="28" t="e">
        <f>NA()</f>
        <v>#N/A</v>
      </c>
      <c r="BA14" s="49">
        <f>8</f>
        <v>8</v>
      </c>
      <c r="BB14" s="27">
        <v>0.16400000000000001</v>
      </c>
      <c r="BC14" s="28">
        <v>32</v>
      </c>
      <c r="BD14" s="28">
        <v>1.4E-2</v>
      </c>
      <c r="BE14" s="29">
        <v>1.196E-2</v>
      </c>
      <c r="BF14" s="52"/>
      <c r="BG14" s="35">
        <f>8</f>
        <v>8</v>
      </c>
      <c r="BH14" s="27">
        <v>0.16400000000000001</v>
      </c>
      <c r="BI14" s="28">
        <v>36</v>
      </c>
      <c r="BJ14" s="28">
        <v>1.474E-2</v>
      </c>
      <c r="BK14" s="43">
        <v>1.285E-2</v>
      </c>
    </row>
    <row r="15" spans="2:63" ht="15" customHeight="1" x14ac:dyDescent="0.25">
      <c r="B15" s="1" t="s">
        <v>4</v>
      </c>
      <c r="C15" s="1">
        <v>65</v>
      </c>
      <c r="D15" s="1" t="str">
        <f t="shared" ref="D15" si="5">IF($D$2="English","in", "mm")</f>
        <v>mm</v>
      </c>
      <c r="P15" s="1" t="s">
        <v>57</v>
      </c>
      <c r="Q15" s="1">
        <v>36</v>
      </c>
      <c r="R15" s="1"/>
      <c r="V15" s="2" t="s">
        <v>55</v>
      </c>
      <c r="W15" s="18">
        <f>C34/(C34+J16)</f>
        <v>0.19243533611351227</v>
      </c>
      <c r="X15" s="23"/>
      <c r="AD15" s="75">
        <v>7</v>
      </c>
      <c r="AE15" s="76">
        <v>0.25</v>
      </c>
      <c r="AF15" s="76">
        <v>1.5</v>
      </c>
      <c r="AG15" s="113">
        <v>20600</v>
      </c>
      <c r="AI15" s="36" t="s">
        <v>2</v>
      </c>
      <c r="AJ15" s="37"/>
      <c r="AK15" s="37"/>
      <c r="AL15" s="38"/>
      <c r="AM15" s="38"/>
      <c r="AN15" s="37"/>
      <c r="AO15" s="103"/>
      <c r="AQ15" s="42">
        <v>8</v>
      </c>
      <c r="AR15" s="28">
        <v>1.25</v>
      </c>
      <c r="AS15" s="28">
        <v>36.6</v>
      </c>
      <c r="AT15" s="29">
        <v>32.799999999999997</v>
      </c>
      <c r="AU15" s="52"/>
      <c r="AV15" s="27">
        <v>8</v>
      </c>
      <c r="AW15" s="28">
        <v>1</v>
      </c>
      <c r="AX15" s="28">
        <v>39.200000000000003</v>
      </c>
      <c r="AY15" s="43">
        <v>36</v>
      </c>
      <c r="BA15" s="49">
        <f>10</f>
        <v>10</v>
      </c>
      <c r="BB15" s="27">
        <v>0.19</v>
      </c>
      <c r="BC15" s="28">
        <v>24</v>
      </c>
      <c r="BD15" s="28">
        <v>1.7500000000000002E-2</v>
      </c>
      <c r="BE15" s="29">
        <v>1.4500000000000001E-2</v>
      </c>
      <c r="BF15" s="52"/>
      <c r="BG15" s="35">
        <f>10</f>
        <v>10</v>
      </c>
      <c r="BH15" s="27">
        <v>0.19</v>
      </c>
      <c r="BI15" s="28">
        <v>32</v>
      </c>
      <c r="BJ15" s="28">
        <v>0.02</v>
      </c>
      <c r="BK15" s="43">
        <v>1.7500000000000002E-2</v>
      </c>
    </row>
    <row r="16" spans="2:63" ht="15" customHeight="1" thickBot="1" x14ac:dyDescent="0.3">
      <c r="B16" s="1" t="s">
        <v>72</v>
      </c>
      <c r="C16" s="1">
        <v>10.9</v>
      </c>
      <c r="D16" s="1"/>
      <c r="I16" s="2" t="s">
        <v>34</v>
      </c>
      <c r="J16" s="24">
        <f>SUM(N6:N10)^-1</f>
        <v>1205334236695.9641</v>
      </c>
      <c r="K16" s="2" t="str">
        <f>IF($D$2="English","lbf/in","mN/m")</f>
        <v>mN/m</v>
      </c>
      <c r="P16" s="1" t="s">
        <v>100</v>
      </c>
      <c r="Q16" s="116">
        <v>0</v>
      </c>
      <c r="R16" s="1" t="str">
        <f>IF($D$2="English","lbf", "N")</f>
        <v>N</v>
      </c>
      <c r="V16" s="2" t="s">
        <v>59</v>
      </c>
      <c r="W16" s="117">
        <f>Q18/(1-W15)</f>
        <v>44708.494086703824</v>
      </c>
      <c r="X16" s="2" t="str">
        <f t="shared" ref="R16:AA26" si="6">IF($D$2="English","lbf", "N")</f>
        <v>N</v>
      </c>
      <c r="AD16" s="44">
        <v>8</v>
      </c>
      <c r="AE16" s="66">
        <v>0.25</v>
      </c>
      <c r="AF16" s="66">
        <v>1.5</v>
      </c>
      <c r="AG16" s="111">
        <v>23200</v>
      </c>
      <c r="AI16" s="60" t="s">
        <v>84</v>
      </c>
      <c r="AJ16" s="61" t="s">
        <v>85</v>
      </c>
      <c r="AK16" s="61" t="s">
        <v>86</v>
      </c>
      <c r="AL16" s="61" t="s">
        <v>91</v>
      </c>
      <c r="AM16" s="61" t="s">
        <v>92</v>
      </c>
      <c r="AN16" s="61" t="s">
        <v>98</v>
      </c>
      <c r="AO16" s="62" t="s">
        <v>79</v>
      </c>
      <c r="AQ16" s="42">
        <v>10</v>
      </c>
      <c r="AR16" s="28">
        <v>1.5</v>
      </c>
      <c r="AS16" s="28">
        <v>58</v>
      </c>
      <c r="AT16" s="29">
        <v>52.3</v>
      </c>
      <c r="AU16" s="52"/>
      <c r="AV16" s="27">
        <v>10</v>
      </c>
      <c r="AW16" s="28">
        <v>1.25</v>
      </c>
      <c r="AX16" s="28">
        <v>61.2</v>
      </c>
      <c r="AY16" s="43">
        <v>56.3</v>
      </c>
      <c r="BA16" s="49">
        <f>12</f>
        <v>12</v>
      </c>
      <c r="BB16" s="27">
        <v>0.216</v>
      </c>
      <c r="BC16" s="28">
        <v>24</v>
      </c>
      <c r="BD16" s="28">
        <v>2.4199999999999999E-2</v>
      </c>
      <c r="BE16" s="29">
        <v>2.06E-2</v>
      </c>
      <c r="BF16" s="52"/>
      <c r="BG16" s="35">
        <f>12</f>
        <v>12</v>
      </c>
      <c r="BH16" s="27">
        <v>0.216</v>
      </c>
      <c r="BI16" s="28">
        <v>28</v>
      </c>
      <c r="BJ16" s="28">
        <v>2.58E-2</v>
      </c>
      <c r="BK16" s="43">
        <v>2.2599999999999999E-2</v>
      </c>
    </row>
    <row r="17" spans="2:63" ht="15" customHeight="1" x14ac:dyDescent="0.25">
      <c r="B17" s="2" t="s">
        <v>22</v>
      </c>
      <c r="C17" s="2">
        <f>IF(C28,SUM(C6:C8)+C9,IF(C13&lt;=C8, C6+C7+(C13/2), C6+C7+(C8/2)))</f>
        <v>52</v>
      </c>
      <c r="D17" s="2" t="str">
        <f>IF($D$2="English","in", "mm")</f>
        <v>mm</v>
      </c>
      <c r="I17" s="2"/>
      <c r="J17" s="19">
        <f>IF($D$2="English",J16*10^-6,J16*10^-9)</f>
        <v>1205.3342366959641</v>
      </c>
      <c r="K17" s="2" t="str">
        <f>IF($D$2="English","Mlbf/in","MN/m")</f>
        <v>MN/m</v>
      </c>
      <c r="P17" s="1" t="s">
        <v>101</v>
      </c>
      <c r="Q17" s="116">
        <v>276460.15351590182</v>
      </c>
      <c r="R17" s="1" t="str">
        <f>IF($D$2="English","lbf", "N")</f>
        <v>N</v>
      </c>
      <c r="V17" s="2" t="s">
        <v>64</v>
      </c>
      <c r="W17" s="117">
        <f>IF($D$2="English",W5*$C$24,W5*$C$24)</f>
        <v>48140</v>
      </c>
      <c r="X17" s="2" t="str">
        <f t="shared" si="6"/>
        <v>N</v>
      </c>
      <c r="AI17" s="42">
        <v>1</v>
      </c>
      <c r="AJ17" s="28">
        <v>0.25</v>
      </c>
      <c r="AK17" s="28">
        <v>1.5</v>
      </c>
      <c r="AL17" s="97">
        <v>33000</v>
      </c>
      <c r="AM17" s="97">
        <v>60000</v>
      </c>
      <c r="AN17" s="97">
        <v>36000</v>
      </c>
      <c r="AO17" s="63" t="s">
        <v>80</v>
      </c>
      <c r="AQ17" s="42">
        <v>12</v>
      </c>
      <c r="AR17" s="28">
        <v>1.75</v>
      </c>
      <c r="AS17" s="28">
        <v>84.3</v>
      </c>
      <c r="AT17" s="29">
        <v>76.3</v>
      </c>
      <c r="AU17" s="52"/>
      <c r="AV17" s="27">
        <v>12</v>
      </c>
      <c r="AW17" s="28">
        <v>1.25</v>
      </c>
      <c r="AX17" s="28">
        <v>92.1</v>
      </c>
      <c r="AY17" s="43">
        <v>86</v>
      </c>
      <c r="BA17" s="49">
        <f>1/4</f>
        <v>0.25</v>
      </c>
      <c r="BB17" s="27">
        <v>0.25</v>
      </c>
      <c r="BC17" s="28">
        <v>20</v>
      </c>
      <c r="BD17" s="28">
        <v>3.1800000000000002E-2</v>
      </c>
      <c r="BE17" s="29">
        <v>2.69E-2</v>
      </c>
      <c r="BF17" s="52"/>
      <c r="BG17" s="35">
        <f>1/4</f>
        <v>0.25</v>
      </c>
      <c r="BH17" s="27">
        <v>0.25</v>
      </c>
      <c r="BI17" s="28">
        <v>28</v>
      </c>
      <c r="BJ17" s="28">
        <v>3.6400000000000002E-2</v>
      </c>
      <c r="BK17" s="43">
        <v>3.2599999999999997E-2</v>
      </c>
    </row>
    <row r="18" spans="2:63" ht="15" customHeight="1" thickBot="1" x14ac:dyDescent="0.3">
      <c r="B18" s="2" t="s">
        <v>21</v>
      </c>
      <c r="C18" s="2">
        <f>IF(F19,C19,IF(F18,C15,IF($D$2="English",IF(C15&lt;=6, 2*C13+0.25, 2*C13+0.5),IF(AND(C15&lt;=125,C13&lt;=48),2*C13+6,IF(C15&lt;=200,2*C13+12,2*C13+25)))))</f>
        <v>26</v>
      </c>
      <c r="D18" s="2" t="str">
        <f t="shared" ref="D18:D19" si="7">IF($D$2="English","in", "mm")</f>
        <v>mm</v>
      </c>
      <c r="E18" s="1" t="s">
        <v>37</v>
      </c>
      <c r="F18" s="20" t="b">
        <v>0</v>
      </c>
      <c r="P18" s="1" t="s">
        <v>65</v>
      </c>
      <c r="Q18" s="55">
        <f>IF(T19,Q19,W17*T18)</f>
        <v>36105</v>
      </c>
      <c r="R18" s="2" t="str">
        <f t="shared" si="6"/>
        <v>N</v>
      </c>
      <c r="S18" s="1" t="s">
        <v>71</v>
      </c>
      <c r="T18" s="58">
        <v>0.75</v>
      </c>
      <c r="AD18" s="6" t="s">
        <v>128</v>
      </c>
      <c r="AI18" s="71">
        <v>2</v>
      </c>
      <c r="AJ18" s="67">
        <v>0.25</v>
      </c>
      <c r="AK18" s="67">
        <v>0.75</v>
      </c>
      <c r="AL18" s="96">
        <v>55000</v>
      </c>
      <c r="AM18" s="96">
        <v>74000</v>
      </c>
      <c r="AN18" s="96">
        <v>57000</v>
      </c>
      <c r="AO18" s="72" t="s">
        <v>80</v>
      </c>
      <c r="AQ18" s="42">
        <v>14</v>
      </c>
      <c r="AR18" s="28">
        <v>2</v>
      </c>
      <c r="AS18" s="28">
        <v>115</v>
      </c>
      <c r="AT18" s="29">
        <v>104</v>
      </c>
      <c r="AU18" s="52"/>
      <c r="AV18" s="27">
        <v>14</v>
      </c>
      <c r="AW18" s="28">
        <v>1.5</v>
      </c>
      <c r="AX18" s="28">
        <v>125</v>
      </c>
      <c r="AY18" s="43">
        <v>116</v>
      </c>
      <c r="BA18" s="49">
        <f>5/16</f>
        <v>0.3125</v>
      </c>
      <c r="BB18" s="27">
        <v>0.3125</v>
      </c>
      <c r="BC18" s="28">
        <v>18</v>
      </c>
      <c r="BD18" s="28">
        <v>5.2400000000000002E-2</v>
      </c>
      <c r="BE18" s="29">
        <v>4.5400000000000003E-2</v>
      </c>
      <c r="BF18" s="52"/>
      <c r="BG18" s="35">
        <f>5/16</f>
        <v>0.3125</v>
      </c>
      <c r="BH18" s="27">
        <v>0.3125</v>
      </c>
      <c r="BI18" s="28">
        <v>24</v>
      </c>
      <c r="BJ18" s="28">
        <v>5.8000000000000003E-2</v>
      </c>
      <c r="BK18" s="43">
        <v>5.2400000000000002E-2</v>
      </c>
    </row>
    <row r="19" spans="2:63" ht="15" customHeight="1" x14ac:dyDescent="0.25">
      <c r="B19" s="1"/>
      <c r="C19" s="1">
        <v>133</v>
      </c>
      <c r="D19" s="1" t="str">
        <f t="shared" si="7"/>
        <v>mm</v>
      </c>
      <c r="E19" s="1" t="s">
        <v>73</v>
      </c>
      <c r="F19" s="20" t="b">
        <v>0</v>
      </c>
      <c r="I19" s="25" t="s">
        <v>55</v>
      </c>
      <c r="J19" s="108">
        <f>W15</f>
        <v>0.19243533611351227</v>
      </c>
      <c r="P19" s="1"/>
      <c r="Q19" s="54">
        <v>2000</v>
      </c>
      <c r="R19" s="1" t="str">
        <f t="shared" si="6"/>
        <v>N</v>
      </c>
      <c r="S19" s="1" t="s">
        <v>70</v>
      </c>
      <c r="T19" s="20" t="b">
        <v>0</v>
      </c>
      <c r="V19" s="2" t="s">
        <v>103</v>
      </c>
      <c r="W19" s="117">
        <f>Q16/Q15</f>
        <v>0</v>
      </c>
      <c r="X19" s="2" t="str">
        <f>IF($D$2="English","lbf", "N")</f>
        <v>N</v>
      </c>
      <c r="Y19" s="2" t="s">
        <v>122</v>
      </c>
      <c r="Z19" s="117">
        <f>0.5*(W20-W19)</f>
        <v>3839.7243543875252</v>
      </c>
      <c r="AA19" s="2" t="str">
        <f t="shared" si="6"/>
        <v>N</v>
      </c>
      <c r="AD19" s="82" cm="1">
        <f t="array" ref="AD19:AG19">IF($D$2="English",_xlfn._xlws.FILTER(AD13:AG16,AD13:AD16=C16,AD17:AG18=NA()), _xlfn._xlws.FILTER(AD6:AG9,AD6:AD9=C16,AD17:AG18=NA()))</f>
        <v>10.9</v>
      </c>
      <c r="AE19" s="83">
        <v>5</v>
      </c>
      <c r="AF19" s="83">
        <v>36</v>
      </c>
      <c r="AG19" s="114">
        <v>162000000</v>
      </c>
      <c r="AI19" s="73">
        <v>2</v>
      </c>
      <c r="AJ19" s="69">
        <v>0.875</v>
      </c>
      <c r="AK19" s="69">
        <v>1.5</v>
      </c>
      <c r="AL19" s="98">
        <v>33000</v>
      </c>
      <c r="AM19" s="98">
        <v>60000</v>
      </c>
      <c r="AN19" s="98">
        <v>36000</v>
      </c>
      <c r="AO19" s="74" t="e">
        <f>NA()</f>
        <v>#N/A</v>
      </c>
      <c r="AQ19" s="42">
        <v>16</v>
      </c>
      <c r="AR19" s="28">
        <v>2</v>
      </c>
      <c r="AS19" s="28">
        <v>157</v>
      </c>
      <c r="AT19" s="29">
        <v>144</v>
      </c>
      <c r="AU19" s="52"/>
      <c r="AV19" s="27">
        <v>16</v>
      </c>
      <c r="AW19" s="28">
        <v>1.5</v>
      </c>
      <c r="AX19" s="28">
        <v>167</v>
      </c>
      <c r="AY19" s="43">
        <v>157</v>
      </c>
      <c r="BA19" s="49">
        <f>3/8</f>
        <v>0.375</v>
      </c>
      <c r="BB19" s="27">
        <v>0.375</v>
      </c>
      <c r="BC19" s="28">
        <v>16</v>
      </c>
      <c r="BD19" s="28">
        <v>7.7499999999999999E-2</v>
      </c>
      <c r="BE19" s="29">
        <v>6.7799999999999999E-2</v>
      </c>
      <c r="BF19" s="52"/>
      <c r="BG19" s="35">
        <f>3/8</f>
        <v>0.375</v>
      </c>
      <c r="BH19" s="27">
        <v>0.375</v>
      </c>
      <c r="BI19" s="28">
        <v>24</v>
      </c>
      <c r="BJ19" s="28">
        <v>8.7800000000000003E-2</v>
      </c>
      <c r="BK19" s="43">
        <v>8.09E-2</v>
      </c>
    </row>
    <row r="20" spans="2:63" ht="15" customHeight="1" thickBot="1" x14ac:dyDescent="0.3">
      <c r="B20" s="2" t="s">
        <v>24</v>
      </c>
      <c r="C20" s="2">
        <f>C15-C18</f>
        <v>39</v>
      </c>
      <c r="D20" s="2" t="str">
        <f>IF($D$2="English","in", "mm")</f>
        <v>mm</v>
      </c>
      <c r="V20" s="2" t="s">
        <v>102</v>
      </c>
      <c r="W20" s="117">
        <f>Q17/Q15</f>
        <v>7679.4487087750504</v>
      </c>
      <c r="X20" s="2" t="str">
        <f>IF($D$2="English","lbf", "N")</f>
        <v>N</v>
      </c>
      <c r="Y20" s="2" t="s">
        <v>121</v>
      </c>
      <c r="Z20" s="117">
        <f>0.5*(W20+W19)</f>
        <v>3839.7243543875252</v>
      </c>
      <c r="AA20" s="2" t="str">
        <f t="shared" si="6"/>
        <v>N</v>
      </c>
      <c r="AD20" s="85"/>
      <c r="AE20" s="86"/>
      <c r="AF20" s="86"/>
      <c r="AG20" s="115"/>
      <c r="AI20" s="42">
        <v>4</v>
      </c>
      <c r="AJ20" s="28">
        <v>0.25</v>
      </c>
      <c r="AK20" s="28">
        <v>1.5</v>
      </c>
      <c r="AL20" s="97">
        <v>65000</v>
      </c>
      <c r="AM20" s="97">
        <v>115000</v>
      </c>
      <c r="AN20" s="97">
        <v>100000</v>
      </c>
      <c r="AO20" s="63" t="s">
        <v>87</v>
      </c>
      <c r="AQ20" s="42">
        <v>20</v>
      </c>
      <c r="AR20" s="28">
        <v>2.5</v>
      </c>
      <c r="AS20" s="28">
        <v>245</v>
      </c>
      <c r="AT20" s="29">
        <v>225</v>
      </c>
      <c r="AU20" s="52"/>
      <c r="AV20" s="27">
        <v>20</v>
      </c>
      <c r="AW20" s="28">
        <v>1.5</v>
      </c>
      <c r="AX20" s="28">
        <v>272</v>
      </c>
      <c r="AY20" s="43">
        <v>259</v>
      </c>
      <c r="BA20" s="49">
        <f>7/16</f>
        <v>0.4375</v>
      </c>
      <c r="BB20" s="27">
        <v>0.4375</v>
      </c>
      <c r="BC20" s="28">
        <v>14</v>
      </c>
      <c r="BD20" s="28">
        <v>0.10630000000000001</v>
      </c>
      <c r="BE20" s="29">
        <v>9.3299999999999994E-2</v>
      </c>
      <c r="BF20" s="52"/>
      <c r="BG20" s="35">
        <f>7/16</f>
        <v>0.4375</v>
      </c>
      <c r="BH20" s="27">
        <v>0.4375</v>
      </c>
      <c r="BI20" s="28">
        <v>20</v>
      </c>
      <c r="BJ20" s="28">
        <v>0.1187</v>
      </c>
      <c r="BK20" s="43">
        <v>0.109</v>
      </c>
    </row>
    <row r="21" spans="2:63" ht="15" customHeight="1" x14ac:dyDescent="0.25">
      <c r="B21" s="2" t="s">
        <v>25</v>
      </c>
      <c r="C21" s="2">
        <f>C17-C20</f>
        <v>13</v>
      </c>
      <c r="D21" s="2" t="str">
        <f>IF($D$2="English","in", "mm")</f>
        <v>mm</v>
      </c>
      <c r="P21" s="8" t="s">
        <v>107</v>
      </c>
      <c r="Q21" s="8"/>
      <c r="R21" s="8"/>
      <c r="U21" s="59"/>
      <c r="AI21" s="71">
        <v>5</v>
      </c>
      <c r="AJ21" s="67">
        <v>0.25</v>
      </c>
      <c r="AK21" s="67">
        <v>1</v>
      </c>
      <c r="AL21" s="96">
        <v>85000</v>
      </c>
      <c r="AM21" s="96">
        <v>120000</v>
      </c>
      <c r="AN21" s="96">
        <v>92000</v>
      </c>
      <c r="AO21" s="72" t="s">
        <v>81</v>
      </c>
      <c r="AQ21" s="42">
        <v>24</v>
      </c>
      <c r="AR21" s="28">
        <v>3</v>
      </c>
      <c r="AS21" s="28">
        <v>353</v>
      </c>
      <c r="AT21" s="29">
        <v>324</v>
      </c>
      <c r="AU21" s="52"/>
      <c r="AV21" s="27">
        <v>24</v>
      </c>
      <c r="AW21" s="28">
        <v>2</v>
      </c>
      <c r="AX21" s="28">
        <v>384</v>
      </c>
      <c r="AY21" s="43">
        <v>365</v>
      </c>
      <c r="BA21" s="49">
        <f>1/2</f>
        <v>0.5</v>
      </c>
      <c r="BB21" s="27">
        <v>0.5</v>
      </c>
      <c r="BC21" s="28">
        <v>13</v>
      </c>
      <c r="BD21" s="28">
        <v>0.1419</v>
      </c>
      <c r="BE21" s="29">
        <v>0.12570000000000001</v>
      </c>
      <c r="BF21" s="52"/>
      <c r="BG21" s="35">
        <f>1/2</f>
        <v>0.5</v>
      </c>
      <c r="BH21" s="27">
        <v>0.5</v>
      </c>
      <c r="BI21" s="28">
        <v>20</v>
      </c>
      <c r="BJ21" s="28">
        <v>0.15989999999999999</v>
      </c>
      <c r="BK21" s="43">
        <v>0.14860000000000001</v>
      </c>
    </row>
    <row r="22" spans="2:63" ht="15" customHeight="1" x14ac:dyDescent="0.25">
      <c r="B22" s="2" t="s">
        <v>6</v>
      </c>
      <c r="C22" s="18">
        <f>(PI()*(C13^2))/4</f>
        <v>78.539816339744831</v>
      </c>
      <c r="D22" s="2" t="str">
        <f>IF($D$2="English","in^2","mm^2")</f>
        <v>mm^2</v>
      </c>
      <c r="P22" s="1" t="s">
        <v>105</v>
      </c>
      <c r="Q22" s="17">
        <f>0.8*10^3</f>
        <v>800</v>
      </c>
      <c r="R22" s="1" t="str">
        <f t="shared" ref="R22" si="8">IF($D$2="English","in", "mm")</f>
        <v>mm</v>
      </c>
      <c r="V22" s="2" t="s">
        <v>104</v>
      </c>
      <c r="W22" s="117">
        <f>$W$15*W19+$Q$18</f>
        <v>36105</v>
      </c>
      <c r="X22" s="2" t="str">
        <f t="shared" si="6"/>
        <v>N</v>
      </c>
      <c r="Y22" s="2" t="s">
        <v>120</v>
      </c>
      <c r="Z22" s="117">
        <f>0.5*(W23-W22)</f>
        <v>738.89864671980104</v>
      </c>
      <c r="AA22" s="2" t="str">
        <f t="shared" si="6"/>
        <v>N</v>
      </c>
      <c r="AI22" s="73">
        <v>5</v>
      </c>
      <c r="AJ22" s="69">
        <v>1.125</v>
      </c>
      <c r="AK22" s="69">
        <v>1.5</v>
      </c>
      <c r="AL22" s="98">
        <v>74000</v>
      </c>
      <c r="AM22" s="98">
        <v>105000</v>
      </c>
      <c r="AN22" s="98">
        <v>81000</v>
      </c>
      <c r="AO22" s="74" t="e">
        <f>NA()</f>
        <v>#N/A</v>
      </c>
      <c r="AQ22" s="42">
        <v>30</v>
      </c>
      <c r="AR22" s="28">
        <v>3.5</v>
      </c>
      <c r="AS22" s="28">
        <v>561</v>
      </c>
      <c r="AT22" s="29">
        <v>519</v>
      </c>
      <c r="AU22" s="52"/>
      <c r="AV22" s="27">
        <v>30</v>
      </c>
      <c r="AW22" s="28">
        <v>2</v>
      </c>
      <c r="AX22" s="28">
        <v>621</v>
      </c>
      <c r="AY22" s="43">
        <v>596</v>
      </c>
      <c r="BA22" s="49">
        <f>9/16</f>
        <v>0.5625</v>
      </c>
      <c r="BB22" s="27">
        <v>0.5625</v>
      </c>
      <c r="BC22" s="28">
        <v>12</v>
      </c>
      <c r="BD22" s="28">
        <v>0.182</v>
      </c>
      <c r="BE22" s="29">
        <v>0.16200000000000001</v>
      </c>
      <c r="BF22" s="52"/>
      <c r="BG22" s="35">
        <f>9/16</f>
        <v>0.5625</v>
      </c>
      <c r="BH22" s="27">
        <v>0.5625</v>
      </c>
      <c r="BI22" s="28">
        <v>18</v>
      </c>
      <c r="BJ22" s="28">
        <v>0.20300000000000001</v>
      </c>
      <c r="BK22" s="43">
        <v>0.189</v>
      </c>
    </row>
    <row r="23" spans="2:63" ht="15" customHeight="1" x14ac:dyDescent="0.25">
      <c r="B23" s="2" t="s">
        <v>7</v>
      </c>
      <c r="C23" s="2">
        <f>IF($D$2="English",IF($C$14="UNC",VLOOKUP($C$13,$BB$7:$BE$28,3,FALSE),VLOOKUP($C$13,$BH$7:$BK$28,3,FALSE)), IF($C$14="UNC",VLOOKUP($C$13,$AQ$7:$AT$32,3,FALSE),VLOOKUP($C$13,$AV$7:$AY$32,3,FALSE)))</f>
        <v>58</v>
      </c>
      <c r="D23" s="2" t="str">
        <f>IF($D$2="English","in^2","mm^2")</f>
        <v>mm^2</v>
      </c>
      <c r="P23" s="1"/>
      <c r="Q23" s="1">
        <f>Q22*10^-3</f>
        <v>0.8</v>
      </c>
      <c r="R23" s="1" t="str">
        <f>IF($D$2="English","*10^3 in", "m")</f>
        <v>m</v>
      </c>
      <c r="V23" s="2" t="s">
        <v>112</v>
      </c>
      <c r="W23" s="117">
        <f>$W$15*W20+$Q$18</f>
        <v>37582.797293439602</v>
      </c>
      <c r="X23" s="2" t="str">
        <f t="shared" si="6"/>
        <v>N</v>
      </c>
      <c r="Y23" s="2" t="s">
        <v>119</v>
      </c>
      <c r="Z23" s="117">
        <f>0.5*(W23+W22)</f>
        <v>36843.898646719797</v>
      </c>
      <c r="AA23" s="2" t="str">
        <f t="shared" si="6"/>
        <v>N</v>
      </c>
      <c r="AI23" s="75">
        <v>5.2</v>
      </c>
      <c r="AJ23" s="77">
        <v>0.25</v>
      </c>
      <c r="AK23" s="77">
        <v>1</v>
      </c>
      <c r="AL23" s="97">
        <v>85000</v>
      </c>
      <c r="AM23" s="97">
        <v>120000</v>
      </c>
      <c r="AN23" s="97">
        <v>92000</v>
      </c>
      <c r="AO23" s="78" t="s">
        <v>82</v>
      </c>
      <c r="AQ23" s="42">
        <v>36</v>
      </c>
      <c r="AR23" s="28">
        <v>4</v>
      </c>
      <c r="AS23" s="28">
        <v>817</v>
      </c>
      <c r="AT23" s="29">
        <v>759</v>
      </c>
      <c r="AU23" s="52"/>
      <c r="AV23" s="27">
        <v>36</v>
      </c>
      <c r="AW23" s="28">
        <v>2</v>
      </c>
      <c r="AX23" s="28">
        <v>915</v>
      </c>
      <c r="AY23" s="43">
        <v>884</v>
      </c>
      <c r="BA23" s="49">
        <f>5/8</f>
        <v>0.625</v>
      </c>
      <c r="BB23" s="27">
        <v>0.625</v>
      </c>
      <c r="BC23" s="28">
        <v>11</v>
      </c>
      <c r="BD23" s="28">
        <v>0.22600000000000001</v>
      </c>
      <c r="BE23" s="29">
        <v>0.20200000000000001</v>
      </c>
      <c r="BF23" s="52"/>
      <c r="BG23" s="35">
        <f>5/8</f>
        <v>0.625</v>
      </c>
      <c r="BH23" s="27">
        <v>0.625</v>
      </c>
      <c r="BI23" s="28">
        <v>18</v>
      </c>
      <c r="BJ23" s="28">
        <v>0.25600000000000001</v>
      </c>
      <c r="BK23" s="43">
        <v>0.24</v>
      </c>
    </row>
    <row r="24" spans="2:63" ht="15" customHeight="1" x14ac:dyDescent="0.25">
      <c r="B24" s="2"/>
      <c r="C24" s="88">
        <f>IF($D$2="English",C23,C23*10^-6)</f>
        <v>5.8E-5</v>
      </c>
      <c r="D24" s="2" t="str">
        <f>IF($D$2="English","in^2","m^2")</f>
        <v>m^2</v>
      </c>
      <c r="P24" s="1" t="s">
        <v>106</v>
      </c>
      <c r="Q24" s="1">
        <f>IF($D$2="English",PI()*(Q22^2)*0.25,PI()*(Q23^2)*0.25)</f>
        <v>0.50265482457436694</v>
      </c>
      <c r="R24" s="1" t="str">
        <f>IF($D$2="English","in^2","m^2")</f>
        <v>m^2</v>
      </c>
      <c r="AI24" s="75">
        <v>7</v>
      </c>
      <c r="AJ24" s="77">
        <v>0.25</v>
      </c>
      <c r="AK24" s="77">
        <v>1.5</v>
      </c>
      <c r="AL24" s="97">
        <v>105000</v>
      </c>
      <c r="AM24" s="97">
        <v>133000</v>
      </c>
      <c r="AN24" s="97">
        <v>115000</v>
      </c>
      <c r="AO24" s="78" t="s">
        <v>88</v>
      </c>
      <c r="AQ24" s="42">
        <v>42</v>
      </c>
      <c r="AR24" s="28">
        <v>4.5</v>
      </c>
      <c r="AS24" s="28">
        <v>1120</v>
      </c>
      <c r="AT24" s="29">
        <v>1050</v>
      </c>
      <c r="AU24" s="52"/>
      <c r="AV24" s="27">
        <v>42</v>
      </c>
      <c r="AW24" s="28">
        <v>2</v>
      </c>
      <c r="AX24" s="28">
        <v>1260</v>
      </c>
      <c r="AY24" s="43">
        <v>1230</v>
      </c>
      <c r="BA24" s="49">
        <f>3/4</f>
        <v>0.75</v>
      </c>
      <c r="BB24" s="27">
        <v>0.75</v>
      </c>
      <c r="BC24" s="28">
        <v>10</v>
      </c>
      <c r="BD24" s="28">
        <v>0.33400000000000002</v>
      </c>
      <c r="BE24" s="29">
        <v>0.30199999999999999</v>
      </c>
      <c r="BF24" s="52"/>
      <c r="BG24" s="35">
        <f>3/4</f>
        <v>0.75</v>
      </c>
      <c r="BH24" s="27">
        <v>0.75</v>
      </c>
      <c r="BI24" s="28">
        <v>16</v>
      </c>
      <c r="BJ24" s="28">
        <v>0.373</v>
      </c>
      <c r="BK24" s="43">
        <v>0.35099999999999998</v>
      </c>
    </row>
    <row r="25" spans="2:63" ht="15" customHeight="1" x14ac:dyDescent="0.25">
      <c r="B25" s="2" t="str">
        <f>IF($D$2="English","Bolt threads per inch, p","Bolt pitch, p")</f>
        <v>Bolt pitch, p</v>
      </c>
      <c r="C25" s="2">
        <f>IF($D$2="English",IF($C$14="UNC",VLOOKUP($C$13,$BB$7:$BE$28,2,FALSE),VLOOKUP($C$13,$BH$7:$BK$28,2,FALSE)), IF($C$14="UNC",VLOOKUP($C$13,$AQ$7:$AT$32,2,FALSE),VLOOKUP($C$13,$AV$7:$AY$32,2,FALSE)))</f>
        <v>1.5</v>
      </c>
      <c r="D25" s="2" t="str">
        <f>IF($D$2="English","threads/in","mm")</f>
        <v>mm</v>
      </c>
      <c r="U25" s="59"/>
      <c r="V25" s="2" t="s">
        <v>111</v>
      </c>
      <c r="W25" s="117">
        <f>(1-$W$15)*W19-$Q$18</f>
        <v>-36105</v>
      </c>
      <c r="X25" s="2" t="str">
        <f t="shared" si="6"/>
        <v>N</v>
      </c>
      <c r="AI25" s="75">
        <v>8</v>
      </c>
      <c r="AJ25" s="77">
        <v>0.25</v>
      </c>
      <c r="AK25" s="77">
        <v>1.5</v>
      </c>
      <c r="AL25" s="97">
        <v>120000</v>
      </c>
      <c r="AM25" s="97">
        <v>150000</v>
      </c>
      <c r="AN25" s="97">
        <v>130000</v>
      </c>
      <c r="AO25" s="78" t="s">
        <v>88</v>
      </c>
      <c r="AQ25" s="42">
        <v>48</v>
      </c>
      <c r="AR25" s="28">
        <v>5</v>
      </c>
      <c r="AS25" s="28">
        <v>1470</v>
      </c>
      <c r="AT25" s="29">
        <v>1380</v>
      </c>
      <c r="AU25" s="52"/>
      <c r="AV25" s="27">
        <v>48</v>
      </c>
      <c r="AW25" s="28">
        <v>2</v>
      </c>
      <c r="AX25" s="28">
        <v>1670</v>
      </c>
      <c r="AY25" s="43">
        <v>1630</v>
      </c>
      <c r="BA25" s="49">
        <f>7/8</f>
        <v>0.875</v>
      </c>
      <c r="BB25" s="27">
        <v>0.875</v>
      </c>
      <c r="BC25" s="28">
        <v>9</v>
      </c>
      <c r="BD25" s="28">
        <v>0.46200000000000002</v>
      </c>
      <c r="BE25" s="29">
        <v>0.41899999999999998</v>
      </c>
      <c r="BF25" s="52"/>
      <c r="BG25" s="35">
        <f>7/8</f>
        <v>0.875</v>
      </c>
      <c r="BH25" s="27">
        <v>0.875</v>
      </c>
      <c r="BI25" s="28">
        <v>14</v>
      </c>
      <c r="BJ25" s="28">
        <v>0.50900000000000001</v>
      </c>
      <c r="BK25" s="43">
        <v>0.48</v>
      </c>
    </row>
    <row r="26" spans="2:63" ht="15" customHeight="1" thickBot="1" x14ac:dyDescent="0.3">
      <c r="P26" s="1" t="s">
        <v>109</v>
      </c>
      <c r="Q26" s="116">
        <v>0</v>
      </c>
      <c r="R26" s="1" t="str">
        <f t="shared" ref="R26:R27" si="9">IF($D$2="English","psi","Pa")</f>
        <v>Pa</v>
      </c>
      <c r="V26" s="2" t="s">
        <v>118</v>
      </c>
      <c r="W26" s="117">
        <f>(1-$W$15)*W20-$Q$18</f>
        <v>-29903.348584664556</v>
      </c>
      <c r="X26" s="2" t="str">
        <f t="shared" si="6"/>
        <v>N</v>
      </c>
      <c r="AI26" s="79">
        <v>8.1999999999999993</v>
      </c>
      <c r="AJ26" s="80">
        <v>0.25</v>
      </c>
      <c r="AK26" s="80">
        <v>1</v>
      </c>
      <c r="AL26" s="93">
        <v>120000</v>
      </c>
      <c r="AM26" s="93">
        <v>150000</v>
      </c>
      <c r="AN26" s="93">
        <v>130000</v>
      </c>
      <c r="AO26" s="81" t="s">
        <v>82</v>
      </c>
      <c r="AQ26" s="42">
        <v>56</v>
      </c>
      <c r="AR26" s="28">
        <v>5.5</v>
      </c>
      <c r="AS26" s="28">
        <v>2030</v>
      </c>
      <c r="AT26" s="29">
        <v>1910</v>
      </c>
      <c r="AU26" s="52"/>
      <c r="AV26" s="27">
        <v>56</v>
      </c>
      <c r="AW26" s="28">
        <v>2</v>
      </c>
      <c r="AX26" s="28">
        <v>2300</v>
      </c>
      <c r="AY26" s="43">
        <v>2250</v>
      </c>
      <c r="BA26" s="49">
        <f>1</f>
        <v>1</v>
      </c>
      <c r="BB26" s="27">
        <v>1</v>
      </c>
      <c r="BC26" s="28">
        <v>8</v>
      </c>
      <c r="BD26" s="28">
        <v>0.60599999999999998</v>
      </c>
      <c r="BE26" s="29">
        <v>0.55100000000000005</v>
      </c>
      <c r="BF26" s="52"/>
      <c r="BG26" s="35">
        <f>1</f>
        <v>1</v>
      </c>
      <c r="BH26" s="27">
        <v>1</v>
      </c>
      <c r="BI26" s="28">
        <v>12</v>
      </c>
      <c r="BJ26" s="28">
        <v>0.66300000000000003</v>
      </c>
      <c r="BK26" s="43">
        <v>0.625</v>
      </c>
    </row>
    <row r="27" spans="2:63" ht="15" customHeight="1" x14ac:dyDescent="0.25">
      <c r="B27" s="1" t="s">
        <v>8</v>
      </c>
      <c r="C27" s="20" t="b">
        <v>0</v>
      </c>
      <c r="D27" s="136" t="s">
        <v>35</v>
      </c>
      <c r="E27" s="136"/>
      <c r="F27" s="136"/>
      <c r="P27" s="1" t="s">
        <v>110</v>
      </c>
      <c r="Q27" s="116">
        <f>550*10^3</f>
        <v>550000</v>
      </c>
      <c r="R27" s="1" t="str">
        <f t="shared" si="9"/>
        <v>Pa</v>
      </c>
      <c r="AQ27" s="42">
        <v>64</v>
      </c>
      <c r="AR27" s="28">
        <v>6</v>
      </c>
      <c r="AS27" s="28">
        <v>2680</v>
      </c>
      <c r="AT27" s="29">
        <v>2520</v>
      </c>
      <c r="AU27" s="52"/>
      <c r="AV27" s="27">
        <v>64</v>
      </c>
      <c r="AW27" s="28">
        <v>2</v>
      </c>
      <c r="AX27" s="28">
        <v>3030</v>
      </c>
      <c r="AY27" s="43">
        <v>2980</v>
      </c>
      <c r="BA27" s="49">
        <f>1.25</f>
        <v>1.25</v>
      </c>
      <c r="BB27" s="27">
        <v>1.25</v>
      </c>
      <c r="BC27" s="28">
        <v>7</v>
      </c>
      <c r="BD27" s="28">
        <v>0.96899999999999997</v>
      </c>
      <c r="BE27" s="29">
        <v>0.89</v>
      </c>
      <c r="BF27" s="52"/>
      <c r="BG27" s="35">
        <f>1.25</f>
        <v>1.25</v>
      </c>
      <c r="BH27" s="27">
        <v>1.25</v>
      </c>
      <c r="BI27" s="28">
        <v>12</v>
      </c>
      <c r="BJ27" s="28">
        <v>1.073</v>
      </c>
      <c r="BK27" s="43">
        <v>1.024</v>
      </c>
    </row>
    <row r="28" spans="2:63" ht="15" customHeight="1" thickBot="1" x14ac:dyDescent="0.3">
      <c r="B28" s="1" t="s">
        <v>9</v>
      </c>
      <c r="C28" s="21" t="b">
        <f>NOT(C27)</f>
        <v>1</v>
      </c>
      <c r="D28" s="136"/>
      <c r="E28" s="136"/>
      <c r="F28" s="136"/>
      <c r="V28" s="11" t="s">
        <v>113</v>
      </c>
      <c r="W28" s="11"/>
      <c r="X28" s="12"/>
      <c r="Y28" s="12"/>
      <c r="Z28" s="12"/>
      <c r="AA28" s="12"/>
      <c r="AI28" s="86" t="s">
        <v>96</v>
      </c>
      <c r="AJ28" s="86"/>
      <c r="AK28" s="86"/>
      <c r="AL28" s="86"/>
      <c r="AM28" s="86"/>
      <c r="AN28" s="86"/>
      <c r="AO28" s="86"/>
      <c r="AQ28" s="42">
        <v>72</v>
      </c>
      <c r="AR28" s="28">
        <v>6</v>
      </c>
      <c r="AS28" s="28">
        <v>3460</v>
      </c>
      <c r="AT28" s="29">
        <v>3280</v>
      </c>
      <c r="AU28" s="52"/>
      <c r="AV28" s="27">
        <v>72</v>
      </c>
      <c r="AW28" s="28">
        <v>2</v>
      </c>
      <c r="AX28" s="28">
        <v>3860</v>
      </c>
      <c r="AY28" s="43">
        <v>3800</v>
      </c>
      <c r="BA28" s="50">
        <f>1.5</f>
        <v>1.5</v>
      </c>
      <c r="BB28" s="47">
        <v>1.5</v>
      </c>
      <c r="BC28" s="45">
        <v>6</v>
      </c>
      <c r="BD28" s="45">
        <v>1.405</v>
      </c>
      <c r="BE28" s="46">
        <v>1.294</v>
      </c>
      <c r="BF28" s="53"/>
      <c r="BG28" s="51">
        <f>1.5</f>
        <v>1.5</v>
      </c>
      <c r="BH28" s="47">
        <v>1.5</v>
      </c>
      <c r="BI28" s="45">
        <v>12</v>
      </c>
      <c r="BJ28" s="45">
        <v>1.581</v>
      </c>
      <c r="BK28" s="48">
        <v>1.5209999999999999</v>
      </c>
    </row>
    <row r="29" spans="2:63" ht="15" customHeight="1" x14ac:dyDescent="0.25">
      <c r="P29" s="2" t="s">
        <v>100</v>
      </c>
      <c r="Q29" s="117">
        <f>Q26*$Q$24</f>
        <v>0</v>
      </c>
      <c r="R29" s="2" t="str">
        <f>IF($D$2="English","lbf", "N")</f>
        <v>N</v>
      </c>
      <c r="V29" s="2" t="s">
        <v>123</v>
      </c>
      <c r="W29" s="89">
        <f>Q18/$C$24</f>
        <v>622500000</v>
      </c>
      <c r="X29" s="2" t="str">
        <f>IF($D$2="English","psi","Pa")</f>
        <v>Pa</v>
      </c>
      <c r="AI29" s="82" cm="1">
        <f t="array" ref="AI29:AO29">IF($D$2="English",_xlfn._xlws.FILTER(AI17:AO26,AI17:AI26=C16,AI27:AO28=NA()), _xlfn._xlws.FILTER(AI6:AO12,AI6:AI12=C16,AI27:AO28=NA()))</f>
        <v>10.9</v>
      </c>
      <c r="AJ29" s="83">
        <v>5</v>
      </c>
      <c r="AK29" s="83">
        <v>36</v>
      </c>
      <c r="AL29" s="99">
        <v>830000000</v>
      </c>
      <c r="AM29" s="100">
        <v>1040000000</v>
      </c>
      <c r="AN29" s="100">
        <v>940000000</v>
      </c>
      <c r="AO29" s="84" t="str">
        <v>Low-carbon martensite, Q&amp;T</v>
      </c>
      <c r="AQ29" s="42">
        <v>80</v>
      </c>
      <c r="AR29" s="28">
        <v>6</v>
      </c>
      <c r="AS29" s="28">
        <v>4340</v>
      </c>
      <c r="AT29" s="29">
        <v>4140</v>
      </c>
      <c r="AU29" s="52"/>
      <c r="AV29" s="27">
        <v>80</v>
      </c>
      <c r="AW29" s="28">
        <v>1.5</v>
      </c>
      <c r="AX29" s="28">
        <v>4850</v>
      </c>
      <c r="AY29" s="43">
        <v>4800</v>
      </c>
    </row>
    <row r="30" spans="2:63" ht="15" customHeight="1" thickBot="1" x14ac:dyDescent="0.3">
      <c r="B30" s="2" t="s">
        <v>38</v>
      </c>
      <c r="C30" s="24">
        <f>IF(C20=0,0,(C22*C12)/C20)</f>
        <v>416865179034.03027</v>
      </c>
      <c r="D30" s="2" t="str">
        <f>IF($D$2="English","lbf/in","mN/m")</f>
        <v>mN/m</v>
      </c>
      <c r="P30" s="2" t="s">
        <v>101</v>
      </c>
      <c r="Q30" s="117">
        <f>Q27*$Q$24</f>
        <v>276460.15351590182</v>
      </c>
      <c r="R30" s="2" t="str">
        <f>IF($D$2="English","lbf", "N")</f>
        <v>N</v>
      </c>
      <c r="V30" s="2" t="s">
        <v>117</v>
      </c>
      <c r="W30" s="89">
        <f>W22/$C$24</f>
        <v>622500000</v>
      </c>
      <c r="X30" s="2" t="str">
        <f>IF($D$2="English","psi","Pa")</f>
        <v>Pa</v>
      </c>
      <c r="Y30" s="2" t="s">
        <v>115</v>
      </c>
      <c r="Z30" s="89">
        <f>0.5*(W31-W30)</f>
        <v>12739631.839996576</v>
      </c>
      <c r="AA30" s="2" t="str">
        <f>IF($D$2="English","psi","Pa")</f>
        <v>Pa</v>
      </c>
      <c r="AI30" s="85"/>
      <c r="AJ30" s="86"/>
      <c r="AK30" s="86"/>
      <c r="AL30" s="101"/>
      <c r="AM30" s="102"/>
      <c r="AN30" s="102"/>
      <c r="AO30" s="87"/>
      <c r="AQ30" s="42">
        <v>90</v>
      </c>
      <c r="AR30" s="28">
        <v>6</v>
      </c>
      <c r="AS30" s="28">
        <v>5590</v>
      </c>
      <c r="AT30" s="29">
        <v>5360</v>
      </c>
      <c r="AU30" s="52"/>
      <c r="AV30" s="27">
        <v>90</v>
      </c>
      <c r="AW30" s="28">
        <v>2</v>
      </c>
      <c r="AX30" s="28">
        <v>6100</v>
      </c>
      <c r="AY30" s="43">
        <v>6020</v>
      </c>
    </row>
    <row r="31" spans="2:63" ht="15" customHeight="1" x14ac:dyDescent="0.25">
      <c r="B31" s="2"/>
      <c r="C31" s="19">
        <f>IF($D$2="English",C30*10^-6,C30*10^-9)</f>
        <v>416.86517903403029</v>
      </c>
      <c r="D31" s="2" t="str">
        <f>IF($D$2="English","Mlbf/in","MN/m")</f>
        <v>MN/m</v>
      </c>
      <c r="P31" s="6" t="s">
        <v>108</v>
      </c>
      <c r="V31" s="2" t="s">
        <v>114</v>
      </c>
      <c r="W31" s="89">
        <f>W23/$C$24</f>
        <v>647979263.67999315</v>
      </c>
      <c r="X31" s="2" t="str">
        <f>IF($D$2="English","psi","Pa")</f>
        <v>Pa</v>
      </c>
      <c r="Y31" s="2" t="s">
        <v>116</v>
      </c>
      <c r="Z31" s="89">
        <f>0.5*(W31+W30)</f>
        <v>635239631.83999658</v>
      </c>
      <c r="AA31" s="2" t="str">
        <f>IF($D$2="English","psi","Pa")</f>
        <v>Pa</v>
      </c>
      <c r="AQ31" s="42">
        <v>100</v>
      </c>
      <c r="AR31" s="28">
        <v>6</v>
      </c>
      <c r="AS31" s="28">
        <v>6990</v>
      </c>
      <c r="AT31" s="29">
        <v>6740</v>
      </c>
      <c r="AU31" s="52"/>
      <c r="AV31" s="27">
        <v>100</v>
      </c>
      <c r="AW31" s="28">
        <v>2</v>
      </c>
      <c r="AX31" s="28">
        <v>7560</v>
      </c>
      <c r="AY31" s="43">
        <v>7470</v>
      </c>
    </row>
    <row r="32" spans="2:63" ht="15" customHeight="1" thickBot="1" x14ac:dyDescent="0.3">
      <c r="B32" s="2" t="s">
        <v>39</v>
      </c>
      <c r="C32" s="24">
        <f>IF(C21=0,0,(C23*C12)/C21)</f>
        <v>923538461538.46155</v>
      </c>
      <c r="D32" s="2" t="str">
        <f>IF($D$2="English","lbf/in","mN/m")</f>
        <v>mN/m</v>
      </c>
      <c r="AQ32" s="44">
        <v>110</v>
      </c>
      <c r="AR32" s="45">
        <v>6</v>
      </c>
      <c r="AS32" s="45" t="e">
        <f>NA()</f>
        <v>#N/A</v>
      </c>
      <c r="AT32" s="46" t="e">
        <f>NA()</f>
        <v>#N/A</v>
      </c>
      <c r="AU32" s="53"/>
      <c r="AV32" s="47">
        <v>110</v>
      </c>
      <c r="AW32" s="45">
        <v>2</v>
      </c>
      <c r="AX32" s="45">
        <v>9180</v>
      </c>
      <c r="AY32" s="48">
        <v>9080</v>
      </c>
    </row>
    <row r="33" spans="2:26" ht="15" customHeight="1" x14ac:dyDescent="0.25">
      <c r="B33" s="2"/>
      <c r="C33" s="19">
        <f>IF($D$2="English",C32*10^-6,C32*10^-9)</f>
        <v>923.53846153846166</v>
      </c>
      <c r="D33" s="2" t="str">
        <f>IF($D$2="English","Mlbf/in","MN/m")</f>
        <v>MN/m</v>
      </c>
      <c r="V33" s="11" t="s">
        <v>60</v>
      </c>
      <c r="W33" s="11"/>
      <c r="X33" s="12"/>
    </row>
    <row r="34" spans="2:26" ht="15" customHeight="1" x14ac:dyDescent="0.25">
      <c r="B34" s="2" t="s">
        <v>5</v>
      </c>
      <c r="C34" s="24">
        <f>SUM(IF(C30=0,0,C30^-1),IF(C32=0,0,C32^-1))^-1</f>
        <v>287220218194.5824</v>
      </c>
      <c r="D34" s="2" t="str">
        <f>IF($D$2="English","lbf/in","mN/m")</f>
        <v>mN/m</v>
      </c>
      <c r="V34" s="2" t="s">
        <v>63</v>
      </c>
      <c r="W34" s="26">
        <f>W16/W20</f>
        <v>5.8218364080766518</v>
      </c>
      <c r="X34" s="2"/>
    </row>
    <row r="35" spans="2:26" ht="15" customHeight="1" x14ac:dyDescent="0.25">
      <c r="B35" s="2"/>
      <c r="C35" s="19">
        <f>IF($D$2="English",C34*10^-6,C34*10^-9)</f>
        <v>287.2202181945824</v>
      </c>
      <c r="D35" s="2" t="str">
        <f>IF($D$2="English","Mlbf/in","MN/m")</f>
        <v>MN/m</v>
      </c>
      <c r="U35" s="59" t="s">
        <v>131</v>
      </c>
      <c r="V35" s="2" t="s">
        <v>61</v>
      </c>
      <c r="W35" s="26">
        <f>(W5*$C$24)/(W23)</f>
        <v>1.2809051871294117</v>
      </c>
      <c r="X35" s="2"/>
    </row>
    <row r="36" spans="2:26" ht="15" customHeight="1" x14ac:dyDescent="0.25">
      <c r="V36" s="2" t="s">
        <v>130</v>
      </c>
      <c r="W36" s="26">
        <f>(W11*(W7-W29))/(W7*Z30+W11*(Z31-W29))</f>
        <v>4.4168245604507037</v>
      </c>
      <c r="X36" s="118" t="s">
        <v>132</v>
      </c>
      <c r="Y36"/>
    </row>
    <row r="37" spans="2:26" ht="15" customHeight="1" x14ac:dyDescent="0.25">
      <c r="V37" s="2" t="s">
        <v>62</v>
      </c>
      <c r="W37" s="26">
        <f>(W5*$C$24-Q18)/(W15*W20)</f>
        <v>8.1438774136527758</v>
      </c>
      <c r="X37" s="2"/>
    </row>
    <row r="39" spans="2:26" ht="15" customHeight="1" x14ac:dyDescent="0.25">
      <c r="V39" s="11" t="s">
        <v>124</v>
      </c>
      <c r="W39" s="11"/>
      <c r="X39" s="12"/>
    </row>
    <row r="40" spans="2:26" ht="15" customHeight="1" x14ac:dyDescent="0.25">
      <c r="V40" s="2" t="s">
        <v>66</v>
      </c>
      <c r="W40" s="55">
        <f>IF($D$2="English",W41*Q18*C13,W41*Q18*(C13*10^-3))</f>
        <v>72.210000000000008</v>
      </c>
      <c r="X40" s="2" t="str">
        <f>IF($D$2="English","in-lbf", "Nm")</f>
        <v>Nm</v>
      </c>
    </row>
    <row r="41" spans="2:26" ht="15" customHeight="1" x14ac:dyDescent="0.25">
      <c r="V41" s="1" t="s">
        <v>67</v>
      </c>
      <c r="W41" s="57">
        <v>0.2</v>
      </c>
      <c r="X41" s="22"/>
      <c r="Z41"/>
    </row>
    <row r="48" spans="2:26" ht="15" customHeight="1" x14ac:dyDescent="0.25">
      <c r="S48"/>
    </row>
    <row r="150" spans="64:64" ht="15" customHeight="1" x14ac:dyDescent="0.25">
      <c r="BL150" s="6" t="s">
        <v>26</v>
      </c>
    </row>
  </sheetData>
  <mergeCells count="5">
    <mergeCell ref="AQ5:AT5"/>
    <mergeCell ref="AV5:AY5"/>
    <mergeCell ref="BA5:BE5"/>
    <mergeCell ref="BG5:BK5"/>
    <mergeCell ref="D27:F28"/>
  </mergeCells>
  <conditionalFormatting sqref="B19 D19 F19">
    <cfRule type="expression" dxfId="9" priority="1">
      <formula>NOT($F$19)</formula>
    </cfRule>
  </conditionalFormatting>
  <conditionalFormatting sqref="C17:D17">
    <cfRule type="expression" dxfId="8" priority="8">
      <formula>$C$17&lt;&gt;$J$12</formula>
    </cfRule>
    <cfRule type="duplicateValues" dxfId="7" priority="9"/>
  </conditionalFormatting>
  <conditionalFormatting sqref="I6:N6">
    <cfRule type="expression" dxfId="6" priority="6">
      <formula>0=$J$6</formula>
    </cfRule>
  </conditionalFormatting>
  <conditionalFormatting sqref="I7:N7">
    <cfRule type="expression" dxfId="5" priority="7">
      <formula>0=$J$7</formula>
    </cfRule>
  </conditionalFormatting>
  <conditionalFormatting sqref="I8:N8">
    <cfRule type="expression" dxfId="4" priority="5">
      <formula>0=$J$8</formula>
    </cfRule>
  </conditionalFormatting>
  <conditionalFormatting sqref="I9:N9">
    <cfRule type="expression" dxfId="3" priority="4">
      <formula>0=$J$9</formula>
    </cfRule>
  </conditionalFormatting>
  <conditionalFormatting sqref="I10:N10">
    <cfRule type="expression" dxfId="2" priority="3">
      <formula>0=$J$10</formula>
    </cfRule>
  </conditionalFormatting>
  <conditionalFormatting sqref="J12:K13">
    <cfRule type="expression" dxfId="1" priority="10">
      <formula>$C$17&lt;&gt;$J$12</formula>
    </cfRule>
  </conditionalFormatting>
  <conditionalFormatting sqref="P19 R19 T19">
    <cfRule type="expression" dxfId="0" priority="2">
      <formula>NOT($T$19)</formula>
    </cfRule>
  </conditionalFormatting>
  <dataValidations count="2">
    <dataValidation type="list" allowBlank="1" showInputMessage="1" showErrorMessage="1" sqref="C14" xr:uid="{4079A9E8-434A-424B-8BF0-F3D77D8DDAE3}">
      <formula1>"UNC, UNF"</formula1>
    </dataValidation>
    <dataValidation type="list" allowBlank="1" showInputMessage="1" showErrorMessage="1" sqref="D2" xr:uid="{7C8F1DF4-81E0-424A-9FE5-102C0E3426DA}">
      <formula1>"English, Metric"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Jointed Assembly</vt:lpstr>
      <vt:lpstr>Quiz on Spreadsheet 4 Q1</vt:lpstr>
      <vt:lpstr>Quiz on Spreadsheet 4 Q2</vt:lpstr>
      <vt:lpstr>old version with info of lab3</vt:lpstr>
      <vt:lpstr>SQ Bolt Fatigue 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2025-01-13T08:32:02Z</dcterms:created>
  <dcterms:modified xsi:type="dcterms:W3CDTF">2025-03-04T04:30:11Z</dcterms:modified>
  <cp:category/>
  <cp:contentStatus/>
</cp:coreProperties>
</file>