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3520" documentId="11_0B1D56BE9CDCCE836B02CE7A5FB0D4A9BBFD1C62" xr6:coauthVersionLast="47" xr6:coauthVersionMax="47" xr10:uidLastSave="{6459AD8B-1AE3-4947-91D2-DB49F9242CF9}"/>
  <bookViews>
    <workbookView xWindow="-120" yWindow="-120" windowWidth="38640" windowHeight="21120" activeTab="2" xr2:uid="{00000000-000D-0000-FFFF-FFFF00000000}"/>
  </bookViews>
  <sheets>
    <sheet name="L13&amp;14 Weld Design" sheetId="23" r:id="rId1"/>
    <sheet name="L15 Weld Fatigue" sheetId="26" r:id="rId2"/>
    <sheet name="ME 328 Fatigue Calc (English)" sheetId="2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25" l="1"/>
  <c r="W17" i="25"/>
  <c r="P37" i="26"/>
  <c r="P34" i="26"/>
  <c r="P33" i="26"/>
  <c r="P32" i="26"/>
  <c r="P29" i="26"/>
  <c r="P28" i="26"/>
  <c r="P27" i="26"/>
  <c r="P26" i="26"/>
  <c r="L26" i="26"/>
  <c r="P25" i="26"/>
  <c r="L25" i="26"/>
  <c r="P24" i="26"/>
  <c r="P23" i="26"/>
  <c r="P22" i="26"/>
  <c r="L22" i="26"/>
  <c r="P21" i="26"/>
  <c r="L21" i="26"/>
  <c r="P20" i="26"/>
  <c r="L20" i="26"/>
  <c r="P19" i="26"/>
  <c r="L19" i="26"/>
  <c r="P18" i="26"/>
  <c r="L18" i="26"/>
  <c r="P15" i="26"/>
  <c r="P14" i="26"/>
  <c r="K14" i="26"/>
  <c r="P13" i="26"/>
  <c r="P12" i="26"/>
  <c r="O12" i="26"/>
  <c r="P11" i="26"/>
  <c r="L11" i="26"/>
  <c r="P10" i="26"/>
  <c r="O10" i="26"/>
  <c r="L10" i="26"/>
  <c r="P9" i="26"/>
  <c r="O9" i="26"/>
  <c r="L9" i="26"/>
  <c r="P8" i="26"/>
  <c r="O8" i="26"/>
  <c r="O14" i="26" s="1"/>
  <c r="L8" i="26"/>
  <c r="P7" i="26"/>
  <c r="L7" i="26"/>
  <c r="P6" i="26"/>
  <c r="L6" i="26"/>
  <c r="O6" i="26"/>
  <c r="C7" i="26"/>
  <c r="G7" i="26" s="1"/>
  <c r="H7" i="26"/>
  <c r="H6" i="26"/>
  <c r="C6" i="26"/>
  <c r="G6" i="26" s="1"/>
  <c r="D7" i="26"/>
  <c r="D6" i="26"/>
  <c r="K9" i="26" l="1"/>
  <c r="O15" i="26"/>
  <c r="O33" i="26" s="1"/>
  <c r="O13" i="26"/>
  <c r="O11" i="26"/>
  <c r="K10" i="26"/>
  <c r="K11" i="26" s="1"/>
  <c r="O7" i="26"/>
  <c r="O32" i="26"/>
  <c r="O34" i="26" s="1" a="1"/>
  <c r="O34" i="26" s="1"/>
  <c r="O20" i="26" l="1"/>
  <c r="O21" i="26"/>
  <c r="O22" i="26"/>
  <c r="O18" i="26"/>
  <c r="O19" i="26"/>
  <c r="O25" i="26" l="1"/>
  <c r="O26" i="26"/>
  <c r="O24" i="26"/>
  <c r="O23" i="26"/>
  <c r="O27" i="26" l="1"/>
  <c r="O28" i="26"/>
  <c r="O29" i="26" s="1" a="1"/>
  <c r="O29" i="26" s="1"/>
  <c r="O37" i="26" s="1"/>
  <c r="O7" i="23" l="1"/>
  <c r="O6" i="23"/>
  <c r="W33" i="25"/>
  <c r="O128" i="23"/>
  <c r="O146" i="23" s="1"/>
  <c r="O124" i="23"/>
  <c r="K120" i="23"/>
  <c r="W25" i="25"/>
  <c r="W21" i="25"/>
  <c r="W20" i="25"/>
  <c r="W19" i="25"/>
  <c r="W16" i="25"/>
  <c r="W15" i="25"/>
  <c r="W14" i="25" s="1"/>
  <c r="W13" i="25"/>
  <c r="W11" i="25"/>
  <c r="W10" i="25"/>
  <c r="Q10" i="25"/>
  <c r="Q13" i="25" s="1"/>
  <c r="W9" i="25"/>
  <c r="W6" i="25" s="1"/>
  <c r="Q8" i="25"/>
  <c r="O143" i="23"/>
  <c r="O140" i="23"/>
  <c r="O135" i="23"/>
  <c r="O118" i="23"/>
  <c r="O117" i="23"/>
  <c r="O133" i="23" s="1"/>
  <c r="O127" i="23"/>
  <c r="O119" i="23"/>
  <c r="G115" i="23"/>
  <c r="G113" i="23"/>
  <c r="G114" i="23" s="1"/>
  <c r="H116" i="23"/>
  <c r="H115" i="23"/>
  <c r="H114" i="23"/>
  <c r="H113" i="23"/>
  <c r="C115" i="23"/>
  <c r="P113" i="23"/>
  <c r="P111" i="23"/>
  <c r="H111" i="23"/>
  <c r="H60" i="23"/>
  <c r="P60" i="23"/>
  <c r="P65" i="23"/>
  <c r="P64" i="23"/>
  <c r="P63" i="23"/>
  <c r="P62" i="23"/>
  <c r="G33" i="23"/>
  <c r="P14" i="23"/>
  <c r="H14" i="23"/>
  <c r="P12" i="23"/>
  <c r="H12" i="23"/>
  <c r="P10" i="23"/>
  <c r="H10" i="23"/>
  <c r="H15" i="23"/>
  <c r="P15" i="23"/>
  <c r="O14" i="23"/>
  <c r="O12" i="23"/>
  <c r="P149" i="23"/>
  <c r="P146" i="23"/>
  <c r="P143" i="23"/>
  <c r="P140" i="23"/>
  <c r="P137" i="23"/>
  <c r="P136" i="23"/>
  <c r="P135" i="23"/>
  <c r="P134" i="23"/>
  <c r="H138" i="23"/>
  <c r="P133" i="23"/>
  <c r="P132" i="23"/>
  <c r="P131" i="23"/>
  <c r="H135" i="23"/>
  <c r="H134" i="23"/>
  <c r="H133" i="23"/>
  <c r="P128" i="23"/>
  <c r="H130" i="23"/>
  <c r="P127" i="23"/>
  <c r="H129" i="23"/>
  <c r="P126" i="23"/>
  <c r="H128" i="23"/>
  <c r="P125" i="23"/>
  <c r="L125" i="23"/>
  <c r="H127" i="23"/>
  <c r="D127" i="23"/>
  <c r="P124" i="23"/>
  <c r="L124" i="23"/>
  <c r="H126" i="23"/>
  <c r="D126" i="23"/>
  <c r="P123" i="23"/>
  <c r="H125" i="23"/>
  <c r="P122" i="23"/>
  <c r="H124" i="23"/>
  <c r="L121" i="23"/>
  <c r="H123" i="23"/>
  <c r="D123" i="23"/>
  <c r="L120" i="23"/>
  <c r="H122" i="23"/>
  <c r="D122" i="23"/>
  <c r="P119" i="23"/>
  <c r="L119" i="23"/>
  <c r="H121" i="23"/>
  <c r="D121" i="23"/>
  <c r="P118" i="23"/>
  <c r="L118" i="23"/>
  <c r="H120" i="23"/>
  <c r="D120" i="23"/>
  <c r="P117" i="23"/>
  <c r="L117" i="23"/>
  <c r="H119" i="23"/>
  <c r="D119" i="23"/>
  <c r="P114" i="23"/>
  <c r="P112" i="23"/>
  <c r="H112" i="23"/>
  <c r="G111" i="23"/>
  <c r="P110" i="23"/>
  <c r="H110" i="23"/>
  <c r="G110" i="23"/>
  <c r="D110" i="23"/>
  <c r="P109" i="23"/>
  <c r="H109" i="23"/>
  <c r="G109" i="23"/>
  <c r="D109" i="23"/>
  <c r="P108" i="23"/>
  <c r="L108" i="23"/>
  <c r="K108" i="23"/>
  <c r="H108" i="23"/>
  <c r="D108" i="23"/>
  <c r="P107" i="23"/>
  <c r="O107" i="23"/>
  <c r="L107" i="23"/>
  <c r="H107" i="23"/>
  <c r="D107" i="23"/>
  <c r="C107" i="23"/>
  <c r="G108" i="23" s="1"/>
  <c r="P87" i="23"/>
  <c r="P84" i="23"/>
  <c r="P83" i="23"/>
  <c r="P82" i="23"/>
  <c r="P79" i="23"/>
  <c r="P78" i="23"/>
  <c r="P77" i="23"/>
  <c r="P76" i="23"/>
  <c r="L76" i="23"/>
  <c r="P75" i="23"/>
  <c r="L75" i="23"/>
  <c r="P74" i="23"/>
  <c r="P73" i="23"/>
  <c r="P72" i="23"/>
  <c r="L72" i="23"/>
  <c r="P71" i="23"/>
  <c r="L71" i="23"/>
  <c r="P70" i="23"/>
  <c r="L70" i="23"/>
  <c r="P69" i="23"/>
  <c r="L69" i="23"/>
  <c r="P68" i="23"/>
  <c r="L68" i="23"/>
  <c r="D65" i="23"/>
  <c r="D64" i="23"/>
  <c r="K64" i="23"/>
  <c r="O62" i="23"/>
  <c r="P61" i="23"/>
  <c r="L61" i="23"/>
  <c r="H61" i="23"/>
  <c r="D61" i="23"/>
  <c r="O60" i="23"/>
  <c r="L60" i="23"/>
  <c r="G60" i="23"/>
  <c r="D60" i="23"/>
  <c r="P59" i="23"/>
  <c r="O59" i="23"/>
  <c r="L59" i="23"/>
  <c r="H59" i="23"/>
  <c r="G59" i="23"/>
  <c r="D59" i="23"/>
  <c r="P58" i="23"/>
  <c r="O58" i="23"/>
  <c r="O64" i="23" s="1"/>
  <c r="O65" i="23" s="1"/>
  <c r="L58" i="23"/>
  <c r="H58" i="23"/>
  <c r="G58" i="23"/>
  <c r="C60" i="23" s="1"/>
  <c r="D58" i="23"/>
  <c r="P57" i="23"/>
  <c r="L57" i="23"/>
  <c r="H57" i="23"/>
  <c r="D57" i="23"/>
  <c r="P56" i="23"/>
  <c r="L56" i="23"/>
  <c r="K56" i="23"/>
  <c r="O56" i="23" s="1"/>
  <c r="H56" i="23"/>
  <c r="D56" i="23"/>
  <c r="C56" i="23"/>
  <c r="G56" i="23" s="1"/>
  <c r="P37" i="23"/>
  <c r="H37" i="23"/>
  <c r="P34" i="23"/>
  <c r="H34" i="23"/>
  <c r="P33" i="23"/>
  <c r="H33" i="23"/>
  <c r="P32" i="23"/>
  <c r="H32" i="23"/>
  <c r="P29" i="23"/>
  <c r="H29" i="23"/>
  <c r="P28" i="23"/>
  <c r="H28" i="23"/>
  <c r="P27" i="23"/>
  <c r="H27" i="23"/>
  <c r="P26" i="23"/>
  <c r="L26" i="23"/>
  <c r="H26" i="23"/>
  <c r="D26" i="23"/>
  <c r="P25" i="23"/>
  <c r="L25" i="23"/>
  <c r="H25" i="23"/>
  <c r="D25" i="23"/>
  <c r="P24" i="23"/>
  <c r="H24" i="23"/>
  <c r="P23" i="23"/>
  <c r="H23" i="23"/>
  <c r="P22" i="23"/>
  <c r="L22" i="23"/>
  <c r="H22" i="23"/>
  <c r="D22" i="23"/>
  <c r="P21" i="23"/>
  <c r="L21" i="23"/>
  <c r="H21" i="23"/>
  <c r="D21" i="23"/>
  <c r="P20" i="23"/>
  <c r="L20" i="23"/>
  <c r="H20" i="23"/>
  <c r="D20" i="23"/>
  <c r="P19" i="23"/>
  <c r="L19" i="23"/>
  <c r="H19" i="23"/>
  <c r="D19" i="23"/>
  <c r="P18" i="23"/>
  <c r="L18" i="23"/>
  <c r="H18" i="23"/>
  <c r="D18" i="23"/>
  <c r="P13" i="23"/>
  <c r="K14" i="23"/>
  <c r="H13" i="23"/>
  <c r="G12" i="23"/>
  <c r="P11" i="23"/>
  <c r="H11" i="23"/>
  <c r="O10" i="23"/>
  <c r="G10" i="23"/>
  <c r="P9" i="23"/>
  <c r="O9" i="23"/>
  <c r="L9" i="23"/>
  <c r="H9" i="23"/>
  <c r="G9" i="23"/>
  <c r="C9" i="23" s="1"/>
  <c r="D9" i="23"/>
  <c r="P8" i="23"/>
  <c r="O8" i="23"/>
  <c r="L8" i="23"/>
  <c r="H8" i="23"/>
  <c r="D8" i="23"/>
  <c r="P7" i="23"/>
  <c r="L7" i="23"/>
  <c r="H7" i="23"/>
  <c r="D7" i="23"/>
  <c r="P6" i="23"/>
  <c r="L6" i="23"/>
  <c r="K6" i="23"/>
  <c r="H6" i="23"/>
  <c r="D6" i="23"/>
  <c r="C6" i="23"/>
  <c r="G7" i="23" s="1"/>
  <c r="G18" i="23" s="1"/>
  <c r="Q11" i="25" l="1"/>
  <c r="W7" i="25" s="1"/>
  <c r="W24" i="25" s="1"/>
  <c r="O83" i="23"/>
  <c r="K9" i="23"/>
  <c r="K26" i="23"/>
  <c r="O15" i="23"/>
  <c r="O33" i="23" s="1"/>
  <c r="G107" i="23"/>
  <c r="C26" i="23"/>
  <c r="G6" i="23"/>
  <c r="G15" i="23" s="1"/>
  <c r="K60" i="23"/>
  <c r="O57" i="23"/>
  <c r="O11" i="23"/>
  <c r="G57" i="23"/>
  <c r="C65" i="23" s="1"/>
  <c r="G61" i="23"/>
  <c r="O20" i="23"/>
  <c r="O22" i="23" s="1"/>
  <c r="C127" i="23"/>
  <c r="G119" i="23"/>
  <c r="G120" i="23"/>
  <c r="O63" i="23"/>
  <c r="O82" i="23" s="1"/>
  <c r="O61" i="23"/>
  <c r="C110" i="23"/>
  <c r="G116" i="23" s="1"/>
  <c r="G134" i="23" s="1"/>
  <c r="O68" i="23"/>
  <c r="G19" i="23"/>
  <c r="O19" i="23"/>
  <c r="C59" i="23"/>
  <c r="C61" i="23" s="1"/>
  <c r="O111" i="23"/>
  <c r="O112" i="23" s="1"/>
  <c r="K59" i="23"/>
  <c r="K61" i="23" s="1"/>
  <c r="O108" i="23"/>
  <c r="O18" i="23"/>
  <c r="O113" i="23"/>
  <c r="O114" i="23" s="1"/>
  <c r="W22" i="25" l="1"/>
  <c r="W8" i="25"/>
  <c r="W36" i="25"/>
  <c r="O13" i="23"/>
  <c r="O32" i="23" s="1"/>
  <c r="O21" i="23"/>
  <c r="O69" i="23"/>
  <c r="K76" i="23"/>
  <c r="O84" i="23" a="1"/>
  <c r="O84" i="23" s="1"/>
  <c r="O34" i="23" a="1"/>
  <c r="O34" i="23" s="1"/>
  <c r="O70" i="23"/>
  <c r="O71" i="23" s="1"/>
  <c r="O73" i="23" s="1"/>
  <c r="G13" i="23"/>
  <c r="G11" i="23"/>
  <c r="G20" i="23" s="1"/>
  <c r="G112" i="23"/>
  <c r="G121" i="23" s="1"/>
  <c r="O122" i="23"/>
  <c r="O132" i="23"/>
  <c r="K125" i="23"/>
  <c r="O26" i="23"/>
  <c r="O25" i="23"/>
  <c r="O24" i="23"/>
  <c r="O23" i="23"/>
  <c r="O72" i="23"/>
  <c r="W32" i="25" l="1"/>
  <c r="W12" i="25"/>
  <c r="W34" i="25"/>
  <c r="W23" i="25"/>
  <c r="W35" i="25" s="1"/>
  <c r="W27" i="25"/>
  <c r="W26" i="25"/>
  <c r="O28" i="23"/>
  <c r="G122" i="23"/>
  <c r="G123" i="23"/>
  <c r="G21" i="23"/>
  <c r="G22" i="23"/>
  <c r="G133" i="23"/>
  <c r="G135" i="23" s="1" a="1"/>
  <c r="G135" i="23" s="1"/>
  <c r="G32" i="23"/>
  <c r="O76" i="23"/>
  <c r="O75" i="23"/>
  <c r="O78" i="23" s="1"/>
  <c r="O74" i="23"/>
  <c r="O77" i="23" s="1"/>
  <c r="O79" i="23" s="1" a="1"/>
  <c r="O79" i="23" s="1"/>
  <c r="O87" i="23" s="1"/>
  <c r="O27" i="23"/>
  <c r="O29" i="23" s="1" a="1"/>
  <c r="O29" i="23" s="1"/>
  <c r="O37" i="23" s="1"/>
  <c r="O136" i="23"/>
  <c r="O126" i="23"/>
  <c r="O134" i="23"/>
  <c r="O137" i="23" s="1"/>
  <c r="O125" i="23"/>
  <c r="W28" i="25" l="1"/>
  <c r="W37" i="25" s="1"/>
  <c r="G34" i="23" a="1"/>
  <c r="G34" i="23" s="1"/>
  <c r="G26" i="23"/>
  <c r="G25" i="23"/>
  <c r="G28" i="23" s="1"/>
  <c r="G24" i="23"/>
  <c r="G23" i="23"/>
  <c r="G27" i="23" s="1"/>
  <c r="G29" i="23" s="1" a="1"/>
  <c r="G29" i="23" s="1"/>
  <c r="G126" i="23"/>
  <c r="G127" i="23"/>
  <c r="G124" i="23"/>
  <c r="G125" i="23"/>
  <c r="G37" i="23" l="1"/>
  <c r="G129" i="23"/>
  <c r="G128" i="23"/>
  <c r="G130" i="23" s="1" a="1"/>
  <c r="G130" i="23" s="1"/>
  <c r="G138" i="23" s="1"/>
  <c r="O149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12" authorId="0" shapeId="0" xr:uid="{F8E061D9-5F3D-4597-99BA-9549E0B5BB9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1</t>
        </r>
      </text>
    </comment>
    <comment ref="J14" authorId="0" shapeId="0" xr:uid="{327043EE-FD27-4C59-B590-0A35C2748BC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20" authorId="0" shapeId="0" xr:uid="{8070DB07-D38C-4464-A7EF-CF52BF8F36C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20" authorId="0" shapeId="0" xr:uid="{B24F091E-2125-471C-AE75-0E5A7EB5FCE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20" authorId="0" shapeId="0" xr:uid="{F5709836-4219-4787-8836-90FF204C936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20" authorId="0" shapeId="0" xr:uid="{346A75A1-66BA-4F5B-ACE5-D5F8A3695DE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B21" authorId="0" shapeId="0" xr:uid="{3E005C75-2EDA-4342-B040-89895AD187A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21" authorId="0" shapeId="0" xr:uid="{FA77770D-F678-46FA-8C5D-5703A078726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22" authorId="0" shapeId="0" xr:uid="{88E9D533-ED39-4C25-8B5A-0698E11D877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22" authorId="0" shapeId="0" xr:uid="{BA2FCE92-E126-4CB2-BF6A-DE37724BBD0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26" authorId="0" shapeId="0" xr:uid="{42E73C2F-7100-49DD-8621-EFFEE6C1C13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26" authorId="0" shapeId="0" xr:uid="{AEFE8126-734E-45C6-B73A-0993C826074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64" authorId="0" shapeId="0" xr:uid="{CCC5FF03-B136-44D8-9485-166F052E510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65" authorId="0" shapeId="0" xr:uid="{1D356222-9308-468E-ABB9-8FD6C67A758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70" authorId="0" shapeId="0" xr:uid="{5578E8C8-2D39-41B6-BE19-48FB0B13446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70" authorId="0" shapeId="0" xr:uid="{E2C2C184-A320-427B-B109-076190539DB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71" authorId="0" shapeId="0" xr:uid="{CF4096D0-B36D-4835-B19E-F8AB617DF24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72" authorId="0" shapeId="0" xr:uid="{09A56F7C-B518-4EFD-A551-37A8AB3EBA2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76" authorId="0" shapeId="0" xr:uid="{1A4DB5F9-2749-4E1F-9762-9679F715F62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108" authorId="0" shapeId="0" xr:uid="{52662EA4-99B4-4476-AFBE-DC81DE4D65B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max distance to centroid</t>
        </r>
      </text>
    </comment>
    <comment ref="N113" authorId="0" shapeId="0" xr:uid="{FB6DEC15-3862-4834-A4CF-8D6274536DE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9</t>
        </r>
      </text>
    </comment>
    <comment ref="N114" authorId="0" shapeId="0" xr:uid="{4FF579A9-ECF9-406A-8E56-238D89B6961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both x and y are the same</t>
        </r>
      </text>
    </comment>
    <comment ref="J119" authorId="0" shapeId="0" xr:uid="{0FA7B4E1-0637-48EA-BE03-2702004E180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119" authorId="0" shapeId="0" xr:uid="{DA8BDCCF-A78C-47AA-807C-8EED165D741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0" authorId="0" shapeId="0" xr:uid="{7A0F683E-DD3C-45F8-8E4B-F3B6318E50C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1" authorId="0" shapeId="0" xr:uid="{2F704A3C-B1BC-4329-9F62-F797AB9636F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121" authorId="0" shapeId="0" xr:uid="{E21E07DE-DCB8-46E4-93FB-05CC25E0770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1" authorId="0" shapeId="0" xr:uid="{8267C6C7-2930-4BDC-BF9A-D98DBCA40F7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122" authorId="0" shapeId="0" xr:uid="{A1A0C14E-9E39-4B81-965B-870286EE99E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3" authorId="0" shapeId="0" xr:uid="{542A9FD7-9DCE-441D-A350-548502581E8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125" authorId="0" shapeId="0" xr:uid="{6A35E7CC-7059-47A8-B72C-D44C2F4EA3D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B127" authorId="0" shapeId="0" xr:uid="{68F51506-0E5D-4D59-8B9F-AFCA51C2080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J14" authorId="0" shapeId="0" xr:uid="{6860676D-CC4A-49B2-A88B-3655C49D9F4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J20" authorId="0" shapeId="0" xr:uid="{A8433B09-F064-4F90-803B-DDEAF0A17C9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20" authorId="0" shapeId="0" xr:uid="{0094A889-7330-49DF-A835-3BF767E2E52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21" authorId="0" shapeId="0" xr:uid="{9DD2D9D2-DC95-4C1C-ABF2-546D8192A72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22" authorId="0" shapeId="0" xr:uid="{247B4C3E-EC32-400F-88B7-0B74CCEFF5D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26" authorId="0" shapeId="0" xr:uid="{D0ACD03A-DFF7-4774-B27C-95675345414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W14" authorId="0" shapeId="0" xr:uid="{276C2068-E768-4EDA-BD1F-06D7665E84BD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table on right</t>
        </r>
      </text>
    </comment>
    <comment ref="W17" authorId="0" shapeId="0" xr:uid="{77F8CF5B-33F0-4B39-BF99-564A232F6A35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there is only axial stress then = 1 otherwise based on formulas on right</t>
        </r>
      </text>
    </comment>
    <comment ref="W18" authorId="0" shapeId="0" xr:uid="{B677B96D-7EB8-48F3-9F5B-E1C0F17A3A61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(accounted for in Von Mises)</t>
        </r>
      </text>
    </comment>
    <comment ref="W19" authorId="0" shapeId="0" xr:uid="{0B66A0EB-3873-4F69-A15B-74494954E78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From table on right</t>
        </r>
      </text>
    </comment>
    <comment ref="W20" authorId="0" shapeId="0" xr:uid="{71AA41AE-DC92-4004-A11E-4964247E1E19}">
      <text>
        <r>
          <rPr>
            <b/>
            <sz val="9"/>
            <color rgb="FF000000"/>
            <rFont val="Tahoma"/>
            <family val="2"/>
          </rPr>
          <t>Caiden Bonney: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table on right</t>
        </r>
      </text>
    </comment>
    <comment ref="W21" authorId="0" shapeId="0" xr:uid="{1E829C9E-071B-49C5-8275-80D71796840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Given by operator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<sst xmlns="http://schemas.openxmlformats.org/spreadsheetml/2006/main" count="558" uniqueCount="220">
  <si>
    <t>INPUTS</t>
  </si>
  <si>
    <t>Units:</t>
  </si>
  <si>
    <t>Metric</t>
  </si>
  <si>
    <t>OUTPUTS</t>
  </si>
  <si>
    <t>English</t>
  </si>
  <si>
    <t>b</t>
  </si>
  <si>
    <t>d</t>
  </si>
  <si>
    <r>
      <t>τ</t>
    </r>
    <r>
      <rPr>
        <vertAlign val="subscript"/>
        <sz val="11"/>
        <color theme="1"/>
        <rFont val="Aptos Narrow"/>
        <family val="2"/>
        <scheme val="minor"/>
      </rPr>
      <t>allow</t>
    </r>
  </si>
  <si>
    <t>Weld Dimensions</t>
  </si>
  <si>
    <t>Location of G, x̄</t>
  </si>
  <si>
    <t>Location of G, ȳ</t>
  </si>
  <si>
    <r>
      <t>Unit Second Polar Moment of Area, J</t>
    </r>
    <r>
      <rPr>
        <vertAlign val="subscript"/>
        <sz val="11"/>
        <color theme="1"/>
        <rFont val="Aptos Narrow"/>
        <family val="2"/>
        <scheme val="minor"/>
      </rPr>
      <t>u</t>
    </r>
  </si>
  <si>
    <t>t</t>
  </si>
  <si>
    <t>Second Polar Moment of Area, J</t>
  </si>
  <si>
    <t>Maximum Load in direct shear, F</t>
  </si>
  <si>
    <t>-</t>
  </si>
  <si>
    <t>Thickness of Weld Leg, h</t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</si>
  <si>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</si>
  <si>
    <t>Second Moment of Area, I</t>
  </si>
  <si>
    <t>Table 9-2 Weld 2</t>
  </si>
  <si>
    <t>Table 9-2 Weld 3</t>
  </si>
  <si>
    <t>Table 9-2 Weld 4</t>
  </si>
  <si>
    <t>Table 9-2 Weld 5</t>
  </si>
  <si>
    <r>
      <t>No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calculation given</t>
    </r>
  </si>
  <si>
    <t>Table 9-1 Weld Type:</t>
  </si>
  <si>
    <t>Table 9-2 Weld 7 &amp; 8 not calculated in this spreadsheet</t>
  </si>
  <si>
    <t>Bending Shear, τ''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</si>
  <si>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</si>
  <si>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</si>
  <si>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</t>
    </r>
  </si>
  <si>
    <t>Direct Shear Force, Fx</t>
  </si>
  <si>
    <t>Direct Shear Force, Fy</t>
  </si>
  <si>
    <r>
      <t>Direct Shear, τ'</t>
    </r>
    <r>
      <rPr>
        <vertAlign val="subscript"/>
        <sz val="11"/>
        <color theme="1"/>
        <rFont val="Aptos Narrow"/>
        <family val="2"/>
        <scheme val="minor"/>
      </rPr>
      <t>direct</t>
    </r>
    <r>
      <rPr>
        <sz val="11"/>
        <color theme="1"/>
        <rFont val="Aptos Narrow"/>
        <family val="2"/>
        <scheme val="minor"/>
      </rPr>
      <t>x</t>
    </r>
  </si>
  <si>
    <r>
      <t>Direct Shear, τ'</t>
    </r>
    <r>
      <rPr>
        <vertAlign val="subscript"/>
        <sz val="11"/>
        <color theme="1"/>
        <rFont val="Aptos Narrow"/>
        <family val="2"/>
        <scheme val="minor"/>
      </rPr>
      <t>direct</t>
    </r>
    <r>
      <rPr>
        <sz val="11"/>
        <color theme="1"/>
        <rFont val="Aptos Narrow"/>
        <family val="2"/>
        <scheme val="minor"/>
      </rPr>
      <t>y</t>
    </r>
  </si>
  <si>
    <t>Weld Information</t>
  </si>
  <si>
    <t>Shear caused from Torque and Direct Shear Force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</si>
  <si>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</si>
  <si>
    <r>
      <t>Bending Moment, M</t>
    </r>
    <r>
      <rPr>
        <vertAlign val="subscript"/>
        <sz val="11"/>
        <color theme="1"/>
        <rFont val="Aptos Narrow"/>
        <family val="2"/>
        <scheme val="minor"/>
      </rPr>
      <t>bending</t>
    </r>
    <r>
      <rPr>
        <sz val="11"/>
        <color theme="1"/>
        <rFont val="Aptos Narrow"/>
        <family val="2"/>
        <scheme val="minor"/>
      </rPr>
      <t>x</t>
    </r>
  </si>
  <si>
    <t>Torque, Tz</t>
  </si>
  <si>
    <r>
      <t>Bending Moment, M</t>
    </r>
    <r>
      <rPr>
        <vertAlign val="subscript"/>
        <sz val="11"/>
        <color theme="1"/>
        <rFont val="Aptos Narrow"/>
        <family val="2"/>
        <scheme val="minor"/>
      </rPr>
      <t>bending</t>
    </r>
    <r>
      <rPr>
        <sz val="11"/>
        <color theme="1"/>
        <rFont val="Aptos Narrow"/>
        <family val="2"/>
        <scheme val="minor"/>
      </rPr>
      <t>y</t>
    </r>
  </si>
  <si>
    <t>Forces on Weld Centroid</t>
  </si>
  <si>
    <t>Bending Shear, τ''x</t>
  </si>
  <si>
    <t>Bending Shear, τ''y</t>
  </si>
  <si>
    <t>Shear, τ'</t>
  </si>
  <si>
    <t>Bending Shear caused by bending</t>
  </si>
  <si>
    <t>Net Shear</t>
  </si>
  <si>
    <r>
      <t>Direct Shear Force, F, based on allowable shear stress, τ</t>
    </r>
    <r>
      <rPr>
        <b/>
        <vertAlign val="subscript"/>
        <sz val="11"/>
        <color theme="1"/>
        <rFont val="Aptos Narrow"/>
        <family val="2"/>
        <scheme val="minor"/>
      </rPr>
      <t>allow</t>
    </r>
  </si>
  <si>
    <t>Shear, τ'x+</t>
  </si>
  <si>
    <t>Shear, τ'x-</t>
  </si>
  <si>
    <t>Shear, τ'y+</t>
  </si>
  <si>
    <t>Shear, τ'y-</t>
  </si>
  <si>
    <r>
      <t>Max Shear, τ'x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</si>
  <si>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Max Shear, τ'y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</si>
  <si>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</si>
  <si>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max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</si>
  <si>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</si>
  <si>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y</t>
    </r>
  </si>
  <si>
    <r>
      <t>Throat Area, A</t>
    </r>
    <r>
      <rPr>
        <vertAlign val="subscript"/>
        <sz val="11"/>
        <color theme="1"/>
        <rFont val="Aptos Narrow"/>
        <family val="2"/>
        <scheme val="minor"/>
      </rPr>
      <t>t</t>
    </r>
  </si>
  <si>
    <t>Radius, r</t>
  </si>
  <si>
    <t>Bending Shear caused by bending top point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</si>
  <si>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 top point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</si>
  <si>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 top point</t>
    </r>
  </si>
  <si>
    <t>Shear, τ'x+ top point</t>
  </si>
  <si>
    <t>Shear, τ'y+ top point</t>
  </si>
  <si>
    <t>Bending Shear, τ''x top point</t>
  </si>
  <si>
    <t>should also technically check diagonal point for when the bendings</t>
  </si>
  <si>
    <t>occur in both the x and y directions meaning that the stresses</t>
  </si>
  <si>
    <t>combine at this diagonal point however their moment arms</t>
  </si>
  <si>
    <t>decrease as a result of the point being closer to the centroid in the</t>
  </si>
  <si>
    <t>x or y direction</t>
  </si>
  <si>
    <t>Second Moment of Area, Ix</t>
  </si>
  <si>
    <t>Second Moment of Area, Iy</t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</si>
  <si>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x</t>
    </r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</si>
  <si>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y</t>
    </r>
  </si>
  <si>
    <t>Table 9-2 Weld 6</t>
  </si>
  <si>
    <t>Table 9-2 Weld 6 rotated 90 degrees</t>
  </si>
  <si>
    <t>Shear, τ'x- bottom point</t>
  </si>
  <si>
    <t>Shear, τ'y- bottom point</t>
  </si>
  <si>
    <t>Shear caused from Torque and Direct Shear Force top/bottom point</t>
  </si>
  <si>
    <t>Shear, τ'x+ right side point</t>
  </si>
  <si>
    <t>Shear, τ'x- left side point</t>
  </si>
  <si>
    <t>Shear, τ'y+ right side point</t>
  </si>
  <si>
    <t>Shear, τ'y- left side point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</si>
  <si>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 right side point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</si>
  <si>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 right side point</t>
    </r>
  </si>
  <si>
    <t>Bending Shear caused by bending right side point</t>
  </si>
  <si>
    <t>Bending Shear, τ''y right side point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</si>
  <si>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  <r>
      <rPr>
        <sz val="11"/>
        <color theme="1"/>
        <rFont val="Aptos Narrow"/>
        <family val="2"/>
        <scheme val="minor"/>
      </rPr>
      <t xml:space="preserve"> top/bottom point</t>
    </r>
  </si>
  <si>
    <t>Net Shear top/bottom point</t>
  </si>
  <si>
    <t>Shear caused from Torque and Direct Shear Force right/left side point</t>
  </si>
  <si>
    <t>Shear, τ' right/left side point</t>
  </si>
  <si>
    <t>Net Shear right/left side point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</si>
  <si>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  <r>
      <rPr>
        <sz val="11"/>
        <color theme="1"/>
        <rFont val="Aptos Narrow"/>
        <family val="2"/>
        <scheme val="minor"/>
      </rPr>
      <t xml:space="preserve"> right/left side point</t>
    </r>
  </si>
  <si>
    <t>&lt;-- max so manually need to see</t>
  </si>
  <si>
    <t>Max Shear, τ' top/bottom point</t>
  </si>
  <si>
    <t>whether the top or bottom point</t>
  </si>
  <si>
    <t>was taken</t>
  </si>
  <si>
    <t>whether the right or left side</t>
  </si>
  <si>
    <t>point was taken</t>
  </si>
  <si>
    <t>&lt;-- flipped sign for bottom</t>
  </si>
  <si>
    <t>however next step squares so it</t>
  </si>
  <si>
    <t>doesn't change final result</t>
  </si>
  <si>
    <t>&lt;-- flipped sign for left side point</t>
  </si>
  <si>
    <t>Imperial Units</t>
  </si>
  <si>
    <t>Inputs</t>
  </si>
  <si>
    <t>Outputs</t>
  </si>
  <si>
    <t>x</t>
  </si>
  <si>
    <t>Variable</t>
  </si>
  <si>
    <t>Value</t>
  </si>
  <si>
    <t>Units</t>
  </si>
  <si>
    <t>Description</t>
  </si>
  <si>
    <r>
      <t>S</t>
    </r>
    <r>
      <rPr>
        <vertAlign val="subscript"/>
        <sz val="11"/>
        <color theme="1"/>
        <rFont val="Aptos Narrow"/>
        <family val="2"/>
        <scheme val="minor"/>
      </rPr>
      <t>ut</t>
    </r>
  </si>
  <si>
    <t>kpsi</t>
  </si>
  <si>
    <t>Tensile Strength</t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</si>
  <si>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'</t>
    </r>
  </si>
  <si>
    <t>Alternating Von Mises stress caused by bending</t>
  </si>
  <si>
    <r>
      <t>S</t>
    </r>
    <r>
      <rPr>
        <vertAlign val="subscript"/>
        <sz val="11"/>
        <color theme="1"/>
        <rFont val="Aptos Narrow"/>
        <family val="2"/>
        <scheme val="minor"/>
      </rPr>
      <t>y</t>
    </r>
  </si>
  <si>
    <t>Yield Strength</t>
  </si>
  <si>
    <r>
      <t>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'</t>
    </r>
  </si>
  <si>
    <t>Midrange (Mean) Von Mises stress caused by bending</t>
  </si>
  <si>
    <t>All Given Stresses must be at the point of highest stress in the shaft</t>
  </si>
  <si>
    <r>
      <t>(σ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</si>
  <si>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t>Alternating stress caused by bending</t>
  </si>
  <si>
    <r>
      <t>σ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'</t>
    </r>
  </si>
  <si>
    <t>Max Von Mises effective stress</t>
  </si>
  <si>
    <r>
      <t>(σ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</si>
  <si>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t>Alternating stress caused by axial Loading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</si>
  <si>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</si>
  <si>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t>Bending stress concentrator at the point of given bending stress</t>
  </si>
  <si>
    <r>
      <t>(τ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</si>
  <si>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Alternating stress caused by torsion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</si>
  <si>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</si>
  <si>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t>Axial stress concentrator at the point of given axial stress</t>
  </si>
  <si>
    <r>
      <t>(σ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bending</t>
    </r>
  </si>
  <si>
    <t>Midrange (Mean) stress caused by bending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</si>
  <si>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fs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</si>
  <si>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Torsion stress concentrator at the point of given torsion stress</t>
  </si>
  <si>
    <r>
      <t>(σ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axial</t>
    </r>
  </si>
  <si>
    <t>Midrange (Mean) stress caused by axial Loading</t>
  </si>
  <si>
    <r>
      <t>η</t>
    </r>
    <r>
      <rPr>
        <i/>
        <vertAlign val="subscript"/>
        <sz val="11"/>
        <color theme="1"/>
        <rFont val="Aptos Narrow"/>
        <family val="2"/>
        <scheme val="minor"/>
      </rPr>
      <t>y</t>
    </r>
  </si>
  <si>
    <t>Factor of Safety Yield</t>
  </si>
  <si>
    <r>
      <t>(τ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</si>
  <si>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Midrange (Mean) stress caused by torsion</t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</si>
  <si>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'</t>
    </r>
  </si>
  <si>
    <t>Endurance Limit (initial estimate)</t>
  </si>
  <si>
    <t>Stress concentrators assumed to be 1 if blank</t>
  </si>
  <si>
    <r>
      <t>K</t>
    </r>
    <r>
      <rPr>
        <i/>
        <vertAlign val="subscript"/>
        <sz val="11"/>
        <color theme="1"/>
        <rFont val="Aptos Narrow"/>
        <family val="2"/>
        <scheme val="minor"/>
      </rPr>
      <t>t</t>
    </r>
  </si>
  <si>
    <t>factors assumed to be 1 if blank</t>
  </si>
  <si>
    <r>
      <t>k</t>
    </r>
    <r>
      <rPr>
        <vertAlign val="subscript"/>
        <sz val="11"/>
        <color theme="1"/>
        <rFont val="Aptos Narrow"/>
        <family val="2"/>
        <scheme val="minor"/>
      </rPr>
      <t>a</t>
    </r>
  </si>
  <si>
    <t>Surface factor</t>
  </si>
  <si>
    <r>
      <t>(K</t>
    </r>
    <r>
      <rPr>
        <i/>
        <vertAlign val="subscript"/>
        <sz val="11"/>
        <color theme="1"/>
        <rFont val="Aptos Narrow"/>
        <family val="2"/>
        <scheme val="minor"/>
      </rPr>
      <t>ts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torsion</t>
    </r>
  </si>
  <si>
    <t>a</t>
  </si>
  <si>
    <t>Factor a for ka</t>
  </si>
  <si>
    <t>Notch sensitivities assumed to be 1 if blank</t>
  </si>
  <si>
    <t>q</t>
  </si>
  <si>
    <t>Notch sensitivity</t>
  </si>
  <si>
    <t>Exponent b for ka</t>
  </si>
  <si>
    <r>
      <t>q</t>
    </r>
    <r>
      <rPr>
        <vertAlign val="subscript"/>
        <sz val="11"/>
        <color theme="1"/>
        <rFont val="Aptos Narrow"/>
        <family val="2"/>
        <scheme val="minor"/>
      </rPr>
      <t>s</t>
    </r>
  </si>
  <si>
    <t>Notch sensitivity shear</t>
  </si>
  <si>
    <r>
      <t>k</t>
    </r>
    <r>
      <rPr>
        <vertAlign val="subscript"/>
        <sz val="11"/>
        <color theme="1"/>
        <rFont val="Aptos Narrow"/>
        <family val="2"/>
        <scheme val="minor"/>
      </rPr>
      <t>b</t>
    </r>
  </si>
  <si>
    <t>Size factor</t>
  </si>
  <si>
    <t>Surface Finish</t>
  </si>
  <si>
    <t>Machined or cold-drawn</t>
  </si>
  <si>
    <t>Surface finish of shaft</t>
  </si>
  <si>
    <r>
      <t>k</t>
    </r>
    <r>
      <rPr>
        <vertAlign val="subscript"/>
        <sz val="11"/>
        <color theme="1"/>
        <rFont val="Aptos Narrow"/>
        <family val="2"/>
        <scheme val="minor"/>
      </rPr>
      <t>c</t>
    </r>
  </si>
  <si>
    <t>Load factor (accounted for in Von Mises)</t>
  </si>
  <si>
    <t>de</t>
  </si>
  <si>
    <t>in</t>
  </si>
  <si>
    <t>Effective diameter of the shaft at the point of highest stress</t>
  </si>
  <si>
    <r>
      <t>k</t>
    </r>
    <r>
      <rPr>
        <vertAlign val="subscript"/>
        <sz val="11"/>
        <color theme="1"/>
        <rFont val="Aptos Narrow"/>
        <family val="2"/>
        <scheme val="minor"/>
      </rPr>
      <t>d</t>
    </r>
  </si>
  <si>
    <t>Temperature factor</t>
  </si>
  <si>
    <t>Temperature</t>
  </si>
  <si>
    <t>°F</t>
  </si>
  <si>
    <t>Temperature of part for calculating temperature factor</t>
  </si>
  <si>
    <r>
      <t>k</t>
    </r>
    <r>
      <rPr>
        <vertAlign val="subscript"/>
        <sz val="11"/>
        <color theme="1"/>
        <rFont val="Aptos Narrow"/>
        <family val="2"/>
        <scheme val="minor"/>
      </rPr>
      <t>e</t>
    </r>
  </si>
  <si>
    <t>Reliability factor</t>
  </si>
  <si>
    <t>Reliability %</t>
  </si>
  <si>
    <t>%</t>
  </si>
  <si>
    <t>Requirement for reliability for the part</t>
  </si>
  <si>
    <r>
      <t>k</t>
    </r>
    <r>
      <rPr>
        <vertAlign val="subscript"/>
        <sz val="11"/>
        <color theme="1"/>
        <rFont val="Aptos Narrow"/>
        <family val="2"/>
        <scheme val="minor"/>
      </rPr>
      <t>f</t>
    </r>
  </si>
  <si>
    <t>Miscillaneous factor</t>
  </si>
  <si>
    <t>Assumed to be 1 if blank</t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</si>
  <si>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</si>
  <si>
    <t>Endurance Limit</t>
  </si>
  <si>
    <r>
      <t>η</t>
    </r>
    <r>
      <rPr>
        <i/>
        <vertAlign val="subscript"/>
        <sz val="11"/>
        <color theme="1"/>
        <rFont val="Aptos Narrow"/>
        <family val="2"/>
        <scheme val="minor"/>
      </rPr>
      <t>f</t>
    </r>
  </si>
  <si>
    <t>Factor of Safety Fatigue</t>
  </si>
  <si>
    <r>
      <t>S</t>
    </r>
    <r>
      <rPr>
        <vertAlign val="subscript"/>
        <sz val="11"/>
        <color theme="1"/>
        <rFont val="Aptos Narrow"/>
        <family val="2"/>
        <scheme val="minor"/>
      </rPr>
      <t>f</t>
    </r>
  </si>
  <si>
    <t>Fatigue Strength</t>
  </si>
  <si>
    <t>f</t>
  </si>
  <si>
    <t>Fatigue strength fraction</t>
  </si>
  <si>
    <t>This table used in calculations</t>
  </si>
  <si>
    <t>a used in the fatigue strength equations</t>
  </si>
  <si>
    <t>Factor a</t>
  </si>
  <si>
    <t>Exponent b</t>
  </si>
  <si>
    <t>b used in the fatigue strength equations</t>
  </si>
  <si>
    <t>Sut, kpsi</t>
  </si>
  <si>
    <t>Sut, MPa</t>
  </si>
  <si>
    <t>N</t>
  </si>
  <si>
    <t>Number of cycles before failure</t>
  </si>
  <si>
    <t>Ground</t>
  </si>
  <si>
    <t>Important Values Pulled out</t>
  </si>
  <si>
    <t>Hot-rolled</t>
  </si>
  <si>
    <t>As-forged</t>
  </si>
  <si>
    <t>if there is only axial force kb is 1</t>
  </si>
  <si>
    <t>for combined loading its 1</t>
  </si>
  <si>
    <t>Temperature (°C)</t>
  </si>
  <si>
    <t>ST/SRT</t>
  </si>
  <si>
    <t>Temperature (°F)</t>
  </si>
  <si>
    <t>did not use this equation as the table provides values of ke</t>
  </si>
  <si>
    <t>Reliability (%)</t>
  </si>
  <si>
    <t>Transformation Variate za</t>
  </si>
  <si>
    <t>Reliability Factor ke</t>
  </si>
  <si>
    <r>
      <t>Ultimate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</si>
  <si>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</si>
  <si>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Material Information</t>
  </si>
  <si>
    <t>For welds torsion is used so kc = 0.59</t>
  </si>
  <si>
    <t>if the fatigue factor of safety is greater than 1 we still need to</t>
  </si>
  <si>
    <t>check for yield</t>
  </si>
  <si>
    <t>kb adjusts for changes in circular section diameters for</t>
  </si>
  <si>
    <t>rotating bending in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</si>
</sst>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0.0E+00"/>
    <numFmt numFmtId="165" formatCode="0.0000"/>
    <numFmt numFmtId="166" formatCode="#,##0.0000"/>
    <numFmt numFmtId="167" formatCode="#,##0.0"/>
    <numFmt numFmtId="168" formatCode="0.000"/>
    <numFmt numFmtId="169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0" xfId="0" applyFill="1" applyAlignment="1">
      <alignment vertical="center"/>
    </xf>
    <xf numFmtId="164" fontId="0" fillId="4" borderId="0" xfId="0" applyNumberFormat="1" applyFill="1" applyAlignment="1">
      <alignment vertical="center"/>
    </xf>
    <xf numFmtId="165" fontId="0" fillId="4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3" fontId="0" fillId="4" borderId="0" xfId="1" applyNumberFormat="1" applyFon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1" applyNumberFormat="1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4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 applyAlignment="1">
      <alignment vertic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left"/>
    </xf>
    <xf numFmtId="166" fontId="0" fillId="4" borderId="0" xfId="1" applyNumberFormat="1" applyFont="1" applyFill="1" applyAlignment="1">
      <alignment vertical="center"/>
    </xf>
    <xf numFmtId="0" fontId="0" fillId="7" borderId="0" xfId="0" applyFill="1"/>
    <xf numFmtId="0" fontId="0" fillId="11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3" fontId="0" fillId="2" borderId="0" xfId="0" applyNumberForma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166" fontId="0" fillId="4" borderId="0" xfId="0" applyNumberFormat="1" applyFill="1"/>
    <xf numFmtId="167" fontId="0" fillId="4" borderId="0" xfId="1" applyNumberFormat="1" applyFont="1" applyFill="1" applyAlignment="1">
      <alignment vertical="center"/>
    </xf>
    <xf numFmtId="0" fontId="0" fillId="12" borderId="0" xfId="0" applyFill="1"/>
    <xf numFmtId="0" fontId="0" fillId="14" borderId="3" xfId="0" applyFill="1" applyBorder="1" applyAlignment="1">
      <alignment horizontal="center" vertical="center"/>
    </xf>
    <xf numFmtId="0" fontId="0" fillId="14" borderId="3" xfId="0" applyFill="1" applyBorder="1" applyAlignment="1">
      <alignment vertical="center"/>
    </xf>
    <xf numFmtId="0" fontId="0" fillId="0" borderId="2" xfId="0" applyBorder="1" applyAlignment="1">
      <alignment vertical="center"/>
    </xf>
    <xf numFmtId="168" fontId="0" fillId="0" borderId="2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68" fontId="0" fillId="0" borderId="4" xfId="0" applyNumberFormat="1" applyBorder="1" applyAlignment="1">
      <alignment vertical="center"/>
    </xf>
    <xf numFmtId="0" fontId="0" fillId="14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vertical="center"/>
    </xf>
    <xf numFmtId="168" fontId="0" fillId="10" borderId="4" xfId="0" applyNumberForma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2" fontId="0" fillId="10" borderId="4" xfId="0" applyNumberForma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8" fillId="10" borderId="4" xfId="0" applyFont="1" applyFill="1" applyBorder="1" applyAlignment="1">
      <alignment vertical="center"/>
    </xf>
    <xf numFmtId="169" fontId="0" fillId="0" borderId="4" xfId="0" applyNumberForma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1" fontId="0" fillId="10" borderId="4" xfId="0" applyNumberForma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2" fontId="0" fillId="0" borderId="4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48" fontId="0" fillId="2" borderId="0" xfId="0" applyNumberFormat="1" applyFill="1" applyAlignment="1">
      <alignment vertical="center"/>
    </xf>
    <xf numFmtId="48" fontId="0" fillId="4" borderId="0" xfId="0" applyNumberFormat="1" applyFill="1" applyAlignment="1">
      <alignment vertical="center"/>
    </xf>
    <xf numFmtId="166" fontId="0" fillId="15" borderId="0" xfId="1" applyNumberFormat="1" applyFont="1" applyFill="1" applyAlignment="1">
      <alignment vertical="center"/>
    </xf>
    <xf numFmtId="0" fontId="0" fillId="11" borderId="0" xfId="0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4" borderId="4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13" Type="http://schemas.openxmlformats.org/officeDocument/2006/relationships/image" Target="../media/image17.jpeg"/><Relationship Id="rId18" Type="http://schemas.openxmlformats.org/officeDocument/2006/relationships/image" Target="../media/image22.jpeg"/><Relationship Id="rId3" Type="http://schemas.openxmlformats.org/officeDocument/2006/relationships/image" Target="../media/image7.jpeg"/><Relationship Id="rId21" Type="http://schemas.openxmlformats.org/officeDocument/2006/relationships/image" Target="../media/image25.jpeg"/><Relationship Id="rId7" Type="http://schemas.openxmlformats.org/officeDocument/2006/relationships/image" Target="../media/image11.jpeg"/><Relationship Id="rId12" Type="http://schemas.openxmlformats.org/officeDocument/2006/relationships/image" Target="../media/image16.jpeg"/><Relationship Id="rId17" Type="http://schemas.openxmlformats.org/officeDocument/2006/relationships/image" Target="../media/image21.jpeg"/><Relationship Id="rId2" Type="http://schemas.openxmlformats.org/officeDocument/2006/relationships/image" Target="../media/image6.jpeg"/><Relationship Id="rId16" Type="http://schemas.openxmlformats.org/officeDocument/2006/relationships/image" Target="../media/image20.png"/><Relationship Id="rId20" Type="http://schemas.openxmlformats.org/officeDocument/2006/relationships/image" Target="../media/image24.jpeg"/><Relationship Id="rId1" Type="http://schemas.openxmlformats.org/officeDocument/2006/relationships/image" Target="../media/image4.jpeg"/><Relationship Id="rId6" Type="http://schemas.openxmlformats.org/officeDocument/2006/relationships/image" Target="../media/image10.jpeg"/><Relationship Id="rId11" Type="http://schemas.openxmlformats.org/officeDocument/2006/relationships/image" Target="../media/image15.jpeg"/><Relationship Id="rId5" Type="http://schemas.openxmlformats.org/officeDocument/2006/relationships/image" Target="../media/image9.jpeg"/><Relationship Id="rId15" Type="http://schemas.openxmlformats.org/officeDocument/2006/relationships/image" Target="../media/image19.png"/><Relationship Id="rId10" Type="http://schemas.openxmlformats.org/officeDocument/2006/relationships/image" Target="../media/image14.jpeg"/><Relationship Id="rId19" Type="http://schemas.openxmlformats.org/officeDocument/2006/relationships/image" Target="../media/image23.jpeg"/><Relationship Id="rId4" Type="http://schemas.openxmlformats.org/officeDocument/2006/relationships/image" Target="../media/image8.jpeg"/><Relationship Id="rId9" Type="http://schemas.openxmlformats.org/officeDocument/2006/relationships/image" Target="../media/image13.jpeg"/><Relationship Id="rId14" Type="http://schemas.openxmlformats.org/officeDocument/2006/relationships/image" Target="../media/image18.jpeg"/><Relationship Id="rId22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7</xdr:col>
      <xdr:colOff>170306</xdr:colOff>
      <xdr:row>91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BCE45-E511-400C-8570-2F3ACB1DC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16002000"/>
          <a:ext cx="7975203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7</xdr:col>
      <xdr:colOff>170306</xdr:colOff>
      <xdr:row>100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57994-470A-4C06-A020-4A0A87C33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486" b="45321"/>
        <a:stretch/>
      </xdr:blipFill>
      <xdr:spPr>
        <a:xfrm>
          <a:off x="609600" y="16764000"/>
          <a:ext cx="7975203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170306</xdr:colOff>
      <xdr:row>46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8D71A-3000-4493-8B91-E5FBF36C3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584"/>
        <a:stretch/>
      </xdr:blipFill>
      <xdr:spPr>
        <a:xfrm>
          <a:off x="609600" y="6858000"/>
          <a:ext cx="7975203" cy="16573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15</xdr:col>
      <xdr:colOff>640953</xdr:colOff>
      <xdr:row>41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A1DEE4-D9DD-4719-B4EF-5A42A026F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774206" y="6858000"/>
          <a:ext cx="7958394" cy="7429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15</xdr:col>
      <xdr:colOff>640953</xdr:colOff>
      <xdr:row>49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EF0802-2577-420B-A9E4-7BAEE26CB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93" b="64515"/>
        <a:stretch/>
      </xdr:blipFill>
      <xdr:spPr>
        <a:xfrm>
          <a:off x="8801100" y="7620000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88</xdr:row>
      <xdr:rowOff>0</xdr:rowOff>
    </xdr:from>
    <xdr:ext cx="7975203" cy="742950"/>
    <xdr:pic>
      <xdr:nvPicPr>
        <xdr:cNvPr id="7" name="Picture 6">
          <a:extLst>
            <a:ext uri="{FF2B5EF4-FFF2-40B4-BE49-F238E27FC236}">
              <a16:creationId xmlns:a16="http://schemas.microsoft.com/office/drawing/2014/main" id="{A183A628-6BE8-4E5A-BAD5-E8B49BA0C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1600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92</xdr:row>
      <xdr:rowOff>1</xdr:rowOff>
    </xdr:from>
    <xdr:to>
      <xdr:col>15</xdr:col>
      <xdr:colOff>170306</xdr:colOff>
      <xdr:row>99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8CE93F-8971-4C2F-935F-7BBEE219C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343" b="29142"/>
        <a:stretch/>
      </xdr:blipFill>
      <xdr:spPr>
        <a:xfrm>
          <a:off x="8801100" y="16764001"/>
          <a:ext cx="7975203" cy="1409700"/>
        </a:xfrm>
        <a:prstGeom prst="rect">
          <a:avLst/>
        </a:prstGeom>
      </xdr:spPr>
    </xdr:pic>
    <xdr:clientData/>
  </xdr:twoCellAnchor>
  <xdr:twoCellAnchor editAs="oneCell">
    <xdr:from>
      <xdr:col>16</xdr:col>
      <xdr:colOff>593912</xdr:colOff>
      <xdr:row>5</xdr:row>
      <xdr:rowOff>134471</xdr:rowOff>
    </xdr:from>
    <xdr:to>
      <xdr:col>30</xdr:col>
      <xdr:colOff>39198</xdr:colOff>
      <xdr:row>50</xdr:row>
      <xdr:rowOff>97807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27EC0A-5B9B-47AD-9612-D10D833EA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05537" y="1086971"/>
          <a:ext cx="7979686" cy="8535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151</xdr:row>
      <xdr:rowOff>0</xdr:rowOff>
    </xdr:from>
    <xdr:ext cx="7975203" cy="742950"/>
    <xdr:pic>
      <xdr:nvPicPr>
        <xdr:cNvPr id="10" name="Picture 9">
          <a:extLst>
            <a:ext uri="{FF2B5EF4-FFF2-40B4-BE49-F238E27FC236}">
              <a16:creationId xmlns:a16="http://schemas.microsoft.com/office/drawing/2014/main" id="{7B20D890-17E2-4213-A532-B2A3472FE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28575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155</xdr:row>
      <xdr:rowOff>1</xdr:rowOff>
    </xdr:from>
    <xdr:to>
      <xdr:col>7</xdr:col>
      <xdr:colOff>170306</xdr:colOff>
      <xdr:row>162</xdr:row>
      <xdr:rowOff>57151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85A696-A445-4555-9C08-D506544ED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747" b="12961"/>
        <a:stretch/>
      </xdr:blipFill>
      <xdr:spPr>
        <a:xfrm>
          <a:off x="609600" y="29337001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151</xdr:row>
      <xdr:rowOff>0</xdr:rowOff>
    </xdr:from>
    <xdr:ext cx="7975203" cy="742950"/>
    <xdr:pic>
      <xdr:nvPicPr>
        <xdr:cNvPr id="12" name="Picture 11">
          <a:extLst>
            <a:ext uri="{FF2B5EF4-FFF2-40B4-BE49-F238E27FC236}">
              <a16:creationId xmlns:a16="http://schemas.microsoft.com/office/drawing/2014/main" id="{BC5AE7D8-01BA-4D74-82C5-58FE86AEF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28575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155</xdr:row>
      <xdr:rowOff>0</xdr:rowOff>
    </xdr:from>
    <xdr:to>
      <xdr:col>15</xdr:col>
      <xdr:colOff>170306</xdr:colOff>
      <xdr:row>160</xdr:row>
      <xdr:rowOff>182410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B787B2-C0A4-4A7F-B505-2D30E6653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704"/>
        <a:stretch/>
      </xdr:blipFill>
      <xdr:spPr>
        <a:xfrm>
          <a:off x="8801100" y="29337000"/>
          <a:ext cx="7975203" cy="1134910"/>
        </a:xfrm>
        <a:prstGeom prst="rect">
          <a:avLst/>
        </a:prstGeom>
      </xdr:spPr>
    </xdr:pic>
    <xdr:clientData/>
  </xdr:twoCellAnchor>
  <xdr:twoCellAnchor editAs="oneCell">
    <xdr:from>
      <xdr:col>30</xdr:col>
      <xdr:colOff>593912</xdr:colOff>
      <xdr:row>5</xdr:row>
      <xdr:rowOff>134471</xdr:rowOff>
    </xdr:from>
    <xdr:to>
      <xdr:col>44</xdr:col>
      <xdr:colOff>2890</xdr:colOff>
      <xdr:row>54</xdr:row>
      <xdr:rowOff>8813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12741B-FD4A-4477-8D96-1AC10DF26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1225" y="1086971"/>
          <a:ext cx="7938896" cy="92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593912</xdr:colOff>
      <xdr:row>54</xdr:row>
      <xdr:rowOff>134471</xdr:rowOff>
    </xdr:from>
    <xdr:to>
      <xdr:col>44</xdr:col>
      <xdr:colOff>50563</xdr:colOff>
      <xdr:row>72</xdr:row>
      <xdr:rowOff>34638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D9332F0-13D4-4E76-8841-69DB884B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1225" y="10421471"/>
          <a:ext cx="7986569" cy="3329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268940</xdr:colOff>
      <xdr:row>1</xdr:row>
      <xdr:rowOff>100854</xdr:rowOff>
    </xdr:from>
    <xdr:to>
      <xdr:col>43</xdr:col>
      <xdr:colOff>312018</xdr:colOff>
      <xdr:row>4</xdr:row>
      <xdr:rowOff>101875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88BE0E-92F2-465E-8814-BB96090E45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801"/>
        <a:stretch/>
      </xdr:blipFill>
      <xdr:spPr bwMode="auto">
        <a:xfrm>
          <a:off x="17421225" y="291354"/>
          <a:ext cx="10406278" cy="572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20</xdr:row>
      <xdr:rowOff>171450</xdr:rowOff>
    </xdr:from>
    <xdr:to>
      <xdr:col>6</xdr:col>
      <xdr:colOff>449259</xdr:colOff>
      <xdr:row>58</xdr:row>
      <xdr:rowOff>66674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06BA0-D46F-4BCF-9DBD-A9469F6B7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981450"/>
          <a:ext cx="6983409" cy="713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38</xdr:row>
      <xdr:rowOff>0</xdr:rowOff>
    </xdr:from>
    <xdr:ext cx="7975203" cy="742950"/>
    <xdr:pic>
      <xdr:nvPicPr>
        <xdr:cNvPr id="11" name="Picture 10">
          <a:extLst>
            <a:ext uri="{FF2B5EF4-FFF2-40B4-BE49-F238E27FC236}">
              <a16:creationId xmlns:a16="http://schemas.microsoft.com/office/drawing/2014/main" id="{428CFDF9-F455-47C6-B947-93DB809ED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91296"/>
        <a:stretch/>
      </xdr:blipFill>
      <xdr:spPr>
        <a:xfrm>
          <a:off x="9696450" y="16764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42</xdr:row>
      <xdr:rowOff>1</xdr:rowOff>
    </xdr:from>
    <xdr:to>
      <xdr:col>15</xdr:col>
      <xdr:colOff>157419</xdr:colOff>
      <xdr:row>49</xdr:row>
      <xdr:rowOff>76201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9C03B2F-4B83-46BE-8704-6E85E458AE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4343" b="29142"/>
        <a:stretch/>
      </xdr:blipFill>
      <xdr:spPr>
        <a:xfrm>
          <a:off x="9696450" y="17526001"/>
          <a:ext cx="7958394" cy="14097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1</xdr:rowOff>
    </xdr:from>
    <xdr:to>
      <xdr:col>15</xdr:col>
      <xdr:colOff>79650</xdr:colOff>
      <xdr:row>54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7E8010-0A8E-4D29-A888-FE755359AF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3381"/>
        <a:stretch/>
      </xdr:blipFill>
      <xdr:spPr bwMode="auto">
        <a:xfrm>
          <a:off x="9696450" y="9715501"/>
          <a:ext cx="78806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15</xdr:col>
      <xdr:colOff>79650</xdr:colOff>
      <xdr:row>60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E4D293F-9D04-444A-98DE-EE95C25E9D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49" b="43008"/>
        <a:stretch/>
      </xdr:blipFill>
      <xdr:spPr bwMode="auto">
        <a:xfrm>
          <a:off x="9696450" y="10287000"/>
          <a:ext cx="788062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304800</xdr:colOff>
      <xdr:row>9</xdr:row>
      <xdr:rowOff>19050</xdr:rowOff>
    </xdr:from>
    <xdr:to>
      <xdr:col>3</xdr:col>
      <xdr:colOff>389043</xdr:colOff>
      <xdr:row>15</xdr:row>
      <xdr:rowOff>164718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55BF1B-6FDF-4013-BB09-ABC09C3F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733550"/>
          <a:ext cx="2998893" cy="1288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1</xdr:row>
      <xdr:rowOff>104776</xdr:rowOff>
    </xdr:from>
    <xdr:to>
      <xdr:col>12</xdr:col>
      <xdr:colOff>601658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6273A-AF1F-46FE-8FF9-B4ECCD60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49" y="295276"/>
          <a:ext cx="6983409" cy="7134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326570</xdr:colOff>
      <xdr:row>39</xdr:row>
      <xdr:rowOff>72118</xdr:rowOff>
    </xdr:from>
    <xdr:to>
      <xdr:col>14</xdr:col>
      <xdr:colOff>1146591</xdr:colOff>
      <xdr:row>60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0B9637-4196-455E-8718-1F24C4413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170" y="7501618"/>
          <a:ext cx="8744821" cy="4090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209121</xdr:colOff>
      <xdr:row>10</xdr:row>
      <xdr:rowOff>32013</xdr:rowOff>
    </xdr:from>
    <xdr:to>
      <xdr:col>34</xdr:col>
      <xdr:colOff>273325</xdr:colOff>
      <xdr:row>16</xdr:row>
      <xdr:rowOff>65464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3B004E-9DA4-4D83-B280-865DF074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5021" y="1937013"/>
          <a:ext cx="4941004" cy="117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132520</xdr:colOff>
      <xdr:row>4</xdr:row>
      <xdr:rowOff>112737</xdr:rowOff>
    </xdr:from>
    <xdr:to>
      <xdr:col>30</xdr:col>
      <xdr:colOff>12834</xdr:colOff>
      <xdr:row>9</xdr:row>
      <xdr:rowOff>107672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885286-CDDA-4613-9611-F7B5728D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8420" y="874737"/>
          <a:ext cx="2318714" cy="947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225857</xdr:colOff>
      <xdr:row>15</xdr:row>
      <xdr:rowOff>144293</xdr:rowOff>
    </xdr:from>
    <xdr:to>
      <xdr:col>46</xdr:col>
      <xdr:colOff>610258</xdr:colOff>
      <xdr:row>23</xdr:row>
      <xdr:rowOff>140804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AEC1ED-362D-4058-8690-13F6DCA36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3382" y="3001793"/>
          <a:ext cx="4765901" cy="1520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99670</xdr:colOff>
      <xdr:row>17</xdr:row>
      <xdr:rowOff>190499</xdr:rowOff>
    </xdr:from>
    <xdr:to>
      <xdr:col>32</xdr:col>
      <xdr:colOff>434669</xdr:colOff>
      <xdr:row>21</xdr:row>
      <xdr:rowOff>41413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827E6C-B74B-4547-9206-B8A078B1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3970" y="3428999"/>
          <a:ext cx="1554199" cy="612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53838</xdr:colOff>
      <xdr:row>34</xdr:row>
      <xdr:rowOff>38928</xdr:rowOff>
    </xdr:from>
    <xdr:to>
      <xdr:col>36</xdr:col>
      <xdr:colOff>448089</xdr:colOff>
      <xdr:row>42</xdr:row>
      <xdr:rowOff>94812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11B2E9-6742-4671-9A44-6EE6EC94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9338" y="6515928"/>
          <a:ext cx="5880651" cy="1579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350061</xdr:colOff>
      <xdr:row>43</xdr:row>
      <xdr:rowOff>140332</xdr:rowOff>
    </xdr:from>
    <xdr:to>
      <xdr:col>32</xdr:col>
      <xdr:colOff>300954</xdr:colOff>
      <xdr:row>50</xdr:row>
      <xdr:rowOff>95500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900FBB-D8C8-40B4-A05A-981563C5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5561" y="8331832"/>
          <a:ext cx="2998893" cy="1288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511745</xdr:colOff>
      <xdr:row>54</xdr:row>
      <xdr:rowOff>57387</xdr:rowOff>
    </xdr:from>
    <xdr:to>
      <xdr:col>36</xdr:col>
      <xdr:colOff>272141</xdr:colOff>
      <xdr:row>74</xdr:row>
      <xdr:rowOff>157702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2D23B2-9E21-4E52-AFD0-EC889B154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57645" y="10344387"/>
          <a:ext cx="5856396" cy="3910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124418</xdr:colOff>
      <xdr:row>78</xdr:row>
      <xdr:rowOff>170919</xdr:rowOff>
    </xdr:from>
    <xdr:to>
      <xdr:col>37</xdr:col>
      <xdr:colOff>352424</xdr:colOff>
      <xdr:row>93</xdr:row>
      <xdr:rowOff>150690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FBABEF-B8E7-4371-8975-1F18BF90B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0318" y="15029919"/>
          <a:ext cx="6933606" cy="2837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149678</xdr:colOff>
      <xdr:row>74</xdr:row>
      <xdr:rowOff>163284</xdr:rowOff>
    </xdr:from>
    <xdr:to>
      <xdr:col>34</xdr:col>
      <xdr:colOff>108856</xdr:colOff>
      <xdr:row>78</xdr:row>
      <xdr:rowOff>105031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72C9C6-D0C6-440A-9B18-53643FEE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24378" y="14260284"/>
          <a:ext cx="3007178" cy="70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40822</xdr:colOff>
      <xdr:row>51</xdr:row>
      <xdr:rowOff>108858</xdr:rowOff>
    </xdr:from>
    <xdr:to>
      <xdr:col>33</xdr:col>
      <xdr:colOff>326572</xdr:colOff>
      <xdr:row>55</xdr:row>
      <xdr:rowOff>22728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6965C5-B8D6-4E46-ADD4-5AC63837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5122" y="9824358"/>
          <a:ext cx="2114550" cy="67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201595</xdr:colOff>
      <xdr:row>3</xdr:row>
      <xdr:rowOff>138916</xdr:rowOff>
    </xdr:from>
    <xdr:to>
      <xdr:col>55</xdr:col>
      <xdr:colOff>351272</xdr:colOff>
      <xdr:row>7</xdr:row>
      <xdr:rowOff>96269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4573DB8-C11D-4CF2-854D-46761E9A9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4745" y="710416"/>
          <a:ext cx="3197677" cy="719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381001</xdr:colOff>
      <xdr:row>8</xdr:row>
      <xdr:rowOff>130753</xdr:rowOff>
    </xdr:from>
    <xdr:to>
      <xdr:col>58</xdr:col>
      <xdr:colOff>181265</xdr:colOff>
      <xdr:row>27</xdr:row>
      <xdr:rowOff>168853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9682552-900D-4004-83D4-70D1B41D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5351" y="1654753"/>
          <a:ext cx="6505864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161926</xdr:colOff>
      <xdr:row>62</xdr:row>
      <xdr:rowOff>20939</xdr:rowOff>
    </xdr:from>
    <xdr:to>
      <xdr:col>14</xdr:col>
      <xdr:colOff>1088050</xdr:colOff>
      <xdr:row>85</xdr:row>
      <xdr:rowOff>134467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0C41F2-3CBA-4E5B-BE5E-5700AE671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1526" y="11831939"/>
          <a:ext cx="8850924" cy="4495028"/>
        </a:xfrm>
        <a:prstGeom prst="rect">
          <a:avLst/>
        </a:prstGeom>
      </xdr:spPr>
    </xdr:pic>
    <xdr:clientData/>
  </xdr:twoCellAnchor>
  <xdr:twoCellAnchor editAs="oneCell">
    <xdr:from>
      <xdr:col>1</xdr:col>
      <xdr:colOff>106634</xdr:colOff>
      <xdr:row>86</xdr:row>
      <xdr:rowOff>38100</xdr:rowOff>
    </xdr:from>
    <xdr:to>
      <xdr:col>14</xdr:col>
      <xdr:colOff>1356268</xdr:colOff>
      <xdr:row>110</xdr:row>
      <xdr:rowOff>1096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118B329-29D6-4A2D-B381-52BE12686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6234" y="16421100"/>
          <a:ext cx="9174434" cy="4534996"/>
        </a:xfrm>
        <a:prstGeom prst="rect">
          <a:avLst/>
        </a:prstGeom>
      </xdr:spPr>
    </xdr:pic>
    <xdr:clientData/>
  </xdr:twoCellAnchor>
  <xdr:twoCellAnchor editAs="oneCell">
    <xdr:from>
      <xdr:col>47</xdr:col>
      <xdr:colOff>550922</xdr:colOff>
      <xdr:row>29</xdr:row>
      <xdr:rowOff>55284</xdr:rowOff>
    </xdr:from>
    <xdr:to>
      <xdr:col>58</xdr:col>
      <xdr:colOff>53287</xdr:colOff>
      <xdr:row>65</xdr:row>
      <xdr:rowOff>96315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A62995-AE8F-4E91-B3D1-2BB293B0D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5272" y="5579784"/>
          <a:ext cx="6207965" cy="689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530088</xdr:colOff>
      <xdr:row>22</xdr:row>
      <xdr:rowOff>39596</xdr:rowOff>
    </xdr:from>
    <xdr:to>
      <xdr:col>36</xdr:col>
      <xdr:colOff>260327</xdr:colOff>
      <xdr:row>31</xdr:row>
      <xdr:rowOff>49695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CBBAFE2-ED3B-4401-A666-4C3DE134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5588" y="4230596"/>
          <a:ext cx="5216639" cy="1724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79</xdr:col>
      <xdr:colOff>242454</xdr:colOff>
      <xdr:row>82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8F3D00-F631-434F-8F8A-149D0BF7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57364" y="952500"/>
          <a:ext cx="11759045" cy="1478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80</xdr:col>
      <xdr:colOff>0</xdr:colOff>
      <xdr:row>5</xdr:row>
      <xdr:rowOff>0</xdr:rowOff>
    </xdr:from>
    <xdr:to>
      <xdr:col>99</xdr:col>
      <xdr:colOff>432954</xdr:colOff>
      <xdr:row>83</xdr:row>
      <xdr:rowOff>163285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F04E4EE-F96B-4C24-8B1B-9C6F45FE1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0091" y="952500"/>
          <a:ext cx="11949545" cy="15022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0</xdr:colOff>
      <xdr:row>5</xdr:row>
      <xdr:rowOff>0</xdr:rowOff>
    </xdr:from>
    <xdr:to>
      <xdr:col>119</xdr:col>
      <xdr:colOff>220413</xdr:colOff>
      <xdr:row>82</xdr:row>
      <xdr:rowOff>86591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4C1A1CB-DA8D-4D69-A88E-0AD31458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02818" y="952500"/>
          <a:ext cx="11737004" cy="14755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0</xdr:colOff>
      <xdr:row>5</xdr:row>
      <xdr:rowOff>0</xdr:rowOff>
    </xdr:from>
    <xdr:to>
      <xdr:col>139</xdr:col>
      <xdr:colOff>277091</xdr:colOff>
      <xdr:row>82</xdr:row>
      <xdr:rowOff>157843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3162F68-243C-2992-6254-6B7E6A2C2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25545" y="952500"/>
          <a:ext cx="11793682" cy="1482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1BA2-29A3-4CF4-B232-C617EB35B7A7}">
  <sheetPr>
    <tabColor rgb="FFC00000"/>
  </sheetPr>
  <dimension ref="A2:AR165"/>
  <sheetViews>
    <sheetView topLeftCell="O46" zoomScale="85" zoomScaleNormal="85" workbookViewId="0">
      <selection activeCell="R103" sqref="R103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5" max="5" width="9.140625" style="1" customWidth="1"/>
    <col min="6" max="6" width="34" style="1" bestFit="1" customWidth="1"/>
    <col min="7" max="7" width="20" customWidth="1"/>
    <col min="8" max="8" width="10.140625" customWidth="1"/>
    <col min="9" max="9" width="2.710937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20" customWidth="1"/>
    <col min="16" max="16" width="10.140625" customWidth="1"/>
    <col min="18" max="31" width="9.140625" customWidth="1"/>
  </cols>
  <sheetData>
    <row r="2" spans="2:44" ht="15" customHeight="1" x14ac:dyDescent="0.25">
      <c r="B2" s="22" t="s">
        <v>24</v>
      </c>
      <c r="C2" s="23">
        <v>1</v>
      </c>
      <c r="D2" s="21"/>
      <c r="E2" s="21"/>
      <c r="F2" s="21"/>
      <c r="G2" s="21"/>
      <c r="H2" s="21"/>
      <c r="I2" s="25"/>
      <c r="J2" s="22" t="s">
        <v>24</v>
      </c>
      <c r="K2" s="23">
        <v>2</v>
      </c>
      <c r="L2" s="21"/>
      <c r="M2" s="21"/>
      <c r="N2" s="21"/>
      <c r="O2" s="21"/>
      <c r="P2" s="21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</row>
    <row r="3" spans="2:44" ht="15" customHeight="1" x14ac:dyDescent="0.25">
      <c r="B3" s="2" t="s">
        <v>0</v>
      </c>
      <c r="C3" s="3" t="s">
        <v>1</v>
      </c>
      <c r="D3" s="20" t="s">
        <v>4</v>
      </c>
      <c r="E3"/>
      <c r="F3" s="5" t="s">
        <v>3</v>
      </c>
      <c r="G3" s="6"/>
      <c r="H3" s="6"/>
      <c r="I3" s="25"/>
      <c r="J3" s="2" t="s">
        <v>0</v>
      </c>
      <c r="K3" s="3" t="s">
        <v>1</v>
      </c>
      <c r="L3" s="20" t="s">
        <v>4</v>
      </c>
      <c r="M3"/>
      <c r="N3" s="5" t="s">
        <v>3</v>
      </c>
      <c r="O3" s="6"/>
      <c r="P3" s="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</row>
    <row r="4" spans="2:44" ht="15" customHeight="1" x14ac:dyDescent="0.25">
      <c r="I4" s="25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spans="2:44" ht="15" customHeight="1" x14ac:dyDescent="0.25">
      <c r="B5" s="7" t="s">
        <v>8</v>
      </c>
      <c r="C5" s="8"/>
      <c r="D5" s="8"/>
      <c r="E5"/>
      <c r="F5" s="9" t="s">
        <v>34</v>
      </c>
      <c r="G5" s="9"/>
      <c r="H5" s="10"/>
      <c r="I5" s="25"/>
      <c r="J5" s="7" t="s">
        <v>8</v>
      </c>
      <c r="K5" s="8"/>
      <c r="L5" s="8"/>
      <c r="M5"/>
      <c r="N5" s="9" t="s">
        <v>34</v>
      </c>
      <c r="O5" s="9"/>
      <c r="P5" s="10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</row>
    <row r="6" spans="2:44" ht="15" customHeight="1" x14ac:dyDescent="0.25">
      <c r="B6" s="4" t="s">
        <v>16</v>
      </c>
      <c r="C6" s="4">
        <f>5/16</f>
        <v>0.3125</v>
      </c>
      <c r="D6" s="4" t="str">
        <f>IF(D3="English","in", "mm")</f>
        <v>in</v>
      </c>
      <c r="E6"/>
      <c r="F6" s="6" t="s">
        <v>12</v>
      </c>
      <c r="G6" s="13">
        <f>0.5*SQRT(2)*C6</f>
        <v>0.22097086912079611</v>
      </c>
      <c r="H6" s="6" t="str">
        <f>IF(D3="English","in", "mm")</f>
        <v>in</v>
      </c>
      <c r="I6" s="25"/>
      <c r="J6" s="4" t="s">
        <v>16</v>
      </c>
      <c r="K6" s="4">
        <f>5/16</f>
        <v>0.3125</v>
      </c>
      <c r="L6" s="4" t="str">
        <f>IF(L3="English","in", "mm")</f>
        <v>in</v>
      </c>
      <c r="M6"/>
      <c r="N6" s="6" t="s">
        <v>12</v>
      </c>
      <c r="O6" s="13">
        <f>0.5*SQRT(2)*K6</f>
        <v>0.22097086912079611</v>
      </c>
      <c r="P6" s="6" t="str">
        <f>IF(L3="English","in", "mm")</f>
        <v>in</v>
      </c>
    </row>
    <row r="7" spans="2:44" ht="15" customHeight="1" x14ac:dyDescent="0.25">
      <c r="B7" s="4" t="s">
        <v>6</v>
      </c>
      <c r="C7" s="4">
        <v>2</v>
      </c>
      <c r="D7" s="4" t="str">
        <f>IF(D3="English","in", "mm")</f>
        <v>in</v>
      </c>
      <c r="E7"/>
      <c r="F7" s="6" t="s">
        <v>57</v>
      </c>
      <c r="G7" s="13">
        <f>0.5*SQRT(2)*C6*C7</f>
        <v>0.44194173824159222</v>
      </c>
      <c r="H7" s="12" t="str">
        <f>IF(D3="English","in^2","mm^2")</f>
        <v>in^2</v>
      </c>
      <c r="I7" s="25"/>
      <c r="J7" s="4" t="s">
        <v>6</v>
      </c>
      <c r="K7" s="4">
        <v>2</v>
      </c>
      <c r="L7" s="4" t="str">
        <f>IF(L3="English","in", "mm")</f>
        <v>in</v>
      </c>
      <c r="M7"/>
      <c r="N7" s="6" t="s">
        <v>57</v>
      </c>
      <c r="O7" s="13">
        <f>SQRT(2)*K6*K7</f>
        <v>0.88388347648318444</v>
      </c>
      <c r="P7" s="12" t="str">
        <f>IF(L3="English","in^2","mm^2")</f>
        <v>in^2</v>
      </c>
    </row>
    <row r="8" spans="2:44" ht="15" customHeight="1" x14ac:dyDescent="0.25">
      <c r="B8" s="6" t="s">
        <v>5</v>
      </c>
      <c r="C8" s="6">
        <v>0</v>
      </c>
      <c r="D8" s="6" t="str">
        <f>IF(D3="English","in", "mm")</f>
        <v>in</v>
      </c>
      <c r="E8"/>
      <c r="F8" s="6" t="s">
        <v>9</v>
      </c>
      <c r="G8" s="17">
        <v>0</v>
      </c>
      <c r="H8" s="6" t="str">
        <f>IF(D3="English","in", "mm")</f>
        <v>in</v>
      </c>
      <c r="I8" s="25"/>
      <c r="J8" s="4" t="s">
        <v>5</v>
      </c>
      <c r="K8" s="4">
        <v>2</v>
      </c>
      <c r="L8" s="4" t="str">
        <f>IF(L3="English","in", "mm")</f>
        <v>in</v>
      </c>
      <c r="M8"/>
      <c r="N8" s="6" t="s">
        <v>9</v>
      </c>
      <c r="O8" s="17">
        <f>K8/2</f>
        <v>1</v>
      </c>
      <c r="P8" s="6" t="str">
        <f>IF(L3="English","in", "mm")</f>
        <v>in</v>
      </c>
    </row>
    <row r="9" spans="2:44" ht="15" customHeight="1" x14ac:dyDescent="0.25">
      <c r="B9" s="6" t="s">
        <v>53</v>
      </c>
      <c r="C9" s="6">
        <f>SQRT((C8-G8)^2 + (C7-G9)^2)</f>
        <v>1</v>
      </c>
      <c r="D9" s="6" t="str">
        <f>IF(D3="English","in", "mm")</f>
        <v>in</v>
      </c>
      <c r="E9"/>
      <c r="F9" s="6" t="s">
        <v>10</v>
      </c>
      <c r="G9" s="17">
        <f>C7/2</f>
        <v>1</v>
      </c>
      <c r="H9" s="6" t="str">
        <f>IF(D3="English","in", "mm")</f>
        <v>in</v>
      </c>
      <c r="I9" s="25"/>
      <c r="J9" s="6" t="s">
        <v>53</v>
      </c>
      <c r="K9" s="6">
        <f>SQRT((K8-O8)^2 + (K7-O9)^2)</f>
        <v>1.4142135623730951</v>
      </c>
      <c r="L9" s="6" t="str">
        <f>IF(L3="English","in", "mm")</f>
        <v>in</v>
      </c>
      <c r="M9"/>
      <c r="N9" s="6" t="s">
        <v>10</v>
      </c>
      <c r="O9" s="17">
        <f>K7/2</f>
        <v>1</v>
      </c>
      <c r="P9" s="6" t="str">
        <f>IF(L3="English","in", "mm")</f>
        <v>in</v>
      </c>
    </row>
    <row r="10" spans="2:44" ht="15" customHeight="1" x14ac:dyDescent="0.25">
      <c r="F10" s="6" t="s">
        <v>11</v>
      </c>
      <c r="G10" s="24">
        <f>(C7^3)/12</f>
        <v>0.66666666666666663</v>
      </c>
      <c r="H10" s="6" t="str">
        <f>IF(D3="English","in^3", "mm^3")</f>
        <v>in^3</v>
      </c>
      <c r="I10" s="25"/>
      <c r="N10" s="6" t="s">
        <v>11</v>
      </c>
      <c r="O10" s="24">
        <f>(K7*(3*(K8^2)+(K7^2)))/(6)</f>
        <v>5.333333333333333</v>
      </c>
      <c r="P10" s="6" t="str">
        <f>IF(L3="English","in^3", "mm^3")</f>
        <v>in^3</v>
      </c>
    </row>
    <row r="11" spans="2:44" ht="15" customHeight="1" x14ac:dyDescent="0.25">
      <c r="F11" s="6" t="s">
        <v>13</v>
      </c>
      <c r="G11" s="24">
        <f>G6*G10</f>
        <v>0.14731391274719741</v>
      </c>
      <c r="H11" s="6" t="str">
        <f>IF(D3="English","in^4", "mm^4")</f>
        <v>in^4</v>
      </c>
      <c r="I11" s="25"/>
      <c r="N11" s="6" t="s">
        <v>13</v>
      </c>
      <c r="O11" s="24">
        <f>O6*O10</f>
        <v>1.1785113019775793</v>
      </c>
      <c r="P11" s="6" t="str">
        <f>IF(L3="English","in^4", "mm^4")</f>
        <v>in^4</v>
      </c>
    </row>
    <row r="12" spans="2:44" ht="15" customHeight="1" x14ac:dyDescent="0.25">
      <c r="F12" s="6" t="s">
        <v>72</v>
      </c>
      <c r="G12" s="24">
        <f>(C7^3)/12</f>
        <v>0.66666666666666663</v>
      </c>
      <c r="H12" s="6" t="str">
        <f>IF(D3="English","in^3", "mm^3")</f>
        <v>in^3</v>
      </c>
      <c r="I12" s="25"/>
      <c r="N12" s="6" t="s">
        <v>72</v>
      </c>
      <c r="O12" s="24">
        <f>IF(K13,(K7^3)/6,(K7*(K8^2))/2)</f>
        <v>1.3333333333333333</v>
      </c>
      <c r="P12" s="6" t="str">
        <f>IF(L3="English","in^3", "mm^3")</f>
        <v>in^3</v>
      </c>
    </row>
    <row r="13" spans="2:44" ht="15" customHeight="1" x14ac:dyDescent="0.25">
      <c r="F13" s="6" t="s">
        <v>70</v>
      </c>
      <c r="G13" s="24">
        <f>G6*G12</f>
        <v>0.14731391274719741</v>
      </c>
      <c r="H13" s="6" t="str">
        <f>IF(D3="English","in^4", "mm^4")</f>
        <v>in^4</v>
      </c>
      <c r="I13" s="25"/>
      <c r="J13" s="4" t="s">
        <v>19</v>
      </c>
      <c r="K13" s="16" t="b">
        <v>1</v>
      </c>
      <c r="N13" s="6" t="s">
        <v>70</v>
      </c>
      <c r="O13" s="24">
        <f>O6*O12</f>
        <v>0.29462782549439481</v>
      </c>
      <c r="P13" s="6" t="str">
        <f>IF(L3="English","in^4", "mm^4")</f>
        <v>in^4</v>
      </c>
    </row>
    <row r="14" spans="2:44" ht="15" customHeight="1" x14ac:dyDescent="0.25">
      <c r="F14" s="6" t="s">
        <v>73</v>
      </c>
      <c r="G14" s="24">
        <v>0</v>
      </c>
      <c r="H14" s="6" t="str">
        <f>IF(D3="English","in^3", "mm^3")</f>
        <v>in^3</v>
      </c>
      <c r="I14" s="25"/>
      <c r="J14" s="4" t="s">
        <v>20</v>
      </c>
      <c r="K14" s="19" t="b">
        <f>NOT(K13)</f>
        <v>0</v>
      </c>
      <c r="N14" s="6" t="s">
        <v>73</v>
      </c>
      <c r="O14" s="24">
        <f>IF(K13,(K7*(K8^2))/2,(K7^3)/6)</f>
        <v>4</v>
      </c>
      <c r="P14" s="6" t="str">
        <f>IF(L3="English","in^3", "mm^3")</f>
        <v>in^3</v>
      </c>
    </row>
    <row r="15" spans="2:44" ht="15" customHeight="1" x14ac:dyDescent="0.25">
      <c r="F15" s="6" t="s">
        <v>71</v>
      </c>
      <c r="G15" s="24">
        <f>G6*G14</f>
        <v>0</v>
      </c>
      <c r="H15" s="6" t="str">
        <f>IF(D3="English","in^4", "mm^4")</f>
        <v>in^4</v>
      </c>
      <c r="I15" s="25"/>
      <c r="N15" s="6" t="s">
        <v>71</v>
      </c>
      <c r="O15" s="24">
        <f>O6*O14</f>
        <v>0.88388347648318444</v>
      </c>
      <c r="P15" s="6" t="str">
        <f>IF(L3="English","in^4", "mm^4")</f>
        <v>in^4</v>
      </c>
    </row>
    <row r="16" spans="2:44" ht="15" customHeight="1" x14ac:dyDescent="0.25">
      <c r="I16" s="25"/>
    </row>
    <row r="17" spans="2:16" ht="15" customHeight="1" x14ac:dyDescent="0.25">
      <c r="B17" s="7" t="s">
        <v>40</v>
      </c>
      <c r="C17" s="8"/>
      <c r="D17" s="8"/>
      <c r="F17" s="9" t="s">
        <v>35</v>
      </c>
      <c r="G17" s="9"/>
      <c r="H17" s="10"/>
      <c r="I17" s="25"/>
      <c r="J17" s="7" t="s">
        <v>40</v>
      </c>
      <c r="K17" s="8"/>
      <c r="L17" s="8"/>
      <c r="N17" s="9" t="s">
        <v>35</v>
      </c>
      <c r="O17" s="9"/>
      <c r="P17" s="10"/>
    </row>
    <row r="18" spans="2:16" ht="15" customHeight="1" x14ac:dyDescent="0.25">
      <c r="B18" s="4" t="s">
        <v>30</v>
      </c>
      <c r="C18" s="30">
        <v>7</v>
      </c>
      <c r="D18" s="4" t="str">
        <f>IF(D3="English","lbf", "N")</f>
        <v>lbf</v>
      </c>
      <c r="F18" s="6" t="s">
        <v>32</v>
      </c>
      <c r="G18" s="34">
        <f>C18/G7</f>
        <v>15.839191898578663</v>
      </c>
      <c r="H18" s="6" t="str">
        <f>IF(D3="English","psi","Pa")</f>
        <v>psi</v>
      </c>
      <c r="I18" s="25"/>
      <c r="J18" s="4" t="s">
        <v>30</v>
      </c>
      <c r="K18" s="30">
        <v>7</v>
      </c>
      <c r="L18" s="4" t="str">
        <f>IF(L3="English","lbf", "N")</f>
        <v>lbf</v>
      </c>
      <c r="N18" s="6" t="s">
        <v>32</v>
      </c>
      <c r="O18" s="34">
        <f>K18/O7</f>
        <v>7.9195959492893317</v>
      </c>
      <c r="P18" s="6" t="str">
        <f>IF(L3="English","psi","Pa")</f>
        <v>psi</v>
      </c>
    </row>
    <row r="19" spans="2:16" ht="15" customHeight="1" x14ac:dyDescent="0.25">
      <c r="B19" s="4" t="s">
        <v>31</v>
      </c>
      <c r="C19" s="30">
        <v>7</v>
      </c>
      <c r="D19" s="4" t="str">
        <f>IF(D3="English","lbf", "N")</f>
        <v>lbf</v>
      </c>
      <c r="F19" s="6" t="s">
        <v>33</v>
      </c>
      <c r="G19" s="34">
        <f>C19/G7</f>
        <v>15.839191898578663</v>
      </c>
      <c r="H19" s="6" t="str">
        <f>IF(D3="English","psi","Pa")</f>
        <v>psi</v>
      </c>
      <c r="I19" s="25"/>
      <c r="J19" s="4" t="s">
        <v>31</v>
      </c>
      <c r="K19" s="30">
        <v>7</v>
      </c>
      <c r="L19" s="4" t="str">
        <f>IF(L3="English","lbf", "N")</f>
        <v>lbf</v>
      </c>
      <c r="N19" s="6" t="s">
        <v>33</v>
      </c>
      <c r="O19" s="34">
        <f>K19/O7</f>
        <v>7.9195959492893317</v>
      </c>
      <c r="P19" s="6" t="str">
        <f>IF(L3="English","psi","Pa")</f>
        <v>psi</v>
      </c>
    </row>
    <row r="20" spans="2:16" ht="15" customHeight="1" x14ac:dyDescent="0.25">
      <c r="B20" s="4" t="s">
        <v>38</v>
      </c>
      <c r="C20" s="30">
        <v>7</v>
      </c>
      <c r="D20" s="4" t="str">
        <f>IF(D3="English","in-lbf", "Nm")</f>
        <v>in-lbf</v>
      </c>
      <c r="F20" s="6" t="s">
        <v>27</v>
      </c>
      <c r="G20" s="34">
        <f>((C20*C9)/G11)</f>
        <v>47.517575695735992</v>
      </c>
      <c r="H20" s="6" t="str">
        <f>IF(D3="English","psi","Pa")</f>
        <v>psi</v>
      </c>
      <c r="I20" s="25"/>
      <c r="J20" s="4" t="s">
        <v>38</v>
      </c>
      <c r="K20" s="30">
        <v>7</v>
      </c>
      <c r="L20" s="4" t="str">
        <f>IF(L3="English","in-lbf", "Nm")</f>
        <v>in-lbf</v>
      </c>
      <c r="N20" s="6" t="s">
        <v>27</v>
      </c>
      <c r="O20" s="34">
        <f>((K20*K9)/O11)</f>
        <v>8.4</v>
      </c>
      <c r="P20" s="6" t="str">
        <f>IF(L3="English","psi","Pa")</f>
        <v>psi</v>
      </c>
    </row>
    <row r="21" spans="2:16" ht="15" customHeight="1" x14ac:dyDescent="0.25">
      <c r="B21" s="4" t="s">
        <v>37</v>
      </c>
      <c r="C21" s="30">
        <v>7</v>
      </c>
      <c r="D21" s="4" t="str">
        <f>IF(D3="English","in-lbf", "Nm")</f>
        <v>in-lbf</v>
      </c>
      <c r="F21" s="6" t="s">
        <v>28</v>
      </c>
      <c r="G21" s="34">
        <f>G20*((C7/2)/C9)</f>
        <v>47.517575695735992</v>
      </c>
      <c r="H21" s="6" t="str">
        <f>IF(D3="English","psi","Pa")</f>
        <v>psi</v>
      </c>
      <c r="I21" s="25"/>
      <c r="J21" s="4" t="s">
        <v>37</v>
      </c>
      <c r="K21" s="30">
        <v>7</v>
      </c>
      <c r="L21" s="4" t="str">
        <f>IF(L3="English","in-lbf", "Nm")</f>
        <v>in-lbf</v>
      </c>
      <c r="N21" s="6" t="s">
        <v>28</v>
      </c>
      <c r="O21" s="34">
        <f>O20*((K7/2)/K9)</f>
        <v>5.939696961966999</v>
      </c>
      <c r="P21" s="6" t="str">
        <f>IF(L3="English","psi","Pa")</f>
        <v>psi</v>
      </c>
    </row>
    <row r="22" spans="2:16" ht="15" customHeight="1" x14ac:dyDescent="0.25">
      <c r="B22" s="4" t="s">
        <v>39</v>
      </c>
      <c r="C22" s="30">
        <v>7</v>
      </c>
      <c r="D22" s="4" t="str">
        <f>IF(D3="English","in-lbf", "Nm")</f>
        <v>in-lbf</v>
      </c>
      <c r="F22" s="6" t="s">
        <v>29</v>
      </c>
      <c r="G22" s="34">
        <f>G20*((C8/2)/C9)</f>
        <v>0</v>
      </c>
      <c r="H22" s="6" t="str">
        <f>IF(D3="English","psi","Pa")</f>
        <v>psi</v>
      </c>
      <c r="I22" s="25"/>
      <c r="J22" s="4" t="s">
        <v>39</v>
      </c>
      <c r="K22" s="30">
        <v>7</v>
      </c>
      <c r="L22" s="4" t="str">
        <f>IF(L3="English","in-lbf", "Nm")</f>
        <v>in-lbf</v>
      </c>
      <c r="N22" s="6" t="s">
        <v>29</v>
      </c>
      <c r="O22" s="34">
        <f>O20*((K8/2)/K9)</f>
        <v>5.939696961966999</v>
      </c>
      <c r="P22" s="6" t="str">
        <f>IF(L3="English","psi","Pa")</f>
        <v>psi</v>
      </c>
    </row>
    <row r="23" spans="2:16" ht="15" customHeight="1" x14ac:dyDescent="0.25">
      <c r="F23" s="6" t="s">
        <v>47</v>
      </c>
      <c r="G23" s="34">
        <f>G18+G21</f>
        <v>63.356767594314654</v>
      </c>
      <c r="H23" s="6" t="str">
        <f>IF(D3="English","psi","Pa")</f>
        <v>psi</v>
      </c>
      <c r="I23" s="25"/>
      <c r="N23" s="6" t="s">
        <v>47</v>
      </c>
      <c r="O23" s="34">
        <f>O18+O21</f>
        <v>13.859292911256331</v>
      </c>
      <c r="P23" s="6" t="str">
        <f>IF(L3="English","psi","Pa")</f>
        <v>psi</v>
      </c>
    </row>
    <row r="24" spans="2:16" ht="15" customHeight="1" x14ac:dyDescent="0.25">
      <c r="B24" s="7" t="s">
        <v>46</v>
      </c>
      <c r="C24" s="8"/>
      <c r="D24" s="8"/>
      <c r="F24" s="6" t="s">
        <v>48</v>
      </c>
      <c r="G24" s="34">
        <f>G18-G21</f>
        <v>-31.678383797157331</v>
      </c>
      <c r="H24" s="6" t="str">
        <f>IF(D3="English","psi","Pa")</f>
        <v>psi</v>
      </c>
      <c r="I24" s="25"/>
      <c r="J24" s="7" t="s">
        <v>46</v>
      </c>
      <c r="K24" s="8"/>
      <c r="L24" s="8"/>
      <c r="N24" s="6" t="s">
        <v>48</v>
      </c>
      <c r="O24" s="34">
        <f>O18-O21</f>
        <v>1.9798989873223327</v>
      </c>
      <c r="P24" s="6" t="str">
        <f>IF(L3="English","psi","Pa")</f>
        <v>psi</v>
      </c>
    </row>
    <row r="25" spans="2:16" ht="15" customHeight="1" x14ac:dyDescent="0.25">
      <c r="B25" s="4" t="s">
        <v>7</v>
      </c>
      <c r="C25" s="30">
        <v>7</v>
      </c>
      <c r="D25" s="4" t="str">
        <f>IF(D3="English","psi","Pa")</f>
        <v>psi</v>
      </c>
      <c r="F25" s="6" t="s">
        <v>49</v>
      </c>
      <c r="G25" s="34">
        <f>G19+G22</f>
        <v>15.839191898578663</v>
      </c>
      <c r="H25" s="6" t="str">
        <f>IF(D3="English","psi","Pa")</f>
        <v>psi</v>
      </c>
      <c r="I25" s="25"/>
      <c r="J25" s="4" t="s">
        <v>7</v>
      </c>
      <c r="K25" s="30">
        <v>7</v>
      </c>
      <c r="L25" s="4" t="str">
        <f>IF(L3="English","psi","Pa")</f>
        <v>psi</v>
      </c>
      <c r="N25" s="6" t="s">
        <v>49</v>
      </c>
      <c r="O25" s="34">
        <f>O19+O22</f>
        <v>13.859292911256331</v>
      </c>
      <c r="P25" s="6" t="str">
        <f>IF(L3="English","psi","Pa")</f>
        <v>psi</v>
      </c>
    </row>
    <row r="26" spans="2:16" ht="15" customHeight="1" x14ac:dyDescent="0.25">
      <c r="B26" s="6" t="s">
        <v>14</v>
      </c>
      <c r="C26" s="15">
        <f>IF(D3="English",C25*G7, C25*(G7*10^-6))</f>
        <v>3.0935921676911455</v>
      </c>
      <c r="D26" s="6" t="str">
        <f>IF(D3="English","lbf", "N")</f>
        <v>lbf</v>
      </c>
      <c r="F26" s="6" t="s">
        <v>50</v>
      </c>
      <c r="G26" s="34">
        <f>G19-G22</f>
        <v>15.839191898578663</v>
      </c>
      <c r="H26" s="6" t="str">
        <f>IF(D3="English","psi","Pa")</f>
        <v>psi</v>
      </c>
      <c r="I26" s="25"/>
      <c r="J26" s="6" t="s">
        <v>14</v>
      </c>
      <c r="K26" s="15">
        <f>IF(L3="English",K25*O7, K25*(O7*10^-6))</f>
        <v>6.1871843353822911</v>
      </c>
      <c r="L26" s="6" t="str">
        <f>IF(L3="English","lbf", "N")</f>
        <v>lbf</v>
      </c>
      <c r="N26" s="6" t="s">
        <v>50</v>
      </c>
      <c r="O26" s="34">
        <f>O19-O22</f>
        <v>1.9798989873223327</v>
      </c>
      <c r="P26" s="6" t="str">
        <f>IF(L3="English","psi","Pa")</f>
        <v>psi</v>
      </c>
    </row>
    <row r="27" spans="2:16" ht="15" customHeight="1" x14ac:dyDescent="0.25">
      <c r="F27" s="6" t="s">
        <v>51</v>
      </c>
      <c r="G27" s="34">
        <f>MAX(ABS(G23),ABS(G24))</f>
        <v>63.356767594314654</v>
      </c>
      <c r="H27" s="6" t="str">
        <f>IF(D3="English","psi","Pa")</f>
        <v>psi</v>
      </c>
      <c r="I27" s="25"/>
      <c r="N27" s="6" t="s">
        <v>51</v>
      </c>
      <c r="O27" s="34">
        <f>MAX(ABS(O23),ABS(O24))</f>
        <v>13.859292911256331</v>
      </c>
      <c r="P27" s="6" t="str">
        <f>IF(L3="English","psi","Pa")</f>
        <v>psi</v>
      </c>
    </row>
    <row r="28" spans="2:16" ht="15" customHeight="1" x14ac:dyDescent="0.25">
      <c r="F28" s="6" t="s">
        <v>52</v>
      </c>
      <c r="G28" s="34">
        <f>MAX(ABS(G25),ABS(G26))</f>
        <v>15.839191898578663</v>
      </c>
      <c r="H28" s="6" t="str">
        <f>IF(D3="English","psi","Pa")</f>
        <v>psi</v>
      </c>
      <c r="I28" s="25"/>
      <c r="N28" s="6" t="s">
        <v>52</v>
      </c>
      <c r="O28" s="34">
        <f>MAX(ABS(O25),ABS(O26))</f>
        <v>13.859292911256331</v>
      </c>
      <c r="P28" s="6" t="str">
        <f>IF(L3="English","psi","Pa")</f>
        <v>psi</v>
      </c>
    </row>
    <row r="29" spans="2:16" ht="15" customHeight="1" x14ac:dyDescent="0.25">
      <c r="F29" s="6" t="s">
        <v>43</v>
      </c>
      <c r="G29" s="34" cm="1">
        <f t="array" ref="G29">SQRT(SUM(G27:G28^2))</f>
        <v>65.306661222267365</v>
      </c>
      <c r="H29" s="6" t="str">
        <f>IF(D3="English","psi","Pa")</f>
        <v>psi</v>
      </c>
      <c r="I29" s="25"/>
      <c r="N29" s="6" t="s">
        <v>43</v>
      </c>
      <c r="O29" s="34" cm="1">
        <f t="array" ref="O29">SQRT(SUM(O27:O28^2))</f>
        <v>19.599999999999998</v>
      </c>
      <c r="P29" s="6" t="str">
        <f>IF(L3="English","psi","Pa")</f>
        <v>psi</v>
      </c>
    </row>
    <row r="30" spans="2:16" ht="15" customHeight="1" x14ac:dyDescent="0.25">
      <c r="F30"/>
      <c r="I30" s="25"/>
      <c r="N30"/>
    </row>
    <row r="31" spans="2:16" ht="15" customHeight="1" x14ac:dyDescent="0.25">
      <c r="F31" s="9" t="s">
        <v>44</v>
      </c>
      <c r="G31" s="9"/>
      <c r="H31" s="10"/>
      <c r="I31" s="25"/>
      <c r="N31" s="9" t="s">
        <v>44</v>
      </c>
      <c r="O31" s="9"/>
      <c r="P31" s="10"/>
    </row>
    <row r="32" spans="2:16" ht="15" customHeight="1" x14ac:dyDescent="0.25">
      <c r="F32" s="6" t="s">
        <v>41</v>
      </c>
      <c r="G32" s="34">
        <f>(C21*(C7-G9))/G13</f>
        <v>47.517575695735992</v>
      </c>
      <c r="H32" s="6" t="str">
        <f>IF(D3="English","psi","Pa")</f>
        <v>psi</v>
      </c>
      <c r="I32" s="25"/>
      <c r="N32" s="6" t="s">
        <v>41</v>
      </c>
      <c r="O32" s="34">
        <f>(K21*(K7-O9))/O13</f>
        <v>23.758787847867996</v>
      </c>
      <c r="P32" s="6" t="str">
        <f>IF(L3="English","psi","Pa")</f>
        <v>psi</v>
      </c>
    </row>
    <row r="33" spans="6:16" ht="15" customHeight="1" x14ac:dyDescent="0.25">
      <c r="F33" s="6" t="s">
        <v>42</v>
      </c>
      <c r="G33" s="34">
        <f>0</f>
        <v>0</v>
      </c>
      <c r="H33" s="6" t="str">
        <f>IF(D3="English","psi","Pa")</f>
        <v>psi</v>
      </c>
      <c r="I33" s="25"/>
      <c r="N33" s="6" t="s">
        <v>42</v>
      </c>
      <c r="O33" s="34">
        <f>(K22*(K8-O8))/O15</f>
        <v>7.9195959492893317</v>
      </c>
      <c r="P33" s="6" t="str">
        <f>IF(L3="English","psi","Pa")</f>
        <v>psi</v>
      </c>
    </row>
    <row r="34" spans="6:16" ht="15" customHeight="1" x14ac:dyDescent="0.25">
      <c r="F34" s="6" t="s">
        <v>26</v>
      </c>
      <c r="G34" s="34" cm="1">
        <f t="array" ref="G34">SQRT(SUM(G32:G33^2))</f>
        <v>47.517575695735992</v>
      </c>
      <c r="H34" s="6" t="str">
        <f>IF(D3="English","psi","Pa")</f>
        <v>psi</v>
      </c>
      <c r="I34" s="25"/>
      <c r="N34" s="6" t="s">
        <v>26</v>
      </c>
      <c r="O34" s="34" cm="1">
        <f t="array" ref="O34">SQRT(SUM(O32:O33^2))</f>
        <v>25.043961347997644</v>
      </c>
      <c r="P34" s="6" t="str">
        <f>IF(L3="English","psi","Pa")</f>
        <v>psi</v>
      </c>
    </row>
    <row r="35" spans="6:16" ht="15" customHeight="1" x14ac:dyDescent="0.25">
      <c r="I35" s="25"/>
    </row>
    <row r="36" spans="6:16" ht="15" customHeight="1" x14ac:dyDescent="0.25">
      <c r="F36" s="9" t="s">
        <v>45</v>
      </c>
      <c r="G36" s="9"/>
      <c r="H36" s="10"/>
      <c r="I36" s="25"/>
      <c r="N36" s="9" t="s">
        <v>45</v>
      </c>
      <c r="O36" s="9"/>
      <c r="P36" s="10"/>
    </row>
    <row r="37" spans="6:16" ht="15" customHeight="1" x14ac:dyDescent="0.25">
      <c r="F37" s="6" t="s">
        <v>36</v>
      </c>
      <c r="G37" s="34">
        <f>SQRT(SUM(G29^2,G34^2))</f>
        <v>80.764348570393366</v>
      </c>
      <c r="H37" s="6" t="str">
        <f>IF(D3="English","psi","Pa")</f>
        <v>psi</v>
      </c>
      <c r="I37" s="25"/>
      <c r="N37" s="6" t="s">
        <v>36</v>
      </c>
      <c r="O37" s="34">
        <f>SQRT(SUM(O29^2,O34^2))</f>
        <v>31.801886736481531</v>
      </c>
      <c r="P37" s="6" t="str">
        <f>IF(L3="English","psi","Pa")</f>
        <v>psi</v>
      </c>
    </row>
    <row r="38" spans="6:16" ht="15" customHeight="1" x14ac:dyDescent="0.25">
      <c r="I38" s="25"/>
    </row>
    <row r="39" spans="6:16" ht="15" customHeight="1" x14ac:dyDescent="0.25">
      <c r="I39" s="25"/>
    </row>
    <row r="40" spans="6:16" ht="15" customHeight="1" x14ac:dyDescent="0.25">
      <c r="I40" s="25"/>
    </row>
    <row r="41" spans="6:16" ht="15" customHeight="1" x14ac:dyDescent="0.25">
      <c r="I41" s="25"/>
    </row>
    <row r="42" spans="6:16" ht="15" customHeight="1" x14ac:dyDescent="0.25">
      <c r="I42" s="25"/>
    </row>
    <row r="43" spans="6:16" ht="15" customHeight="1" x14ac:dyDescent="0.25">
      <c r="I43" s="25"/>
    </row>
    <row r="44" spans="6:16" ht="15" customHeight="1" x14ac:dyDescent="0.25">
      <c r="I44" s="25"/>
    </row>
    <row r="45" spans="6:16" ht="15" customHeight="1" x14ac:dyDescent="0.25">
      <c r="I45" s="25"/>
    </row>
    <row r="46" spans="6:16" ht="15" customHeight="1" x14ac:dyDescent="0.25">
      <c r="I46" s="25"/>
    </row>
    <row r="47" spans="6:16" ht="15" customHeight="1" x14ac:dyDescent="0.25">
      <c r="I47" s="25"/>
    </row>
    <row r="48" spans="6:16" ht="15" customHeight="1" x14ac:dyDescent="0.25">
      <c r="I48" s="25"/>
    </row>
    <row r="49" spans="1:16" ht="15" customHeight="1" x14ac:dyDescent="0.25">
      <c r="I49" s="25"/>
    </row>
    <row r="50" spans="1:16" ht="15" customHeight="1" x14ac:dyDescent="0.25">
      <c r="I50" s="25"/>
      <c r="N50"/>
    </row>
    <row r="51" spans="1:16" ht="15" customHeight="1" x14ac:dyDescent="0.25">
      <c r="B51" s="11"/>
      <c r="C51" s="11"/>
      <c r="D51" s="11"/>
      <c r="E51" s="11"/>
      <c r="F51" s="11"/>
      <c r="G51" s="25"/>
      <c r="H51" s="25"/>
      <c r="I51" s="25"/>
      <c r="J51" s="11"/>
      <c r="K51" s="11"/>
      <c r="L51" s="11"/>
      <c r="M51" s="11"/>
      <c r="N51" s="25"/>
      <c r="O51" s="25"/>
      <c r="P51" s="25"/>
    </row>
    <row r="52" spans="1:16" ht="15" customHeight="1" x14ac:dyDescent="0.25">
      <c r="B52" s="22" t="s">
        <v>24</v>
      </c>
      <c r="C52" s="23">
        <v>3</v>
      </c>
      <c r="D52" s="21"/>
      <c r="E52" s="21"/>
      <c r="F52" s="21"/>
      <c r="G52" s="21"/>
      <c r="H52" s="21"/>
      <c r="I52" s="25"/>
      <c r="J52" s="22" t="s">
        <v>24</v>
      </c>
      <c r="K52" s="23">
        <v>4</v>
      </c>
      <c r="L52" s="21"/>
      <c r="M52" s="21"/>
      <c r="N52" s="21"/>
      <c r="O52" s="21"/>
      <c r="P52" s="21"/>
    </row>
    <row r="53" spans="1:16" ht="15" customHeight="1" x14ac:dyDescent="0.25">
      <c r="B53" s="2" t="s">
        <v>0</v>
      </c>
      <c r="C53" s="3" t="s">
        <v>1</v>
      </c>
      <c r="D53" s="20" t="s">
        <v>4</v>
      </c>
      <c r="E53"/>
      <c r="F53" s="5" t="s">
        <v>3</v>
      </c>
      <c r="G53" s="6"/>
      <c r="H53" s="6"/>
      <c r="I53" s="25"/>
      <c r="J53" s="2" t="s">
        <v>0</v>
      </c>
      <c r="K53" s="3" t="s">
        <v>1</v>
      </c>
      <c r="L53" s="20" t="s">
        <v>4</v>
      </c>
      <c r="M53"/>
      <c r="N53" s="5" t="s">
        <v>3</v>
      </c>
      <c r="O53" s="6"/>
      <c r="P53" s="6"/>
    </row>
    <row r="54" spans="1:16" ht="15" customHeight="1" x14ac:dyDescent="0.25">
      <c r="I54" s="25"/>
    </row>
    <row r="55" spans="1:16" ht="15" customHeight="1" x14ac:dyDescent="0.25">
      <c r="A55" s="1"/>
      <c r="B55" s="7" t="s">
        <v>8</v>
      </c>
      <c r="C55" s="8"/>
      <c r="D55" s="8"/>
      <c r="E55"/>
      <c r="F55" s="9" t="s">
        <v>34</v>
      </c>
      <c r="G55" s="9"/>
      <c r="H55" s="10"/>
      <c r="I55" s="25"/>
      <c r="J55" s="7" t="s">
        <v>8</v>
      </c>
      <c r="K55" s="8"/>
      <c r="L55" s="8"/>
      <c r="M55"/>
      <c r="N55" s="9" t="s">
        <v>34</v>
      </c>
      <c r="O55" s="9"/>
      <c r="P55" s="10"/>
    </row>
    <row r="56" spans="1:16" ht="15" customHeight="1" x14ac:dyDescent="0.25">
      <c r="B56" s="4" t="s">
        <v>16</v>
      </c>
      <c r="C56" s="4">
        <f>5/16</f>
        <v>0.3125</v>
      </c>
      <c r="D56" s="4" t="str">
        <f>IF(D53="English","in", "mm")</f>
        <v>in</v>
      </c>
      <c r="E56"/>
      <c r="F56" s="6" t="s">
        <v>12</v>
      </c>
      <c r="G56" s="13">
        <f>0.5*SQRT(2)*C56</f>
        <v>0.22097086912079611</v>
      </c>
      <c r="H56" s="6" t="str">
        <f>IF(D53="English","in", "mm")</f>
        <v>in</v>
      </c>
      <c r="I56" s="25"/>
      <c r="J56" s="4" t="s">
        <v>16</v>
      </c>
      <c r="K56" s="4">
        <f>5/16</f>
        <v>0.3125</v>
      </c>
      <c r="L56" s="4" t="str">
        <f>IF(L53="English","in", "mm")</f>
        <v>in</v>
      </c>
      <c r="M56"/>
      <c r="N56" s="6" t="s">
        <v>12</v>
      </c>
      <c r="O56" s="13">
        <f>0.5*SQRT(2)*K56</f>
        <v>0.22097086912079611</v>
      </c>
      <c r="P56" s="6" t="str">
        <f>IF(L53="English","in", "mm")</f>
        <v>in</v>
      </c>
    </row>
    <row r="57" spans="1:16" ht="15" customHeight="1" x14ac:dyDescent="0.25">
      <c r="B57" s="4" t="s">
        <v>6</v>
      </c>
      <c r="C57" s="4">
        <v>2</v>
      </c>
      <c r="D57" s="4" t="str">
        <f>IF(D53="English","in", "mm")</f>
        <v>in</v>
      </c>
      <c r="E57"/>
      <c r="F57" s="6" t="s">
        <v>57</v>
      </c>
      <c r="G57" s="13">
        <f>0.5*SQRT(2)*C56*(C58+C57)</f>
        <v>0.88388347648318444</v>
      </c>
      <c r="H57" s="12" t="str">
        <f>IF(D53="English","in^2","mm^2")</f>
        <v>in^2</v>
      </c>
      <c r="I57" s="25"/>
      <c r="J57" s="4" t="s">
        <v>6</v>
      </c>
      <c r="K57" s="4">
        <v>2</v>
      </c>
      <c r="L57" s="4" t="str">
        <f>IF(L53="English","in", "mm")</f>
        <v>in</v>
      </c>
      <c r="M57"/>
      <c r="N57" s="6" t="s">
        <v>57</v>
      </c>
      <c r="O57" s="13">
        <f>0.5*SQRT(2)*K56*(2*K58+K57)</f>
        <v>1.3258252147247767</v>
      </c>
      <c r="P57" s="12" t="str">
        <f>IF(L53="English","in^2","mm^2")</f>
        <v>in^2</v>
      </c>
    </row>
    <row r="58" spans="1:16" ht="15" customHeight="1" x14ac:dyDescent="0.25">
      <c r="B58" s="4" t="s">
        <v>5</v>
      </c>
      <c r="C58" s="4">
        <v>2</v>
      </c>
      <c r="D58" s="4" t="str">
        <f>IF(D53="English","in", "mm")</f>
        <v>in</v>
      </c>
      <c r="E58"/>
      <c r="F58" s="6" t="s">
        <v>9</v>
      </c>
      <c r="G58" s="17">
        <f>(C58^2)/(2*(C58+C57))</f>
        <v>0.5</v>
      </c>
      <c r="H58" s="6" t="str">
        <f>IF(D53="English","in", "mm")</f>
        <v>in</v>
      </c>
      <c r="I58" s="25"/>
      <c r="J58" s="4" t="s">
        <v>5</v>
      </c>
      <c r="K58" s="4">
        <v>2</v>
      </c>
      <c r="L58" s="4" t="str">
        <f>IF(L53="English","in", "mm")</f>
        <v>in</v>
      </c>
      <c r="M58"/>
      <c r="N58" s="6" t="s">
        <v>9</v>
      </c>
      <c r="O58" s="17">
        <f>(K58^2)/(2*(K58+K57))</f>
        <v>0.5</v>
      </c>
      <c r="P58" s="6" t="str">
        <f>IF(L53="English","in", "mm")</f>
        <v>in</v>
      </c>
    </row>
    <row r="59" spans="1:16" ht="15" customHeight="1" x14ac:dyDescent="0.25">
      <c r="B59" s="6" t="s">
        <v>55</v>
      </c>
      <c r="C59" s="6">
        <f>SQRT((C58-G58)^2 + (G59)^2)</f>
        <v>1.5811388300841898</v>
      </c>
      <c r="D59" s="6" t="str">
        <f>IF(D53="English","in", "mm")</f>
        <v>in</v>
      </c>
      <c r="E59"/>
      <c r="F59" s="6" t="s">
        <v>10</v>
      </c>
      <c r="G59" s="17">
        <f>(C57^2)/(2*(C58+C57))</f>
        <v>0.5</v>
      </c>
      <c r="H59" s="6" t="str">
        <f>IF(D53="English","in", "mm")</f>
        <v>in</v>
      </c>
      <c r="I59" s="25"/>
      <c r="J59" s="6" t="s">
        <v>55</v>
      </c>
      <c r="K59" s="6">
        <f>SQRT((K58-O58)^2 + (O59)^2)</f>
        <v>1.8027756377319946</v>
      </c>
      <c r="L59" s="6" t="str">
        <f>IF(L53="English","in", "mm")</f>
        <v>in</v>
      </c>
      <c r="M59"/>
      <c r="N59" s="6" t="s">
        <v>10</v>
      </c>
      <c r="O59" s="17">
        <f>K57/2</f>
        <v>1</v>
      </c>
      <c r="P59" s="6" t="str">
        <f>IF(L53="English","in", "mm")</f>
        <v>in</v>
      </c>
    </row>
    <row r="60" spans="1:16" ht="15" customHeight="1" x14ac:dyDescent="0.25">
      <c r="B60" s="6" t="s">
        <v>56</v>
      </c>
      <c r="C60" s="6">
        <f>SQRT((G58)^2 + (C57-G59)^2)</f>
        <v>1.5811388300841898</v>
      </c>
      <c r="D60" s="6" t="str">
        <f>IF(D53="English","in", "mm")</f>
        <v>in</v>
      </c>
      <c r="F60" s="6" t="s">
        <v>11</v>
      </c>
      <c r="G60" s="24">
        <f>((C58+C57)^4 - 6*(C58^2)*(C57^2))/(12*(C58+C57))</f>
        <v>3.3333333333333335</v>
      </c>
      <c r="H60" s="6" t="str">
        <f>IF(D53="English","in^3", "mm^3")</f>
        <v>in^3</v>
      </c>
      <c r="I60" s="25"/>
      <c r="J60" s="6" t="s">
        <v>56</v>
      </c>
      <c r="K60" s="6">
        <f>SQRT((O58)^2 + (K57-O59)^2)</f>
        <v>1.1180339887498949</v>
      </c>
      <c r="L60" s="6" t="str">
        <f>IF(L53="English","in", "mm")</f>
        <v>in</v>
      </c>
      <c r="N60" s="6" t="s">
        <v>11</v>
      </c>
      <c r="O60" s="24">
        <f>(8*K58^3 + 6*K58*K57^2 + K57^3)/(12) - (K58^4)/(2*K58+K57)</f>
        <v>7.3333333333333339</v>
      </c>
      <c r="P60" s="6" t="str">
        <f>IF(L53="English","in^3", "mm^3")</f>
        <v>in^3</v>
      </c>
    </row>
    <row r="61" spans="1:16" ht="15" customHeight="1" x14ac:dyDescent="0.25">
      <c r="B61" s="6" t="s">
        <v>54</v>
      </c>
      <c r="C61" s="6">
        <f>MAX(C59:C60)</f>
        <v>1.5811388300841898</v>
      </c>
      <c r="D61" s="6" t="str">
        <f>IF(D53="English","in", "mm")</f>
        <v>in</v>
      </c>
      <c r="F61" s="6" t="s">
        <v>13</v>
      </c>
      <c r="G61" s="24">
        <f>G56*G60</f>
        <v>0.73656956373598703</v>
      </c>
      <c r="H61" s="6" t="str">
        <f>IF(D53="English","in^4", "mm^4")</f>
        <v>in^4</v>
      </c>
      <c r="I61" s="25"/>
      <c r="J61" s="6" t="s">
        <v>54</v>
      </c>
      <c r="K61" s="6">
        <f>MAX(K59:K60)</f>
        <v>1.8027756377319946</v>
      </c>
      <c r="L61" s="6" t="str">
        <f>IF(L53="English","in", "mm")</f>
        <v>in</v>
      </c>
      <c r="N61" s="6" t="s">
        <v>13</v>
      </c>
      <c r="O61" s="24">
        <f>O56*O60</f>
        <v>1.6204530402191717</v>
      </c>
      <c r="P61" s="6" t="str">
        <f>IF(L53="English","in^4", "mm^4")</f>
        <v>in^4</v>
      </c>
    </row>
    <row r="62" spans="1:16" ht="15" customHeight="1" x14ac:dyDescent="0.25">
      <c r="F62" s="14" t="s">
        <v>23</v>
      </c>
      <c r="G62" s="27"/>
      <c r="H62" s="27"/>
      <c r="I62" s="25"/>
      <c r="N62" s="6" t="s">
        <v>72</v>
      </c>
      <c r="O62" s="24">
        <f>IF(K63,((K57^2)*(6*K58+K57))/(12), ((2*K58^3)/3) - 2*(K58^2)*O58 + (2*K58+K57)*O58^2)</f>
        <v>4.666666666666667</v>
      </c>
      <c r="P62" s="6" t="str">
        <f>IF(L53="English","in^3", "mm^3")</f>
        <v>in^3</v>
      </c>
    </row>
    <row r="63" spans="1:16" ht="15" customHeight="1" x14ac:dyDescent="0.25">
      <c r="B63" s="7" t="s">
        <v>46</v>
      </c>
      <c r="C63" s="8"/>
      <c r="D63" s="8"/>
      <c r="I63" s="25"/>
      <c r="J63" s="4" t="s">
        <v>21</v>
      </c>
      <c r="K63" s="16" t="b">
        <v>1</v>
      </c>
      <c r="N63" s="6" t="s">
        <v>70</v>
      </c>
      <c r="O63" s="24">
        <f>O56*O62</f>
        <v>1.0311973892303818</v>
      </c>
      <c r="P63" s="6" t="str">
        <f>IF(L53="English","in^4", "mm^4")</f>
        <v>in^4</v>
      </c>
    </row>
    <row r="64" spans="1:16" ht="15" customHeight="1" x14ac:dyDescent="0.25">
      <c r="B64" s="4" t="s">
        <v>7</v>
      </c>
      <c r="C64" s="30">
        <v>7</v>
      </c>
      <c r="D64" s="4" t="str">
        <f>IF(D53="English","psi","Pa")</f>
        <v>psi</v>
      </c>
      <c r="I64" s="25"/>
      <c r="J64" s="4" t="s">
        <v>22</v>
      </c>
      <c r="K64" s="19" t="b">
        <f>NOT(K63)</f>
        <v>0</v>
      </c>
      <c r="N64" s="6" t="s">
        <v>73</v>
      </c>
      <c r="O64" s="33">
        <f>IF(K63, ((2*K58^3)/3) - 2*(K58^2)*O58 + (2*K58+K57)*O58^2, ((K57^2)*(6*K58+K57))/(12))</f>
        <v>2.833333333333333</v>
      </c>
      <c r="P64" s="6" t="str">
        <f>IF(L53="English","in^3", "mm^3")</f>
        <v>in^3</v>
      </c>
    </row>
    <row r="65" spans="2:16" ht="15" customHeight="1" x14ac:dyDescent="0.25">
      <c r="B65" s="6" t="s">
        <v>14</v>
      </c>
      <c r="C65" s="15">
        <f>IF(D53="English",C64*G57, C64*(G57*10^-6))</f>
        <v>6.1871843353822911</v>
      </c>
      <c r="D65" s="6" t="str">
        <f>IF(D53="English","lbf", "N")</f>
        <v>lbf</v>
      </c>
      <c r="G65" s="1"/>
      <c r="H65" s="1"/>
      <c r="I65" s="25"/>
      <c r="N65" s="6" t="s">
        <v>71</v>
      </c>
      <c r="O65" s="24">
        <f>O56*O64</f>
        <v>0.62608412917558887</v>
      </c>
      <c r="P65" s="6" t="str">
        <f>IF(L53="English","in^4", "mm^4")</f>
        <v>in^4</v>
      </c>
    </row>
    <row r="66" spans="2:16" ht="15" customHeight="1" x14ac:dyDescent="0.25">
      <c r="G66" s="1"/>
      <c r="H66" s="1"/>
      <c r="I66" s="25"/>
    </row>
    <row r="67" spans="2:16" ht="15" customHeight="1" x14ac:dyDescent="0.25">
      <c r="G67" s="1"/>
      <c r="H67" s="1"/>
      <c r="I67" s="25"/>
      <c r="J67" s="7" t="s">
        <v>40</v>
      </c>
      <c r="K67" s="8"/>
      <c r="L67" s="8"/>
      <c r="N67" s="9" t="s">
        <v>35</v>
      </c>
      <c r="O67" s="9"/>
      <c r="P67" s="10"/>
    </row>
    <row r="68" spans="2:16" ht="15" customHeight="1" x14ac:dyDescent="0.25">
      <c r="G68" s="1"/>
      <c r="H68" s="1"/>
      <c r="I68" s="25"/>
      <c r="J68" s="4" t="s">
        <v>30</v>
      </c>
      <c r="K68" s="30">
        <v>7</v>
      </c>
      <c r="L68" s="4" t="str">
        <f>IF(L53="English","lbf", "N")</f>
        <v>lbf</v>
      </c>
      <c r="N68" s="6" t="s">
        <v>32</v>
      </c>
      <c r="O68" s="34">
        <f>K68/O57</f>
        <v>5.2797306328595548</v>
      </c>
      <c r="P68" s="6" t="str">
        <f>IF(L53="English","psi","Pa")</f>
        <v>psi</v>
      </c>
    </row>
    <row r="69" spans="2:16" ht="15" customHeight="1" x14ac:dyDescent="0.25">
      <c r="G69" s="1"/>
      <c r="H69" s="1"/>
      <c r="I69" s="25"/>
      <c r="J69" s="4" t="s">
        <v>31</v>
      </c>
      <c r="K69" s="30">
        <v>7</v>
      </c>
      <c r="L69" s="4" t="str">
        <f>IF(L53="English","lbf", "N")</f>
        <v>lbf</v>
      </c>
      <c r="N69" s="6" t="s">
        <v>33</v>
      </c>
      <c r="O69" s="34">
        <f>K69/O57</f>
        <v>5.2797306328595548</v>
      </c>
      <c r="P69" s="6" t="str">
        <f>IF(L53="English","psi","Pa")</f>
        <v>psi</v>
      </c>
    </row>
    <row r="70" spans="2:16" ht="15" customHeight="1" x14ac:dyDescent="0.25">
      <c r="G70" s="1"/>
      <c r="H70" s="1"/>
      <c r="I70" s="25"/>
      <c r="J70" s="4" t="s">
        <v>38</v>
      </c>
      <c r="K70" s="30">
        <v>7</v>
      </c>
      <c r="L70" s="4" t="str">
        <f>IF(L53="English","in-lbf", "Nm")</f>
        <v>in-lbf</v>
      </c>
      <c r="N70" s="6" t="s">
        <v>27</v>
      </c>
      <c r="O70" s="34">
        <f>((K70*K61)/O61)</f>
        <v>7.7875934389417063</v>
      </c>
      <c r="P70" s="6" t="str">
        <f>IF(L53="English","psi","Pa")</f>
        <v>psi</v>
      </c>
    </row>
    <row r="71" spans="2:16" ht="15" customHeight="1" x14ac:dyDescent="0.25">
      <c r="G71" s="1"/>
      <c r="H71" s="1"/>
      <c r="I71" s="25"/>
      <c r="J71" s="4" t="s">
        <v>37</v>
      </c>
      <c r="K71" s="30">
        <v>7</v>
      </c>
      <c r="L71" s="4" t="str">
        <f>IF(L53="English","in-lbf", "Nm")</f>
        <v>in-lbf</v>
      </c>
      <c r="N71" s="6" t="s">
        <v>28</v>
      </c>
      <c r="O71" s="34">
        <f>O70*((K57/2)/K61)</f>
        <v>4.3197796087032714</v>
      </c>
      <c r="P71" s="6" t="str">
        <f>IF(L53="English","psi","Pa")</f>
        <v>psi</v>
      </c>
    </row>
    <row r="72" spans="2:16" ht="15" customHeight="1" x14ac:dyDescent="0.25">
      <c r="G72" s="1"/>
      <c r="H72" s="1"/>
      <c r="I72" s="25"/>
      <c r="J72" s="4" t="s">
        <v>39</v>
      </c>
      <c r="K72" s="30">
        <v>7</v>
      </c>
      <c r="L72" s="4" t="str">
        <f>IF(L53="English","in-lbf", "Nm")</f>
        <v>in-lbf</v>
      </c>
      <c r="N72" s="6" t="s">
        <v>29</v>
      </c>
      <c r="O72" s="34">
        <f>O70*((K58/2)/K61)</f>
        <v>4.3197796087032714</v>
      </c>
      <c r="P72" s="6" t="str">
        <f>IF(L53="English","psi","Pa")</f>
        <v>psi</v>
      </c>
    </row>
    <row r="73" spans="2:16" ht="15" customHeight="1" x14ac:dyDescent="0.25">
      <c r="G73" s="1"/>
      <c r="H73" s="1"/>
      <c r="I73" s="25"/>
      <c r="N73" s="6" t="s">
        <v>47</v>
      </c>
      <c r="O73" s="34">
        <f>O68+O71</f>
        <v>9.5995102415628253</v>
      </c>
      <c r="P73" s="6" t="str">
        <f>IF(L53="English","psi","Pa")</f>
        <v>psi</v>
      </c>
    </row>
    <row r="74" spans="2:16" ht="15" customHeight="1" x14ac:dyDescent="0.25">
      <c r="G74" s="1"/>
      <c r="H74" s="1"/>
      <c r="I74" s="25"/>
      <c r="J74" s="7" t="s">
        <v>46</v>
      </c>
      <c r="K74" s="8"/>
      <c r="L74" s="8"/>
      <c r="N74" s="6" t="s">
        <v>48</v>
      </c>
      <c r="O74" s="34">
        <f>O68-O71</f>
        <v>0.95995102415628342</v>
      </c>
      <c r="P74" s="6" t="str">
        <f>IF(L53="English","psi","Pa")</f>
        <v>psi</v>
      </c>
    </row>
    <row r="75" spans="2:16" ht="15" customHeight="1" x14ac:dyDescent="0.25">
      <c r="G75" s="1"/>
      <c r="H75" s="1"/>
      <c r="I75" s="25"/>
      <c r="J75" s="4" t="s">
        <v>7</v>
      </c>
      <c r="K75" s="30">
        <v>7</v>
      </c>
      <c r="L75" s="4" t="str">
        <f>IF(L53="English","psi","Pa")</f>
        <v>psi</v>
      </c>
      <c r="N75" s="6" t="s">
        <v>49</v>
      </c>
      <c r="O75" s="34">
        <f>O69+O72</f>
        <v>9.5995102415628253</v>
      </c>
      <c r="P75" s="6" t="str">
        <f>IF(L53="English","psi","Pa")</f>
        <v>psi</v>
      </c>
    </row>
    <row r="76" spans="2:16" ht="15" customHeight="1" x14ac:dyDescent="0.25">
      <c r="G76" s="1"/>
      <c r="H76" s="1"/>
      <c r="I76" s="25"/>
      <c r="J76" s="6" t="s">
        <v>14</v>
      </c>
      <c r="K76" s="15">
        <f>IF(L53="English",K75*O57, K75*(O57*10^-6))</f>
        <v>9.2807765030734366</v>
      </c>
      <c r="L76" s="6" t="str">
        <f>IF(L53="English","lbf", "N")</f>
        <v>lbf</v>
      </c>
      <c r="N76" s="6" t="s">
        <v>50</v>
      </c>
      <c r="O76" s="34">
        <f>O69-O72</f>
        <v>0.95995102415628342</v>
      </c>
      <c r="P76" s="6" t="str">
        <f>IF(L53="English","psi","Pa")</f>
        <v>psi</v>
      </c>
    </row>
    <row r="77" spans="2:16" ht="15" customHeight="1" x14ac:dyDescent="0.25">
      <c r="G77" s="1"/>
      <c r="H77" s="1"/>
      <c r="I77" s="25"/>
      <c r="N77" s="6" t="s">
        <v>51</v>
      </c>
      <c r="O77" s="34">
        <f>MAX(ABS(O73),ABS(O74))</f>
        <v>9.5995102415628253</v>
      </c>
      <c r="P77" s="6" t="str">
        <f>IF(L53="English","psi","Pa")</f>
        <v>psi</v>
      </c>
    </row>
    <row r="78" spans="2:16" ht="15" customHeight="1" x14ac:dyDescent="0.25">
      <c r="F78"/>
      <c r="I78" s="25"/>
      <c r="N78" s="6" t="s">
        <v>52</v>
      </c>
      <c r="O78" s="34">
        <f>MAX(ABS(O75),ABS(O76))</f>
        <v>9.5995102415628253</v>
      </c>
      <c r="P78" s="6" t="str">
        <f>IF(L53="English","psi","Pa")</f>
        <v>psi</v>
      </c>
    </row>
    <row r="79" spans="2:16" ht="15" customHeight="1" x14ac:dyDescent="0.25">
      <c r="G79" s="1"/>
      <c r="H79" s="1"/>
      <c r="I79" s="25"/>
      <c r="N79" s="6" t="s">
        <v>43</v>
      </c>
      <c r="O79" s="34" cm="1">
        <f t="array" ref="O79">SQRT(SUM(O77:O78^2))</f>
        <v>13.575757575757574</v>
      </c>
      <c r="P79" s="6" t="str">
        <f>IF(L53="English","psi","Pa")</f>
        <v>psi</v>
      </c>
    </row>
    <row r="80" spans="2:16" ht="15" customHeight="1" x14ac:dyDescent="0.25">
      <c r="G80" s="1"/>
      <c r="H80" s="1"/>
      <c r="I80" s="25"/>
      <c r="N80"/>
    </row>
    <row r="81" spans="7:16" ht="15" customHeight="1" x14ac:dyDescent="0.25">
      <c r="G81" s="1"/>
      <c r="H81" s="1"/>
      <c r="I81" s="25"/>
      <c r="N81" s="9" t="s">
        <v>44</v>
      </c>
      <c r="O81" s="9"/>
      <c r="P81" s="10"/>
    </row>
    <row r="82" spans="7:16" ht="15" customHeight="1" x14ac:dyDescent="0.25">
      <c r="G82" s="1"/>
      <c r="H82" s="1"/>
      <c r="I82" s="25"/>
      <c r="N82" s="6" t="s">
        <v>41</v>
      </c>
      <c r="O82" s="34">
        <f>(K71*(K57-O59))/O63</f>
        <v>6.7882250993908562</v>
      </c>
      <c r="P82" s="6" t="str">
        <f>IF(L53="English","psi","Pa")</f>
        <v>psi</v>
      </c>
    </row>
    <row r="83" spans="7:16" ht="15" customHeight="1" x14ac:dyDescent="0.25">
      <c r="G83" s="1"/>
      <c r="H83" s="1"/>
      <c r="I83" s="25"/>
      <c r="N83" s="6" t="s">
        <v>42</v>
      </c>
      <c r="O83" s="34">
        <f>(K72*(K58-O58))/O65</f>
        <v>16.770909069083295</v>
      </c>
      <c r="P83" s="6" t="str">
        <f>IF(L53="English","psi","Pa")</f>
        <v>psi</v>
      </c>
    </row>
    <row r="84" spans="7:16" ht="15" customHeight="1" x14ac:dyDescent="0.25">
      <c r="G84" s="1"/>
      <c r="H84" s="1"/>
      <c r="I84" s="25"/>
      <c r="N84" s="6" t="s">
        <v>26</v>
      </c>
      <c r="O84" s="34" cm="1">
        <f t="array" ref="O84">SQRT(SUM(O82:O83^2))</f>
        <v>18.092633611596192</v>
      </c>
      <c r="P84" s="6" t="str">
        <f>IF(L53="English","psi","Pa")</f>
        <v>psi</v>
      </c>
    </row>
    <row r="85" spans="7:16" ht="15" customHeight="1" x14ac:dyDescent="0.25">
      <c r="G85" s="1"/>
      <c r="H85" s="1"/>
      <c r="I85" s="25"/>
    </row>
    <row r="86" spans="7:16" ht="15" customHeight="1" x14ac:dyDescent="0.25">
      <c r="I86" s="25"/>
      <c r="N86" s="9" t="s">
        <v>45</v>
      </c>
      <c r="O86" s="9"/>
      <c r="P86" s="10"/>
    </row>
    <row r="87" spans="7:16" ht="15" customHeight="1" x14ac:dyDescent="0.25">
      <c r="I87" s="25"/>
      <c r="N87" s="6" t="s">
        <v>36</v>
      </c>
      <c r="O87" s="34">
        <f>SQRT(SUM(O79^2,O84^2))</f>
        <v>22.619561993089064</v>
      </c>
      <c r="P87" s="6" t="str">
        <f>IF(L53="English","psi","Pa")</f>
        <v>psi</v>
      </c>
    </row>
    <row r="88" spans="7:16" ht="15" customHeight="1" x14ac:dyDescent="0.25">
      <c r="I88" s="25"/>
    </row>
    <row r="89" spans="7:16" ht="15" customHeight="1" x14ac:dyDescent="0.25">
      <c r="I89" s="25"/>
    </row>
    <row r="90" spans="7:16" ht="15" customHeight="1" x14ac:dyDescent="0.25">
      <c r="I90" s="25"/>
    </row>
    <row r="91" spans="7:16" ht="15" customHeight="1" x14ac:dyDescent="0.25">
      <c r="I91" s="25"/>
    </row>
    <row r="92" spans="7:16" ht="15" customHeight="1" x14ac:dyDescent="0.25">
      <c r="I92" s="25"/>
    </row>
    <row r="93" spans="7:16" ht="15" customHeight="1" x14ac:dyDescent="0.25">
      <c r="I93" s="25"/>
    </row>
    <row r="94" spans="7:16" ht="15" customHeight="1" x14ac:dyDescent="0.25">
      <c r="I94" s="25"/>
    </row>
    <row r="95" spans="7:16" ht="15" customHeight="1" x14ac:dyDescent="0.25">
      <c r="I95" s="25"/>
    </row>
    <row r="96" spans="7:16" ht="15" customHeight="1" x14ac:dyDescent="0.25">
      <c r="I96" s="25"/>
    </row>
    <row r="97" spans="2:16" ht="15" customHeight="1" x14ac:dyDescent="0.25">
      <c r="I97" s="25"/>
    </row>
    <row r="98" spans="2:16" ht="15" customHeight="1" x14ac:dyDescent="0.25">
      <c r="I98" s="25"/>
    </row>
    <row r="99" spans="2:16" ht="15" customHeight="1" x14ac:dyDescent="0.25">
      <c r="I99" s="25"/>
    </row>
    <row r="100" spans="2:16" ht="15" customHeight="1" x14ac:dyDescent="0.25">
      <c r="F100"/>
      <c r="I100" s="25"/>
      <c r="N100"/>
    </row>
    <row r="101" spans="2:16" ht="15" customHeight="1" x14ac:dyDescent="0.25">
      <c r="F101"/>
      <c r="I101" s="25"/>
      <c r="M101"/>
      <c r="N101"/>
    </row>
    <row r="102" spans="2:16" ht="15" customHeight="1" x14ac:dyDescent="0.25">
      <c r="B102" s="11"/>
      <c r="C102" s="11"/>
      <c r="D102" s="11"/>
      <c r="E102" s="11"/>
      <c r="F102" s="11"/>
      <c r="G102" s="25"/>
      <c r="H102" s="25"/>
      <c r="I102" s="25"/>
      <c r="J102" s="11"/>
      <c r="K102" s="11"/>
      <c r="L102" s="11"/>
      <c r="M102" s="11"/>
      <c r="N102" s="11"/>
      <c r="O102" s="25"/>
      <c r="P102" s="25"/>
    </row>
    <row r="103" spans="2:16" ht="15" customHeight="1" x14ac:dyDescent="0.25">
      <c r="B103" s="22" t="s">
        <v>24</v>
      </c>
      <c r="C103" s="23">
        <v>5</v>
      </c>
      <c r="D103" s="21"/>
      <c r="E103" s="21"/>
      <c r="F103" s="21"/>
      <c r="G103" s="21"/>
      <c r="H103" s="21"/>
      <c r="I103" s="25"/>
      <c r="J103" s="22" t="s">
        <v>24</v>
      </c>
      <c r="K103" s="23">
        <v>6</v>
      </c>
      <c r="L103" s="21"/>
      <c r="M103" s="21"/>
      <c r="N103" s="21"/>
      <c r="O103" s="21"/>
      <c r="P103" s="21"/>
    </row>
    <row r="104" spans="2:16" ht="15" customHeight="1" x14ac:dyDescent="0.25">
      <c r="B104" s="2" t="s">
        <v>0</v>
      </c>
      <c r="C104" s="3" t="s">
        <v>1</v>
      </c>
      <c r="D104" s="20" t="s">
        <v>4</v>
      </c>
      <c r="E104"/>
      <c r="F104" s="5" t="s">
        <v>3</v>
      </c>
      <c r="G104" s="6"/>
      <c r="H104" s="6"/>
      <c r="I104" s="25"/>
      <c r="J104" s="2" t="s">
        <v>0</v>
      </c>
      <c r="K104" s="3" t="s">
        <v>1</v>
      </c>
      <c r="L104" s="20" t="s">
        <v>4</v>
      </c>
      <c r="M104"/>
      <c r="N104" s="5" t="s">
        <v>3</v>
      </c>
      <c r="O104" s="6"/>
      <c r="P104" s="6"/>
    </row>
    <row r="105" spans="2:16" ht="15" customHeight="1" x14ac:dyDescent="0.25">
      <c r="I105" s="25"/>
    </row>
    <row r="106" spans="2:16" ht="15" customHeight="1" x14ac:dyDescent="0.25">
      <c r="B106" s="7" t="s">
        <v>8</v>
      </c>
      <c r="C106" s="8"/>
      <c r="D106" s="8"/>
      <c r="E106"/>
      <c r="F106" s="9" t="s">
        <v>34</v>
      </c>
      <c r="G106" s="9"/>
      <c r="H106" s="10"/>
      <c r="I106" s="25"/>
      <c r="J106" s="7" t="s">
        <v>8</v>
      </c>
      <c r="K106" s="8"/>
      <c r="L106" s="8"/>
      <c r="M106"/>
      <c r="N106" s="9" t="s">
        <v>34</v>
      </c>
      <c r="O106" s="9"/>
      <c r="P106" s="10"/>
    </row>
    <row r="107" spans="2:16" ht="15" customHeight="1" x14ac:dyDescent="0.25">
      <c r="B107" s="4" t="s">
        <v>16</v>
      </c>
      <c r="C107" s="4">
        <f>5/16</f>
        <v>0.3125</v>
      </c>
      <c r="D107" s="4" t="str">
        <f>IF(D104="English","in", "mm")</f>
        <v>in</v>
      </c>
      <c r="E107"/>
      <c r="F107" s="6" t="s">
        <v>12</v>
      </c>
      <c r="G107" s="13">
        <f>0.5*SQRT(2)*C107</f>
        <v>0.22097086912079611</v>
      </c>
      <c r="H107" s="6" t="str">
        <f>IF(D104="English","in", "mm")</f>
        <v>in</v>
      </c>
      <c r="I107" s="25"/>
      <c r="J107" s="4" t="s">
        <v>16</v>
      </c>
      <c r="K107" s="4">
        <v>0.25</v>
      </c>
      <c r="L107" s="4" t="str">
        <f>IF(L104="English","in", "mm")</f>
        <v>in</v>
      </c>
      <c r="M107"/>
      <c r="N107" s="6" t="s">
        <v>12</v>
      </c>
      <c r="O107" s="13">
        <f>0.5*SQRT(2)*K107</f>
        <v>0.17677669529663689</v>
      </c>
      <c r="P107" s="6" t="str">
        <f>IF(L104="English","in", "mm")</f>
        <v>in</v>
      </c>
    </row>
    <row r="108" spans="2:16" ht="15" customHeight="1" x14ac:dyDescent="0.25">
      <c r="B108" s="4" t="s">
        <v>6</v>
      </c>
      <c r="C108" s="4">
        <v>2</v>
      </c>
      <c r="D108" s="4" t="str">
        <f>IF(D104="English","in", "mm")</f>
        <v>in</v>
      </c>
      <c r="E108"/>
      <c r="F108" s="6" t="s">
        <v>57</v>
      </c>
      <c r="G108" s="13">
        <f>SQRT(2)*C107*(C109+C108)</f>
        <v>1.7677669529663689</v>
      </c>
      <c r="H108" s="12" t="str">
        <f>IF(D104="English","in^2","mm^2")</f>
        <v>in^2</v>
      </c>
      <c r="I108" s="25"/>
      <c r="J108" s="4" t="s">
        <v>58</v>
      </c>
      <c r="K108" s="4">
        <f>2/2</f>
        <v>1</v>
      </c>
      <c r="L108" s="4" t="str">
        <f>IF(L104="English","in", "mm")</f>
        <v>in</v>
      </c>
      <c r="M108"/>
      <c r="N108" s="6" t="s">
        <v>57</v>
      </c>
      <c r="O108" s="13">
        <f>SQRT(2)*PI()*K107*K108</f>
        <v>1.1107207345395915</v>
      </c>
      <c r="P108" s="12" t="str">
        <f>IF(L104="English","in^2","mm^2")</f>
        <v>in^2</v>
      </c>
    </row>
    <row r="109" spans="2:16" ht="15" customHeight="1" x14ac:dyDescent="0.25">
      <c r="B109" s="4" t="s">
        <v>5</v>
      </c>
      <c r="C109" s="4">
        <v>2</v>
      </c>
      <c r="D109" s="4" t="str">
        <f>IF(D104="English","in", "mm")</f>
        <v>in</v>
      </c>
      <c r="E109"/>
      <c r="F109" s="6" t="s">
        <v>9</v>
      </c>
      <c r="G109" s="17">
        <f>C109/2</f>
        <v>1</v>
      </c>
      <c r="H109" s="6" t="str">
        <f>IF(D104="English","in", "mm")</f>
        <v>in</v>
      </c>
      <c r="I109" s="25"/>
      <c r="M109"/>
      <c r="N109" s="6" t="s">
        <v>9</v>
      </c>
      <c r="O109" s="17"/>
      <c r="P109" s="6" t="str">
        <f>IF(L104="English","in", "mm")</f>
        <v>in</v>
      </c>
    </row>
    <row r="110" spans="2:16" ht="15" customHeight="1" x14ac:dyDescent="0.25">
      <c r="B110" s="6" t="s">
        <v>53</v>
      </c>
      <c r="C110" s="6">
        <f>SQRT((C109-G109)^2 + (C108-G110)^2)</f>
        <v>1.4142135623730951</v>
      </c>
      <c r="D110" s="6" t="str">
        <f>IF(D104="English","in", "mm")</f>
        <v>in</v>
      </c>
      <c r="E110"/>
      <c r="F110" s="6" t="s">
        <v>10</v>
      </c>
      <c r="G110" s="17">
        <f>C108/2</f>
        <v>1</v>
      </c>
      <c r="H110" s="6" t="str">
        <f>IF(D104="English","in", "mm")</f>
        <v>in</v>
      </c>
      <c r="I110" s="25"/>
      <c r="M110"/>
      <c r="N110" s="6" t="s">
        <v>10</v>
      </c>
      <c r="O110" s="17"/>
      <c r="P110" s="6" t="str">
        <f>IF(L104="English","in", "mm")</f>
        <v>in</v>
      </c>
    </row>
    <row r="111" spans="2:16" ht="15" customHeight="1" x14ac:dyDescent="0.25">
      <c r="F111" s="6" t="s">
        <v>11</v>
      </c>
      <c r="G111" s="24">
        <f>((C109+C108)^3)/(6)</f>
        <v>10.666666666666666</v>
      </c>
      <c r="H111" s="6" t="str">
        <f>IF(D104="English","in^3", "mm^3")</f>
        <v>in^3</v>
      </c>
      <c r="I111" s="25"/>
      <c r="N111" s="6" t="s">
        <v>11</v>
      </c>
      <c r="O111" s="24">
        <f>2*PI()*(K108^3)</f>
        <v>6.2831853071795862</v>
      </c>
      <c r="P111" s="6" t="str">
        <f>IF(L104="English","in^3", "mm^3")</f>
        <v>in^3</v>
      </c>
    </row>
    <row r="112" spans="2:16" ht="15" customHeight="1" x14ac:dyDescent="0.25">
      <c r="F112" s="6" t="s">
        <v>13</v>
      </c>
      <c r="G112" s="24">
        <f>G107*G111</f>
        <v>2.3570226039551585</v>
      </c>
      <c r="H112" s="6" t="str">
        <f>IF(D104="English","in^4", "mm^4")</f>
        <v>in^4</v>
      </c>
      <c r="I112" s="25"/>
      <c r="N112" s="6" t="s">
        <v>13</v>
      </c>
      <c r="O112" s="24">
        <f>O107*O111</f>
        <v>1.1107207345395915</v>
      </c>
      <c r="P112" s="6" t="str">
        <f>IF(L104="English","in^4", "mm^4")</f>
        <v>in^4</v>
      </c>
    </row>
    <row r="113" spans="2:19" ht="15" customHeight="1" x14ac:dyDescent="0.25">
      <c r="F113" s="6" t="s">
        <v>72</v>
      </c>
      <c r="G113" s="24">
        <f>IF(C114,((C108^2)*(3*C109+C108))/6, ((C109^2)*(3*C108+C109))/6)</f>
        <v>5.333333333333333</v>
      </c>
      <c r="H113" s="6" t="str">
        <f>IF(D104="English","in^3", "mm^3")</f>
        <v>in^3</v>
      </c>
      <c r="I113" s="25"/>
      <c r="N113" s="6" t="s">
        <v>17</v>
      </c>
      <c r="O113" s="24">
        <f>PI()*(K108)^3</f>
        <v>3.1415926535897931</v>
      </c>
      <c r="P113" s="6" t="str">
        <f>IF(L104="English","in^3", "mm^3")</f>
        <v>in^3</v>
      </c>
    </row>
    <row r="114" spans="2:19" ht="15" customHeight="1" x14ac:dyDescent="0.25">
      <c r="B114" s="4" t="s">
        <v>74</v>
      </c>
      <c r="C114" s="16" t="b">
        <v>1</v>
      </c>
      <c r="F114" s="6" t="s">
        <v>70</v>
      </c>
      <c r="G114" s="24">
        <f>G107*G113</f>
        <v>1.1785113019775793</v>
      </c>
      <c r="H114" s="6" t="str">
        <f>IF(D104="English","in^4", "mm^4")</f>
        <v>in^4</v>
      </c>
      <c r="I114" s="25"/>
      <c r="N114" s="6" t="s">
        <v>18</v>
      </c>
      <c r="O114" s="24">
        <f>O107*O113</f>
        <v>0.55536036726979576</v>
      </c>
      <c r="P114" s="6" t="str">
        <f>IF(L104="English","in^4", "mm^4")</f>
        <v>in^4</v>
      </c>
    </row>
    <row r="115" spans="2:19" ht="15" customHeight="1" x14ac:dyDescent="0.25">
      <c r="B115" s="4" t="s">
        <v>75</v>
      </c>
      <c r="C115" s="19" t="b">
        <f>NOT(C114)</f>
        <v>0</v>
      </c>
      <c r="F115" s="6" t="s">
        <v>73</v>
      </c>
      <c r="G115" s="24">
        <f>IF(C114, ((C109^2)*(3*C108+C109))/6, ((C108^2)*(3*C109+C108))/6)</f>
        <v>5.333333333333333</v>
      </c>
      <c r="H115" s="6" t="str">
        <f>IF(D104="English","in^3", "mm^3")</f>
        <v>in^3</v>
      </c>
      <c r="I115" s="25"/>
    </row>
    <row r="116" spans="2:19" ht="15" customHeight="1" x14ac:dyDescent="0.25">
      <c r="F116" s="6" t="s">
        <v>71</v>
      </c>
      <c r="G116" s="24">
        <f>G107*G115</f>
        <v>1.1785113019775793</v>
      </c>
      <c r="H116" s="6" t="str">
        <f>IF(D104="English","in^4", "mm^4")</f>
        <v>in^4</v>
      </c>
      <c r="I116" s="25"/>
      <c r="J116" s="7" t="s">
        <v>40</v>
      </c>
      <c r="K116" s="8"/>
      <c r="L116" s="8"/>
      <c r="N116" s="9" t="s">
        <v>35</v>
      </c>
      <c r="O116" s="9"/>
      <c r="P116" s="10"/>
    </row>
    <row r="117" spans="2:19" ht="15" customHeight="1" x14ac:dyDescent="0.25">
      <c r="I117" s="25"/>
      <c r="J117" s="4" t="s">
        <v>30</v>
      </c>
      <c r="K117" s="30"/>
      <c r="L117" s="4" t="str">
        <f>IF(L104="English","lbf", "N")</f>
        <v>lbf</v>
      </c>
      <c r="N117" s="6" t="s">
        <v>32</v>
      </c>
      <c r="O117" s="34">
        <f>K117/O108</f>
        <v>0</v>
      </c>
      <c r="P117" s="6" t="str">
        <f>IF(L104="English","psi","Pa")</f>
        <v>psi</v>
      </c>
    </row>
    <row r="118" spans="2:19" ht="15" customHeight="1" x14ac:dyDescent="0.25">
      <c r="B118" s="7" t="s">
        <v>40</v>
      </c>
      <c r="C118" s="8"/>
      <c r="D118" s="8"/>
      <c r="F118" s="9" t="s">
        <v>35</v>
      </c>
      <c r="G118" s="9"/>
      <c r="H118" s="10"/>
      <c r="I118" s="25"/>
      <c r="J118" s="4" t="s">
        <v>31</v>
      </c>
      <c r="K118" s="30">
        <v>-2000</v>
      </c>
      <c r="L118" s="4" t="str">
        <f>IF(L104="English","lbf", "N")</f>
        <v>lbf</v>
      </c>
      <c r="N118" s="6" t="s">
        <v>33</v>
      </c>
      <c r="O118" s="34">
        <f>K118/O108</f>
        <v>-1800.6326323142123</v>
      </c>
      <c r="P118" s="6" t="str">
        <f>IF(L104="English","psi","Pa")</f>
        <v>psi</v>
      </c>
    </row>
    <row r="119" spans="2:19" ht="15" customHeight="1" x14ac:dyDescent="0.25">
      <c r="B119" s="4" t="s">
        <v>30</v>
      </c>
      <c r="C119" s="30">
        <v>7</v>
      </c>
      <c r="D119" s="4" t="str">
        <f>IF(D104="English","lbf", "N")</f>
        <v>lbf</v>
      </c>
      <c r="F119" s="6" t="s">
        <v>32</v>
      </c>
      <c r="G119" s="34">
        <f>C119/G108</f>
        <v>3.9597979746446659</v>
      </c>
      <c r="H119" s="6" t="str">
        <f>IF(D104="English","psi","Pa")</f>
        <v>psi</v>
      </c>
      <c r="I119" s="25"/>
      <c r="J119" s="4" t="s">
        <v>38</v>
      </c>
      <c r="K119" s="30">
        <v>-15000</v>
      </c>
      <c r="L119" s="4" t="str">
        <f>IF(L104="English","in-lbf", "Nm")</f>
        <v>in-lbf</v>
      </c>
      <c r="N119" s="6" t="s">
        <v>27</v>
      </c>
      <c r="O119" s="34">
        <f>((K119*K108)/O112)</f>
        <v>-13504.744742356592</v>
      </c>
      <c r="P119" s="6" t="str">
        <f>IF(L104="English","psi","Pa")</f>
        <v>psi</v>
      </c>
    </row>
    <row r="120" spans="2:19" ht="15" customHeight="1" x14ac:dyDescent="0.25">
      <c r="B120" s="4" t="s">
        <v>31</v>
      </c>
      <c r="C120" s="30">
        <v>7</v>
      </c>
      <c r="D120" s="4" t="str">
        <f>IF(D104="English","lbf", "N")</f>
        <v>lbf</v>
      </c>
      <c r="F120" s="6" t="s">
        <v>33</v>
      </c>
      <c r="G120" s="34">
        <f>C120/G108</f>
        <v>3.9597979746446659</v>
      </c>
      <c r="H120" s="6" t="str">
        <f>IF(D104="English","psi","Pa")</f>
        <v>psi</v>
      </c>
      <c r="I120" s="25"/>
      <c r="J120" s="4" t="s">
        <v>37</v>
      </c>
      <c r="K120" s="30">
        <f>K118*6</f>
        <v>-12000</v>
      </c>
      <c r="L120" s="4" t="str">
        <f>IF(L104="English","in-lbf", "Nm")</f>
        <v>in-lbf</v>
      </c>
    </row>
    <row r="121" spans="2:19" ht="18" x14ac:dyDescent="0.25">
      <c r="B121" s="4" t="s">
        <v>38</v>
      </c>
      <c r="C121" s="30">
        <v>7</v>
      </c>
      <c r="D121" s="4" t="str">
        <f>IF(D104="English","in-lbf", "Nm")</f>
        <v>in-lbf</v>
      </c>
      <c r="F121" s="6" t="s">
        <v>27</v>
      </c>
      <c r="G121" s="34">
        <f>((C121*C110)/G112)</f>
        <v>4.2</v>
      </c>
      <c r="H121" s="6" t="str">
        <f>IF(D104="English","psi","Pa")</f>
        <v>psi</v>
      </c>
      <c r="I121" s="25"/>
      <c r="J121" s="4" t="s">
        <v>39</v>
      </c>
      <c r="K121" s="30"/>
      <c r="L121" s="4" t="str">
        <f>IF(L104="English","in-lbf", "Nm")</f>
        <v>in-lbf</v>
      </c>
      <c r="N121" s="9" t="s">
        <v>78</v>
      </c>
      <c r="O121" s="9"/>
      <c r="P121" s="10"/>
    </row>
    <row r="122" spans="2:19" ht="15" customHeight="1" x14ac:dyDescent="0.25">
      <c r="B122" s="4" t="s">
        <v>37</v>
      </c>
      <c r="C122" s="30">
        <v>7</v>
      </c>
      <c r="D122" s="4" t="str">
        <f>IF(D104="English","in-lbf", "Nm")</f>
        <v>in-lbf</v>
      </c>
      <c r="F122" s="6" t="s">
        <v>28</v>
      </c>
      <c r="G122" s="34">
        <f>G121*((C108/2)/C110)</f>
        <v>2.9698484809834995</v>
      </c>
      <c r="H122" s="6" t="str">
        <f>IF(D104="English","psi","Pa")</f>
        <v>psi</v>
      </c>
      <c r="I122" s="25"/>
      <c r="N122" s="6" t="s">
        <v>60</v>
      </c>
      <c r="O122" s="34">
        <f>O119</f>
        <v>-13504.744742356592</v>
      </c>
      <c r="P122" s="6" t="str">
        <f>IF(L104="English","psi","Pa")</f>
        <v>psi</v>
      </c>
    </row>
    <row r="123" spans="2:19" ht="15" customHeight="1" x14ac:dyDescent="0.25">
      <c r="B123" s="4" t="s">
        <v>39</v>
      </c>
      <c r="C123" s="30">
        <v>7</v>
      </c>
      <c r="D123" s="4" t="str">
        <f>IF(D104="English","in-lbf", "Nm")</f>
        <v>in-lbf</v>
      </c>
      <c r="F123" s="6" t="s">
        <v>29</v>
      </c>
      <c r="G123" s="34">
        <f>G121*((C109/2)/C110)</f>
        <v>2.9698484809834995</v>
      </c>
      <c r="H123" s="6" t="str">
        <f>IF(D104="English","psi","Pa")</f>
        <v>psi</v>
      </c>
      <c r="I123" s="25"/>
      <c r="J123" s="7" t="s">
        <v>46</v>
      </c>
      <c r="K123" s="8"/>
      <c r="L123" s="8"/>
      <c r="N123" s="6" t="s">
        <v>61</v>
      </c>
      <c r="O123" s="34">
        <v>0</v>
      </c>
      <c r="P123" s="6" t="str">
        <f>IF(L104="English","psi","Pa")</f>
        <v>psi</v>
      </c>
    </row>
    <row r="124" spans="2:19" ht="15" customHeight="1" x14ac:dyDescent="0.25">
      <c r="F124" s="6" t="s">
        <v>47</v>
      </c>
      <c r="G124" s="34">
        <f>G119+G122</f>
        <v>6.9296464556281654</v>
      </c>
      <c r="H124" s="6" t="str">
        <f>IF(D104="English","psi","Pa")</f>
        <v>psi</v>
      </c>
      <c r="I124" s="25"/>
      <c r="J124" s="4" t="s">
        <v>7</v>
      </c>
      <c r="K124" s="30">
        <v>7</v>
      </c>
      <c r="L124" s="4" t="str">
        <f>IF(L104="English","psi","Pa")</f>
        <v>psi</v>
      </c>
      <c r="N124" s="6" t="s">
        <v>62</v>
      </c>
      <c r="O124" s="34">
        <f>O117+O122</f>
        <v>-13504.744742356592</v>
      </c>
      <c r="P124" s="6" t="str">
        <f>IF(L104="English","psi","Pa")</f>
        <v>psi</v>
      </c>
    </row>
    <row r="125" spans="2:19" ht="15" customHeight="1" x14ac:dyDescent="0.25">
      <c r="B125" s="7" t="s">
        <v>46</v>
      </c>
      <c r="C125" s="8"/>
      <c r="D125" s="8"/>
      <c r="F125" s="6" t="s">
        <v>48</v>
      </c>
      <c r="G125" s="34">
        <f>G119-G122</f>
        <v>0.98994949366116636</v>
      </c>
      <c r="H125" s="6" t="str">
        <f>IF(D104="English","psi","Pa")</f>
        <v>psi</v>
      </c>
      <c r="I125" s="25"/>
      <c r="J125" s="6" t="s">
        <v>14</v>
      </c>
      <c r="K125" s="15">
        <f>IF(L104="English",K124*O108, K124*(O108*10^-6))</f>
        <v>7.7750451417771407</v>
      </c>
      <c r="L125" s="6" t="str">
        <f>IF(L104="English","lbf", "N")</f>
        <v>lbf</v>
      </c>
      <c r="N125" s="6" t="s">
        <v>76</v>
      </c>
      <c r="O125" s="34">
        <f>O117-O122</f>
        <v>13504.744742356592</v>
      </c>
      <c r="P125" s="6" t="str">
        <f>IF(L104="English","psi","Pa")</f>
        <v>psi</v>
      </c>
    </row>
    <row r="126" spans="2:19" ht="18" x14ac:dyDescent="0.25">
      <c r="B126" s="4" t="s">
        <v>7</v>
      </c>
      <c r="C126" s="30">
        <v>7</v>
      </c>
      <c r="D126" s="4" t="str">
        <f>IF(D104="English","psi","Pa")</f>
        <v>psi</v>
      </c>
      <c r="F126" s="6" t="s">
        <v>49</v>
      </c>
      <c r="G126" s="34">
        <f>G120+G123</f>
        <v>6.9296464556281654</v>
      </c>
      <c r="H126" s="6" t="str">
        <f>IF(D104="English","psi","Pa")</f>
        <v>psi</v>
      </c>
      <c r="I126" s="25"/>
      <c r="N126" s="6" t="s">
        <v>63</v>
      </c>
      <c r="O126" s="34">
        <f>O118+O123</f>
        <v>-1800.6326323142123</v>
      </c>
      <c r="P126" s="6" t="str">
        <f>IF(L104="English","psi","Pa")</f>
        <v>psi</v>
      </c>
    </row>
    <row r="127" spans="2:19" ht="15" customHeight="1" x14ac:dyDescent="0.25">
      <c r="B127" s="6" t="s">
        <v>14</v>
      </c>
      <c r="C127" s="15">
        <f>IF(D104="English",C126*G108, C126*(G108*10^-6))</f>
        <v>12.374368670764582</v>
      </c>
      <c r="D127" s="6" t="str">
        <f>IF(D104="English","lbf", "N")</f>
        <v>lbf</v>
      </c>
      <c r="F127" s="6" t="s">
        <v>50</v>
      </c>
      <c r="G127" s="34">
        <f>G120-G123</f>
        <v>0.98994949366116636</v>
      </c>
      <c r="H127" s="6" t="str">
        <f>IF(D104="English","psi","Pa")</f>
        <v>psi</v>
      </c>
      <c r="I127" s="25"/>
      <c r="N127" s="6" t="s">
        <v>77</v>
      </c>
      <c r="O127" s="34">
        <f>O118-O123</f>
        <v>-1800.6326323142123</v>
      </c>
      <c r="P127" s="6" t="str">
        <f>IF(L104="English","psi","Pa")</f>
        <v>psi</v>
      </c>
    </row>
    <row r="128" spans="2:19" ht="15" customHeight="1" x14ac:dyDescent="0.25">
      <c r="F128" s="6" t="s">
        <v>51</v>
      </c>
      <c r="G128" s="34">
        <f>MAX(ABS(G124),ABS(G125))</f>
        <v>6.9296464556281654</v>
      </c>
      <c r="H128" s="6" t="str">
        <f>IF(D104="English","psi","Pa")</f>
        <v>psi</v>
      </c>
      <c r="I128" s="25"/>
      <c r="N128" s="6" t="s">
        <v>94</v>
      </c>
      <c r="O128" s="34">
        <f>MAX(SQRT(O124^2 + O126^2),SQRT(O125^2 + O127^2))</f>
        <v>13624.258087424902</v>
      </c>
      <c r="P128" s="6" t="str">
        <f>IF(L104="English","psi","Pa")</f>
        <v>psi</v>
      </c>
      <c r="Q128" s="31" t="s">
        <v>93</v>
      </c>
      <c r="R128" s="31"/>
      <c r="S128" s="31"/>
    </row>
    <row r="129" spans="6:19" ht="15" customHeight="1" x14ac:dyDescent="0.25">
      <c r="F129" s="6" t="s">
        <v>52</v>
      </c>
      <c r="G129" s="34">
        <f>MAX(ABS(G126),ABS(G127))</f>
        <v>6.9296464556281654</v>
      </c>
      <c r="H129" s="6" t="str">
        <f>IF(D104="English","psi","Pa")</f>
        <v>psi</v>
      </c>
      <c r="I129" s="25"/>
      <c r="N129"/>
      <c r="Q129" s="31" t="s">
        <v>95</v>
      </c>
      <c r="R129" s="31"/>
      <c r="S129" s="31"/>
    </row>
    <row r="130" spans="6:19" ht="15" customHeight="1" x14ac:dyDescent="0.25">
      <c r="F130" s="6" t="s">
        <v>43</v>
      </c>
      <c r="G130" s="34" cm="1">
        <f t="array" ref="G130">SQRT(SUM(G128:G129^2))</f>
        <v>9.7999999999999989</v>
      </c>
      <c r="H130" s="6" t="str">
        <f>IF(D104="English","psi","Pa")</f>
        <v>psi</v>
      </c>
      <c r="I130" s="25"/>
      <c r="N130" s="9" t="s">
        <v>89</v>
      </c>
      <c r="O130" s="9"/>
      <c r="P130" s="10"/>
      <c r="Q130" s="31" t="s">
        <v>96</v>
      </c>
      <c r="R130" s="31"/>
      <c r="S130" s="31"/>
    </row>
    <row r="131" spans="6:19" ht="15" customHeight="1" x14ac:dyDescent="0.25">
      <c r="F131"/>
      <c r="I131" s="25"/>
      <c r="N131" s="6" t="s">
        <v>83</v>
      </c>
      <c r="O131" s="34">
        <v>0</v>
      </c>
      <c r="P131" s="6" t="str">
        <f>IF(L104="English","psi","Pa")</f>
        <v>psi</v>
      </c>
    </row>
    <row r="132" spans="6:19" ht="15" customHeight="1" x14ac:dyDescent="0.25">
      <c r="F132" s="9" t="s">
        <v>44</v>
      </c>
      <c r="G132" s="9"/>
      <c r="H132" s="10"/>
      <c r="I132" s="25"/>
      <c r="N132" s="6" t="s">
        <v>84</v>
      </c>
      <c r="O132" s="34">
        <f>O119</f>
        <v>-13504.744742356592</v>
      </c>
      <c r="P132" s="6" t="str">
        <f>IF(L104="English","psi","Pa")</f>
        <v>psi</v>
      </c>
    </row>
    <row r="133" spans="6:19" ht="15" customHeight="1" x14ac:dyDescent="0.25">
      <c r="F133" s="6" t="s">
        <v>41</v>
      </c>
      <c r="G133" s="34">
        <f>(C122*(C108-G110))/G114</f>
        <v>5.939696961966999</v>
      </c>
      <c r="H133" s="6" t="str">
        <f>IF(D104="English","psi","Pa")</f>
        <v>psi</v>
      </c>
      <c r="I133" s="25"/>
      <c r="N133" s="6" t="s">
        <v>79</v>
      </c>
      <c r="O133" s="34">
        <f>O117+O131</f>
        <v>0</v>
      </c>
      <c r="P133" s="6" t="str">
        <f>IF(L104="English","psi","Pa")</f>
        <v>psi</v>
      </c>
    </row>
    <row r="134" spans="6:19" ht="15" customHeight="1" x14ac:dyDescent="0.25">
      <c r="F134" s="6" t="s">
        <v>42</v>
      </c>
      <c r="G134" s="34">
        <f>(C123*(C109-G109))/G116</f>
        <v>5.939696961966999</v>
      </c>
      <c r="H134" s="6" t="str">
        <f>IF(D104="English","psi","Pa")</f>
        <v>psi</v>
      </c>
      <c r="I134" s="25"/>
      <c r="N134" s="6" t="s">
        <v>80</v>
      </c>
      <c r="O134" s="34">
        <f>O117-O131</f>
        <v>0</v>
      </c>
      <c r="P134" s="6" t="str">
        <f>IF(L104="English","psi","Pa")</f>
        <v>psi</v>
      </c>
    </row>
    <row r="135" spans="6:19" ht="15" customHeight="1" x14ac:dyDescent="0.25">
      <c r="F135" s="6" t="s">
        <v>26</v>
      </c>
      <c r="G135" s="34" cm="1">
        <f t="array" ref="G135">SQRT(SUM(G133:G134^2))</f>
        <v>8.4</v>
      </c>
      <c r="H135" s="6" t="str">
        <f>IF(D104="English","psi","Pa")</f>
        <v>psi</v>
      </c>
      <c r="I135" s="25"/>
      <c r="N135" s="6" t="s">
        <v>81</v>
      </c>
      <c r="O135" s="34">
        <f>O118+O132</f>
        <v>-15305.377374670805</v>
      </c>
      <c r="P135" s="6" t="str">
        <f>IF(L104="English","psi","Pa")</f>
        <v>psi</v>
      </c>
    </row>
    <row r="136" spans="6:19" ht="15" customHeight="1" x14ac:dyDescent="0.25">
      <c r="I136" s="25"/>
      <c r="N136" s="6" t="s">
        <v>82</v>
      </c>
      <c r="O136" s="34">
        <f>O118-O132</f>
        <v>11704.112110042379</v>
      </c>
      <c r="P136" s="6" t="str">
        <f>IF(L104="English","psi","Pa")</f>
        <v>psi</v>
      </c>
    </row>
    <row r="137" spans="6:19" ht="15" customHeight="1" x14ac:dyDescent="0.25">
      <c r="F137" s="9" t="s">
        <v>45</v>
      </c>
      <c r="G137" s="9"/>
      <c r="H137" s="10"/>
      <c r="I137" s="25"/>
      <c r="N137" s="6" t="s">
        <v>90</v>
      </c>
      <c r="O137" s="34">
        <f>MAX(SQRT(O133^2 + O135^2),SQRT(O134^2 + O136^2))</f>
        <v>15305.377374670805</v>
      </c>
      <c r="P137" s="6" t="str">
        <f>IF(L104="English","psi","Pa")</f>
        <v>psi</v>
      </c>
      <c r="Q137" s="31" t="s">
        <v>93</v>
      </c>
      <c r="R137" s="31"/>
      <c r="S137" s="31"/>
    </row>
    <row r="138" spans="6:19" ht="15" customHeight="1" x14ac:dyDescent="0.25">
      <c r="F138" s="6" t="s">
        <v>36</v>
      </c>
      <c r="G138" s="34">
        <f>SQRT(SUM(G130^2,G135^2))</f>
        <v>12.907362240210041</v>
      </c>
      <c r="H138" s="6" t="str">
        <f>IF(D104="English","psi","Pa")</f>
        <v>psi</v>
      </c>
      <c r="I138" s="25"/>
      <c r="O138" s="1"/>
      <c r="P138" s="1"/>
      <c r="Q138" s="31" t="s">
        <v>97</v>
      </c>
      <c r="R138" s="31"/>
      <c r="S138" s="31"/>
    </row>
    <row r="139" spans="6:19" ht="15" customHeight="1" x14ac:dyDescent="0.25">
      <c r="I139" s="25"/>
      <c r="N139" s="9" t="s">
        <v>59</v>
      </c>
      <c r="O139" s="9"/>
      <c r="P139" s="10"/>
      <c r="Q139" s="31" t="s">
        <v>98</v>
      </c>
      <c r="R139" s="31"/>
      <c r="S139" s="31"/>
    </row>
    <row r="140" spans="6:19" ht="15" customHeight="1" x14ac:dyDescent="0.25">
      <c r="I140" s="25"/>
      <c r="N140" s="6" t="s">
        <v>64</v>
      </c>
      <c r="O140" s="34">
        <f>(K120*K108)/O114</f>
        <v>-21607.591587770545</v>
      </c>
      <c r="P140" s="6" t="str">
        <f>IF(L104="English","psi","Pa")</f>
        <v>psi</v>
      </c>
      <c r="Q140" s="35" t="s">
        <v>99</v>
      </c>
      <c r="R140" s="35"/>
      <c r="S140" s="35"/>
    </row>
    <row r="141" spans="6:19" ht="15" customHeight="1" x14ac:dyDescent="0.25">
      <c r="I141" s="25"/>
      <c r="J141" s="32" t="s">
        <v>65</v>
      </c>
      <c r="K141" s="32"/>
      <c r="L141" s="32"/>
      <c r="Q141" s="35" t="s">
        <v>100</v>
      </c>
      <c r="R141" s="35"/>
      <c r="S141" s="35"/>
    </row>
    <row r="142" spans="6:19" ht="15" customHeight="1" x14ac:dyDescent="0.25">
      <c r="I142" s="25"/>
      <c r="J142" s="32" t="s">
        <v>66</v>
      </c>
      <c r="K142" s="32"/>
      <c r="L142" s="32"/>
      <c r="N142" s="9" t="s">
        <v>85</v>
      </c>
      <c r="O142" s="9"/>
      <c r="P142" s="10"/>
      <c r="Q142" s="35" t="s">
        <v>101</v>
      </c>
      <c r="R142" s="35"/>
      <c r="S142" s="35"/>
    </row>
    <row r="143" spans="6:19" ht="15" customHeight="1" x14ac:dyDescent="0.25">
      <c r="I143" s="25"/>
      <c r="J143" s="32" t="s">
        <v>67</v>
      </c>
      <c r="K143" s="32"/>
      <c r="L143" s="32"/>
      <c r="N143" s="6" t="s">
        <v>86</v>
      </c>
      <c r="O143" s="34">
        <f>(K121*K108)/O114</f>
        <v>0</v>
      </c>
      <c r="P143" s="6" t="str">
        <f>IF(L104="English","psi","Pa")</f>
        <v>psi</v>
      </c>
      <c r="Q143" s="31" t="s">
        <v>102</v>
      </c>
      <c r="R143" s="31"/>
      <c r="S143" s="31"/>
    </row>
    <row r="144" spans="6:19" ht="15" customHeight="1" x14ac:dyDescent="0.25">
      <c r="I144" s="25"/>
      <c r="J144" s="32" t="s">
        <v>68</v>
      </c>
      <c r="K144" s="32"/>
      <c r="L144" s="32"/>
      <c r="N144"/>
      <c r="Q144" s="31" t="s">
        <v>100</v>
      </c>
      <c r="R144" s="31"/>
      <c r="S144" s="31"/>
    </row>
    <row r="145" spans="9:19" ht="15" customHeight="1" x14ac:dyDescent="0.25">
      <c r="I145" s="25"/>
      <c r="J145" s="32" t="s">
        <v>69</v>
      </c>
      <c r="K145" s="32"/>
      <c r="L145" s="32"/>
      <c r="N145" s="9" t="s">
        <v>88</v>
      </c>
      <c r="O145" s="9"/>
      <c r="P145" s="10"/>
      <c r="Q145" s="31" t="s">
        <v>101</v>
      </c>
      <c r="R145" s="31"/>
      <c r="S145" s="31"/>
    </row>
    <row r="146" spans="9:19" ht="15" customHeight="1" x14ac:dyDescent="0.25">
      <c r="I146" s="25"/>
      <c r="N146" s="6" t="s">
        <v>87</v>
      </c>
      <c r="O146" s="34">
        <f>SQRT(SUM(O128^2,O140^2))</f>
        <v>25544.244413500572</v>
      </c>
      <c r="P146" s="6" t="str">
        <f>IF(L104="English","psi","Pa")</f>
        <v>psi</v>
      </c>
    </row>
    <row r="147" spans="9:19" ht="15" customHeight="1" x14ac:dyDescent="0.25">
      <c r="I147" s="25"/>
    </row>
    <row r="148" spans="9:19" ht="15" customHeight="1" x14ac:dyDescent="0.25">
      <c r="I148" s="25"/>
      <c r="N148" s="9" t="s">
        <v>91</v>
      </c>
      <c r="O148" s="9"/>
      <c r="P148" s="10"/>
    </row>
    <row r="149" spans="9:19" ht="15" customHeight="1" x14ac:dyDescent="0.25">
      <c r="I149" s="25"/>
      <c r="N149" s="6" t="s">
        <v>92</v>
      </c>
      <c r="O149" s="34">
        <f>SQRT(SUM(O137^2,O143^2))</f>
        <v>15305.377374670805</v>
      </c>
      <c r="P149" s="6" t="str">
        <f>IF(L104="English","psi","Pa")</f>
        <v>psi</v>
      </c>
    </row>
    <row r="150" spans="9:19" ht="15" customHeight="1" x14ac:dyDescent="0.25">
      <c r="I150" s="25"/>
    </row>
    <row r="151" spans="9:19" ht="15" customHeight="1" x14ac:dyDescent="0.25">
      <c r="I151" s="25"/>
    </row>
    <row r="152" spans="9:19" ht="15" customHeight="1" x14ac:dyDescent="0.25">
      <c r="I152" s="25"/>
    </row>
    <row r="153" spans="9:19" ht="15" customHeight="1" x14ac:dyDescent="0.25">
      <c r="I153" s="25"/>
    </row>
    <row r="154" spans="9:19" ht="15" customHeight="1" x14ac:dyDescent="0.25">
      <c r="I154" s="25"/>
    </row>
    <row r="155" spans="9:19" ht="15" customHeight="1" x14ac:dyDescent="0.25">
      <c r="I155" s="25"/>
    </row>
    <row r="156" spans="9:19" ht="15" customHeight="1" x14ac:dyDescent="0.25">
      <c r="I156" s="25"/>
    </row>
    <row r="157" spans="9:19" ht="15" customHeight="1" x14ac:dyDescent="0.25">
      <c r="I157" s="25"/>
    </row>
    <row r="158" spans="9:19" ht="15" customHeight="1" x14ac:dyDescent="0.25">
      <c r="I158" s="25"/>
    </row>
    <row r="159" spans="9:19" ht="15" customHeight="1" x14ac:dyDescent="0.25">
      <c r="I159" s="25"/>
    </row>
    <row r="160" spans="9:19" ht="15" customHeight="1" x14ac:dyDescent="0.25">
      <c r="I160" s="25"/>
    </row>
    <row r="161" spans="7:10" ht="15" customHeight="1" x14ac:dyDescent="0.25">
      <c r="I161" s="25"/>
    </row>
    <row r="162" spans="7:10" ht="15" customHeight="1" x14ac:dyDescent="0.25">
      <c r="I162" s="25"/>
    </row>
    <row r="165" spans="7:10" ht="15" customHeight="1" x14ac:dyDescent="0.25">
      <c r="G165" s="28"/>
      <c r="H165" s="28"/>
      <c r="I165" s="29" t="s">
        <v>25</v>
      </c>
      <c r="J165" s="18"/>
    </row>
  </sheetData>
  <dataValidations disablePrompts="1" count="1">
    <dataValidation type="list" allowBlank="1" showInputMessage="1" showErrorMessage="1" sqref="D3 L3 D53 L53 D104 L104" xr:uid="{57D15AC0-8B83-446E-A48C-ECAB61792B1B}">
      <formula1>"English, Metric"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B199-9901-4582-ADE0-B73D09AB854A}">
  <sheetPr>
    <tabColor rgb="FFC00000"/>
  </sheetPr>
  <dimension ref="B2:P169"/>
  <sheetViews>
    <sheetView topLeftCell="G1" zoomScaleNormal="100" workbookViewId="0">
      <selection activeCell="O12" sqref="O12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6" max="6" width="34" style="1" bestFit="1" customWidth="1"/>
    <col min="7" max="7" width="20" customWidth="1"/>
    <col min="8" max="8" width="10.14062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20" customWidth="1"/>
    <col min="16" max="16" width="10.140625" customWidth="1"/>
  </cols>
  <sheetData>
    <row r="2" spans="2:16" ht="15" customHeight="1" x14ac:dyDescent="0.25">
      <c r="J2" s="22" t="s">
        <v>24</v>
      </c>
      <c r="K2" s="23">
        <v>4</v>
      </c>
      <c r="L2" s="21"/>
      <c r="M2" s="21"/>
      <c r="N2" s="21"/>
      <c r="O2" s="21"/>
      <c r="P2" s="21"/>
    </row>
    <row r="3" spans="2:16" ht="15" customHeight="1" x14ac:dyDescent="0.25">
      <c r="B3" s="2" t="s">
        <v>0</v>
      </c>
      <c r="C3" s="3" t="s">
        <v>1</v>
      </c>
      <c r="D3" s="20" t="s">
        <v>2</v>
      </c>
      <c r="F3" s="5" t="s">
        <v>3</v>
      </c>
      <c r="G3" s="6"/>
      <c r="H3" s="6"/>
      <c r="J3" s="2" t="s">
        <v>0</v>
      </c>
      <c r="K3" s="3" t="s">
        <v>1</v>
      </c>
      <c r="L3" s="20" t="s">
        <v>2</v>
      </c>
      <c r="M3"/>
      <c r="N3" s="5" t="s">
        <v>3</v>
      </c>
      <c r="O3" s="6"/>
      <c r="P3" s="6"/>
    </row>
    <row r="5" spans="2:16" ht="15" customHeight="1" x14ac:dyDescent="0.25">
      <c r="B5" s="7" t="s">
        <v>214</v>
      </c>
      <c r="C5" s="8"/>
      <c r="D5" s="8"/>
      <c r="F5" s="9" t="s">
        <v>214</v>
      </c>
      <c r="G5" s="9"/>
      <c r="H5" s="10"/>
      <c r="J5" s="7" t="s">
        <v>8</v>
      </c>
      <c r="K5" s="8"/>
      <c r="L5" s="8"/>
      <c r="M5"/>
      <c r="N5" s="9" t="s">
        <v>34</v>
      </c>
      <c r="O5" s="9"/>
      <c r="P5" s="10"/>
    </row>
    <row r="6" spans="2:16" ht="15" customHeight="1" x14ac:dyDescent="0.25">
      <c r="B6" s="4" t="s">
        <v>212</v>
      </c>
      <c r="C6" s="57">
        <f>380*10^6</f>
        <v>380000000</v>
      </c>
      <c r="D6" s="4" t="str">
        <f t="shared" ref="D6:D7" si="0">IF($D$3="English","psi","Pa")</f>
        <v>Pa</v>
      </c>
      <c r="F6" s="6" t="s">
        <v>212</v>
      </c>
      <c r="G6" s="58">
        <f>(0.67)*C6</f>
        <v>254600000.00000003</v>
      </c>
      <c r="H6" s="6" t="str">
        <f t="shared" ref="H6:H7" si="1">IF($D$3="English","psi","Pa")</f>
        <v>Pa</v>
      </c>
      <c r="J6" s="4" t="s">
        <v>16</v>
      </c>
      <c r="K6" s="4">
        <v>6</v>
      </c>
      <c r="L6" s="4" t="str">
        <f>IF(L3="English","in", "mm")</f>
        <v>mm</v>
      </c>
      <c r="M6"/>
      <c r="N6" s="6" t="s">
        <v>12</v>
      </c>
      <c r="O6" s="13">
        <f>0.5*SQRT(2)*K6</f>
        <v>4.2426406871192857</v>
      </c>
      <c r="P6" s="6" t="str">
        <f>IF(L3="English","in", "mm")</f>
        <v>mm</v>
      </c>
    </row>
    <row r="7" spans="2:16" ht="15" customHeight="1" x14ac:dyDescent="0.25">
      <c r="B7" s="4" t="s">
        <v>213</v>
      </c>
      <c r="C7" s="57">
        <f>210*10^6</f>
        <v>210000000</v>
      </c>
      <c r="D7" s="4" t="str">
        <f t="shared" si="0"/>
        <v>Pa</v>
      </c>
      <c r="F7" s="6" t="s">
        <v>213</v>
      </c>
      <c r="G7" s="58">
        <f>(SQRT(3)^-1)*C7</f>
        <v>121243556.52982143</v>
      </c>
      <c r="H7" s="6" t="str">
        <f t="shared" si="1"/>
        <v>Pa</v>
      </c>
      <c r="J7" s="4" t="s">
        <v>6</v>
      </c>
      <c r="K7" s="4">
        <v>75</v>
      </c>
      <c r="L7" s="4" t="str">
        <f>IF(L3="English","in", "mm")</f>
        <v>mm</v>
      </c>
      <c r="M7"/>
      <c r="N7" s="6" t="s">
        <v>57</v>
      </c>
      <c r="O7" s="13">
        <f>0.5*SQRT(2)*K6*(2*K8+K7)</f>
        <v>954.59415460183925</v>
      </c>
      <c r="P7" s="12" t="str">
        <f>IF(L3="English","in^2","mm^2")</f>
        <v>mm^2</v>
      </c>
    </row>
    <row r="8" spans="2:16" ht="15" customHeight="1" x14ac:dyDescent="0.25">
      <c r="J8" s="4" t="s">
        <v>5</v>
      </c>
      <c r="K8" s="4">
        <v>75</v>
      </c>
      <c r="L8" s="4" t="str">
        <f>IF(L3="English","in", "mm")</f>
        <v>mm</v>
      </c>
      <c r="M8"/>
      <c r="N8" s="6" t="s">
        <v>9</v>
      </c>
      <c r="O8" s="17">
        <f>(K8^2)/(2*(K8+K7))</f>
        <v>18.75</v>
      </c>
      <c r="P8" s="6" t="str">
        <f>IF(L3="English","in", "mm")</f>
        <v>mm</v>
      </c>
    </row>
    <row r="9" spans="2:16" ht="15" customHeight="1" x14ac:dyDescent="0.25">
      <c r="J9" s="6" t="s">
        <v>55</v>
      </c>
      <c r="K9" s="6">
        <f>SQRT((K8-O8)^2 + (O9)^2)</f>
        <v>67.604086414949805</v>
      </c>
      <c r="L9" s="6" t="str">
        <f>IF(L3="English","in", "mm")</f>
        <v>mm</v>
      </c>
      <c r="M9"/>
      <c r="N9" s="6" t="s">
        <v>10</v>
      </c>
      <c r="O9" s="17">
        <f>K7/2</f>
        <v>37.5</v>
      </c>
      <c r="P9" s="6" t="str">
        <f>IF(L3="English","in", "mm")</f>
        <v>mm</v>
      </c>
    </row>
    <row r="10" spans="2:16" ht="15" customHeight="1" x14ac:dyDescent="0.25">
      <c r="B10" s="60"/>
      <c r="C10" s="60"/>
      <c r="D10" s="60"/>
      <c r="J10" s="6" t="s">
        <v>56</v>
      </c>
      <c r="K10" s="6">
        <f>SQRT((O8)^2 + (K7-O9)^2)</f>
        <v>41.92627457812106</v>
      </c>
      <c r="L10" s="6" t="str">
        <f>IF(L3="English","in", "mm")</f>
        <v>mm</v>
      </c>
      <c r="N10" s="6" t="s">
        <v>11</v>
      </c>
      <c r="O10" s="24">
        <f>(8*K8^3 + 6*K8*K7^2 + K7^3)/(12) - (K8^4)/(2*K8+K7)</f>
        <v>386718.75</v>
      </c>
      <c r="P10" s="6" t="str">
        <f>IF(L3="English","in^3", "mm^3")</f>
        <v>mm^3</v>
      </c>
    </row>
    <row r="11" spans="2:16" ht="15" customHeight="1" x14ac:dyDescent="0.25">
      <c r="B11" s="60"/>
      <c r="C11" s="60"/>
      <c r="D11" s="60"/>
      <c r="J11" s="6" t="s">
        <v>54</v>
      </c>
      <c r="K11" s="6">
        <f>MAX(K9:K10)</f>
        <v>67.604086414949805</v>
      </c>
      <c r="L11" s="6" t="str">
        <f>IF(L3="English","in", "mm")</f>
        <v>mm</v>
      </c>
      <c r="N11" s="6" t="s">
        <v>13</v>
      </c>
      <c r="O11" s="24">
        <f>O6*O10</f>
        <v>1640708.7032219113</v>
      </c>
      <c r="P11" s="6" t="str">
        <f>IF(L3="English","in^4", "mm^4")</f>
        <v>mm^4</v>
      </c>
    </row>
    <row r="12" spans="2:16" ht="15" customHeight="1" x14ac:dyDescent="0.25">
      <c r="B12" s="60"/>
      <c r="C12" s="60"/>
      <c r="D12" s="60"/>
      <c r="N12" s="6" t="s">
        <v>72</v>
      </c>
      <c r="O12" s="59">
        <f>IF(K13,((K7^2)*(6*K8+K7))/(12), ((2*K8^3)/3) - 2*(K8^2)*O8 + (2*K8+K7)*O8^2)</f>
        <v>246093.75</v>
      </c>
      <c r="P12" s="6" t="str">
        <f>IF(L3="English","in^3", "mm^3")</f>
        <v>mm^3</v>
      </c>
    </row>
    <row r="13" spans="2:16" ht="15" customHeight="1" x14ac:dyDescent="0.25">
      <c r="B13" s="60"/>
      <c r="C13" s="60"/>
      <c r="D13" s="60"/>
      <c r="E13" s="26"/>
      <c r="F13" s="26" t="s">
        <v>215</v>
      </c>
      <c r="J13" s="4" t="s">
        <v>21</v>
      </c>
      <c r="K13" s="16" t="b">
        <v>1</v>
      </c>
      <c r="N13" s="6" t="s">
        <v>70</v>
      </c>
      <c r="O13" s="59">
        <f>O6*O12</f>
        <v>1044087.3565957617</v>
      </c>
      <c r="P13" s="6" t="str">
        <f>IF(L3="English","in^4", "mm^4")</f>
        <v>mm^4</v>
      </c>
    </row>
    <row r="14" spans="2:16" ht="15" customHeight="1" x14ac:dyDescent="0.25">
      <c r="B14" s="60"/>
      <c r="C14" s="60"/>
      <c r="D14" s="60"/>
      <c r="J14" s="4" t="s">
        <v>22</v>
      </c>
      <c r="K14" s="19" t="b">
        <f>NOT(K13)</f>
        <v>0</v>
      </c>
      <c r="N14" s="6" t="s">
        <v>73</v>
      </c>
      <c r="O14" s="33">
        <f>IF(K13, ((2*K8^3)/3) - 2*(K8^2)*O8 + (2*K8+K7)*O8^2, ((K7^2)*(6*K8+K7))/(12))</f>
        <v>149414.0625</v>
      </c>
      <c r="P14" s="6" t="str">
        <f>IF(L3="English","in^3", "mm^3")</f>
        <v>mm^3</v>
      </c>
    </row>
    <row r="15" spans="2:16" ht="15" customHeight="1" x14ac:dyDescent="0.25">
      <c r="B15" s="60"/>
      <c r="C15" s="60"/>
      <c r="D15" s="60"/>
      <c r="F15" s="60" t="s">
        <v>216</v>
      </c>
      <c r="G15" s="26"/>
      <c r="N15" s="6" t="s">
        <v>71</v>
      </c>
      <c r="O15" s="24">
        <f>O6*O14</f>
        <v>633910.18079028395</v>
      </c>
      <c r="P15" s="6" t="str">
        <f>IF(L3="English","in^4", "mm^4")</f>
        <v>mm^4</v>
      </c>
    </row>
    <row r="16" spans="2:16" ht="15" customHeight="1" x14ac:dyDescent="0.25">
      <c r="B16" s="60"/>
      <c r="C16" s="60"/>
      <c r="D16" s="60"/>
      <c r="F16" s="60" t="s">
        <v>217</v>
      </c>
      <c r="G16" s="26"/>
    </row>
    <row r="17" spans="5:16" ht="15" customHeight="1" x14ac:dyDescent="0.25">
      <c r="J17" s="7" t="s">
        <v>40</v>
      </c>
      <c r="K17" s="8"/>
      <c r="L17" s="8"/>
      <c r="N17" s="9" t="s">
        <v>35</v>
      </c>
      <c r="O17" s="9"/>
      <c r="P17" s="10"/>
    </row>
    <row r="18" spans="5:16" ht="15" customHeight="1" x14ac:dyDescent="0.25">
      <c r="F18" s="60" t="s">
        <v>218</v>
      </c>
      <c r="G18" s="26"/>
      <c r="J18" s="4" t="s">
        <v>30</v>
      </c>
      <c r="K18" s="30"/>
      <c r="L18" s="4" t="str">
        <f>IF(L3="English","lbf", "N")</f>
        <v>N</v>
      </c>
      <c r="N18" s="6" t="s">
        <v>32</v>
      </c>
      <c r="O18" s="34">
        <f>K18/O7</f>
        <v>0</v>
      </c>
      <c r="P18" s="6" t="str">
        <f>IF(L3="English","psi","Pa")</f>
        <v>Pa</v>
      </c>
    </row>
    <row r="19" spans="5:16" ht="15" customHeight="1" x14ac:dyDescent="0.25">
      <c r="F19" s="60" t="s">
        <v>219</v>
      </c>
      <c r="G19" s="26"/>
      <c r="J19" s="4" t="s">
        <v>31</v>
      </c>
      <c r="K19" s="30"/>
      <c r="L19" s="4" t="str">
        <f>IF(L3="English","lbf", "N")</f>
        <v>N</v>
      </c>
      <c r="N19" s="6" t="s">
        <v>33</v>
      </c>
      <c r="O19" s="34">
        <f>K19/O7</f>
        <v>0</v>
      </c>
      <c r="P19" s="6" t="str">
        <f>IF(L3="English","psi","Pa")</f>
        <v>Pa</v>
      </c>
    </row>
    <row r="20" spans="5:16" ht="15" customHeight="1" x14ac:dyDescent="0.25">
      <c r="J20" s="4" t="s">
        <v>38</v>
      </c>
      <c r="K20" s="30"/>
      <c r="L20" s="4" t="str">
        <f>IF(L3="English","in-lbf", "Nm")</f>
        <v>Nm</v>
      </c>
      <c r="N20" s="6" t="s">
        <v>27</v>
      </c>
      <c r="O20" s="34">
        <f>((K20*K11)/O11)</f>
        <v>0</v>
      </c>
      <c r="P20" s="6" t="str">
        <f>IF(L3="English","psi","Pa")</f>
        <v>Pa</v>
      </c>
    </row>
    <row r="21" spans="5:16" ht="15" customHeight="1" x14ac:dyDescent="0.25">
      <c r="E21" s="1"/>
      <c r="G21" s="1"/>
      <c r="H21" s="1"/>
      <c r="J21" s="4" t="s">
        <v>37</v>
      </c>
      <c r="K21" s="30"/>
      <c r="L21" s="4" t="str">
        <f>IF(L3="English","in-lbf", "Nm")</f>
        <v>Nm</v>
      </c>
      <c r="N21" s="6" t="s">
        <v>28</v>
      </c>
      <c r="O21" s="34">
        <f>O20*((K7/2)/K11)</f>
        <v>0</v>
      </c>
      <c r="P21" s="6" t="str">
        <f>IF(L3="English","psi","Pa")</f>
        <v>Pa</v>
      </c>
    </row>
    <row r="22" spans="5:16" ht="15" customHeight="1" x14ac:dyDescent="0.25">
      <c r="E22" s="1"/>
      <c r="G22" s="1"/>
      <c r="H22" s="1"/>
      <c r="J22" s="4" t="s">
        <v>39</v>
      </c>
      <c r="K22" s="30"/>
      <c r="L22" s="4" t="str">
        <f>IF(L3="English","in-lbf", "Nm")</f>
        <v>Nm</v>
      </c>
      <c r="N22" s="6" t="s">
        <v>29</v>
      </c>
      <c r="O22" s="34">
        <f>O20*((K8/2)/K11)</f>
        <v>0</v>
      </c>
      <c r="P22" s="6" t="str">
        <f>IF(L3="English","psi","Pa")</f>
        <v>Pa</v>
      </c>
    </row>
    <row r="23" spans="5:16" ht="15" customHeight="1" x14ac:dyDescent="0.25">
      <c r="E23" s="1"/>
      <c r="G23" s="1"/>
      <c r="H23" s="1"/>
      <c r="N23" s="6" t="s">
        <v>47</v>
      </c>
      <c r="O23" s="34">
        <f>O18+O21</f>
        <v>0</v>
      </c>
      <c r="P23" s="6" t="str">
        <f>IF(L3="English","psi","Pa")</f>
        <v>Pa</v>
      </c>
    </row>
    <row r="24" spans="5:16" ht="15" customHeight="1" x14ac:dyDescent="0.25">
      <c r="E24" s="1"/>
      <c r="G24" s="1"/>
      <c r="H24" s="1"/>
      <c r="J24" s="7" t="s">
        <v>46</v>
      </c>
      <c r="K24" s="8"/>
      <c r="L24" s="8"/>
      <c r="N24" s="6" t="s">
        <v>48</v>
      </c>
      <c r="O24" s="34">
        <f>O18-O21</f>
        <v>0</v>
      </c>
      <c r="P24" s="6" t="str">
        <f>IF(L3="English","psi","Pa")</f>
        <v>Pa</v>
      </c>
    </row>
    <row r="25" spans="5:16" ht="15" customHeight="1" x14ac:dyDescent="0.25">
      <c r="E25" s="1"/>
      <c r="G25" s="1"/>
      <c r="H25" s="1"/>
      <c r="J25" s="4" t="s">
        <v>7</v>
      </c>
      <c r="K25" s="30"/>
      <c r="L25" s="4" t="str">
        <f>IF(L3="English","psi","Pa")</f>
        <v>Pa</v>
      </c>
      <c r="N25" s="6" t="s">
        <v>49</v>
      </c>
      <c r="O25" s="34">
        <f>O19+O22</f>
        <v>0</v>
      </c>
      <c r="P25" s="6" t="str">
        <f>IF(L3="English","psi","Pa")</f>
        <v>Pa</v>
      </c>
    </row>
    <row r="26" spans="5:16" ht="15" customHeight="1" x14ac:dyDescent="0.25">
      <c r="E26" s="1"/>
      <c r="G26" s="1"/>
      <c r="H26" s="1"/>
      <c r="J26" s="6" t="s">
        <v>14</v>
      </c>
      <c r="K26" s="15"/>
      <c r="L26" s="6" t="str">
        <f>IF(L3="English","lbf", "N")</f>
        <v>N</v>
      </c>
      <c r="N26" s="6" t="s">
        <v>50</v>
      </c>
      <c r="O26" s="34">
        <f>O19-O22</f>
        <v>0</v>
      </c>
      <c r="P26" s="6" t="str">
        <f>IF(L3="English","psi","Pa")</f>
        <v>Pa</v>
      </c>
    </row>
    <row r="27" spans="5:16" ht="15" customHeight="1" x14ac:dyDescent="0.25">
      <c r="E27" s="1"/>
      <c r="G27" s="1"/>
      <c r="H27" s="1"/>
      <c r="N27" s="6" t="s">
        <v>51</v>
      </c>
      <c r="O27" s="34">
        <f>MAX(ABS(O23),ABS(O24))</f>
        <v>0</v>
      </c>
      <c r="P27" s="6" t="str">
        <f>IF(L3="English","psi","Pa")</f>
        <v>Pa</v>
      </c>
    </row>
    <row r="28" spans="5:16" ht="15" customHeight="1" x14ac:dyDescent="0.25">
      <c r="E28" s="1"/>
      <c r="G28" s="1"/>
      <c r="H28" s="1"/>
      <c r="N28" s="6" t="s">
        <v>52</v>
      </c>
      <c r="O28" s="34">
        <f>MAX(ABS(O25),ABS(O26))</f>
        <v>0</v>
      </c>
      <c r="P28" s="6" t="str">
        <f>IF(L3="English","psi","Pa")</f>
        <v>Pa</v>
      </c>
    </row>
    <row r="29" spans="5:16" ht="15" customHeight="1" x14ac:dyDescent="0.25">
      <c r="E29" s="1"/>
      <c r="G29" s="1"/>
      <c r="H29" s="1"/>
      <c r="N29" s="6" t="s">
        <v>43</v>
      </c>
      <c r="O29" s="34" cm="1">
        <f t="array" ref="O29">SQRT(SUM(O27:O28^2))</f>
        <v>0</v>
      </c>
      <c r="P29" s="6" t="str">
        <f>IF(L3="English","psi","Pa")</f>
        <v>Pa</v>
      </c>
    </row>
    <row r="30" spans="5:16" ht="15" customHeight="1" x14ac:dyDescent="0.25">
      <c r="E30" s="1"/>
      <c r="G30" s="1"/>
      <c r="H30" s="1"/>
      <c r="N30"/>
    </row>
    <row r="31" spans="5:16" ht="15" customHeight="1" x14ac:dyDescent="0.25">
      <c r="G31" s="1"/>
      <c r="H31" s="1"/>
      <c r="N31" s="9" t="s">
        <v>44</v>
      </c>
      <c r="O31" s="9"/>
      <c r="P31" s="10"/>
    </row>
    <row r="32" spans="5:16" ht="15" customHeight="1" x14ac:dyDescent="0.25">
      <c r="G32" s="1"/>
      <c r="H32" s="1"/>
      <c r="N32" s="6" t="s">
        <v>41</v>
      </c>
      <c r="O32" s="34">
        <f>(K21*(K7-O9))/O13</f>
        <v>0</v>
      </c>
      <c r="P32" s="6" t="str">
        <f>IF(L3="English","psi","Pa")</f>
        <v>Pa</v>
      </c>
    </row>
    <row r="33" spans="2:16" ht="15" customHeight="1" x14ac:dyDescent="0.25">
      <c r="G33" s="1"/>
      <c r="H33" s="1"/>
      <c r="N33" s="6" t="s">
        <v>42</v>
      </c>
      <c r="O33" s="34">
        <f>(K22*(K8-O8))/O15</f>
        <v>0</v>
      </c>
      <c r="P33" s="6" t="str">
        <f>IF(L3="English","psi","Pa")</f>
        <v>Pa</v>
      </c>
    </row>
    <row r="34" spans="2:16" ht="15" customHeight="1" x14ac:dyDescent="0.25">
      <c r="G34" s="1"/>
      <c r="H34" s="1"/>
      <c r="N34" s="6" t="s">
        <v>26</v>
      </c>
      <c r="O34" s="34" cm="1">
        <f t="array" ref="O34">SQRT(SUM(O32:O33^2))</f>
        <v>0</v>
      </c>
      <c r="P34" s="6" t="str">
        <f>IF(L3="English","psi","Pa")</f>
        <v>Pa</v>
      </c>
    </row>
    <row r="35" spans="2:16" ht="15" customHeight="1" x14ac:dyDescent="0.25">
      <c r="G35" s="1"/>
      <c r="H35" s="1"/>
    </row>
    <row r="36" spans="2:16" ht="15" customHeight="1" x14ac:dyDescent="0.25">
      <c r="G36" s="1"/>
      <c r="H36" s="1"/>
      <c r="N36" s="9" t="s">
        <v>45</v>
      </c>
      <c r="O36" s="9"/>
      <c r="P36" s="10"/>
    </row>
    <row r="37" spans="2:16" ht="15" customHeight="1" x14ac:dyDescent="0.25">
      <c r="G37" s="1"/>
      <c r="H37" s="1"/>
      <c r="N37" s="6" t="s">
        <v>36</v>
      </c>
      <c r="O37" s="34">
        <f>SQRT(SUM(O29^2,O34^2))</f>
        <v>0</v>
      </c>
      <c r="P37" s="6" t="str">
        <f>IF(L3="English","psi","Pa")</f>
        <v>Pa</v>
      </c>
    </row>
    <row r="38" spans="2:16" ht="15" customHeight="1" x14ac:dyDescent="0.25">
      <c r="G38" s="1"/>
      <c r="H38" s="1"/>
    </row>
    <row r="41" spans="2:16" ht="15" customHeight="1" x14ac:dyDescent="0.25">
      <c r="B41"/>
      <c r="C41"/>
      <c r="D41"/>
    </row>
    <row r="42" spans="2:16" ht="15" customHeight="1" x14ac:dyDescent="0.25">
      <c r="B42"/>
      <c r="C42"/>
      <c r="D42"/>
    </row>
    <row r="43" spans="2:16" ht="15" customHeight="1" x14ac:dyDescent="0.25">
      <c r="B43"/>
      <c r="C43"/>
      <c r="D43"/>
    </row>
    <row r="44" spans="2:16" ht="15" customHeight="1" x14ac:dyDescent="0.25">
      <c r="B44"/>
      <c r="C44"/>
      <c r="D44"/>
    </row>
    <row r="45" spans="2:16" ht="15" customHeight="1" x14ac:dyDescent="0.25">
      <c r="B45"/>
      <c r="C45"/>
      <c r="D45"/>
    </row>
    <row r="46" spans="2:16" ht="15" customHeight="1" x14ac:dyDescent="0.25">
      <c r="B46"/>
      <c r="C46"/>
      <c r="D46"/>
    </row>
    <row r="47" spans="2:16" ht="15" customHeight="1" x14ac:dyDescent="0.25">
      <c r="B47"/>
      <c r="C47"/>
      <c r="D47"/>
    </row>
    <row r="48" spans="2:16" ht="15" customHeight="1" x14ac:dyDescent="0.25">
      <c r="B48"/>
      <c r="C48"/>
      <c r="D48"/>
    </row>
    <row r="49" spans="2:16" ht="15" customHeight="1" x14ac:dyDescent="0.25">
      <c r="B49"/>
      <c r="C49"/>
      <c r="D49"/>
      <c r="F49"/>
    </row>
    <row r="50" spans="2:16" ht="15" customHeight="1" x14ac:dyDescent="0.25">
      <c r="B50"/>
      <c r="C50"/>
      <c r="D50"/>
      <c r="F50"/>
      <c r="N50"/>
    </row>
    <row r="51" spans="2:16" ht="15" customHeight="1" x14ac:dyDescent="0.25">
      <c r="B51"/>
      <c r="C51"/>
      <c r="D51"/>
      <c r="F51"/>
      <c r="M51"/>
      <c r="N51"/>
    </row>
    <row r="52" spans="2:16" ht="15" customHeight="1" x14ac:dyDescent="0.25">
      <c r="B52"/>
      <c r="C52"/>
      <c r="D52"/>
      <c r="F52"/>
      <c r="O52" s="1"/>
      <c r="P52" s="1"/>
    </row>
    <row r="53" spans="2:16" ht="15" customHeight="1" x14ac:dyDescent="0.25">
      <c r="B53"/>
      <c r="C53"/>
      <c r="D53"/>
      <c r="F53"/>
      <c r="O53" s="1"/>
      <c r="P53" s="1"/>
    </row>
    <row r="54" spans="2:16" ht="15" customHeight="1" x14ac:dyDescent="0.25">
      <c r="B54"/>
      <c r="C54"/>
      <c r="D54"/>
      <c r="F54"/>
      <c r="O54" s="1"/>
      <c r="P54" s="1"/>
    </row>
    <row r="55" spans="2:16" ht="15" customHeight="1" x14ac:dyDescent="0.25">
      <c r="B55"/>
      <c r="C55"/>
      <c r="D55"/>
      <c r="F55"/>
      <c r="O55" s="1"/>
      <c r="P55" s="1"/>
    </row>
    <row r="56" spans="2:16" ht="15" customHeight="1" x14ac:dyDescent="0.25">
      <c r="B56"/>
      <c r="C56"/>
      <c r="D56"/>
      <c r="F56"/>
      <c r="O56" s="1"/>
      <c r="P56" s="1"/>
    </row>
    <row r="57" spans="2:16" ht="15" customHeight="1" x14ac:dyDescent="0.25">
      <c r="B57"/>
      <c r="C57"/>
      <c r="D57"/>
      <c r="F57"/>
    </row>
    <row r="58" spans="2:16" ht="15" customHeight="1" x14ac:dyDescent="0.25">
      <c r="B58"/>
      <c r="C58"/>
      <c r="D58"/>
      <c r="F58"/>
    </row>
    <row r="59" spans="2:16" ht="15" customHeight="1" x14ac:dyDescent="0.25">
      <c r="B59"/>
      <c r="C59"/>
      <c r="D59"/>
      <c r="F59"/>
    </row>
    <row r="60" spans="2:16" ht="15" customHeight="1" x14ac:dyDescent="0.25">
      <c r="B60"/>
      <c r="C60"/>
      <c r="D60"/>
      <c r="F60"/>
    </row>
    <row r="61" spans="2:16" ht="15" customHeight="1" x14ac:dyDescent="0.25">
      <c r="B61"/>
      <c r="C61"/>
      <c r="D61"/>
      <c r="F61"/>
    </row>
    <row r="62" spans="2:16" ht="15" customHeight="1" x14ac:dyDescent="0.25">
      <c r="B62"/>
      <c r="C62"/>
      <c r="D62"/>
      <c r="F62"/>
    </row>
    <row r="63" spans="2:16" ht="15" customHeight="1" x14ac:dyDescent="0.25">
      <c r="B63"/>
      <c r="C63"/>
      <c r="D63"/>
      <c r="F63"/>
    </row>
    <row r="64" spans="2:16" ht="15" customHeight="1" x14ac:dyDescent="0.25">
      <c r="B64"/>
      <c r="C64"/>
      <c r="D64"/>
      <c r="F64"/>
    </row>
    <row r="65" spans="2:6" ht="15" customHeight="1" x14ac:dyDescent="0.25">
      <c r="B65"/>
      <c r="C65"/>
      <c r="D65"/>
      <c r="F65"/>
    </row>
    <row r="66" spans="2:6" ht="15" customHeight="1" x14ac:dyDescent="0.25">
      <c r="B66"/>
      <c r="C66"/>
      <c r="D66"/>
      <c r="F66"/>
    </row>
    <row r="67" spans="2:6" ht="15" customHeight="1" x14ac:dyDescent="0.25">
      <c r="B67"/>
      <c r="C67"/>
      <c r="D67"/>
      <c r="F67"/>
    </row>
    <row r="68" spans="2:6" ht="15" customHeight="1" x14ac:dyDescent="0.25">
      <c r="B68"/>
      <c r="C68"/>
      <c r="D68"/>
      <c r="F68"/>
    </row>
    <row r="69" spans="2:6" ht="15" customHeight="1" x14ac:dyDescent="0.25">
      <c r="B69"/>
      <c r="C69"/>
      <c r="D69"/>
      <c r="F69"/>
    </row>
    <row r="70" spans="2:6" ht="15" customHeight="1" x14ac:dyDescent="0.25">
      <c r="B70"/>
      <c r="C70"/>
      <c r="D70"/>
      <c r="F70"/>
    </row>
    <row r="71" spans="2:6" ht="15" customHeight="1" x14ac:dyDescent="0.25">
      <c r="B71"/>
      <c r="C71"/>
      <c r="D71"/>
      <c r="F71"/>
    </row>
    <row r="72" spans="2:6" ht="15" customHeight="1" x14ac:dyDescent="0.25">
      <c r="B72"/>
      <c r="C72"/>
      <c r="D72"/>
      <c r="F72"/>
    </row>
    <row r="73" spans="2:6" ht="15" customHeight="1" x14ac:dyDescent="0.25">
      <c r="B73"/>
      <c r="C73"/>
      <c r="D73"/>
      <c r="F73"/>
    </row>
    <row r="74" spans="2:6" ht="15" customHeight="1" x14ac:dyDescent="0.25">
      <c r="B74"/>
      <c r="C74"/>
      <c r="D74"/>
      <c r="F74"/>
    </row>
    <row r="75" spans="2:6" ht="15" customHeight="1" x14ac:dyDescent="0.25">
      <c r="B75"/>
      <c r="C75"/>
      <c r="D75"/>
      <c r="F75"/>
    </row>
    <row r="76" spans="2:6" ht="15" customHeight="1" x14ac:dyDescent="0.25">
      <c r="B76"/>
      <c r="C76"/>
      <c r="D76"/>
      <c r="F76"/>
    </row>
    <row r="77" spans="2:6" ht="15" customHeight="1" x14ac:dyDescent="0.25">
      <c r="B77"/>
      <c r="C77"/>
      <c r="D77"/>
      <c r="F77"/>
    </row>
    <row r="78" spans="2:6" ht="15" customHeight="1" x14ac:dyDescent="0.25">
      <c r="B78"/>
      <c r="C78"/>
      <c r="D78"/>
      <c r="F78"/>
    </row>
    <row r="79" spans="2:6" ht="15" customHeight="1" x14ac:dyDescent="0.25">
      <c r="B79"/>
      <c r="C79"/>
      <c r="D79"/>
      <c r="F79"/>
    </row>
    <row r="80" spans="2:6" ht="15" customHeight="1" x14ac:dyDescent="0.25">
      <c r="B80"/>
      <c r="C80"/>
      <c r="D80"/>
      <c r="F80"/>
    </row>
    <row r="81" spans="2:6" ht="15" customHeight="1" x14ac:dyDescent="0.25">
      <c r="B81"/>
      <c r="C81"/>
      <c r="D81"/>
      <c r="F81"/>
    </row>
    <row r="82" spans="2:6" ht="15" customHeight="1" x14ac:dyDescent="0.25">
      <c r="B82"/>
      <c r="C82"/>
      <c r="D82"/>
      <c r="F82"/>
    </row>
    <row r="83" spans="2:6" ht="15" customHeight="1" x14ac:dyDescent="0.25">
      <c r="B83"/>
      <c r="C83"/>
      <c r="D83"/>
      <c r="F83"/>
    </row>
    <row r="84" spans="2:6" ht="15" customHeight="1" x14ac:dyDescent="0.25">
      <c r="B84"/>
      <c r="C84"/>
      <c r="D84"/>
      <c r="F84"/>
    </row>
    <row r="85" spans="2:6" ht="15" customHeight="1" x14ac:dyDescent="0.25">
      <c r="B85"/>
      <c r="C85"/>
      <c r="D85"/>
      <c r="F85"/>
    </row>
    <row r="86" spans="2:6" ht="15" customHeight="1" x14ac:dyDescent="0.25">
      <c r="B86"/>
      <c r="C86"/>
      <c r="D86"/>
      <c r="F86"/>
    </row>
    <row r="87" spans="2:6" ht="15" customHeight="1" x14ac:dyDescent="0.25">
      <c r="B87"/>
      <c r="C87"/>
      <c r="D87"/>
      <c r="F87"/>
    </row>
    <row r="88" spans="2:6" ht="15" customHeight="1" x14ac:dyDescent="0.25">
      <c r="B88"/>
      <c r="C88"/>
      <c r="D88"/>
      <c r="F88"/>
    </row>
    <row r="89" spans="2:6" ht="15" customHeight="1" x14ac:dyDescent="0.25">
      <c r="B89"/>
      <c r="C89"/>
      <c r="D89"/>
      <c r="F89"/>
    </row>
    <row r="90" spans="2:6" ht="15" customHeight="1" x14ac:dyDescent="0.25">
      <c r="B90"/>
      <c r="C90"/>
      <c r="D90"/>
      <c r="F90"/>
    </row>
    <row r="91" spans="2:6" ht="15" customHeight="1" x14ac:dyDescent="0.25">
      <c r="B91"/>
      <c r="C91"/>
      <c r="D91"/>
      <c r="F91"/>
    </row>
    <row r="92" spans="2:6" ht="15" customHeight="1" x14ac:dyDescent="0.25">
      <c r="B92"/>
      <c r="C92"/>
      <c r="D92"/>
      <c r="F92"/>
    </row>
    <row r="93" spans="2:6" ht="15" customHeight="1" x14ac:dyDescent="0.25">
      <c r="B93"/>
      <c r="C93"/>
      <c r="D93"/>
      <c r="F93"/>
    </row>
    <row r="94" spans="2:6" ht="15" customHeight="1" x14ac:dyDescent="0.25">
      <c r="B94"/>
      <c r="C94"/>
      <c r="D94"/>
      <c r="F94"/>
    </row>
    <row r="95" spans="2:6" ht="15" customHeight="1" x14ac:dyDescent="0.25">
      <c r="B95"/>
      <c r="C95"/>
      <c r="D95"/>
      <c r="F95"/>
    </row>
    <row r="96" spans="2:6" ht="15" customHeight="1" x14ac:dyDescent="0.25">
      <c r="B96"/>
      <c r="C96"/>
      <c r="D96"/>
      <c r="F96"/>
    </row>
    <row r="97" spans="2:16" ht="15" customHeight="1" x14ac:dyDescent="0.25">
      <c r="B97"/>
      <c r="C97"/>
      <c r="D97"/>
      <c r="F97"/>
    </row>
    <row r="98" spans="2:16" ht="15" customHeight="1" x14ac:dyDescent="0.25">
      <c r="B98"/>
      <c r="C98"/>
      <c r="D98"/>
      <c r="F98"/>
    </row>
    <row r="99" spans="2:16" ht="15" customHeight="1" x14ac:dyDescent="0.25">
      <c r="B99"/>
      <c r="C99"/>
      <c r="D99"/>
      <c r="F99"/>
    </row>
    <row r="100" spans="2:16" ht="15" customHeight="1" x14ac:dyDescent="0.25">
      <c r="B100"/>
      <c r="C100"/>
      <c r="D100"/>
      <c r="F100"/>
    </row>
    <row r="101" spans="2:16" ht="15" customHeight="1" x14ac:dyDescent="0.25">
      <c r="B101"/>
      <c r="C101"/>
      <c r="D101"/>
      <c r="F101"/>
    </row>
    <row r="102" spans="2:16" ht="15" customHeight="1" x14ac:dyDescent="0.25">
      <c r="B102"/>
      <c r="C102"/>
      <c r="D102"/>
      <c r="F102"/>
    </row>
    <row r="103" spans="2:16" ht="15" customHeight="1" x14ac:dyDescent="0.25">
      <c r="B103"/>
      <c r="C103"/>
      <c r="D103"/>
      <c r="F103"/>
    </row>
    <row r="104" spans="2:16" ht="15" customHeight="1" x14ac:dyDescent="0.25">
      <c r="B104"/>
      <c r="C104"/>
      <c r="D104"/>
      <c r="F104"/>
    </row>
    <row r="105" spans="2:16" ht="15" customHeight="1" x14ac:dyDescent="0.25">
      <c r="B105"/>
      <c r="C105"/>
      <c r="D105"/>
      <c r="F105"/>
    </row>
    <row r="106" spans="2:16" ht="15" customHeight="1" x14ac:dyDescent="0.25">
      <c r="B106"/>
      <c r="C106"/>
      <c r="D106"/>
      <c r="F106"/>
    </row>
    <row r="107" spans="2:16" ht="15" customHeight="1" x14ac:dyDescent="0.25">
      <c r="B107"/>
      <c r="C107"/>
      <c r="D107"/>
      <c r="F107"/>
      <c r="O107" s="1"/>
      <c r="P107" s="1"/>
    </row>
    <row r="108" spans="2:16" ht="15" customHeight="1" x14ac:dyDescent="0.25">
      <c r="B108"/>
      <c r="C108"/>
      <c r="D108"/>
      <c r="F108"/>
      <c r="O108" s="1"/>
      <c r="P108" s="1"/>
    </row>
    <row r="109" spans="2:16" ht="15" customHeight="1" x14ac:dyDescent="0.25">
      <c r="B109"/>
      <c r="C109"/>
      <c r="D109"/>
      <c r="F109"/>
      <c r="O109" s="1"/>
      <c r="P109" s="1"/>
    </row>
    <row r="110" spans="2:16" ht="15" customHeight="1" x14ac:dyDescent="0.25">
      <c r="B110"/>
      <c r="C110"/>
      <c r="D110"/>
      <c r="F110"/>
      <c r="O110" s="1"/>
      <c r="P110" s="1"/>
    </row>
    <row r="111" spans="2:16" ht="15" customHeight="1" x14ac:dyDescent="0.25">
      <c r="B111"/>
      <c r="C111"/>
      <c r="D111"/>
      <c r="F111"/>
      <c r="O111" s="1"/>
      <c r="P111" s="1"/>
    </row>
    <row r="112" spans="2:16" ht="15" customHeight="1" x14ac:dyDescent="0.25">
      <c r="B112"/>
      <c r="C112"/>
      <c r="D112"/>
      <c r="F112"/>
      <c r="O112" s="1"/>
      <c r="P112" s="1"/>
    </row>
    <row r="113" spans="2:16" ht="15" customHeight="1" x14ac:dyDescent="0.25">
      <c r="B113"/>
      <c r="C113"/>
      <c r="D113"/>
      <c r="F113"/>
      <c r="O113" s="1"/>
      <c r="P113" s="1"/>
    </row>
    <row r="114" spans="2:16" ht="15" customHeight="1" x14ac:dyDescent="0.25">
      <c r="B114"/>
      <c r="C114"/>
      <c r="D114"/>
      <c r="F114"/>
      <c r="O114" s="1"/>
      <c r="P114" s="1"/>
    </row>
    <row r="115" spans="2:16" ht="15" customHeight="1" x14ac:dyDescent="0.25">
      <c r="B115"/>
      <c r="C115"/>
      <c r="D115"/>
      <c r="F115"/>
      <c r="O115" s="1"/>
      <c r="P115" s="1"/>
    </row>
    <row r="116" spans="2:16" ht="15" customHeight="1" x14ac:dyDescent="0.25">
      <c r="B116"/>
      <c r="C116"/>
      <c r="D116"/>
      <c r="F116"/>
      <c r="O116" s="1"/>
      <c r="P116" s="1"/>
    </row>
    <row r="117" spans="2:16" ht="15" customHeight="1" x14ac:dyDescent="0.25">
      <c r="B117"/>
      <c r="C117"/>
      <c r="D117"/>
      <c r="F117"/>
      <c r="O117" s="1"/>
      <c r="P117" s="1"/>
    </row>
    <row r="118" spans="2:16" ht="15" customHeight="1" x14ac:dyDescent="0.25">
      <c r="B118"/>
      <c r="C118"/>
      <c r="D118"/>
      <c r="F118"/>
      <c r="O118" s="1"/>
      <c r="P118" s="1"/>
    </row>
    <row r="119" spans="2:16" ht="15" customHeight="1" x14ac:dyDescent="0.25">
      <c r="B119"/>
      <c r="C119"/>
      <c r="D119"/>
      <c r="F119"/>
      <c r="O119" s="1"/>
      <c r="P119" s="1"/>
    </row>
    <row r="120" spans="2:16" ht="15" customHeight="1" x14ac:dyDescent="0.25">
      <c r="B120"/>
      <c r="C120"/>
      <c r="D120"/>
      <c r="F120"/>
      <c r="O120" s="1"/>
      <c r="P120" s="1"/>
    </row>
    <row r="121" spans="2:16" ht="15" customHeight="1" x14ac:dyDescent="0.25">
      <c r="B121"/>
      <c r="C121"/>
      <c r="D121"/>
      <c r="F121"/>
      <c r="O121" s="1"/>
      <c r="P121" s="1"/>
    </row>
    <row r="122" spans="2:16" ht="15" customHeight="1" x14ac:dyDescent="0.25">
      <c r="B122"/>
      <c r="C122"/>
      <c r="D122"/>
      <c r="F122"/>
      <c r="O122" s="1"/>
      <c r="P122" s="1"/>
    </row>
    <row r="123" spans="2:16" ht="15" customHeight="1" x14ac:dyDescent="0.25">
      <c r="B123"/>
      <c r="C123"/>
      <c r="D123"/>
      <c r="F123"/>
      <c r="O123" s="1"/>
      <c r="P123" s="1"/>
    </row>
    <row r="124" spans="2:16" ht="15" customHeight="1" x14ac:dyDescent="0.25">
      <c r="B124"/>
      <c r="C124"/>
      <c r="D124"/>
      <c r="F124"/>
      <c r="O124" s="1"/>
      <c r="P124" s="1"/>
    </row>
    <row r="125" spans="2:16" ht="15" customHeight="1" x14ac:dyDescent="0.25">
      <c r="B125"/>
      <c r="C125"/>
      <c r="D125"/>
      <c r="F125"/>
      <c r="O125" s="1"/>
      <c r="P125" s="1"/>
    </row>
    <row r="126" spans="2:16" ht="15" customHeight="1" x14ac:dyDescent="0.25">
      <c r="B126"/>
      <c r="C126"/>
      <c r="D126"/>
      <c r="F126"/>
      <c r="O126" s="1"/>
      <c r="P126" s="1"/>
    </row>
    <row r="127" spans="2:16" ht="15" customHeight="1" x14ac:dyDescent="0.25">
      <c r="B127"/>
      <c r="C127"/>
      <c r="D127"/>
      <c r="F127"/>
      <c r="O127" s="1"/>
      <c r="P127" s="1"/>
    </row>
    <row r="128" spans="2:16" ht="15" customHeight="1" x14ac:dyDescent="0.25">
      <c r="B128"/>
      <c r="C128"/>
      <c r="D128"/>
      <c r="F128"/>
      <c r="O128" s="1"/>
      <c r="P128" s="1"/>
    </row>
    <row r="129" spans="2:16" ht="15" customHeight="1" x14ac:dyDescent="0.25">
      <c r="B129"/>
      <c r="C129"/>
      <c r="D129"/>
      <c r="F129"/>
      <c r="O129" s="1"/>
      <c r="P129" s="1"/>
    </row>
    <row r="130" spans="2:16" ht="15" customHeight="1" x14ac:dyDescent="0.25">
      <c r="B130"/>
      <c r="C130"/>
      <c r="D130"/>
      <c r="F130"/>
      <c r="O130" s="1"/>
      <c r="P130" s="1"/>
    </row>
    <row r="131" spans="2:16" ht="15" customHeight="1" x14ac:dyDescent="0.25">
      <c r="B131"/>
      <c r="C131"/>
      <c r="D131"/>
      <c r="F131"/>
      <c r="O131" s="1"/>
      <c r="P131" s="1"/>
    </row>
    <row r="132" spans="2:16" ht="15" customHeight="1" x14ac:dyDescent="0.25">
      <c r="B132"/>
      <c r="C132"/>
      <c r="D132"/>
      <c r="F132"/>
      <c r="O132" s="1"/>
      <c r="P132" s="1"/>
    </row>
    <row r="133" spans="2:16" ht="15" customHeight="1" x14ac:dyDescent="0.25">
      <c r="B133"/>
      <c r="C133"/>
      <c r="D133"/>
      <c r="F133"/>
      <c r="O133" s="1"/>
      <c r="P133" s="1"/>
    </row>
    <row r="134" spans="2:16" ht="15" customHeight="1" x14ac:dyDescent="0.25">
      <c r="B134"/>
      <c r="C134"/>
      <c r="D134"/>
      <c r="F134"/>
      <c r="O134" s="1"/>
      <c r="P134" s="1"/>
    </row>
    <row r="135" spans="2:16" ht="15" customHeight="1" x14ac:dyDescent="0.25">
      <c r="B135"/>
      <c r="C135"/>
      <c r="D135"/>
      <c r="F135"/>
      <c r="O135" s="1"/>
      <c r="P135" s="1"/>
    </row>
    <row r="136" spans="2:16" ht="15" customHeight="1" x14ac:dyDescent="0.25">
      <c r="B136"/>
      <c r="C136"/>
      <c r="D136"/>
      <c r="F136"/>
      <c r="O136" s="1"/>
      <c r="P136" s="1"/>
    </row>
    <row r="137" spans="2:16" ht="15" customHeight="1" x14ac:dyDescent="0.25">
      <c r="B137"/>
      <c r="C137"/>
      <c r="D137"/>
      <c r="F137"/>
      <c r="O137" s="1"/>
      <c r="P137" s="1"/>
    </row>
    <row r="138" spans="2:16" ht="15" customHeight="1" x14ac:dyDescent="0.25">
      <c r="B138"/>
      <c r="C138"/>
      <c r="D138"/>
      <c r="F138"/>
      <c r="O138" s="1"/>
      <c r="P138" s="1"/>
    </row>
    <row r="139" spans="2:16" ht="15" customHeight="1" x14ac:dyDescent="0.25">
      <c r="B139"/>
      <c r="C139"/>
      <c r="D139"/>
      <c r="F139"/>
      <c r="O139" s="1"/>
      <c r="P139" s="1"/>
    </row>
    <row r="140" spans="2:16" ht="15" customHeight="1" x14ac:dyDescent="0.25">
      <c r="B140"/>
      <c r="C140"/>
      <c r="D140"/>
      <c r="F140"/>
      <c r="O140" s="1"/>
      <c r="P140" s="1"/>
    </row>
    <row r="141" spans="2:16" ht="15" customHeight="1" x14ac:dyDescent="0.25">
      <c r="B141"/>
      <c r="C141"/>
      <c r="D141"/>
      <c r="F141"/>
      <c r="O141" s="1"/>
      <c r="P141" s="1"/>
    </row>
    <row r="142" spans="2:16" ht="15" customHeight="1" x14ac:dyDescent="0.25">
      <c r="B142"/>
      <c r="C142"/>
      <c r="D142"/>
      <c r="F142"/>
      <c r="O142" s="1"/>
      <c r="P142" s="1"/>
    </row>
    <row r="143" spans="2:16" ht="15" customHeight="1" x14ac:dyDescent="0.25">
      <c r="B143"/>
      <c r="C143"/>
      <c r="D143"/>
      <c r="F143"/>
      <c r="O143" s="1"/>
      <c r="P143" s="1"/>
    </row>
    <row r="144" spans="2:16" ht="15" customHeight="1" x14ac:dyDescent="0.25">
      <c r="B144"/>
      <c r="C144"/>
      <c r="D144"/>
      <c r="F144"/>
      <c r="O144" s="1"/>
      <c r="P144" s="1"/>
    </row>
    <row r="145" spans="2:16" ht="15" customHeight="1" x14ac:dyDescent="0.25">
      <c r="B145"/>
      <c r="C145"/>
      <c r="D145"/>
      <c r="F145"/>
      <c r="O145" s="1"/>
      <c r="P145" s="1"/>
    </row>
    <row r="146" spans="2:16" ht="15" customHeight="1" x14ac:dyDescent="0.25">
      <c r="B146"/>
      <c r="C146"/>
      <c r="D146"/>
      <c r="F146"/>
      <c r="O146" s="1"/>
      <c r="P146" s="1"/>
    </row>
    <row r="147" spans="2:16" ht="15" customHeight="1" x14ac:dyDescent="0.25">
      <c r="B147"/>
      <c r="C147"/>
      <c r="D147"/>
      <c r="F147"/>
      <c r="O147" s="1"/>
      <c r="P147" s="1"/>
    </row>
    <row r="148" spans="2:16" ht="15" customHeight="1" x14ac:dyDescent="0.25">
      <c r="B148"/>
      <c r="C148"/>
      <c r="D148"/>
      <c r="F148"/>
      <c r="O148" s="1"/>
      <c r="P148" s="1"/>
    </row>
    <row r="149" spans="2:16" ht="15" customHeight="1" x14ac:dyDescent="0.25">
      <c r="B149"/>
      <c r="C149"/>
      <c r="D149"/>
      <c r="F149"/>
      <c r="O149" s="1"/>
      <c r="P149" s="1"/>
    </row>
    <row r="150" spans="2:16" ht="15" customHeight="1" x14ac:dyDescent="0.25">
      <c r="B150"/>
      <c r="C150"/>
      <c r="D150"/>
      <c r="F150"/>
      <c r="O150" s="1"/>
      <c r="P150" s="1"/>
    </row>
    <row r="151" spans="2:16" ht="15" customHeight="1" x14ac:dyDescent="0.25">
      <c r="B151"/>
      <c r="C151"/>
      <c r="D151"/>
      <c r="F151"/>
      <c r="O151" s="1"/>
      <c r="P151" s="1"/>
    </row>
    <row r="152" spans="2:16" ht="15" customHeight="1" x14ac:dyDescent="0.25">
      <c r="B152"/>
      <c r="C152"/>
      <c r="D152"/>
      <c r="F152"/>
      <c r="O152" s="1"/>
      <c r="P152" s="1"/>
    </row>
    <row r="153" spans="2:16" ht="15" customHeight="1" x14ac:dyDescent="0.25">
      <c r="B153"/>
      <c r="C153"/>
      <c r="D153"/>
      <c r="F153"/>
      <c r="O153" s="1"/>
      <c r="P153" s="1"/>
    </row>
    <row r="154" spans="2:16" ht="15" customHeight="1" x14ac:dyDescent="0.25">
      <c r="B154"/>
      <c r="C154"/>
      <c r="D154"/>
      <c r="F154"/>
      <c r="O154" s="1"/>
      <c r="P154" s="1"/>
    </row>
    <row r="155" spans="2:16" ht="15" customHeight="1" x14ac:dyDescent="0.25">
      <c r="B155"/>
      <c r="C155"/>
      <c r="D155"/>
      <c r="F155"/>
      <c r="O155" s="1"/>
      <c r="P155" s="1"/>
    </row>
    <row r="156" spans="2:16" ht="15" customHeight="1" x14ac:dyDescent="0.25">
      <c r="B156"/>
      <c r="C156"/>
      <c r="D156"/>
      <c r="F156"/>
      <c r="O156" s="1"/>
      <c r="P156" s="1"/>
    </row>
    <row r="157" spans="2:16" ht="15" customHeight="1" x14ac:dyDescent="0.25">
      <c r="B157"/>
      <c r="C157"/>
      <c r="D157"/>
      <c r="F157"/>
      <c r="O157" s="1"/>
      <c r="P157" s="1"/>
    </row>
    <row r="158" spans="2:16" ht="15" customHeight="1" x14ac:dyDescent="0.25">
      <c r="B158"/>
      <c r="C158"/>
      <c r="D158"/>
      <c r="F158"/>
      <c r="O158" s="1"/>
      <c r="P158" s="1"/>
    </row>
    <row r="159" spans="2:16" ht="15" customHeight="1" x14ac:dyDescent="0.25">
      <c r="B159"/>
      <c r="C159"/>
      <c r="D159"/>
      <c r="F159"/>
      <c r="O159" s="1"/>
      <c r="P159" s="1"/>
    </row>
    <row r="160" spans="2:16" ht="15" customHeight="1" x14ac:dyDescent="0.25">
      <c r="B160"/>
      <c r="C160"/>
      <c r="D160"/>
      <c r="F160"/>
      <c r="O160" s="1"/>
      <c r="P160" s="1"/>
    </row>
    <row r="161" spans="2:16" ht="15" customHeight="1" x14ac:dyDescent="0.25">
      <c r="B161"/>
      <c r="C161"/>
      <c r="D161"/>
      <c r="F161"/>
      <c r="O161" s="1"/>
      <c r="P161" s="1"/>
    </row>
    <row r="162" spans="2:16" ht="15" customHeight="1" x14ac:dyDescent="0.25">
      <c r="B162"/>
      <c r="C162"/>
      <c r="D162"/>
      <c r="F162"/>
      <c r="O162" s="1"/>
      <c r="P162" s="1"/>
    </row>
    <row r="163" spans="2:16" ht="15" customHeight="1" x14ac:dyDescent="0.25">
      <c r="B163"/>
      <c r="C163"/>
      <c r="D163"/>
      <c r="F163"/>
      <c r="O163" s="1"/>
      <c r="P163" s="1"/>
    </row>
    <row r="164" spans="2:16" ht="15" customHeight="1" x14ac:dyDescent="0.25">
      <c r="B164"/>
      <c r="C164"/>
      <c r="D164"/>
      <c r="F164"/>
      <c r="O164" s="1"/>
      <c r="P164" s="1"/>
    </row>
    <row r="165" spans="2:16" ht="15" customHeight="1" x14ac:dyDescent="0.25">
      <c r="B165"/>
      <c r="C165"/>
      <c r="D165"/>
      <c r="F165"/>
    </row>
    <row r="166" spans="2:16" ht="15" customHeight="1" x14ac:dyDescent="0.25">
      <c r="B166"/>
      <c r="C166"/>
      <c r="D166"/>
      <c r="F166"/>
    </row>
    <row r="167" spans="2:16" ht="15" customHeight="1" x14ac:dyDescent="0.25">
      <c r="B167"/>
      <c r="C167"/>
      <c r="D167"/>
      <c r="F167"/>
    </row>
    <row r="168" spans="2:16" ht="15" customHeight="1" x14ac:dyDescent="0.25">
      <c r="B168"/>
      <c r="C168"/>
      <c r="D168"/>
    </row>
    <row r="169" spans="2:16" ht="15" customHeight="1" x14ac:dyDescent="0.25">
      <c r="B169"/>
      <c r="C169"/>
      <c r="D169"/>
    </row>
  </sheetData>
  <dataValidations count="1">
    <dataValidation type="list" allowBlank="1" showInputMessage="1" showErrorMessage="1" sqref="D3 L3" xr:uid="{84BF65DB-141A-4E51-9C19-D4FEE77EB19A}">
      <formula1>"English, Metric"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E64D-0FA6-48E8-945D-65CFF8469645}">
  <sheetPr>
    <tabColor rgb="FFC00000"/>
  </sheetPr>
  <dimension ref="O1:FE89"/>
  <sheetViews>
    <sheetView tabSelected="1" zoomScale="55" zoomScaleNormal="55" workbookViewId="0">
      <selection activeCell="S55" sqref="S55"/>
    </sheetView>
  </sheetViews>
  <sheetFormatPr defaultColWidth="9.140625" defaultRowHeight="15" customHeight="1" x14ac:dyDescent="0.25"/>
  <cols>
    <col min="1" max="3" width="9.140625" style="1"/>
    <col min="4" max="4" width="9.140625" style="1" customWidth="1"/>
    <col min="5" max="14" width="9.140625" style="1"/>
    <col min="15" max="15" width="24.28515625" style="1" customWidth="1"/>
    <col min="16" max="16" width="13.42578125" style="1" bestFit="1" customWidth="1"/>
    <col min="17" max="17" width="23" style="1" bestFit="1" customWidth="1"/>
    <col min="18" max="18" width="5.42578125" style="1" bestFit="1" customWidth="1"/>
    <col min="19" max="19" width="56.42578125" style="1" bestFit="1" customWidth="1"/>
    <col min="20" max="20" width="9.140625" style="1"/>
    <col min="21" max="21" width="9.42578125" style="1" customWidth="1"/>
    <col min="22" max="22" width="9.28515625" style="1" bestFit="1" customWidth="1"/>
    <col min="23" max="23" width="14.28515625" style="1" customWidth="1"/>
    <col min="24" max="24" width="5.42578125" style="1" bestFit="1" customWidth="1"/>
    <col min="25" max="25" width="57.85546875" style="1" bestFit="1" customWidth="1"/>
    <col min="26" max="38" width="9.140625" style="1"/>
    <col min="39" max="39" width="23" style="1" bestFit="1" customWidth="1"/>
    <col min="40" max="40" width="24.28515625" style="1" bestFit="1" customWidth="1"/>
    <col min="41" max="41" width="18.42578125" style="1" bestFit="1" customWidth="1"/>
    <col min="42" max="42" width="10.42578125" style="1" bestFit="1" customWidth="1"/>
    <col min="43" max="43" width="9.140625" style="1"/>
    <col min="44" max="44" width="23" style="1" bestFit="1" customWidth="1"/>
    <col min="45" max="45" width="24.28515625" style="1" bestFit="1" customWidth="1"/>
    <col min="46" max="46" width="18.42578125" style="1" bestFit="1" customWidth="1"/>
    <col min="47" max="47" width="10.42578125" style="1" bestFit="1" customWidth="1"/>
    <col min="48" max="16384" width="9.140625" style="1"/>
  </cols>
  <sheetData>
    <row r="1" spans="15:161" ht="15" customHeight="1" x14ac:dyDescent="0.25">
      <c r="BI1" s="1" t="s">
        <v>106</v>
      </c>
      <c r="FE1" s="1" t="s">
        <v>106</v>
      </c>
    </row>
    <row r="2" spans="15:161" ht="15" customHeight="1" x14ac:dyDescent="0.25">
      <c r="P2" s="1" t="s">
        <v>103</v>
      </c>
    </row>
    <row r="4" spans="15:161" ht="15" customHeight="1" x14ac:dyDescent="0.25">
      <c r="P4" s="61" t="s">
        <v>104</v>
      </c>
      <c r="Q4" s="61"/>
      <c r="R4" s="61"/>
      <c r="S4" s="61"/>
      <c r="V4" s="62" t="s">
        <v>105</v>
      </c>
      <c r="W4" s="62"/>
      <c r="X4" s="62"/>
      <c r="Y4" s="62"/>
    </row>
    <row r="5" spans="15:161" ht="15" customHeight="1" thickBot="1" x14ac:dyDescent="0.3">
      <c r="P5" s="36" t="s">
        <v>107</v>
      </c>
      <c r="Q5" s="36" t="s">
        <v>108</v>
      </c>
      <c r="R5" s="36" t="s">
        <v>109</v>
      </c>
      <c r="S5" s="37" t="s">
        <v>110</v>
      </c>
      <c r="V5" s="36" t="s">
        <v>107</v>
      </c>
      <c r="W5" s="36" t="s">
        <v>108</v>
      </c>
      <c r="X5" s="36" t="s">
        <v>109</v>
      </c>
      <c r="Y5" s="37" t="s">
        <v>110</v>
      </c>
    </row>
    <row r="6" spans="15:161" ht="15" customHeight="1" thickTop="1" x14ac:dyDescent="0.25">
      <c r="P6" s="38" t="s">
        <v>111</v>
      </c>
      <c r="Q6" s="38">
        <v>64</v>
      </c>
      <c r="R6" s="38" t="s">
        <v>112</v>
      </c>
      <c r="S6" s="38" t="s">
        <v>113</v>
      </c>
      <c r="V6" s="38" t="s">
        <v>114</v>
      </c>
      <c r="W6" s="39">
        <f>SQRT((((W9*Q8)+(W10*Q9/0.85))^2)+(3*(W11*Q10)^2))</f>
        <v>27.119596787563047</v>
      </c>
      <c r="X6" s="38" t="s">
        <v>112</v>
      </c>
      <c r="Y6" s="38" t="s">
        <v>115</v>
      </c>
      <c r="BJ6"/>
      <c r="CW6"/>
      <c r="DQ6"/>
    </row>
    <row r="7" spans="15:161" ht="15" customHeight="1" x14ac:dyDescent="0.25">
      <c r="P7" s="40" t="s">
        <v>116</v>
      </c>
      <c r="Q7" s="40">
        <v>54</v>
      </c>
      <c r="R7" s="40" t="s">
        <v>112</v>
      </c>
      <c r="S7" s="40" t="s">
        <v>117</v>
      </c>
      <c r="V7" s="40" t="s">
        <v>118</v>
      </c>
      <c r="W7" s="41">
        <f>SQRT((((IF(ISBLANK(W9), 1, W9)*Q11)+(IF(ISBLANK(W10), 1, W10)*Q12/0.85))^2)+(3*(IF(ISBLANK(W11), 1, W11)*Q13)^2))</f>
        <v>27.119596787563047</v>
      </c>
      <c r="X7" s="40" t="s">
        <v>112</v>
      </c>
      <c r="Y7" s="40" t="s">
        <v>119</v>
      </c>
    </row>
    <row r="8" spans="15:161" ht="15" customHeight="1" x14ac:dyDescent="0.25">
      <c r="O8" s="63" t="s">
        <v>120</v>
      </c>
      <c r="P8" s="40" t="s">
        <v>121</v>
      </c>
      <c r="Q8" s="40">
        <f>28/2</f>
        <v>14</v>
      </c>
      <c r="R8" s="40" t="s">
        <v>112</v>
      </c>
      <c r="S8" s="40" t="s">
        <v>122</v>
      </c>
      <c r="V8" s="43" t="s">
        <v>123</v>
      </c>
      <c r="W8" s="44">
        <f>MAX(W6+W7,ABS(-W6+W7))</f>
        <v>54.239193575126095</v>
      </c>
      <c r="X8" s="43" t="s">
        <v>112</v>
      </c>
      <c r="Y8" s="43" t="s">
        <v>124</v>
      </c>
    </row>
    <row r="9" spans="15:161" ht="15" customHeight="1" x14ac:dyDescent="0.25">
      <c r="O9" s="63"/>
      <c r="P9" s="40" t="s">
        <v>125</v>
      </c>
      <c r="Q9" s="40"/>
      <c r="R9" s="40" t="s">
        <v>112</v>
      </c>
      <c r="S9" s="40" t="s">
        <v>126</v>
      </c>
      <c r="V9" s="40" t="s">
        <v>127</v>
      </c>
      <c r="W9" s="40">
        <f>1+IF(ISBLANK(Q16), 1, Q16)*(IF(ISBLANK(Q14), 1, Q14)-1)</f>
        <v>1.4740000000000002</v>
      </c>
      <c r="X9" s="40" t="s">
        <v>15</v>
      </c>
      <c r="Y9" s="40" t="s">
        <v>128</v>
      </c>
    </row>
    <row r="10" spans="15:161" ht="15" customHeight="1" x14ac:dyDescent="0.25">
      <c r="O10" s="63"/>
      <c r="P10" s="40" t="s">
        <v>129</v>
      </c>
      <c r="Q10" s="40">
        <f>15.3/2</f>
        <v>7.65</v>
      </c>
      <c r="R10" s="40" t="s">
        <v>112</v>
      </c>
      <c r="S10" s="40" t="s">
        <v>130</v>
      </c>
      <c r="V10" s="40" t="s">
        <v>131</v>
      </c>
      <c r="W10" s="40">
        <f>1+IF(ISBLANK(Q16), 1, Q16)*(IF(ISBLANK(Q14), 1, Q14)-1)</f>
        <v>1.4740000000000002</v>
      </c>
      <c r="X10" s="40" t="s">
        <v>15</v>
      </c>
      <c r="Y10" s="40" t="s">
        <v>132</v>
      </c>
    </row>
    <row r="11" spans="15:161" ht="15" customHeight="1" x14ac:dyDescent="0.25">
      <c r="O11" s="63"/>
      <c r="P11" s="40" t="s">
        <v>133</v>
      </c>
      <c r="Q11" s="40">
        <f>Q8</f>
        <v>14</v>
      </c>
      <c r="R11" s="40" t="s">
        <v>112</v>
      </c>
      <c r="S11" s="45" t="s">
        <v>134</v>
      </c>
      <c r="V11" s="40" t="s">
        <v>135</v>
      </c>
      <c r="W11" s="40">
        <f>1+IF(ISBLANK(Q17), 1, Q17)*(IF(ISBLANK(Q15), 1, Q15)-1)</f>
        <v>1.3279999999999998</v>
      </c>
      <c r="X11" s="40" t="s">
        <v>15</v>
      </c>
      <c r="Y11" s="40" t="s">
        <v>136</v>
      </c>
    </row>
    <row r="12" spans="15:161" ht="15" customHeight="1" x14ac:dyDescent="0.25">
      <c r="O12" s="63"/>
      <c r="P12" s="40" t="s">
        <v>137</v>
      </c>
      <c r="Q12" s="40"/>
      <c r="R12" s="40" t="s">
        <v>112</v>
      </c>
      <c r="S12" s="46" t="s">
        <v>138</v>
      </c>
      <c r="V12" s="43" t="s">
        <v>139</v>
      </c>
      <c r="W12" s="47">
        <f>Q7/W8</f>
        <v>0.99559002338788849</v>
      </c>
      <c r="X12" s="43" t="s">
        <v>15</v>
      </c>
      <c r="Y12" s="43" t="s">
        <v>140</v>
      </c>
    </row>
    <row r="13" spans="15:161" ht="15" customHeight="1" x14ac:dyDescent="0.25">
      <c r="O13" s="63"/>
      <c r="P13" s="40" t="s">
        <v>141</v>
      </c>
      <c r="Q13" s="40">
        <f>Q10</f>
        <v>7.65</v>
      </c>
      <c r="R13" s="40" t="s">
        <v>112</v>
      </c>
      <c r="S13" s="46" t="s">
        <v>142</v>
      </c>
      <c r="V13" s="40" t="s">
        <v>143</v>
      </c>
      <c r="W13" s="40">
        <f>IF(Q6&lt;=200,Q6/2,100)</f>
        <v>32</v>
      </c>
      <c r="X13" s="40" t="s">
        <v>112</v>
      </c>
      <c r="Y13" s="40" t="s">
        <v>144</v>
      </c>
    </row>
    <row r="14" spans="15:161" ht="15" customHeight="1" x14ac:dyDescent="0.25">
      <c r="O14" s="64" t="s">
        <v>145</v>
      </c>
      <c r="P14" s="40" t="s">
        <v>146</v>
      </c>
      <c r="Q14" s="40">
        <v>1.6</v>
      </c>
      <c r="R14" s="40" t="s">
        <v>15</v>
      </c>
      <c r="S14" s="40" t="s">
        <v>132</v>
      </c>
      <c r="U14" s="64" t="s">
        <v>147</v>
      </c>
      <c r="V14" s="40" t="s">
        <v>148</v>
      </c>
      <c r="W14" s="41">
        <f>W15*((Q6)^(W16))</f>
        <v>0.89686292451514538</v>
      </c>
      <c r="X14" s="40" t="s">
        <v>15</v>
      </c>
      <c r="Y14" s="45" t="s">
        <v>149</v>
      </c>
    </row>
    <row r="15" spans="15:161" ht="15" customHeight="1" x14ac:dyDescent="0.25">
      <c r="O15" s="65"/>
      <c r="P15" s="40" t="s">
        <v>150</v>
      </c>
      <c r="Q15" s="40">
        <v>1.4</v>
      </c>
      <c r="R15" s="40" t="s">
        <v>15</v>
      </c>
      <c r="S15" s="40" t="s">
        <v>136</v>
      </c>
      <c r="U15" s="66"/>
      <c r="V15" s="40" t="s">
        <v>151</v>
      </c>
      <c r="W15" s="40">
        <f>VLOOKUP(Q18, AM28:AP31, 2, FALSE)</f>
        <v>2.7</v>
      </c>
      <c r="X15" s="40" t="s">
        <v>15</v>
      </c>
      <c r="Y15" s="45" t="s">
        <v>152</v>
      </c>
    </row>
    <row r="16" spans="15:161" x14ac:dyDescent="0.25">
      <c r="O16" s="64" t="s">
        <v>153</v>
      </c>
      <c r="P16" s="40" t="s">
        <v>154</v>
      </c>
      <c r="Q16" s="40">
        <v>0.79</v>
      </c>
      <c r="R16" s="40" t="s">
        <v>15</v>
      </c>
      <c r="S16" s="45" t="s">
        <v>155</v>
      </c>
      <c r="U16" s="66"/>
      <c r="V16" s="40" t="s">
        <v>5</v>
      </c>
      <c r="W16" s="40">
        <f>VLOOKUP(Q18, AM28:AP31, 4, FALSE)</f>
        <v>-0.26500000000000001</v>
      </c>
      <c r="X16" s="40" t="s">
        <v>15</v>
      </c>
      <c r="Y16" s="45" t="s">
        <v>156</v>
      </c>
    </row>
    <row r="17" spans="15:47" ht="15" customHeight="1" x14ac:dyDescent="0.25">
      <c r="O17" s="65"/>
      <c r="P17" s="40" t="s">
        <v>157</v>
      </c>
      <c r="Q17" s="40">
        <v>0.82</v>
      </c>
      <c r="R17" s="40" t="s">
        <v>15</v>
      </c>
      <c r="S17" s="45" t="s">
        <v>158</v>
      </c>
      <c r="U17" s="66"/>
      <c r="V17" s="40" t="s">
        <v>159</v>
      </c>
      <c r="W17" s="41">
        <f>IF(AND(OR(ISBLANK(Q8),0),OR(ISBLANK(Q11),0),OR(ISBLANK(Q10),0),OR(ISBLANK(Q13),0)),1,IF(AND((0.3&lt;=Q19),(Q19&lt;=2)),((Q19/0.3)^(-0.107)),IF(AND((2&lt;Q19),(Q19&lt;=10)),((0.91*Q19)^(-0.157)),"Out of Bounds")))</f>
        <v>0.97780980936081452</v>
      </c>
      <c r="X17" s="40" t="s">
        <v>15</v>
      </c>
      <c r="Y17" s="45" t="s">
        <v>160</v>
      </c>
    </row>
    <row r="18" spans="15:47" ht="15" customHeight="1" x14ac:dyDescent="0.25">
      <c r="P18" s="40" t="s">
        <v>161</v>
      </c>
      <c r="Q18" s="40" t="s">
        <v>162</v>
      </c>
      <c r="R18" s="40" t="s">
        <v>15</v>
      </c>
      <c r="S18" s="46" t="s">
        <v>163</v>
      </c>
      <c r="U18" s="66"/>
      <c r="V18" s="40" t="s">
        <v>164</v>
      </c>
      <c r="W18" s="40">
        <v>1</v>
      </c>
      <c r="X18" s="40" t="s">
        <v>15</v>
      </c>
      <c r="Y18" s="45" t="s">
        <v>165</v>
      </c>
    </row>
    <row r="19" spans="15:47" ht="15" customHeight="1" x14ac:dyDescent="0.25">
      <c r="P19" s="40" t="s">
        <v>166</v>
      </c>
      <c r="Q19" s="40">
        <f>0.37</f>
        <v>0.37</v>
      </c>
      <c r="R19" s="40" t="s">
        <v>167</v>
      </c>
      <c r="S19" s="46" t="s">
        <v>168</v>
      </c>
      <c r="U19" s="66"/>
      <c r="V19" s="40" t="s">
        <v>169</v>
      </c>
      <c r="W19" s="40">
        <f>VLOOKUP(Q20, AO56:AP67, 2, FALSE)</f>
        <v>1</v>
      </c>
      <c r="X19" s="40" t="s">
        <v>15</v>
      </c>
      <c r="Y19" s="45" t="s">
        <v>170</v>
      </c>
    </row>
    <row r="20" spans="15:47" ht="15" customHeight="1" x14ac:dyDescent="0.25">
      <c r="P20" s="48" t="s">
        <v>171</v>
      </c>
      <c r="Q20" s="40">
        <v>70</v>
      </c>
      <c r="R20" s="40" t="s">
        <v>172</v>
      </c>
      <c r="S20" s="46" t="s">
        <v>173</v>
      </c>
      <c r="U20" s="66"/>
      <c r="V20" s="40" t="s">
        <v>174</v>
      </c>
      <c r="W20" s="40">
        <f>VLOOKUP(Q21, AM84:AO89, 3, FALSE)</f>
        <v>1</v>
      </c>
      <c r="X20" s="40" t="s">
        <v>15</v>
      </c>
      <c r="Y20" s="45" t="s">
        <v>175</v>
      </c>
    </row>
    <row r="21" spans="15:47" ht="15" customHeight="1" x14ac:dyDescent="0.25">
      <c r="P21" s="38" t="s">
        <v>176</v>
      </c>
      <c r="Q21" s="40">
        <v>50</v>
      </c>
      <c r="R21" s="40" t="s">
        <v>177</v>
      </c>
      <c r="S21" s="46" t="s">
        <v>178</v>
      </c>
      <c r="U21" s="65"/>
      <c r="V21" s="40" t="s">
        <v>179</v>
      </c>
      <c r="W21" s="40">
        <f>IF(ISBLANK(Q22),1,Q22)</f>
        <v>1</v>
      </c>
      <c r="X21" s="40" t="s">
        <v>15</v>
      </c>
      <c r="Y21" s="45" t="s">
        <v>180</v>
      </c>
    </row>
    <row r="22" spans="15:47" ht="15" customHeight="1" x14ac:dyDescent="0.25">
      <c r="O22" s="42" t="s">
        <v>181</v>
      </c>
      <c r="P22" s="40" t="s">
        <v>179</v>
      </c>
      <c r="Q22" s="40"/>
      <c r="R22" s="40" t="s">
        <v>15</v>
      </c>
      <c r="S22" s="45" t="s">
        <v>180</v>
      </c>
      <c r="V22" s="43" t="s">
        <v>182</v>
      </c>
      <c r="W22" s="44">
        <f>PRODUCT(W13,W14,W17,W18,W19,W20,W21)</f>
        <v>28.06276368777398</v>
      </c>
      <c r="X22" s="43" t="s">
        <v>112</v>
      </c>
      <c r="Y22" s="49" t="s">
        <v>183</v>
      </c>
    </row>
    <row r="23" spans="15:47" ht="15" customHeight="1" x14ac:dyDescent="0.25">
      <c r="V23" s="43" t="s">
        <v>184</v>
      </c>
      <c r="W23" s="44">
        <f>((W6/W22)+(W7/Q6))^-1</f>
        <v>0.71935485136494215</v>
      </c>
      <c r="X23" s="43" t="s">
        <v>15</v>
      </c>
      <c r="Y23" s="43" t="s">
        <v>185</v>
      </c>
    </row>
    <row r="24" spans="15:47" ht="15" customHeight="1" x14ac:dyDescent="0.25">
      <c r="V24" s="43" t="s">
        <v>186</v>
      </c>
      <c r="W24" s="47">
        <f>((1-(W7/Q6))/W6)^-1</f>
        <v>47.061692476798378</v>
      </c>
      <c r="X24" s="43" t="s">
        <v>112</v>
      </c>
      <c r="Y24" s="43" t="s">
        <v>187</v>
      </c>
    </row>
    <row r="25" spans="15:47" ht="15" customHeight="1" x14ac:dyDescent="0.25">
      <c r="V25" s="40" t="s">
        <v>188</v>
      </c>
      <c r="W25" s="41">
        <f>IF(70&lt;Q6,IF(Q6&lt;200,1.06-2.8*(10^-3)*Q6+6.9*(10^-6)*(Q6^2),"Out of Bounds"),0.9)</f>
        <v>0.9</v>
      </c>
      <c r="X25" s="40" t="s">
        <v>15</v>
      </c>
      <c r="Y25" s="40" t="s">
        <v>189</v>
      </c>
      <c r="AM25" s="70" t="s">
        <v>190</v>
      </c>
      <c r="AN25" s="70"/>
      <c r="AO25" s="70"/>
      <c r="AP25" s="70"/>
    </row>
    <row r="26" spans="15:47" ht="15" customHeight="1" x14ac:dyDescent="0.25">
      <c r="V26" s="40" t="s">
        <v>151</v>
      </c>
      <c r="W26" s="50">
        <f>((W25*Q6)^2)/W22</f>
        <v>118.22641693146704</v>
      </c>
      <c r="X26" s="40" t="s">
        <v>15</v>
      </c>
      <c r="Y26" s="40" t="s">
        <v>191</v>
      </c>
      <c r="AM26" s="67" t="s">
        <v>161</v>
      </c>
      <c r="AN26" s="67" t="s">
        <v>192</v>
      </c>
      <c r="AO26" s="67"/>
      <c r="AP26" s="67" t="s">
        <v>193</v>
      </c>
      <c r="AR26" s="67" t="s">
        <v>161</v>
      </c>
      <c r="AS26" s="67" t="s">
        <v>192</v>
      </c>
      <c r="AT26" s="67"/>
      <c r="AU26" s="67" t="s">
        <v>193</v>
      </c>
    </row>
    <row r="27" spans="15:47" ht="15" customHeight="1" thickBot="1" x14ac:dyDescent="0.3">
      <c r="V27" s="40" t="s">
        <v>5</v>
      </c>
      <c r="W27" s="41">
        <f>-1*LOG10((W25*Q6)/W22)/3</f>
        <v>-0.10409734809007114</v>
      </c>
      <c r="X27" s="40" t="s">
        <v>15</v>
      </c>
      <c r="Y27" s="40" t="s">
        <v>194</v>
      </c>
      <c r="AM27" s="68"/>
      <c r="AN27" s="51" t="s">
        <v>195</v>
      </c>
      <c r="AO27" s="51" t="s">
        <v>196</v>
      </c>
      <c r="AP27" s="68"/>
      <c r="AR27" s="68"/>
      <c r="AS27" s="51" t="s">
        <v>195</v>
      </c>
      <c r="AT27" s="51" t="s">
        <v>196</v>
      </c>
      <c r="AU27" s="68"/>
    </row>
    <row r="28" spans="15:47" ht="15" customHeight="1" thickTop="1" x14ac:dyDescent="0.25">
      <c r="V28" s="43" t="s">
        <v>197</v>
      </c>
      <c r="W28" s="52">
        <f>(W24/W26)^(1/W27)</f>
        <v>6966.4003347336075</v>
      </c>
      <c r="X28" s="43" t="s">
        <v>15</v>
      </c>
      <c r="Y28" s="43" t="s">
        <v>198</v>
      </c>
      <c r="AM28" s="53" t="s">
        <v>199</v>
      </c>
      <c r="AN28" s="53">
        <v>1.34</v>
      </c>
      <c r="AO28" s="53">
        <v>1.58</v>
      </c>
      <c r="AP28" s="53">
        <v>-8.5000000000000006E-2</v>
      </c>
      <c r="AR28" s="53" t="s">
        <v>199</v>
      </c>
      <c r="AS28" s="53">
        <v>1.21</v>
      </c>
      <c r="AT28" s="53">
        <v>1.38</v>
      </c>
      <c r="AU28" s="53">
        <v>-6.7000000000000004E-2</v>
      </c>
    </row>
    <row r="29" spans="15:47" ht="15" customHeight="1" x14ac:dyDescent="0.25">
      <c r="AM29" s="48" t="s">
        <v>162</v>
      </c>
      <c r="AN29" s="48">
        <v>2.7</v>
      </c>
      <c r="AO29" s="48">
        <v>4.51</v>
      </c>
      <c r="AP29" s="48">
        <v>-0.26500000000000001</v>
      </c>
      <c r="AR29" s="48" t="s">
        <v>162</v>
      </c>
      <c r="AS29" s="48">
        <v>2</v>
      </c>
      <c r="AT29" s="48">
        <v>3.04</v>
      </c>
      <c r="AU29" s="48">
        <v>-0.217</v>
      </c>
    </row>
    <row r="30" spans="15:47" ht="15" customHeight="1" x14ac:dyDescent="0.25">
      <c r="V30" s="69" t="s">
        <v>200</v>
      </c>
      <c r="W30" s="69"/>
      <c r="X30" s="69"/>
      <c r="Y30" s="69"/>
      <c r="AM30" s="48" t="s">
        <v>201</v>
      </c>
      <c r="AN30" s="48">
        <v>14.4</v>
      </c>
      <c r="AO30" s="48">
        <v>57.7</v>
      </c>
      <c r="AP30" s="48">
        <v>-0.71799999999999997</v>
      </c>
      <c r="AR30" s="48" t="s">
        <v>201</v>
      </c>
      <c r="AS30" s="48">
        <v>11</v>
      </c>
      <c r="AT30" s="48">
        <v>38.6</v>
      </c>
      <c r="AU30" s="48">
        <v>-0.65</v>
      </c>
    </row>
    <row r="31" spans="15:47" ht="15" customHeight="1" thickBot="1" x14ac:dyDescent="0.3">
      <c r="V31" s="36" t="s">
        <v>107</v>
      </c>
      <c r="W31" s="36" t="s">
        <v>108</v>
      </c>
      <c r="X31" s="36" t="s">
        <v>109</v>
      </c>
      <c r="Y31" s="37" t="s">
        <v>110</v>
      </c>
      <c r="AM31" s="48" t="s">
        <v>202</v>
      </c>
      <c r="AN31" s="48">
        <v>39.9</v>
      </c>
      <c r="AO31" s="48">
        <v>272</v>
      </c>
      <c r="AP31" s="48">
        <v>-0.995</v>
      </c>
      <c r="AR31" s="48" t="s">
        <v>202</v>
      </c>
      <c r="AS31" s="48">
        <v>12.7</v>
      </c>
      <c r="AT31" s="48">
        <v>54.9</v>
      </c>
      <c r="AU31" s="48">
        <v>-0.75800000000000001</v>
      </c>
    </row>
    <row r="32" spans="15:47" ht="15" customHeight="1" thickTop="1" x14ac:dyDescent="0.25">
      <c r="V32" s="40" t="s">
        <v>123</v>
      </c>
      <c r="W32" s="41">
        <f>W8</f>
        <v>54.239193575126095</v>
      </c>
      <c r="X32" s="40" t="s">
        <v>112</v>
      </c>
      <c r="Y32" s="40" t="s">
        <v>124</v>
      </c>
    </row>
    <row r="33" spans="22:49" ht="15" customHeight="1" x14ac:dyDescent="0.25">
      <c r="V33" s="40" t="s">
        <v>139</v>
      </c>
      <c r="W33" s="54">
        <f>W12</f>
        <v>0.99559002338788849</v>
      </c>
      <c r="X33" s="40" t="s">
        <v>15</v>
      </c>
      <c r="Y33" s="40" t="s">
        <v>140</v>
      </c>
    </row>
    <row r="34" spans="22:49" ht="15" customHeight="1" x14ac:dyDescent="0.25">
      <c r="V34" s="40" t="s">
        <v>182</v>
      </c>
      <c r="W34" s="41">
        <f>W22</f>
        <v>28.06276368777398</v>
      </c>
      <c r="X34" s="40" t="s">
        <v>112</v>
      </c>
      <c r="Y34" s="45" t="s">
        <v>183</v>
      </c>
    </row>
    <row r="35" spans="22:49" ht="15" customHeight="1" x14ac:dyDescent="0.25">
      <c r="V35" s="40" t="s">
        <v>184</v>
      </c>
      <c r="W35" s="41">
        <f>W23</f>
        <v>0.71935485136494215</v>
      </c>
      <c r="X35" s="40" t="s">
        <v>15</v>
      </c>
      <c r="Y35" s="40" t="s">
        <v>185</v>
      </c>
    </row>
    <row r="36" spans="22:49" ht="15" customHeight="1" x14ac:dyDescent="0.25">
      <c r="V36" s="40" t="s">
        <v>186</v>
      </c>
      <c r="W36" s="41">
        <f>W24</f>
        <v>47.061692476798378</v>
      </c>
      <c r="X36" s="40" t="s">
        <v>112</v>
      </c>
      <c r="Y36" s="40" t="s">
        <v>187</v>
      </c>
    </row>
    <row r="37" spans="22:49" ht="15" customHeight="1" x14ac:dyDescent="0.25">
      <c r="V37" s="40" t="s">
        <v>197</v>
      </c>
      <c r="W37" s="55">
        <f>W28</f>
        <v>6966.4003347336075</v>
      </c>
      <c r="X37" s="40" t="s">
        <v>15</v>
      </c>
      <c r="Y37" s="40" t="s">
        <v>198</v>
      </c>
    </row>
    <row r="38" spans="22:49" ht="15" customHeight="1" x14ac:dyDescent="0.25">
      <c r="AA38"/>
    </row>
    <row r="39" spans="22:49" ht="15" customHeight="1" x14ac:dyDescent="0.25">
      <c r="AL39" s="1" t="s">
        <v>203</v>
      </c>
    </row>
    <row r="40" spans="22:49" ht="15" customHeight="1" x14ac:dyDescent="0.25">
      <c r="AW40"/>
    </row>
    <row r="48" spans="22:49" ht="15" customHeight="1" x14ac:dyDescent="0.25">
      <c r="AH48" s="1" t="s">
        <v>204</v>
      </c>
    </row>
    <row r="49" spans="39:82" ht="15" customHeight="1" x14ac:dyDescent="0.25">
      <c r="CD49"/>
    </row>
    <row r="55" spans="39:82" ht="15" customHeight="1" thickBot="1" x14ac:dyDescent="0.3">
      <c r="AM55" s="56" t="s">
        <v>205</v>
      </c>
      <c r="AN55" s="51" t="s">
        <v>206</v>
      </c>
      <c r="AO55" s="56" t="s">
        <v>207</v>
      </c>
      <c r="AP55" s="51" t="s">
        <v>206</v>
      </c>
    </row>
    <row r="56" spans="39:82" ht="15" customHeight="1" thickTop="1" x14ac:dyDescent="0.25">
      <c r="AM56" s="53">
        <v>20</v>
      </c>
      <c r="AN56" s="53">
        <v>1</v>
      </c>
      <c r="AO56" s="53">
        <v>70</v>
      </c>
      <c r="AP56" s="53">
        <v>1</v>
      </c>
    </row>
    <row r="57" spans="39:82" ht="15" customHeight="1" x14ac:dyDescent="0.25">
      <c r="AM57" s="48">
        <v>50</v>
      </c>
      <c r="AN57" s="48">
        <v>1.01</v>
      </c>
      <c r="AO57" s="48">
        <v>100</v>
      </c>
      <c r="AP57" s="48">
        <v>1.008</v>
      </c>
    </row>
    <row r="58" spans="39:82" ht="15" customHeight="1" x14ac:dyDescent="0.25">
      <c r="AM58" s="48">
        <v>100</v>
      </c>
      <c r="AN58" s="48">
        <v>1.02</v>
      </c>
      <c r="AO58" s="48">
        <v>200</v>
      </c>
      <c r="AP58" s="48">
        <v>1.02</v>
      </c>
    </row>
    <row r="59" spans="39:82" ht="15" customHeight="1" x14ac:dyDescent="0.25">
      <c r="AM59" s="48">
        <v>150</v>
      </c>
      <c r="AN59" s="48">
        <v>1.0249999999999999</v>
      </c>
      <c r="AO59" s="48">
        <v>300</v>
      </c>
      <c r="AP59" s="48">
        <v>1.024</v>
      </c>
    </row>
    <row r="60" spans="39:82" ht="15" customHeight="1" x14ac:dyDescent="0.25">
      <c r="AM60" s="48">
        <v>200</v>
      </c>
      <c r="AN60" s="48">
        <v>1.02</v>
      </c>
      <c r="AO60" s="48">
        <v>400</v>
      </c>
      <c r="AP60" s="48">
        <v>1.018</v>
      </c>
    </row>
    <row r="61" spans="39:82" ht="15" customHeight="1" x14ac:dyDescent="0.25">
      <c r="AM61" s="48">
        <v>250</v>
      </c>
      <c r="AN61" s="48">
        <v>1</v>
      </c>
      <c r="AO61" s="48">
        <v>500</v>
      </c>
      <c r="AP61" s="48">
        <v>0.995</v>
      </c>
    </row>
    <row r="62" spans="39:82" ht="15" customHeight="1" x14ac:dyDescent="0.25">
      <c r="AM62" s="48">
        <v>300</v>
      </c>
      <c r="AN62" s="48">
        <v>0.97499999999999998</v>
      </c>
      <c r="AO62" s="48">
        <v>600</v>
      </c>
      <c r="AP62" s="48">
        <v>0.96299999999999997</v>
      </c>
    </row>
    <row r="63" spans="39:82" ht="15" customHeight="1" x14ac:dyDescent="0.25">
      <c r="AM63" s="48">
        <v>350</v>
      </c>
      <c r="AN63" s="48">
        <v>0.94299999999999995</v>
      </c>
      <c r="AO63" s="48">
        <v>700</v>
      </c>
      <c r="AP63" s="48">
        <v>0.92700000000000005</v>
      </c>
    </row>
    <row r="64" spans="39:82" ht="15" customHeight="1" x14ac:dyDescent="0.25">
      <c r="AM64" s="48">
        <v>400</v>
      </c>
      <c r="AN64" s="48">
        <v>0.9</v>
      </c>
      <c r="AO64" s="48">
        <v>800</v>
      </c>
      <c r="AP64" s="48">
        <v>0.872</v>
      </c>
    </row>
    <row r="65" spans="36:42" ht="15" customHeight="1" x14ac:dyDescent="0.25">
      <c r="AM65" s="48">
        <v>450</v>
      </c>
      <c r="AN65" s="48">
        <v>0.84299999999999997</v>
      </c>
      <c r="AO65" s="48">
        <v>900</v>
      </c>
      <c r="AP65" s="48">
        <v>0.79700000000000004</v>
      </c>
    </row>
    <row r="66" spans="36:42" ht="15" customHeight="1" x14ac:dyDescent="0.25">
      <c r="AM66" s="48">
        <v>500</v>
      </c>
      <c r="AN66" s="48">
        <v>0.76800000000000002</v>
      </c>
      <c r="AO66" s="48">
        <v>1000</v>
      </c>
      <c r="AP66" s="48">
        <v>0.69799999999999995</v>
      </c>
    </row>
    <row r="67" spans="36:42" ht="15" customHeight="1" x14ac:dyDescent="0.25">
      <c r="AM67" s="48">
        <v>550</v>
      </c>
      <c r="AN67" s="48">
        <v>0.67200000000000004</v>
      </c>
      <c r="AO67" s="48">
        <v>1100</v>
      </c>
      <c r="AP67" s="48">
        <v>0.56699999999999995</v>
      </c>
    </row>
    <row r="68" spans="36:42" ht="15" customHeight="1" x14ac:dyDescent="0.25">
      <c r="AM68" s="48">
        <v>600</v>
      </c>
      <c r="AN68" s="48">
        <v>0.54900000000000004</v>
      </c>
      <c r="AO68" s="48"/>
      <c r="AP68" s="48"/>
    </row>
    <row r="77" spans="36:42" ht="15" customHeight="1" x14ac:dyDescent="0.25">
      <c r="AJ77" s="1" t="s">
        <v>208</v>
      </c>
    </row>
    <row r="83" spans="39:41" ht="15" customHeight="1" thickBot="1" x14ac:dyDescent="0.3">
      <c r="AM83" s="56" t="s">
        <v>209</v>
      </c>
      <c r="AN83" s="51" t="s">
        <v>210</v>
      </c>
      <c r="AO83" s="56" t="s">
        <v>211</v>
      </c>
    </row>
    <row r="84" spans="39:41" ht="15" customHeight="1" thickTop="1" x14ac:dyDescent="0.25">
      <c r="AM84" s="53">
        <v>50</v>
      </c>
      <c r="AN84" s="53">
        <v>0</v>
      </c>
      <c r="AO84" s="53">
        <v>1</v>
      </c>
    </row>
    <row r="85" spans="39:41" ht="15" customHeight="1" x14ac:dyDescent="0.25">
      <c r="AM85" s="48">
        <v>90</v>
      </c>
      <c r="AN85" s="48">
        <v>1.288</v>
      </c>
      <c r="AO85" s="48">
        <v>0.89700000000000002</v>
      </c>
    </row>
    <row r="86" spans="39:41" ht="15" customHeight="1" x14ac:dyDescent="0.25">
      <c r="AM86" s="48">
        <v>95</v>
      </c>
      <c r="AN86" s="48">
        <v>1.645</v>
      </c>
      <c r="AO86" s="48">
        <v>0.86799999999999999</v>
      </c>
    </row>
    <row r="87" spans="39:41" ht="15" customHeight="1" x14ac:dyDescent="0.25">
      <c r="AM87" s="48">
        <v>99</v>
      </c>
      <c r="AN87" s="48">
        <v>2.3260000000000001</v>
      </c>
      <c r="AO87" s="48">
        <v>0.81399999999999995</v>
      </c>
    </row>
    <row r="88" spans="39:41" ht="15" customHeight="1" x14ac:dyDescent="0.25">
      <c r="AM88" s="48">
        <v>99.9</v>
      </c>
      <c r="AN88" s="48">
        <v>3.0910000000000002</v>
      </c>
      <c r="AO88" s="48">
        <v>0.753</v>
      </c>
    </row>
    <row r="89" spans="39:41" ht="15" customHeight="1" x14ac:dyDescent="0.25">
      <c r="AM89" s="48">
        <v>99.99</v>
      </c>
      <c r="AN89" s="48">
        <v>3.7189999999999999</v>
      </c>
      <c r="AO89" s="48">
        <v>0.70199999999999996</v>
      </c>
    </row>
  </sheetData>
  <mergeCells count="14">
    <mergeCell ref="AU26:AU27"/>
    <mergeCell ref="V30:Y30"/>
    <mergeCell ref="AM25:AP25"/>
    <mergeCell ref="AM26:AM27"/>
    <mergeCell ref="AN26:AO26"/>
    <mergeCell ref="AP26:AP27"/>
    <mergeCell ref="AR26:AR27"/>
    <mergeCell ref="AS26:AT26"/>
    <mergeCell ref="P4:S4"/>
    <mergeCell ref="V4:Y4"/>
    <mergeCell ref="O8:O13"/>
    <mergeCell ref="O14:O15"/>
    <mergeCell ref="U14:U21"/>
    <mergeCell ref="O16:O17"/>
  </mergeCells>
  <dataValidations count="3">
    <dataValidation type="list" allowBlank="1" showInputMessage="1" showErrorMessage="1" sqref="Q21" xr:uid="{195C8201-E1CD-4C1D-B28D-7DCF523196B4}">
      <formula1>$AM$84:$AM$89</formula1>
    </dataValidation>
    <dataValidation type="list" allowBlank="1" showInputMessage="1" showErrorMessage="1" sqref="Q20" xr:uid="{D8E4E19C-7C3A-41E5-8537-4812562A46A1}">
      <formula1>$AO$56:$AO$67</formula1>
    </dataValidation>
    <dataValidation type="list" allowBlank="1" showInputMessage="1" showErrorMessage="1" sqref="Q18" xr:uid="{CDC8A7F7-87EA-478C-9E0D-BAD4A65C013B}">
      <formula1>$AM$28:$AM$31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L13&amp;14 Weld Design</vt:lpstr>
      <vt:lpstr>L15 Weld Fatigue</vt:lpstr>
      <vt:lpstr>ME 328 Fatigue Calc (English)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2025-02-03T09:45:49Z</dcterms:created>
  <dcterms:modified xsi:type="dcterms:W3CDTF">2025-03-11T07:23:19Z</dcterms:modified>
  <cp:category/>
  <cp:contentStatus/>
</cp:coreProperties>
</file>