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628" documentId="11_0B1D56BE9CDCCE836B02CE7A5FB0D4A9BBFD1C62" xr6:coauthVersionLast="47" xr6:coauthVersionMax="47" xr10:uidLastSave="{0D82B606-BF30-4949-A90C-624F1CED0780}"/>
  <bookViews>
    <workbookView xWindow="-120" yWindow="-120" windowWidth="38640" windowHeight="21120" xr2:uid="{00000000-000D-0000-FFFF-FFFF00000000}"/>
  </bookViews>
  <sheets>
    <sheet name="L21&amp;22 Journal Bearing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I12" i="2"/>
  <c r="I6" i="2"/>
  <c r="N22" i="2"/>
  <c r="N21" i="2"/>
  <c r="N19" i="2"/>
  <c r="N18" i="2"/>
  <c r="J14" i="2"/>
  <c r="N16" i="2"/>
  <c r="J13" i="2"/>
  <c r="N15" i="2"/>
  <c r="D17" i="2"/>
  <c r="D16" i="2"/>
  <c r="D12" i="2"/>
  <c r="C12" i="2"/>
  <c r="C19" i="2"/>
  <c r="C16" i="2" s="1"/>
  <c r="C17" i="2" s="1"/>
  <c r="C11" i="2"/>
  <c r="N12" i="2"/>
  <c r="N11" i="2"/>
  <c r="J7" i="2"/>
  <c r="D9" i="2"/>
  <c r="C9" i="2"/>
  <c r="J6" i="2"/>
  <c r="F18" i="2"/>
  <c r="J11" i="2"/>
  <c r="D15" i="2"/>
  <c r="J10" i="2"/>
  <c r="D8" i="2"/>
  <c r="C8" i="2"/>
  <c r="I10" i="2" s="1"/>
  <c r="J9" i="2"/>
  <c r="D7" i="2"/>
  <c r="C7" i="2"/>
  <c r="J8" i="2"/>
  <c r="D6" i="2"/>
  <c r="C6" i="2"/>
  <c r="I13" i="2" l="1"/>
  <c r="I14" i="2" s="1"/>
  <c r="I7" i="2"/>
  <c r="M18" i="2"/>
  <c r="I11" i="2"/>
  <c r="M11" i="2"/>
  <c r="M12" i="2" s="1"/>
  <c r="I8" i="2"/>
  <c r="I9" i="2" s="1"/>
  <c r="I15" i="2" l="1"/>
  <c r="I16" i="2" s="1"/>
  <c r="M7" i="2" s="1"/>
  <c r="M14" i="2"/>
  <c r="M15" i="2" s="1"/>
  <c r="M16" i="2" s="1"/>
  <c r="M19" i="2"/>
  <c r="M21" i="2"/>
  <c r="M22" i="2" s="1"/>
</calcChain>
</file>

<file path=xl/sharedStrings.xml><?xml version="1.0" encoding="utf-8"?>
<sst xmlns="http://schemas.openxmlformats.org/spreadsheetml/2006/main" count="54" uniqueCount="41">
  <si>
    <t>INPUTS</t>
  </si>
  <si>
    <t>Units:</t>
  </si>
  <si>
    <t>Metric</t>
  </si>
  <si>
    <t>Journal Bearing Inputs</t>
  </si>
  <si>
    <t>Journal Diameter, d</t>
  </si>
  <si>
    <t>Unilateral tolerance</t>
  </si>
  <si>
    <t>Bushing Bore Diameter</t>
  </si>
  <si>
    <t>l/d ratio</t>
  </si>
  <si>
    <t>Load</t>
  </si>
  <si>
    <t>rev/min</t>
  </si>
  <si>
    <t>Journal Bearing Outputs</t>
  </si>
  <si>
    <t>Max clearance, c</t>
  </si>
  <si>
    <t>Min clearance, c</t>
  </si>
  <si>
    <t>Clearance ratio, r/c</t>
  </si>
  <si>
    <t>Angular Velocity, N</t>
  </si>
  <si>
    <t>rev/s</t>
  </si>
  <si>
    <t>Net Pressure, P</t>
  </si>
  <si>
    <t>Journal length, l</t>
  </si>
  <si>
    <r>
      <t>Minimum film thickness, h</t>
    </r>
    <r>
      <rPr>
        <vertAlign val="subscript"/>
        <sz val="11"/>
        <color theme="1"/>
        <rFont val="Aptos Narrow"/>
        <family val="2"/>
        <scheme val="minor"/>
      </rPr>
      <t>0</t>
    </r>
  </si>
  <si>
    <t>μN/P</t>
  </si>
  <si>
    <t>Average Dynamic Viscosity, μ</t>
  </si>
  <si>
    <t>Shaft Radius ignoring tolerances</t>
  </si>
  <si>
    <t>Sommerfeld ratio, S</t>
  </si>
  <si>
    <r>
      <t>h</t>
    </r>
    <r>
      <rPr>
        <vertAlign val="subscript"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/c From Figure 12-16</t>
    </r>
  </si>
  <si>
    <t>Figure Important Lookup Values</t>
  </si>
  <si>
    <t>Values From Figures</t>
  </si>
  <si>
    <r>
      <rPr>
        <i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>*(r/c) From Figure 12-18</t>
    </r>
  </si>
  <si>
    <r>
      <t xml:space="preserve">Coefficient of friction, </t>
    </r>
    <r>
      <rPr>
        <i/>
        <sz val="11"/>
        <color theme="1"/>
        <rFont val="Aptos Narrow"/>
        <family val="2"/>
        <scheme val="minor"/>
      </rPr>
      <t>f</t>
    </r>
  </si>
  <si>
    <t>Friction force needed to rotate shaft</t>
  </si>
  <si>
    <t>Torque applied to rotate shaft</t>
  </si>
  <si>
    <t>Q/(rcNl) From Figure 12-19</t>
  </si>
  <si>
    <t>Volumetric flowrate of lubricant, Q</t>
  </si>
  <si>
    <r>
      <t>Q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>/Q From Figure 12-20</t>
    </r>
  </si>
  <si>
    <r>
      <t>Side flowrate Q</t>
    </r>
    <r>
      <rPr>
        <vertAlign val="subscript"/>
        <sz val="11"/>
        <color theme="1"/>
        <rFont val="Aptos Narrow"/>
        <family val="2"/>
        <scheme val="minor"/>
      </rPr>
      <t>s</t>
    </r>
  </si>
  <si>
    <t>-</t>
  </si>
  <si>
    <t>Journal Length, l</t>
  </si>
  <si>
    <t>l known</t>
  </si>
  <si>
    <t>l/d</t>
  </si>
  <si>
    <t>l/d known</t>
  </si>
  <si>
    <t>Length 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</si>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</sst>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48" fontId="0" fillId="3" borderId="0" xfId="0" applyNumberForma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5" borderId="0" xfId="0" quotePrefix="1" applyFill="1" applyAlignment="1">
      <alignment vertical="center"/>
    </xf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quotePrefix="1" applyFill="1" applyAlignment="1">
      <alignment vertical="center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quotePrefix="1" applyFill="1" applyAlignment="1">
      <alignment vertical="center"/>
    </xf>
  </cellXfs>
  <cellStyles count="1">
    <cellStyle name="Normal" xfId="0" builtinId="0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7</xdr:col>
      <xdr:colOff>1849458</xdr:colOff>
      <xdr:row>52</xdr:row>
      <xdr:rowOff>155660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2F0539-03C9-42DF-8C1D-4D11A557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4572000"/>
          <a:ext cx="7319530" cy="54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1849458</xdr:colOff>
      <xdr:row>82</xdr:row>
      <xdr:rowOff>155660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75BF9AD-9C92-4DEC-9F42-EC151DCD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21" y="10287000"/>
          <a:ext cx="7319530" cy="54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264721</xdr:colOff>
      <xdr:row>24</xdr:row>
      <xdr:rowOff>0</xdr:rowOff>
    </xdr:from>
    <xdr:to>
      <xdr:col>16</xdr:col>
      <xdr:colOff>251361</xdr:colOff>
      <xdr:row>52</xdr:row>
      <xdr:rowOff>155660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6ADFBB-A257-44F0-B642-C37A2A1F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8185" y="4572000"/>
          <a:ext cx="7252855" cy="54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264721</xdr:colOff>
      <xdr:row>54</xdr:row>
      <xdr:rowOff>0</xdr:rowOff>
    </xdr:from>
    <xdr:to>
      <xdr:col>16</xdr:col>
      <xdr:colOff>251361</xdr:colOff>
      <xdr:row>82</xdr:row>
      <xdr:rowOff>155660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9FAD34D-9248-4524-BED0-23C6EEEB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8185" y="10287000"/>
          <a:ext cx="7252855" cy="5489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514597</xdr:colOff>
      <xdr:row>24</xdr:row>
      <xdr:rowOff>0</xdr:rowOff>
    </xdr:from>
    <xdr:to>
      <xdr:col>28</xdr:col>
      <xdr:colOff>440376</xdr:colOff>
      <xdr:row>52</xdr:row>
      <xdr:rowOff>136159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4E27BEA-4D87-4BF6-A0DE-224945788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4276" y="4572000"/>
          <a:ext cx="7273636" cy="547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514597</xdr:colOff>
      <xdr:row>54</xdr:row>
      <xdr:rowOff>0</xdr:rowOff>
    </xdr:from>
    <xdr:to>
      <xdr:col>28</xdr:col>
      <xdr:colOff>440376</xdr:colOff>
      <xdr:row>82</xdr:row>
      <xdr:rowOff>136159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521CB02-2AE2-41B9-84E3-2A5615FD6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4276" y="10287000"/>
          <a:ext cx="7273636" cy="547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434192</xdr:colOff>
      <xdr:row>24</xdr:row>
      <xdr:rowOff>0</xdr:rowOff>
    </xdr:from>
    <xdr:to>
      <xdr:col>41</xdr:col>
      <xdr:colOff>359971</xdr:colOff>
      <xdr:row>52</xdr:row>
      <xdr:rowOff>143455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BB0C3D4-E095-4437-97FF-17ACB4198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84049" y="4572000"/>
          <a:ext cx="7273636" cy="547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5247-BC1F-48C9-9AA6-00610A6728F4}">
  <sheetPr>
    <tabColor rgb="FFC00000"/>
  </sheetPr>
  <dimension ref="B2:N202"/>
  <sheetViews>
    <sheetView tabSelected="1" zoomScale="130" zoomScaleNormal="130" workbookViewId="0">
      <selection activeCell="H4" sqref="H4"/>
    </sheetView>
  </sheetViews>
  <sheetFormatPr defaultRowHeight="15" customHeight="1" x14ac:dyDescent="0.25"/>
  <cols>
    <col min="2" max="2" width="30.5703125" style="1" bestFit="1" customWidth="1"/>
    <col min="3" max="3" width="13" style="1" customWidth="1"/>
    <col min="4" max="4" width="10.140625" style="1" customWidth="1"/>
    <col min="5" max="5" width="9.7109375" bestFit="1" customWidth="1"/>
    <col min="8" max="8" width="30.5703125" style="1" bestFit="1" customWidth="1"/>
    <col min="9" max="9" width="13" style="1" customWidth="1"/>
    <col min="10" max="10" width="10.140625" style="1" customWidth="1"/>
    <col min="12" max="12" width="30.5703125" style="1" bestFit="1" customWidth="1"/>
    <col min="13" max="13" width="13" style="1" customWidth="1"/>
    <col min="14" max="14" width="14.42578125" style="1" customWidth="1"/>
  </cols>
  <sheetData>
    <row r="2" spans="2:14" ht="15" customHeight="1" x14ac:dyDescent="0.25">
      <c r="B2"/>
      <c r="C2"/>
      <c r="D2"/>
      <c r="H2"/>
      <c r="I2"/>
      <c r="J2"/>
    </row>
    <row r="3" spans="2:14" ht="15" customHeight="1" x14ac:dyDescent="0.25">
      <c r="B3" s="2" t="s">
        <v>0</v>
      </c>
      <c r="C3" s="3" t="s">
        <v>1</v>
      </c>
      <c r="D3" s="4" t="s">
        <v>2</v>
      </c>
      <c r="E3" s="16"/>
      <c r="F3" s="16"/>
      <c r="H3" s="6" t="s">
        <v>40</v>
      </c>
      <c r="I3" s="6"/>
      <c r="J3" s="6"/>
      <c r="K3" s="6"/>
      <c r="L3" s="6"/>
      <c r="M3" s="6"/>
      <c r="N3" s="6"/>
    </row>
    <row r="5" spans="2:14" ht="15" customHeight="1" x14ac:dyDescent="0.25">
      <c r="B5" s="8" t="s">
        <v>3</v>
      </c>
      <c r="C5" s="9"/>
      <c r="D5" s="9"/>
      <c r="H5" s="10" t="s">
        <v>10</v>
      </c>
      <c r="I5" s="11"/>
      <c r="J5" s="11"/>
      <c r="L5" s="10" t="s">
        <v>24</v>
      </c>
      <c r="M5" s="10"/>
      <c r="N5" s="10"/>
    </row>
    <row r="6" spans="2:14" ht="15" customHeight="1" x14ac:dyDescent="0.25">
      <c r="B6" s="5" t="s">
        <v>4</v>
      </c>
      <c r="C6" s="5">
        <f>25*10^-3</f>
        <v>2.5000000000000001E-2</v>
      </c>
      <c r="D6" s="5" t="str">
        <f>IF($D$3="English","in", "m")</f>
        <v>m</v>
      </c>
      <c r="H6" s="7" t="s">
        <v>21</v>
      </c>
      <c r="I6" s="7">
        <f>$C$6/2</f>
        <v>1.2500000000000001E-2</v>
      </c>
      <c r="J6" s="7" t="str">
        <f>IF($D$3="English","in", "m")</f>
        <v>m</v>
      </c>
      <c r="L6" s="12" t="s">
        <v>7</v>
      </c>
      <c r="M6" s="12">
        <f>C19</f>
        <v>0.5</v>
      </c>
      <c r="N6" s="15" t="s">
        <v>34</v>
      </c>
    </row>
    <row r="7" spans="2:14" ht="15" customHeight="1" x14ac:dyDescent="0.25">
      <c r="B7" s="5" t="s">
        <v>5</v>
      </c>
      <c r="C7" s="5">
        <f>-0.03*10^-3</f>
        <v>-3.0000000000000001E-5</v>
      </c>
      <c r="D7" s="5" t="str">
        <f>IF($D$3="English","in", "m")</f>
        <v>m</v>
      </c>
      <c r="H7" s="7"/>
      <c r="I7" s="7">
        <f>I6*10^3</f>
        <v>12.5</v>
      </c>
      <c r="J7" s="7" t="str">
        <f>IF($D$3="English","*10^-3 in", "mm")</f>
        <v>mm</v>
      </c>
      <c r="L7" s="12" t="s">
        <v>22</v>
      </c>
      <c r="M7" s="12">
        <f>I16</f>
        <v>0.18235194830248408</v>
      </c>
      <c r="N7" s="15" t="s">
        <v>34</v>
      </c>
    </row>
    <row r="8" spans="2:14" ht="15" customHeight="1" x14ac:dyDescent="0.25">
      <c r="B8" s="5" t="s">
        <v>6</v>
      </c>
      <c r="C8" s="5">
        <f>25.03*10^-3</f>
        <v>2.503E-2</v>
      </c>
      <c r="D8" s="5" t="str">
        <f>IF($D$3="English","in", "m")</f>
        <v>m</v>
      </c>
      <c r="H8" s="7" t="s">
        <v>11</v>
      </c>
      <c r="I8" s="7">
        <f>(C8-(C6+C7))/2</f>
        <v>2.9999999999998778E-5</v>
      </c>
      <c r="J8" s="7" t="str">
        <f>IF($D$3="English","in", "m")</f>
        <v>m</v>
      </c>
      <c r="L8"/>
      <c r="M8"/>
      <c r="N8"/>
    </row>
    <row r="9" spans="2:14" ht="15" customHeight="1" x14ac:dyDescent="0.25">
      <c r="B9" s="5" t="s">
        <v>8</v>
      </c>
      <c r="C9" s="5">
        <f>1.2*10^3</f>
        <v>1200</v>
      </c>
      <c r="D9" s="5" t="str">
        <f>IF($D$3="English","lbf", "N")</f>
        <v>N</v>
      </c>
      <c r="H9" s="7"/>
      <c r="I9" s="7">
        <f>I8*10^3</f>
        <v>2.9999999999998778E-2</v>
      </c>
      <c r="J9" s="7" t="str">
        <f>IF($D$3="English","*10^-3 in", "mm")</f>
        <v>mm</v>
      </c>
      <c r="L9" s="10" t="s">
        <v>25</v>
      </c>
      <c r="M9" s="11"/>
      <c r="N9" s="11"/>
    </row>
    <row r="10" spans="2:14" ht="15" customHeight="1" x14ac:dyDescent="0.25">
      <c r="B10" s="5" t="s">
        <v>14</v>
      </c>
      <c r="C10" s="5">
        <v>1100</v>
      </c>
      <c r="D10" s="5" t="s">
        <v>9</v>
      </c>
      <c r="H10" s="7" t="s">
        <v>12</v>
      </c>
      <c r="I10" s="7">
        <f>(C8-C6)/2</f>
        <v>1.4999999999999389E-5</v>
      </c>
      <c r="J10" s="7" t="str">
        <f>IF($D$3="English","in", "m")</f>
        <v>m</v>
      </c>
      <c r="L10" s="5" t="s">
        <v>23</v>
      </c>
      <c r="M10" s="5">
        <v>0.3</v>
      </c>
      <c r="N10" s="18" t="s">
        <v>34</v>
      </c>
    </row>
    <row r="11" spans="2:14" ht="15" customHeight="1" x14ac:dyDescent="0.25">
      <c r="B11" s="7"/>
      <c r="C11" s="7">
        <f>C10/60</f>
        <v>18.333333333333332</v>
      </c>
      <c r="D11" s="7" t="s">
        <v>15</v>
      </c>
      <c r="H11" s="7"/>
      <c r="I11" s="7">
        <f>I10*10^3</f>
        <v>1.4999999999999389E-2</v>
      </c>
      <c r="J11" s="7" t="str">
        <f>IF($D$3="English","*10^-3 in", "mm")</f>
        <v>mm</v>
      </c>
      <c r="L11" s="7" t="s">
        <v>18</v>
      </c>
      <c r="M11" s="7">
        <f>M10*I10</f>
        <v>4.4999999999998163E-6</v>
      </c>
      <c r="N11" s="7" t="str">
        <f>IF($D$3="English","in", "m")</f>
        <v>m</v>
      </c>
    </row>
    <row r="12" spans="2:14" ht="15" customHeight="1" x14ac:dyDescent="0.25">
      <c r="B12" s="5" t="s">
        <v>20</v>
      </c>
      <c r="C12" s="5">
        <f>55*10^-3</f>
        <v>5.5E-2</v>
      </c>
      <c r="D12" s="5" t="str">
        <f>IF($D$3="English","psi-s", "Pa-s")</f>
        <v>Pa-s</v>
      </c>
      <c r="H12" s="7" t="s">
        <v>13</v>
      </c>
      <c r="I12" s="7">
        <f>I6/I10</f>
        <v>833.33333333336736</v>
      </c>
      <c r="J12" s="20" t="s">
        <v>34</v>
      </c>
      <c r="L12" s="7"/>
      <c r="M12" s="7">
        <f>M11*10^3</f>
        <v>4.4999999999998166E-3</v>
      </c>
      <c r="N12" s="7" t="str">
        <f>IF($D$3="English","*10^-3 in", "mm")</f>
        <v>mm</v>
      </c>
    </row>
    <row r="13" spans="2:14" ht="15" customHeight="1" x14ac:dyDescent="0.25">
      <c r="H13" s="7" t="s">
        <v>16</v>
      </c>
      <c r="I13" s="14">
        <f>C9/(2*I6*C16)</f>
        <v>3839999.9999999991</v>
      </c>
      <c r="J13" s="7" t="str">
        <f>IF($D$3="English","psi","Pa")</f>
        <v>Pa</v>
      </c>
      <c r="L13" s="5" t="s">
        <v>26</v>
      </c>
      <c r="M13" s="5">
        <v>5.2</v>
      </c>
      <c r="N13" s="18" t="s">
        <v>34</v>
      </c>
    </row>
    <row r="14" spans="2:14" ht="15" customHeight="1" x14ac:dyDescent="0.25">
      <c r="B14" s="8" t="s">
        <v>39</v>
      </c>
      <c r="C14" s="9"/>
      <c r="D14" s="9"/>
      <c r="E14" s="9"/>
      <c r="F14" s="9"/>
      <c r="H14" s="7"/>
      <c r="I14" s="7">
        <f>I13*10^-6</f>
        <v>3.839999999999999</v>
      </c>
      <c r="J14" s="7" t="str">
        <f>IF($D$3="English","Mpsi","MPa")</f>
        <v>MPa</v>
      </c>
      <c r="L14" s="7" t="s">
        <v>27</v>
      </c>
      <c r="M14" s="7">
        <f>M13/I12</f>
        <v>6.2399999999997458E-3</v>
      </c>
      <c r="N14" s="20" t="s">
        <v>34</v>
      </c>
    </row>
    <row r="15" spans="2:14" ht="15" customHeight="1" x14ac:dyDescent="0.25">
      <c r="B15" s="5" t="s">
        <v>35</v>
      </c>
      <c r="C15" s="5"/>
      <c r="D15" s="5" t="str">
        <f>IF($D$3="English","in", "m")</f>
        <v>m</v>
      </c>
      <c r="E15" s="16" t="s">
        <v>36</v>
      </c>
      <c r="F15" s="17" t="b">
        <v>0</v>
      </c>
      <c r="H15" s="7" t="s">
        <v>19</v>
      </c>
      <c r="I15" s="7">
        <f>(C12*C11)/I13</f>
        <v>2.625868055555556E-7</v>
      </c>
      <c r="J15" s="20" t="s">
        <v>34</v>
      </c>
      <c r="L15" s="7" t="s">
        <v>28</v>
      </c>
      <c r="M15" s="7">
        <f>M14*C9</f>
        <v>7.4879999999996949</v>
      </c>
      <c r="N15" s="7" t="str">
        <f>IF($D$3="English","lbf", "N")</f>
        <v>N</v>
      </c>
    </row>
    <row r="16" spans="2:14" ht="15" customHeight="1" x14ac:dyDescent="0.25">
      <c r="B16" s="7" t="s">
        <v>17</v>
      </c>
      <c r="C16" s="7">
        <f>IF(F15,C15,C19*C6)</f>
        <v>1.2500000000000001E-2</v>
      </c>
      <c r="D16" s="7" t="str">
        <f>IF($D$3="English","in", "m")</f>
        <v>m</v>
      </c>
      <c r="H16" s="7" t="s">
        <v>22</v>
      </c>
      <c r="I16" s="7">
        <f>(I12^2)*I15</f>
        <v>0.18235194830248408</v>
      </c>
      <c r="J16" s="20" t="s">
        <v>34</v>
      </c>
      <c r="L16" s="7" t="s">
        <v>29</v>
      </c>
      <c r="M16" s="7">
        <f>M15*I6</f>
        <v>9.3599999999996186E-2</v>
      </c>
      <c r="N16" s="7" t="str">
        <f>IF($D$3="English","lbf-in", "Nm")</f>
        <v>Nm</v>
      </c>
    </row>
    <row r="17" spans="2:14" ht="15" customHeight="1" x14ac:dyDescent="0.25">
      <c r="B17" s="7"/>
      <c r="C17" s="7">
        <f>C16*10^3</f>
        <v>12.5</v>
      </c>
      <c r="D17" s="7" t="str">
        <f>IF($D$3="English","*10^-3 in", "mm")</f>
        <v>mm</v>
      </c>
      <c r="L17" s="5" t="s">
        <v>30</v>
      </c>
      <c r="M17" s="5">
        <v>5.0999999999999996</v>
      </c>
      <c r="N17" s="18" t="s">
        <v>34</v>
      </c>
    </row>
    <row r="18" spans="2:14" ht="15" customHeight="1" x14ac:dyDescent="0.25">
      <c r="B18" s="5" t="s">
        <v>37</v>
      </c>
      <c r="C18" s="5">
        <v>0.5</v>
      </c>
      <c r="D18" s="18" t="s">
        <v>34</v>
      </c>
      <c r="E18" s="16" t="s">
        <v>38</v>
      </c>
      <c r="F18" s="19" t="b">
        <f>NOT(F15)</f>
        <v>1</v>
      </c>
      <c r="L18" s="7" t="s">
        <v>31</v>
      </c>
      <c r="M18" s="13">
        <f>M17*(I6*I10*C11*C16)</f>
        <v>2.1914062499999106E-7</v>
      </c>
      <c r="N18" s="7" t="str">
        <f>IF($D$3="English","(in^3)/s", "(m^3)/s")</f>
        <v>(m^3)/s</v>
      </c>
    </row>
    <row r="19" spans="2:14" ht="15" customHeight="1" x14ac:dyDescent="0.25">
      <c r="B19" s="7" t="s">
        <v>37</v>
      </c>
      <c r="C19" s="7">
        <f>IF(F15,C15/C6,C18)</f>
        <v>0.5</v>
      </c>
      <c r="D19" s="20" t="s">
        <v>34</v>
      </c>
      <c r="L19" s="7"/>
      <c r="M19" s="7">
        <f>M18*10^9</f>
        <v>219.14062499999105</v>
      </c>
      <c r="N19" s="7" t="str">
        <f>IF($D$3="English","*10^-9 (in^3)/s", "(mm^3)/s")</f>
        <v>(mm^3)/s</v>
      </c>
    </row>
    <row r="20" spans="2:14" ht="15" customHeight="1" x14ac:dyDescent="0.25">
      <c r="L20" s="5" t="s">
        <v>32</v>
      </c>
      <c r="M20" s="5">
        <v>0.8</v>
      </c>
      <c r="N20" s="18" t="s">
        <v>34</v>
      </c>
    </row>
    <row r="21" spans="2:14" ht="15" customHeight="1" x14ac:dyDescent="0.25">
      <c r="L21" s="7" t="s">
        <v>33</v>
      </c>
      <c r="M21" s="13">
        <f>M20*M18</f>
        <v>1.7531249999999287E-7</v>
      </c>
      <c r="N21" s="7" t="str">
        <f>IF($D$3="English","(in^3)/s", "(m^3)/s")</f>
        <v>(m^3)/s</v>
      </c>
    </row>
    <row r="22" spans="2:14" ht="15" customHeight="1" x14ac:dyDescent="0.25">
      <c r="L22" s="7"/>
      <c r="M22" s="7">
        <f>M21*10^9</f>
        <v>175.31249999999287</v>
      </c>
      <c r="N22" s="7" t="str">
        <f>IF($D$3="English","*10^-9 (in^3)/s", "(mm^3)/s")</f>
        <v>(mm^3)/s</v>
      </c>
    </row>
    <row r="24" spans="2:14" ht="15" customHeight="1" x14ac:dyDescent="0.25">
      <c r="B24"/>
    </row>
    <row r="202" spans="2:2" ht="15" customHeight="1" x14ac:dyDescent="0.25">
      <c r="B202"/>
    </row>
  </sheetData>
  <conditionalFormatting sqref="B15:D15">
    <cfRule type="expression" dxfId="1" priority="4">
      <formula>$F$18</formula>
    </cfRule>
  </conditionalFormatting>
  <conditionalFormatting sqref="B18:D18">
    <cfRule type="expression" dxfId="0" priority="1">
      <formula>$F$15</formula>
    </cfRule>
  </conditionalFormatting>
  <dataValidations count="1">
    <dataValidation type="list" allowBlank="1" showInputMessage="1" showErrorMessage="1" sqref="D3" xr:uid="{C45C0D2C-5B1A-41F8-88E2-262807015958}">
      <formula1>"English, Metric"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L21&amp;22 Journal Bearings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2025-02-28T09:28:11Z</dcterms:created>
  <dcterms:modified xsi:type="dcterms:W3CDTF">2025-03-04T01:47:09Z</dcterms:modified>
  <cp:category/>
  <cp:contentStatus/>
</cp:coreProperties>
</file>