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3547" documentId="8_{12CF926C-9648-418C-B514-CA5ABB870397}" xr6:coauthVersionLast="47" xr6:coauthVersionMax="47" xr10:uidLastSave="{B86F7CA4-2ECA-4291-83C7-1C5A603059CD}"/>
  <bookViews>
    <workbookView xWindow="-120" yWindow="-120" windowWidth="38640" windowHeight="21120" xr2:uid="{BB8C074D-1052-4760-9334-24CC93365BEB}"/>
  </bookViews>
  <sheets>
    <sheet name="L26 Lewis Bend" sheetId="11" r:id="rId1"/>
    <sheet name="L26 Lewis Bend Q26 P1" sheetId="9" r:id="rId2"/>
    <sheet name="L26 Lewis Bend Q26 P2" sheetId="10" r:id="rId3"/>
    <sheet name="Gear Stress Lab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2" l="1"/>
  <c r="H25" i="12"/>
  <c r="L24" i="12"/>
  <c r="H24" i="12"/>
  <c r="L23" i="12"/>
  <c r="H23" i="12"/>
  <c r="L22" i="12"/>
  <c r="H22" i="12"/>
  <c r="L21" i="12"/>
  <c r="H21" i="12"/>
  <c r="L20" i="12"/>
  <c r="K20" i="12"/>
  <c r="H20" i="12"/>
  <c r="D20" i="12"/>
  <c r="L19" i="12"/>
  <c r="H19" i="12"/>
  <c r="D19" i="12"/>
  <c r="C19" i="12"/>
  <c r="C20" i="12" s="1"/>
  <c r="D18" i="12"/>
  <c r="C18" i="12"/>
  <c r="D17" i="12"/>
  <c r="C17" i="12"/>
  <c r="H16" i="12"/>
  <c r="K15" i="12"/>
  <c r="H15" i="12"/>
  <c r="H14" i="12"/>
  <c r="H13" i="12"/>
  <c r="AH12" i="12"/>
  <c r="AG12" i="12"/>
  <c r="AD12" i="12"/>
  <c r="AC12" i="12"/>
  <c r="H12" i="12"/>
  <c r="C12" i="12"/>
  <c r="AH11" i="12"/>
  <c r="AD11" i="12"/>
  <c r="H11" i="12"/>
  <c r="L10" i="12"/>
  <c r="H10" i="12"/>
  <c r="G10" i="12"/>
  <c r="G11" i="12" s="1"/>
  <c r="AH9" i="12"/>
  <c r="AG9" i="12"/>
  <c r="AD9" i="12"/>
  <c r="AC9" i="12"/>
  <c r="L9" i="12"/>
  <c r="K9" i="12"/>
  <c r="H9" i="12"/>
  <c r="G9" i="12"/>
  <c r="AH8" i="12"/>
  <c r="AD8" i="12"/>
  <c r="L8" i="12"/>
  <c r="G8" i="12"/>
  <c r="K8" i="12" s="1"/>
  <c r="K10" i="12" s="1"/>
  <c r="K11" i="12" s="1"/>
  <c r="AH7" i="12"/>
  <c r="AD7" i="12"/>
  <c r="L7" i="12"/>
  <c r="K7" i="12"/>
  <c r="H7" i="12"/>
  <c r="D7" i="12"/>
  <c r="AH6" i="12"/>
  <c r="AD6" i="12"/>
  <c r="L6" i="12"/>
  <c r="H6" i="12"/>
  <c r="D6" i="12"/>
  <c r="B6" i="12"/>
  <c r="C26" i="11"/>
  <c r="D37" i="11"/>
  <c r="D36" i="11"/>
  <c r="E33" i="11"/>
  <c r="E32" i="11"/>
  <c r="H31" i="11"/>
  <c r="G31" i="11"/>
  <c r="H18" i="11"/>
  <c r="G18" i="11"/>
  <c r="H18" i="10"/>
  <c r="G18" i="10"/>
  <c r="H40" i="11"/>
  <c r="H39" i="11"/>
  <c r="H38" i="11"/>
  <c r="H37" i="11"/>
  <c r="H36" i="11"/>
  <c r="G34" i="11"/>
  <c r="H30" i="11"/>
  <c r="D30" i="11"/>
  <c r="H28" i="11"/>
  <c r="D29" i="11"/>
  <c r="D28" i="11"/>
  <c r="D27" i="11"/>
  <c r="H25" i="11"/>
  <c r="D26" i="11"/>
  <c r="H24" i="11"/>
  <c r="H23" i="11"/>
  <c r="G23" i="11"/>
  <c r="H22" i="11"/>
  <c r="D20" i="11"/>
  <c r="D19" i="11"/>
  <c r="C19" i="11"/>
  <c r="C20" i="11" s="1"/>
  <c r="D18" i="11"/>
  <c r="D17" i="11"/>
  <c r="C17" i="11"/>
  <c r="H14" i="11"/>
  <c r="H13" i="11"/>
  <c r="H12" i="11"/>
  <c r="C12" i="11"/>
  <c r="H11" i="11"/>
  <c r="H10" i="11"/>
  <c r="H9" i="11"/>
  <c r="G9" i="11"/>
  <c r="G8" i="11"/>
  <c r="G22" i="11" s="1"/>
  <c r="H7" i="11"/>
  <c r="D7" i="11"/>
  <c r="H6" i="11"/>
  <c r="G6" i="11"/>
  <c r="G7" i="11" s="1"/>
  <c r="D6" i="11"/>
  <c r="B6" i="11"/>
  <c r="H37" i="10"/>
  <c r="H36" i="10"/>
  <c r="H35" i="10"/>
  <c r="H34" i="10"/>
  <c r="H33" i="10"/>
  <c r="G32" i="10"/>
  <c r="H29" i="10"/>
  <c r="D29" i="10"/>
  <c r="H28" i="10"/>
  <c r="D28" i="10"/>
  <c r="D27" i="10"/>
  <c r="D26" i="10"/>
  <c r="H25" i="10"/>
  <c r="D25" i="10"/>
  <c r="H24" i="10"/>
  <c r="H23" i="10"/>
  <c r="G23" i="10"/>
  <c r="G24" i="10" s="1"/>
  <c r="G25" i="10" s="1"/>
  <c r="G26" i="10" s="1"/>
  <c r="H22" i="10"/>
  <c r="D20" i="10"/>
  <c r="D19" i="10"/>
  <c r="C19" i="10"/>
  <c r="C20" i="10" s="1"/>
  <c r="D18" i="10"/>
  <c r="D17" i="10"/>
  <c r="C17" i="10"/>
  <c r="H14" i="10"/>
  <c r="H13" i="10"/>
  <c r="H12" i="10"/>
  <c r="C12" i="10"/>
  <c r="G10" i="10" s="1"/>
  <c r="H11" i="10"/>
  <c r="H10" i="10"/>
  <c r="H9" i="10"/>
  <c r="G9" i="10"/>
  <c r="G8" i="10"/>
  <c r="G22" i="10" s="1"/>
  <c r="H7" i="10"/>
  <c r="D7" i="10"/>
  <c r="H6" i="10"/>
  <c r="G6" i="10"/>
  <c r="D6" i="10"/>
  <c r="B6" i="10"/>
  <c r="C28" i="9"/>
  <c r="C29" i="9" s="1"/>
  <c r="H14" i="9"/>
  <c r="D25" i="9"/>
  <c r="D27" i="9"/>
  <c r="D26" i="9"/>
  <c r="H37" i="9"/>
  <c r="H36" i="9"/>
  <c r="H35" i="9"/>
  <c r="H34" i="9"/>
  <c r="H33" i="9"/>
  <c r="G32" i="9"/>
  <c r="H29" i="9"/>
  <c r="H28" i="9"/>
  <c r="D29" i="9"/>
  <c r="D28" i="9"/>
  <c r="H25" i="9"/>
  <c r="H24" i="9"/>
  <c r="H23" i="9"/>
  <c r="G23" i="9"/>
  <c r="H22" i="9"/>
  <c r="D20" i="9"/>
  <c r="C20" i="9"/>
  <c r="D19" i="9"/>
  <c r="C19" i="9"/>
  <c r="H18" i="9"/>
  <c r="D18" i="9"/>
  <c r="D17" i="9"/>
  <c r="C17" i="9"/>
  <c r="G18" i="9" s="1"/>
  <c r="H13" i="9"/>
  <c r="H12" i="9"/>
  <c r="C12" i="9"/>
  <c r="H11" i="9"/>
  <c r="H10" i="9"/>
  <c r="H9" i="9"/>
  <c r="G9" i="9"/>
  <c r="G8" i="9"/>
  <c r="G22" i="9" s="1"/>
  <c r="H7" i="9"/>
  <c r="D7" i="9"/>
  <c r="H6" i="9"/>
  <c r="G6" i="9"/>
  <c r="D6" i="9"/>
  <c r="B6" i="9"/>
  <c r="K12" i="12" l="1"/>
  <c r="G13" i="12"/>
  <c r="K21" i="12"/>
  <c r="G12" i="12"/>
  <c r="G6" i="12"/>
  <c r="G38" i="11"/>
  <c r="G24" i="11"/>
  <c r="G25" i="11" s="1"/>
  <c r="G26" i="11" s="1"/>
  <c r="G10" i="11"/>
  <c r="G11" i="11" s="1"/>
  <c r="G13" i="11"/>
  <c r="C27" i="11" s="1"/>
  <c r="C28" i="11" s="1"/>
  <c r="G12" i="11"/>
  <c r="C18" i="11"/>
  <c r="G21" i="11" s="1"/>
  <c r="G28" i="11" s="1"/>
  <c r="G11" i="10"/>
  <c r="G12" i="10" s="1"/>
  <c r="G7" i="10"/>
  <c r="C18" i="10"/>
  <c r="G21" i="10" s="1"/>
  <c r="G28" i="10" s="1"/>
  <c r="G10" i="9"/>
  <c r="G11" i="9" s="1"/>
  <c r="G13" i="9" s="1"/>
  <c r="C26" i="9" s="1"/>
  <c r="C27" i="9" s="1"/>
  <c r="G24" i="9"/>
  <c r="G25" i="9" s="1"/>
  <c r="G26" i="9" s="1"/>
  <c r="G12" i="9"/>
  <c r="C18" i="9"/>
  <c r="G21" i="9" s="1"/>
  <c r="G7" i="9"/>
  <c r="K22" i="12" l="1"/>
  <c r="G22" i="12"/>
  <c r="G7" i="12"/>
  <c r="G14" i="12"/>
  <c r="G20" i="12"/>
  <c r="G21" i="12" s="1"/>
  <c r="G15" i="12"/>
  <c r="G16" i="12" s="1"/>
  <c r="C29" i="11"/>
  <c r="G36" i="11"/>
  <c r="G14" i="11"/>
  <c r="G13" i="10"/>
  <c r="C26" i="10" s="1"/>
  <c r="C27" i="10" s="1"/>
  <c r="G33" i="10"/>
  <c r="C28" i="10"/>
  <c r="C29" i="10" s="1"/>
  <c r="G14" i="9"/>
  <c r="G28" i="9"/>
  <c r="G33" i="9"/>
  <c r="G23" i="12" l="1"/>
  <c r="G24" i="12"/>
  <c r="G25" i="12" s="1"/>
  <c r="AC6" i="12"/>
  <c r="K24" i="12"/>
  <c r="K23" i="12"/>
  <c r="C30" i="11"/>
  <c r="C36" i="11"/>
  <c r="C37" i="11" s="1"/>
  <c r="G37" i="11"/>
  <c r="G14" i="10"/>
  <c r="G34" i="10"/>
  <c r="G35" i="10"/>
  <c r="G34" i="9"/>
  <c r="G35" i="9"/>
  <c r="AC10" i="12" l="1"/>
  <c r="AC7" i="12"/>
  <c r="AC13" i="12"/>
  <c r="K25" i="12"/>
  <c r="AG6" i="12"/>
  <c r="G40" i="11"/>
  <c r="G39" i="11"/>
  <c r="G37" i="10"/>
  <c r="G36" i="10"/>
  <c r="G37" i="9"/>
  <c r="G36" i="9"/>
  <c r="AG10" i="12" l="1"/>
  <c r="AG13" i="12"/>
  <c r="AG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8" authorId="0" shapeId="0" xr:uid="{AAD3FD42-BE5E-4AE7-AE86-47BD6D30FE6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Linear Approximates Y based on the given # teeth, N
Table 14-2</t>
        </r>
      </text>
    </comment>
    <comment ref="F18" authorId="0" shapeId="0" xr:uid="{2757FE72-2CF6-45BF-8DAF-07343FD9ACB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Only need to change when not within equation range</t>
        </r>
      </text>
    </comment>
    <comment ref="F19" authorId="0" shapeId="0" xr:uid="{C05E24DC-C22A-4448-A9A3-4477408EBC0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0" authorId="0" shapeId="0" xr:uid="{1E82B71C-853A-4B53-9AE6-7CE230FF087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6" authorId="0" shapeId="0" xr:uid="{BE77F76E-F1A2-448B-B232-45C0D029EE4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de is not within range of formula on right</t>
        </r>
      </text>
    </comment>
    <comment ref="F27" authorId="0" shapeId="0" xr:uid="{C30526C4-E793-4EA3-9471-9A42899B5E6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since this is for bending will always be 1</t>
        </r>
      </text>
    </comment>
    <comment ref="F32" authorId="0" shapeId="0" xr:uid="{94F4321B-65DA-4A24-8D45-01A5D0C4EA8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F33" authorId="0" shapeId="0" xr:uid="{3E15469F-1185-4A16-AA70-312595C8295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8" authorId="0" shapeId="0" xr:uid="{E9898C7C-A10E-4B65-940C-334AAC06926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Linear Approximates Y based on the given # teeth, N
Table 14-2</t>
        </r>
      </text>
    </comment>
    <comment ref="F18" authorId="0" shapeId="0" xr:uid="{89642C9D-57BB-4004-B272-D9604EA6313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Only need to change when not within equation range</t>
        </r>
      </text>
    </comment>
    <comment ref="F19" authorId="0" shapeId="0" xr:uid="{415C4609-361D-45A5-BEDF-5C382F6EC82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0" authorId="0" shapeId="0" xr:uid="{D28365D0-2776-4A34-85D2-8CDC418051E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6" authorId="0" shapeId="0" xr:uid="{79A2C4DD-D993-402F-93F5-5C4AC4C610E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de is not within range of formula on right</t>
        </r>
      </text>
    </comment>
    <comment ref="F27" authorId="0" shapeId="0" xr:uid="{F658C0EC-63AB-436D-B492-770CFD18C8A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since this is for bending will always be 1</t>
        </r>
      </text>
    </comment>
    <comment ref="F30" authorId="0" shapeId="0" xr:uid="{B33CFDBA-D6A6-4351-B615-051EF0553F9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F31" authorId="0" shapeId="0" xr:uid="{57475D56-1753-493F-BD6F-37E01608B27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8" authorId="0" shapeId="0" xr:uid="{98DDD171-6693-4795-A75F-79D738719E9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Linear Approximates Y based on the given # teeth, N
Table 14-2</t>
        </r>
      </text>
    </comment>
    <comment ref="F18" authorId="0" shapeId="0" xr:uid="{FAE9A48B-8DDD-4509-BAAE-6041A5CAA7A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Only need to change when not within equation range</t>
        </r>
      </text>
    </comment>
    <comment ref="F19" authorId="0" shapeId="0" xr:uid="{C2A8DE67-2CF7-4BCC-8B83-DCD9F1B8675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0" authorId="0" shapeId="0" xr:uid="{59A7FB93-1F80-4A27-8673-A11568BE0EF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not machined or cold-drawn</t>
        </r>
      </text>
    </comment>
    <comment ref="F26" authorId="0" shapeId="0" xr:uid="{77B0E684-22CE-4F72-9001-86A5141B716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de is not within range of formula on right</t>
        </r>
      </text>
    </comment>
    <comment ref="F27" authorId="0" shapeId="0" xr:uid="{B263BC63-75D0-4E97-B30A-8354604FD86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since this is for bending will always be 1</t>
        </r>
      </text>
    </comment>
    <comment ref="F30" authorId="0" shapeId="0" xr:uid="{1C4547A9-9C9B-48A5-A634-87E6BBDE830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F31" authorId="0" shapeId="0" xr:uid="{355A68D3-19A7-42E6-9F71-4179F29FA8F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8" authorId="0" shapeId="0" xr:uid="{25C27532-B141-4065-8A63-E9280915EE1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Linear Approximates Y based on the given # teeth, N
Table 14-2</t>
        </r>
      </text>
    </comment>
    <comment ref="J13" authorId="0" shapeId="0" xr:uid="{4EEC8D10-91CB-4041-98F5-00019845371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J14" authorId="0" shapeId="0" xr:uid="{B5949FB4-AC66-446C-9DA8-5A940B22FB4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sharedStrings.xml><?xml version="1.0" encoding="utf-8"?>
<sst xmlns="http://schemas.openxmlformats.org/spreadsheetml/2006/main" count="295" uniqueCount="86">
  <si>
    <t>INPUTS</t>
  </si>
  <si>
    <t>Units:</t>
  </si>
  <si>
    <t>rev/min</t>
  </si>
  <si>
    <t>English</t>
  </si>
  <si>
    <t>OUTPUTS</t>
  </si>
  <si>
    <t>teeth</t>
  </si>
  <si>
    <t>Pressure Angle, ϕ</t>
  </si>
  <si>
    <t>deg</t>
  </si>
  <si>
    <t>-</t>
  </si>
  <si>
    <t>rad/s</t>
  </si>
  <si>
    <t>Input Power, H</t>
  </si>
  <si>
    <t>Pitch Line Velocity, V</t>
  </si>
  <si>
    <t>Y</t>
  </si>
  <si>
    <t>Face Length, F</t>
  </si>
  <si>
    <t># teeth, N</t>
  </si>
  <si>
    <t>Material</t>
  </si>
  <si>
    <t>AISI 1020 steel as-rolled</t>
  </si>
  <si>
    <r>
      <t>Design Factor, n</t>
    </r>
    <r>
      <rPr>
        <vertAlign val="subscript"/>
        <sz val="11"/>
        <color theme="1"/>
        <rFont val="Aptos Narrow"/>
        <family val="2"/>
        <scheme val="minor"/>
      </rPr>
      <t>d</t>
    </r>
  </si>
  <si>
    <t>Rotational Speed, n</t>
  </si>
  <si>
    <t>Rotational Speed, ω</t>
  </si>
  <si>
    <t xml:space="preserve"> </t>
  </si>
  <si>
    <t>Design to prevent yeild</t>
  </si>
  <si>
    <t>Problem Givens</t>
  </si>
  <si>
    <t>Material Properties</t>
  </si>
  <si>
    <r>
      <t>Tensile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</si>
  <si>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</si>
  <si>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r>
      <t>Allowable Sress, σ</t>
    </r>
    <r>
      <rPr>
        <vertAlign val="subscript"/>
        <sz val="11"/>
        <color theme="1"/>
        <rFont val="Aptos Narrow"/>
        <family val="2"/>
        <scheme val="minor"/>
      </rPr>
      <t>allowable</t>
    </r>
  </si>
  <si>
    <r>
      <t>Bending Stress, σ</t>
    </r>
    <r>
      <rPr>
        <vertAlign val="subscript"/>
        <sz val="11"/>
        <color theme="1"/>
        <rFont val="Aptos Narrow"/>
        <family val="2"/>
        <scheme val="minor"/>
      </rPr>
      <t>bend</t>
    </r>
  </si>
  <si>
    <t>Design for infinite life</t>
  </si>
  <si>
    <t>Number of Teeth</t>
  </si>
  <si>
    <t>Rack</t>
  </si>
  <si>
    <t>Table 14-2</t>
  </si>
  <si>
    <r>
      <t>Velocity factor K</t>
    </r>
    <r>
      <rPr>
        <vertAlign val="subscript"/>
        <sz val="11"/>
        <color theme="1"/>
        <rFont val="Aptos Narrow"/>
        <family val="2"/>
        <scheme val="minor"/>
      </rPr>
      <t>v</t>
    </r>
  </si>
  <si>
    <r>
      <t>Manufacturing Process (for K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>)</t>
    </r>
  </si>
  <si>
    <t>Cut or Milled Profile</t>
  </si>
  <si>
    <r>
      <t>Tangent Load per Power Out, W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/H</t>
    </r>
  </si>
  <si>
    <t>Output Power, H</t>
  </si>
  <si>
    <t>Lewis Stress Given Input Power H</t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</si>
  <si>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</si>
  <si>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</si>
  <si>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</si>
  <si>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Endurance Strength, S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</si>
  <si>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Estimated Endurance Strength, S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'</t>
    </r>
  </si>
  <si>
    <r>
      <t>Factor a for, 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</si>
  <si>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Factor b for, 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</si>
  <si>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Effective diameter, d</t>
    </r>
    <r>
      <rPr>
        <vertAlign val="subscript"/>
        <sz val="11"/>
        <color theme="1"/>
        <rFont val="Aptos Narrow"/>
        <family val="2"/>
        <scheme val="minor"/>
      </rPr>
      <t>e</t>
    </r>
  </si>
  <si>
    <t>x</t>
  </si>
  <si>
    <t>t</t>
  </si>
  <si>
    <t>l</t>
  </si>
  <si>
    <r>
      <t>SCF K</t>
    </r>
    <r>
      <rPr>
        <vertAlign val="subscript"/>
        <sz val="11"/>
        <color theme="1"/>
        <rFont val="Aptos Narrow"/>
        <family val="2"/>
        <scheme val="minor"/>
      </rPr>
      <t>f</t>
    </r>
  </si>
  <si>
    <t>q</t>
  </si>
  <si>
    <r>
      <t>K</t>
    </r>
    <r>
      <rPr>
        <vertAlign val="subscript"/>
        <sz val="11"/>
        <color theme="1"/>
        <rFont val="Aptos Narrow"/>
        <family val="2"/>
        <scheme val="minor"/>
      </rPr>
      <t>t</t>
    </r>
  </si>
  <si>
    <t>fillet radius r</t>
  </si>
  <si>
    <r>
      <t>Bend Stress per Power out, σ</t>
    </r>
    <r>
      <rPr>
        <vertAlign val="subscript"/>
        <sz val="11"/>
        <color theme="1"/>
        <rFont val="Aptos Narrow"/>
        <family val="2"/>
        <scheme val="minor"/>
      </rPr>
      <t>bend</t>
    </r>
    <r>
      <rPr>
        <sz val="11"/>
        <color theme="1"/>
        <rFont val="Aptos Narrow"/>
        <family val="2"/>
        <scheme val="minor"/>
      </rPr>
      <t>/H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</si>
  <si>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/H = 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/H</t>
    </r>
  </si>
  <si>
    <t>Just used 1 and 1.25 for all on this spreadsheet</t>
  </si>
  <si>
    <t>close enough to 5.38 HP from video</t>
  </si>
  <si>
    <t>close enough to 6.95 HP from video</t>
  </si>
  <si>
    <t>Metric</t>
  </si>
  <si>
    <t>pitch diameter, d</t>
  </si>
  <si>
    <t>Lewis Form factor, Y</t>
  </si>
  <si>
    <r>
      <t>Tangential Load, W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</si>
  <si>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NOT W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 xml:space="preserve"> --&gt;</t>
    </r>
  </si>
  <si>
    <t>Circular pitch, p</t>
  </si>
  <si>
    <t>r/d ~</t>
  </si>
  <si>
    <t>r/t</t>
  </si>
  <si>
    <t>D/d ~</t>
  </si>
  <si>
    <t>p/t</t>
  </si>
  <si>
    <r>
      <t>Bending Stress, σ</t>
    </r>
    <r>
      <rPr>
        <vertAlign val="subscript"/>
        <sz val="11"/>
        <color theme="1"/>
        <rFont val="Aptos Narrow"/>
        <family val="2"/>
        <scheme val="minor"/>
      </rPr>
      <t>bend</t>
    </r>
    <r>
      <rPr>
        <sz val="11"/>
        <color theme="1"/>
        <rFont val="Aptos Narrow"/>
        <family val="2"/>
        <scheme val="minor"/>
      </rPr>
      <t xml:space="preserve"> w/ SCF</t>
    </r>
  </si>
  <si>
    <t>COMPARING TO MEASURED FEA STRESS</t>
  </si>
  <si>
    <t>Output Power While Designing to Prevent Yeild</t>
  </si>
  <si>
    <t>Calculating Stress Concentration Factor (SCF)</t>
  </si>
  <si>
    <t>Bending Stress at Root based on Wt = 365 lbf without SCF</t>
  </si>
  <si>
    <t>Bending Stress at Root based on Wt = 365 lbf with SCF</t>
  </si>
  <si>
    <r>
      <t>Lewis Bending Stress, σ</t>
    </r>
    <r>
      <rPr>
        <vertAlign val="subscript"/>
        <sz val="11"/>
        <color theme="1"/>
        <rFont val="Aptos Narrow"/>
        <family val="2"/>
        <scheme val="minor"/>
      </rPr>
      <t>bend</t>
    </r>
  </si>
  <si>
    <r>
      <t>Lewis Bending Stress, σ</t>
    </r>
    <r>
      <rPr>
        <vertAlign val="subscript"/>
        <sz val="11"/>
        <color theme="1"/>
        <rFont val="Aptos Narrow"/>
        <family val="2"/>
        <scheme val="minor"/>
      </rPr>
      <t>bend</t>
    </r>
    <r>
      <rPr>
        <sz val="11"/>
        <color theme="1"/>
        <rFont val="Aptos Narrow"/>
        <family val="2"/>
        <scheme val="minor"/>
      </rPr>
      <t xml:space="preserve"> w/ SCF</t>
    </r>
  </si>
  <si>
    <t>Lewis Form factor, Y (Table 14-2)</t>
  </si>
  <si>
    <t>Root Stress Tangentially Loaded Gear</t>
  </si>
  <si>
    <t>Safety Factor, n</t>
  </si>
  <si>
    <t>% diff. Tangentially Loaded Gear</t>
  </si>
  <si>
    <t>r/d ~r/t =</t>
  </si>
  <si>
    <t>Root Stress Mesh Gear</t>
  </si>
  <si>
    <t>D/d ~p/t =</t>
  </si>
  <si>
    <t>% diff. Mesh Gear</t>
  </si>
  <si>
    <t>Lewis Stress Given Output Power H</t>
  </si>
  <si>
    <r>
      <t>Lewis Stress Given Tangential Loading W</t>
    </r>
    <r>
      <rPr>
        <b/>
        <vertAlign val="subscript"/>
        <sz val="11"/>
        <color theme="1"/>
        <rFont val="Aptos Narrow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</si>
</sst>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"/>
    <numFmt numFmtId="165" formatCode="#,##0.0000"/>
    <numFmt numFmtId="166" formatCode="##0E+00"/>
    <numFmt numFmtId="167" formatCode="##0.000E+00"/>
    <numFmt numFmtId="168" formatCode="#,##0.000"/>
    <numFmt numFmtId="169" formatCode="0.000"/>
    <numFmt numFmtId="170" formatCode="0.00000"/>
    <numFmt numFmtId="171" formatCode="0.00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0" borderId="0" xfId="0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164" fontId="0" fillId="3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7" fontId="0" fillId="3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6" fontId="0" fillId="2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0" borderId="8" xfId="0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quotePrefix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/>
    <xf numFmtId="168" fontId="0" fillId="3" borderId="0" xfId="0" applyNumberFormat="1" applyFill="1" applyAlignment="1">
      <alignment vertical="center"/>
    </xf>
    <xf numFmtId="169" fontId="0" fillId="3" borderId="0" xfId="0" applyNumberForma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1" fillId="9" borderId="0" xfId="0" applyFont="1" applyFill="1" applyAlignment="1">
      <alignment horizontal="right"/>
    </xf>
    <xf numFmtId="167" fontId="0" fillId="8" borderId="0" xfId="0" applyNumberFormat="1" applyFill="1" applyAlignment="1">
      <alignment vertical="center"/>
    </xf>
    <xf numFmtId="170" fontId="0" fillId="3" borderId="0" xfId="0" applyNumberFormat="1" applyFill="1" applyAlignment="1">
      <alignment vertical="center"/>
    </xf>
    <xf numFmtId="0" fontId="0" fillId="0" borderId="0" xfId="0" applyAlignment="1">
      <alignment horizontal="right" vertical="center"/>
    </xf>
    <xf numFmtId="0" fontId="1" fillId="10" borderId="0" xfId="0" applyFont="1" applyFill="1" applyAlignment="1">
      <alignment vertical="center"/>
    </xf>
    <xf numFmtId="0" fontId="1" fillId="8" borderId="2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168" fontId="0" fillId="2" borderId="0" xfId="0" applyNumberFormat="1" applyFill="1" applyAlignment="1">
      <alignment vertical="center"/>
    </xf>
    <xf numFmtId="171" fontId="0" fillId="3" borderId="0" xfId="1" applyNumberFormat="1" applyFont="1" applyFill="1" applyBorder="1" applyAlignment="1">
      <alignment vertic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8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14.jpeg"/><Relationship Id="rId11" Type="http://schemas.openxmlformats.org/officeDocument/2006/relationships/image" Target="../media/image10.png"/><Relationship Id="rId5" Type="http://schemas.openxmlformats.org/officeDocument/2006/relationships/image" Target="../media/image13.jpeg"/><Relationship Id="rId10" Type="http://schemas.openxmlformats.org/officeDocument/2006/relationships/image" Target="../media/image12.png"/><Relationship Id="rId4" Type="http://schemas.openxmlformats.org/officeDocument/2006/relationships/image" Target="../media/image4.jpeg"/><Relationship Id="rId9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14.jpeg"/><Relationship Id="rId11" Type="http://schemas.openxmlformats.org/officeDocument/2006/relationships/image" Target="../media/image10.png"/><Relationship Id="rId5" Type="http://schemas.openxmlformats.org/officeDocument/2006/relationships/image" Target="../media/image13.jpeg"/><Relationship Id="rId10" Type="http://schemas.openxmlformats.org/officeDocument/2006/relationships/image" Target="../media/image12.png"/><Relationship Id="rId4" Type="http://schemas.openxmlformats.org/officeDocument/2006/relationships/image" Target="../media/image4.jpeg"/><Relationship Id="rId9" Type="http://schemas.openxmlformats.org/officeDocument/2006/relationships/image" Target="../media/image1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18.png"/><Relationship Id="rId5" Type="http://schemas.openxmlformats.org/officeDocument/2006/relationships/image" Target="../media/image10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290014</xdr:colOff>
      <xdr:row>85</xdr:row>
      <xdr:rowOff>58904</xdr:rowOff>
    </xdr:from>
    <xdr:to>
      <xdr:col>7</xdr:col>
      <xdr:colOff>182312</xdr:colOff>
      <xdr:row>119</xdr:row>
      <xdr:rowOff>155071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08735-2D11-4666-B872-097F0063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614" y="15870404"/>
          <a:ext cx="7121773" cy="6573167"/>
        </a:xfrm>
        <a:prstGeom prst="rect">
          <a:avLst/>
        </a:prstGeom>
      </xdr:spPr>
    </xdr:pic>
    <xdr:clientData/>
  </xdr:twoCellAnchor>
  <xdr:twoCellAnchor editAs="oneCell">
    <xdr:from>
      <xdr:col>1</xdr:col>
      <xdr:colOff>145310</xdr:colOff>
      <xdr:row>42</xdr:row>
      <xdr:rowOff>168892</xdr:rowOff>
    </xdr:from>
    <xdr:to>
      <xdr:col>7</xdr:col>
      <xdr:colOff>400610</xdr:colOff>
      <xdr:row>82</xdr:row>
      <xdr:rowOff>160550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10BBF2-2C64-4767-81E7-79EFE0099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910" y="7788892"/>
          <a:ext cx="7484775" cy="7611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23532</xdr:colOff>
      <xdr:row>32</xdr:row>
      <xdr:rowOff>7843</xdr:rowOff>
    </xdr:from>
    <xdr:to>
      <xdr:col>33</xdr:col>
      <xdr:colOff>37812</xdr:colOff>
      <xdr:row>64</xdr:row>
      <xdr:rowOff>113483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C04963-552C-48DF-A5D0-15A00983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4857" y="6103843"/>
          <a:ext cx="5976930" cy="620164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11</xdr:row>
      <xdr:rowOff>130000</xdr:rowOff>
    </xdr:from>
    <xdr:to>
      <xdr:col>17</xdr:col>
      <xdr:colOff>504822</xdr:colOff>
      <xdr:row>18</xdr:row>
      <xdr:rowOff>32954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20CD02-F9B3-40CC-BE33-7B144E94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2225500"/>
          <a:ext cx="5200647" cy="1236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180974</xdr:colOff>
      <xdr:row>18</xdr:row>
      <xdr:rowOff>141785</xdr:rowOff>
    </xdr:from>
    <xdr:to>
      <xdr:col>12</xdr:col>
      <xdr:colOff>67938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BA49D2-7EF6-47DE-8BA9-640A03ABD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299" y="3570785"/>
          <a:ext cx="1715764" cy="677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31</xdr:row>
      <xdr:rowOff>104775</xdr:rowOff>
    </xdr:from>
    <xdr:to>
      <xdr:col>19</xdr:col>
      <xdr:colOff>248397</xdr:colOff>
      <xdr:row>40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DF352B-436A-45ED-8A1F-B0C9B466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6010275"/>
          <a:ext cx="6134847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142875</xdr:rowOff>
    </xdr:from>
    <xdr:to>
      <xdr:col>16</xdr:col>
      <xdr:colOff>9526</xdr:colOff>
      <xdr:row>10</xdr:row>
      <xdr:rowOff>123436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892FEC-FD6C-4286-AA31-E6CB56DA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333375"/>
          <a:ext cx="4152901" cy="1695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40</xdr:row>
      <xdr:rowOff>133351</xdr:rowOff>
    </xdr:from>
    <xdr:to>
      <xdr:col>16</xdr:col>
      <xdr:colOff>514351</xdr:colOff>
      <xdr:row>51</xdr:row>
      <xdr:rowOff>2612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6C8303-ABB0-4E14-963E-3D9E0A05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7753351"/>
          <a:ext cx="4572001" cy="196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22</xdr:row>
      <xdr:rowOff>85725</xdr:rowOff>
    </xdr:from>
    <xdr:to>
      <xdr:col>17</xdr:col>
      <xdr:colOff>558913</xdr:colOff>
      <xdr:row>31</xdr:row>
      <xdr:rowOff>95824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45E5D0-13FD-4FB1-ABA3-88E111A6A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4276725"/>
          <a:ext cx="5216638" cy="172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333376</xdr:colOff>
      <xdr:row>27</xdr:row>
      <xdr:rowOff>28575</xdr:rowOff>
    </xdr:from>
    <xdr:to>
      <xdr:col>17</xdr:col>
      <xdr:colOff>428626</xdr:colOff>
      <xdr:row>28</xdr:row>
      <xdr:rowOff>66675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C3C8BD7-2690-44F4-8143-42AD6B631997}"/>
            </a:ext>
          </a:extLst>
        </xdr:cNvPr>
        <xdr:cNvSpPr/>
      </xdr:nvSpPr>
      <xdr:spPr>
        <a:xfrm>
          <a:off x="9410701" y="5172075"/>
          <a:ext cx="4972050" cy="22860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9</xdr:col>
      <xdr:colOff>283976</xdr:colOff>
      <xdr:row>75</xdr:row>
      <xdr:rowOff>126084</xdr:rowOff>
    </xdr:from>
    <xdr:to>
      <xdr:col>23</xdr:col>
      <xdr:colOff>489858</xdr:colOff>
      <xdr:row>98</xdr:row>
      <xdr:rowOff>176387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8ABB94-A463-43F1-9E02-D743AF3D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61301" y="14413584"/>
          <a:ext cx="8740282" cy="4431803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100</xdr:row>
      <xdr:rowOff>28575</xdr:rowOff>
    </xdr:from>
    <xdr:to>
      <xdr:col>22</xdr:col>
      <xdr:colOff>514350</xdr:colOff>
      <xdr:row>145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C1702B2-EDCD-40B4-82D3-9AE8BB4A1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9078575"/>
          <a:ext cx="8286750" cy="866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180976</xdr:colOff>
      <xdr:row>113</xdr:row>
      <xdr:rowOff>133350</xdr:rowOff>
    </xdr:from>
    <xdr:to>
      <xdr:col>18</xdr:col>
      <xdr:colOff>228600</xdr:colOff>
      <xdr:row>123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EF715A-BAD1-4419-AF20-5E482256E8F5}"/>
            </a:ext>
          </a:extLst>
        </xdr:cNvPr>
        <xdr:cNvSpPr/>
      </xdr:nvSpPr>
      <xdr:spPr>
        <a:xfrm>
          <a:off x="9258301" y="21659850"/>
          <a:ext cx="5534024" cy="177165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9</xdr:col>
      <xdr:colOff>0</xdr:colOff>
      <xdr:row>52</xdr:row>
      <xdr:rowOff>16032</xdr:rowOff>
    </xdr:from>
    <xdr:to>
      <xdr:col>23</xdr:col>
      <xdr:colOff>405255</xdr:colOff>
      <xdr:row>72</xdr:row>
      <xdr:rowOff>116199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FADF837-6DCF-4F0A-968B-6FDB389C8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1710"/>
        <a:stretch/>
      </xdr:blipFill>
      <xdr:spPr>
        <a:xfrm>
          <a:off x="9124950" y="9922032"/>
          <a:ext cx="8939655" cy="3910167"/>
        </a:xfrm>
        <a:prstGeom prst="rect">
          <a:avLst/>
        </a:prstGeom>
      </xdr:spPr>
    </xdr:pic>
    <xdr:clientData/>
  </xdr:twoCellAnchor>
  <xdr:twoCellAnchor>
    <xdr:from>
      <xdr:col>18</xdr:col>
      <xdr:colOff>437368</xdr:colOff>
      <xdr:row>52</xdr:row>
      <xdr:rowOff>0</xdr:rowOff>
    </xdr:from>
    <xdr:to>
      <xdr:col>18</xdr:col>
      <xdr:colOff>437368</xdr:colOff>
      <xdr:row>70</xdr:row>
      <xdr:rowOff>57150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DDAD757-CA61-432F-ABBD-D52C6430B748}"/>
            </a:ext>
          </a:extLst>
        </xdr:cNvPr>
        <xdr:cNvCxnSpPr/>
      </xdr:nvCxnSpPr>
      <xdr:spPr>
        <a:xfrm>
          <a:off x="15048718" y="9906000"/>
          <a:ext cx="0" cy="34861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130220</xdr:colOff>
      <xdr:row>53</xdr:row>
      <xdr:rowOff>18868</xdr:rowOff>
    </xdr:from>
    <xdr:to>
      <xdr:col>22</xdr:col>
      <xdr:colOff>424489</xdr:colOff>
      <xdr:row>66</xdr:row>
      <xdr:rowOff>167695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E62FFDDE-521C-4D48-8C26-C97FC8010A13}"/>
            </a:ext>
          </a:extLst>
        </xdr:cNvPr>
        <xdr:cNvSpPr/>
      </xdr:nvSpPr>
      <xdr:spPr>
        <a:xfrm>
          <a:off x="12933825" y="10115368"/>
          <a:ext cx="4575506" cy="2625327"/>
        </a:xfrm>
        <a:custGeom>
          <a:avLst/>
          <a:gdLst>
            <a:gd name="connsiteX0" fmla="*/ 0 w 3131344"/>
            <a:gd name="connsiteY0" fmla="*/ 0 h 2500313"/>
            <a:gd name="connsiteX1" fmla="*/ 976313 w 3131344"/>
            <a:gd name="connsiteY1" fmla="*/ 1708547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25079 w 3131344"/>
            <a:gd name="connsiteY1" fmla="*/ 1393031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77236 w 4525902"/>
            <a:gd name="connsiteY1" fmla="*/ 1376181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45914 w 4519475"/>
            <a:gd name="connsiteY1" fmla="*/ 1378305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08402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22618 w 4544370"/>
            <a:gd name="connsiteY2" fmla="*/ 221842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55872 w 4544370"/>
            <a:gd name="connsiteY1" fmla="*/ 1373292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544370" h="2625327">
              <a:moveTo>
                <a:pt x="0" y="0"/>
              </a:moveTo>
              <a:cubicBezTo>
                <a:pt x="196850" y="696105"/>
                <a:pt x="320429" y="1013581"/>
                <a:pt x="655872" y="1388332"/>
              </a:cubicBezTo>
              <a:cubicBezTo>
                <a:pt x="991315" y="1763083"/>
                <a:pt x="1364577" y="2042343"/>
                <a:pt x="2012660" y="2248509"/>
              </a:cubicBezTo>
              <a:cubicBezTo>
                <a:pt x="2660743" y="2454675"/>
                <a:pt x="3192794" y="2533244"/>
                <a:pt x="4544370" y="2625327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177466</xdr:colOff>
      <xdr:row>51</xdr:row>
      <xdr:rowOff>185988</xdr:rowOff>
    </xdr:from>
    <xdr:to>
      <xdr:col>16</xdr:col>
      <xdr:colOff>85223</xdr:colOff>
      <xdr:row>53</xdr:row>
      <xdr:rowOff>62163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153718E-05FD-4F33-8277-607B81D2A381}"/>
            </a:ext>
          </a:extLst>
        </xdr:cNvPr>
        <xdr:cNvSpPr txBox="1"/>
      </xdr:nvSpPr>
      <xdr:spPr>
        <a:xfrm>
          <a:off x="12981071" y="9901488"/>
          <a:ext cx="519363" cy="2571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~1.57</a:t>
          </a:r>
        </a:p>
      </xdr:txBody>
    </xdr:sp>
    <xdr:clientData/>
  </xdr:twoCellAnchor>
  <xdr:twoCellAnchor>
    <xdr:from>
      <xdr:col>18</xdr:col>
      <xdr:colOff>498231</xdr:colOff>
      <xdr:row>63</xdr:row>
      <xdr:rowOff>21981</xdr:rowOff>
    </xdr:from>
    <xdr:to>
      <xdr:col>20</xdr:col>
      <xdr:colOff>5862</xdr:colOff>
      <xdr:row>64</xdr:row>
      <xdr:rowOff>88656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582DA14-980C-47B1-A406-913DD11CBF17}"/>
            </a:ext>
          </a:extLst>
        </xdr:cNvPr>
        <xdr:cNvSpPr txBox="1"/>
      </xdr:nvSpPr>
      <xdr:spPr>
        <a:xfrm>
          <a:off x="15086135" y="12023481"/>
          <a:ext cx="7239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Kt = 1.7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290014</xdr:colOff>
      <xdr:row>83</xdr:row>
      <xdr:rowOff>58904</xdr:rowOff>
    </xdr:from>
    <xdr:to>
      <xdr:col>7</xdr:col>
      <xdr:colOff>185113</xdr:colOff>
      <xdr:row>117</xdr:row>
      <xdr:rowOff>155071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91E23-1947-4F24-93A3-B496AC84C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614" y="15870404"/>
          <a:ext cx="7121773" cy="6573167"/>
        </a:xfrm>
        <a:prstGeom prst="rect">
          <a:avLst/>
        </a:prstGeom>
      </xdr:spPr>
    </xdr:pic>
    <xdr:clientData/>
  </xdr:twoCellAnchor>
  <xdr:twoCellAnchor editAs="oneCell">
    <xdr:from>
      <xdr:col>1</xdr:col>
      <xdr:colOff>145310</xdr:colOff>
      <xdr:row>40</xdr:row>
      <xdr:rowOff>168892</xdr:rowOff>
    </xdr:from>
    <xdr:to>
      <xdr:col>7</xdr:col>
      <xdr:colOff>403411</xdr:colOff>
      <xdr:row>80</xdr:row>
      <xdr:rowOff>160550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D5AC9-577D-4DCA-9BD5-28245E3C7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910" y="7788892"/>
          <a:ext cx="7484775" cy="7611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23532</xdr:colOff>
      <xdr:row>32</xdr:row>
      <xdr:rowOff>7843</xdr:rowOff>
    </xdr:from>
    <xdr:to>
      <xdr:col>33</xdr:col>
      <xdr:colOff>37811</xdr:colOff>
      <xdr:row>64</xdr:row>
      <xdr:rowOff>113483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5B3E3-C90B-4F62-8478-6D5008D6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4857" y="6103843"/>
          <a:ext cx="5976930" cy="620164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11</xdr:row>
      <xdr:rowOff>130000</xdr:rowOff>
    </xdr:from>
    <xdr:to>
      <xdr:col>17</xdr:col>
      <xdr:colOff>504821</xdr:colOff>
      <xdr:row>18</xdr:row>
      <xdr:rowOff>32954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995972-CB01-4E17-99BB-0AD583F6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2225500"/>
          <a:ext cx="5200647" cy="1236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180974</xdr:colOff>
      <xdr:row>18</xdr:row>
      <xdr:rowOff>141785</xdr:rowOff>
    </xdr:from>
    <xdr:to>
      <xdr:col>12</xdr:col>
      <xdr:colOff>67938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2EDAAE-36F3-43B2-A2C3-D07F266C1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299" y="3570785"/>
          <a:ext cx="1715764" cy="677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31</xdr:row>
      <xdr:rowOff>104775</xdr:rowOff>
    </xdr:from>
    <xdr:to>
      <xdr:col>19</xdr:col>
      <xdr:colOff>248396</xdr:colOff>
      <xdr:row>40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BF3DAB-B441-481C-A730-AFAE49FCA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6010275"/>
          <a:ext cx="6134847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142875</xdr:rowOff>
    </xdr:from>
    <xdr:to>
      <xdr:col>16</xdr:col>
      <xdr:colOff>9525</xdr:colOff>
      <xdr:row>10</xdr:row>
      <xdr:rowOff>123436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7ABB3C-042A-4992-9DCD-D7B22E44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333375"/>
          <a:ext cx="4152901" cy="1695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40</xdr:row>
      <xdr:rowOff>133351</xdr:rowOff>
    </xdr:from>
    <xdr:to>
      <xdr:col>16</xdr:col>
      <xdr:colOff>514350</xdr:colOff>
      <xdr:row>51</xdr:row>
      <xdr:rowOff>2612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0E4BA6-0357-4BD3-951C-16B1D2F1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7753351"/>
          <a:ext cx="4572001" cy="196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22</xdr:row>
      <xdr:rowOff>85725</xdr:rowOff>
    </xdr:from>
    <xdr:to>
      <xdr:col>17</xdr:col>
      <xdr:colOff>558912</xdr:colOff>
      <xdr:row>31</xdr:row>
      <xdr:rowOff>95824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62B7B1-4328-4FA3-B0F9-65C1580F9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4276725"/>
          <a:ext cx="5216638" cy="172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333376</xdr:colOff>
      <xdr:row>27</xdr:row>
      <xdr:rowOff>28575</xdr:rowOff>
    </xdr:from>
    <xdr:to>
      <xdr:col>17</xdr:col>
      <xdr:colOff>428626</xdr:colOff>
      <xdr:row>28</xdr:row>
      <xdr:rowOff>66675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54B74AE-C062-490A-A561-E3E260A623CA}"/>
            </a:ext>
          </a:extLst>
        </xdr:cNvPr>
        <xdr:cNvSpPr/>
      </xdr:nvSpPr>
      <xdr:spPr>
        <a:xfrm>
          <a:off x="9410701" y="5172075"/>
          <a:ext cx="4972050" cy="22860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9</xdr:col>
      <xdr:colOff>84602</xdr:colOff>
      <xdr:row>52</xdr:row>
      <xdr:rowOff>6507</xdr:rowOff>
    </xdr:from>
    <xdr:to>
      <xdr:col>23</xdr:col>
      <xdr:colOff>489856</xdr:colOff>
      <xdr:row>72</xdr:row>
      <xdr:rowOff>106674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7B80BD-FD4D-4C5E-8B47-3287B988C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51710"/>
        <a:stretch/>
      </xdr:blipFill>
      <xdr:spPr>
        <a:xfrm>
          <a:off x="9161927" y="9912507"/>
          <a:ext cx="8939655" cy="3910167"/>
        </a:xfrm>
        <a:prstGeom prst="rect">
          <a:avLst/>
        </a:prstGeom>
      </xdr:spPr>
    </xdr:pic>
    <xdr:clientData/>
  </xdr:twoCellAnchor>
  <xdr:twoCellAnchor editAs="oneCell">
    <xdr:from>
      <xdr:col>9</xdr:col>
      <xdr:colOff>283976</xdr:colOff>
      <xdr:row>75</xdr:row>
      <xdr:rowOff>126084</xdr:rowOff>
    </xdr:from>
    <xdr:to>
      <xdr:col>23</xdr:col>
      <xdr:colOff>489857</xdr:colOff>
      <xdr:row>98</xdr:row>
      <xdr:rowOff>176387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F5E35E-A32E-4CB1-B700-4827C1F71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361301" y="14413584"/>
          <a:ext cx="8740282" cy="4431803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100</xdr:row>
      <xdr:rowOff>28575</xdr:rowOff>
    </xdr:from>
    <xdr:to>
      <xdr:col>22</xdr:col>
      <xdr:colOff>514349</xdr:colOff>
      <xdr:row>145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4A4A33-6F57-4CA9-8FD1-984490367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9078575"/>
          <a:ext cx="8286750" cy="866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180976</xdr:colOff>
      <xdr:row>113</xdr:row>
      <xdr:rowOff>133350</xdr:rowOff>
    </xdr:from>
    <xdr:to>
      <xdr:col>18</xdr:col>
      <xdr:colOff>228600</xdr:colOff>
      <xdr:row>123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7447B5C-D3AB-472E-8B43-3BD8623D0DE4}"/>
            </a:ext>
          </a:extLst>
        </xdr:cNvPr>
        <xdr:cNvSpPr/>
      </xdr:nvSpPr>
      <xdr:spPr>
        <a:xfrm>
          <a:off x="9258301" y="21659850"/>
          <a:ext cx="5534024" cy="177165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14</xdr:col>
      <xdr:colOff>448035</xdr:colOff>
      <xdr:row>73</xdr:row>
      <xdr:rowOff>47625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4C503B-19FB-47BD-BC85-A6D0A77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7429500"/>
          <a:ext cx="8429985" cy="652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290014</xdr:colOff>
      <xdr:row>83</xdr:row>
      <xdr:rowOff>58904</xdr:rowOff>
    </xdr:from>
    <xdr:to>
      <xdr:col>7</xdr:col>
      <xdr:colOff>182312</xdr:colOff>
      <xdr:row>117</xdr:row>
      <xdr:rowOff>155071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8C7BB-FA21-46F6-9C05-5695AD96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614" y="15870404"/>
          <a:ext cx="7121773" cy="6573167"/>
        </a:xfrm>
        <a:prstGeom prst="rect">
          <a:avLst/>
        </a:prstGeom>
      </xdr:spPr>
    </xdr:pic>
    <xdr:clientData/>
  </xdr:twoCellAnchor>
  <xdr:twoCellAnchor editAs="oneCell">
    <xdr:from>
      <xdr:col>1</xdr:col>
      <xdr:colOff>145310</xdr:colOff>
      <xdr:row>40</xdr:row>
      <xdr:rowOff>168892</xdr:rowOff>
    </xdr:from>
    <xdr:to>
      <xdr:col>7</xdr:col>
      <xdr:colOff>400610</xdr:colOff>
      <xdr:row>80</xdr:row>
      <xdr:rowOff>160550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A4F2DF-EA88-4D93-96C4-04CADA8B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910" y="7788892"/>
          <a:ext cx="7484775" cy="7611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23532</xdr:colOff>
      <xdr:row>32</xdr:row>
      <xdr:rowOff>7843</xdr:rowOff>
    </xdr:from>
    <xdr:to>
      <xdr:col>33</xdr:col>
      <xdr:colOff>37812</xdr:colOff>
      <xdr:row>64</xdr:row>
      <xdr:rowOff>113483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35051A-D462-4479-A45A-6761FA346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4857" y="6103843"/>
          <a:ext cx="5976930" cy="620164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11</xdr:row>
      <xdr:rowOff>130000</xdr:rowOff>
    </xdr:from>
    <xdr:to>
      <xdr:col>17</xdr:col>
      <xdr:colOff>504822</xdr:colOff>
      <xdr:row>18</xdr:row>
      <xdr:rowOff>32954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A5C5C3-899A-4FCC-9C0E-4B087978C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2225500"/>
          <a:ext cx="5200647" cy="1236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180974</xdr:colOff>
      <xdr:row>18</xdr:row>
      <xdr:rowOff>141785</xdr:rowOff>
    </xdr:from>
    <xdr:to>
      <xdr:col>12</xdr:col>
      <xdr:colOff>67938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080969-FC8A-41BF-A2E2-A2C693B7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299" y="3570785"/>
          <a:ext cx="1715764" cy="677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31</xdr:row>
      <xdr:rowOff>104775</xdr:rowOff>
    </xdr:from>
    <xdr:to>
      <xdr:col>19</xdr:col>
      <xdr:colOff>248397</xdr:colOff>
      <xdr:row>40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259EB4-B9CB-4565-8EF1-5BAAA92C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6010275"/>
          <a:ext cx="6134847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142875</xdr:rowOff>
    </xdr:from>
    <xdr:to>
      <xdr:col>16</xdr:col>
      <xdr:colOff>9526</xdr:colOff>
      <xdr:row>10</xdr:row>
      <xdr:rowOff>123436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8A32F2-BCD3-4BDF-92B9-778FF76FE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333375"/>
          <a:ext cx="4152901" cy="1695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40</xdr:row>
      <xdr:rowOff>133351</xdr:rowOff>
    </xdr:from>
    <xdr:to>
      <xdr:col>16</xdr:col>
      <xdr:colOff>514351</xdr:colOff>
      <xdr:row>51</xdr:row>
      <xdr:rowOff>2612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8D309C-1F03-4901-B3FE-5BBA8E682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7753351"/>
          <a:ext cx="4572001" cy="196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22</xdr:row>
      <xdr:rowOff>85725</xdr:rowOff>
    </xdr:from>
    <xdr:to>
      <xdr:col>17</xdr:col>
      <xdr:colOff>558913</xdr:colOff>
      <xdr:row>31</xdr:row>
      <xdr:rowOff>95824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EBA3C6-A7B4-4C56-8243-025D3297E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4276725"/>
          <a:ext cx="5216638" cy="172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333376</xdr:colOff>
      <xdr:row>27</xdr:row>
      <xdr:rowOff>28575</xdr:rowOff>
    </xdr:from>
    <xdr:to>
      <xdr:col>17</xdr:col>
      <xdr:colOff>428626</xdr:colOff>
      <xdr:row>28</xdr:row>
      <xdr:rowOff>66675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FBF6E47-FDE3-4A51-8AF8-DFDB82738D74}"/>
            </a:ext>
          </a:extLst>
        </xdr:cNvPr>
        <xdr:cNvSpPr/>
      </xdr:nvSpPr>
      <xdr:spPr>
        <a:xfrm>
          <a:off x="9410701" y="5172075"/>
          <a:ext cx="4972050" cy="22860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9</xdr:col>
      <xdr:colOff>84602</xdr:colOff>
      <xdr:row>52</xdr:row>
      <xdr:rowOff>6507</xdr:rowOff>
    </xdr:from>
    <xdr:to>
      <xdr:col>23</xdr:col>
      <xdr:colOff>489857</xdr:colOff>
      <xdr:row>72</xdr:row>
      <xdr:rowOff>106674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DE8929-786E-4339-B0D6-4B1F6BCCFC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51710"/>
        <a:stretch/>
      </xdr:blipFill>
      <xdr:spPr>
        <a:xfrm>
          <a:off x="9161927" y="9912507"/>
          <a:ext cx="8939655" cy="3910167"/>
        </a:xfrm>
        <a:prstGeom prst="rect">
          <a:avLst/>
        </a:prstGeom>
      </xdr:spPr>
    </xdr:pic>
    <xdr:clientData/>
  </xdr:twoCellAnchor>
  <xdr:twoCellAnchor editAs="oneCell">
    <xdr:from>
      <xdr:col>9</xdr:col>
      <xdr:colOff>283976</xdr:colOff>
      <xdr:row>75</xdr:row>
      <xdr:rowOff>126084</xdr:rowOff>
    </xdr:from>
    <xdr:to>
      <xdr:col>23</xdr:col>
      <xdr:colOff>489858</xdr:colOff>
      <xdr:row>98</xdr:row>
      <xdr:rowOff>176387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FB620E-5331-47FE-8C56-BAF9B34F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361301" y="14413584"/>
          <a:ext cx="8740282" cy="4431803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100</xdr:row>
      <xdr:rowOff>28575</xdr:rowOff>
    </xdr:from>
    <xdr:to>
      <xdr:col>22</xdr:col>
      <xdr:colOff>514350</xdr:colOff>
      <xdr:row>145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698EADE-EC5F-413C-9D68-6E636FB1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9078575"/>
          <a:ext cx="8286750" cy="866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180976</xdr:colOff>
      <xdr:row>113</xdr:row>
      <xdr:rowOff>133350</xdr:rowOff>
    </xdr:from>
    <xdr:to>
      <xdr:col>18</xdr:col>
      <xdr:colOff>228600</xdr:colOff>
      <xdr:row>123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D7CC58-ACB5-4161-A8A8-D4B0B721CE8F}"/>
            </a:ext>
          </a:extLst>
        </xdr:cNvPr>
        <xdr:cNvSpPr/>
      </xdr:nvSpPr>
      <xdr:spPr>
        <a:xfrm>
          <a:off x="9258301" y="21659850"/>
          <a:ext cx="5534024" cy="177165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14</xdr:col>
      <xdr:colOff>448035</xdr:colOff>
      <xdr:row>73</xdr:row>
      <xdr:rowOff>47625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2324A0-2B47-47C6-AC30-1816F254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7429500"/>
          <a:ext cx="8429985" cy="652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261439</xdr:colOff>
      <xdr:row>69</xdr:row>
      <xdr:rowOff>58904</xdr:rowOff>
    </xdr:from>
    <xdr:to>
      <xdr:col>6</xdr:col>
      <xdr:colOff>782387</xdr:colOff>
      <xdr:row>103</xdr:row>
      <xdr:rowOff>155071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F3EEE-0517-4D6E-B8C5-D5B4E25A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039" y="13203404"/>
          <a:ext cx="7121773" cy="6573167"/>
        </a:xfrm>
        <a:prstGeom prst="rect">
          <a:avLst/>
        </a:prstGeom>
      </xdr:spPr>
    </xdr:pic>
    <xdr:clientData/>
  </xdr:twoCellAnchor>
  <xdr:twoCellAnchor editAs="oneCell">
    <xdr:from>
      <xdr:col>1</xdr:col>
      <xdr:colOff>88160</xdr:colOff>
      <xdr:row>27</xdr:row>
      <xdr:rowOff>83167</xdr:rowOff>
    </xdr:from>
    <xdr:to>
      <xdr:col>7</xdr:col>
      <xdr:colOff>105335</xdr:colOff>
      <xdr:row>67</xdr:row>
      <xdr:rowOff>74825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1C7A25-808E-4244-94B3-45303F06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60" y="5226667"/>
          <a:ext cx="7484775" cy="7611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23532</xdr:colOff>
      <xdr:row>32</xdr:row>
      <xdr:rowOff>7843</xdr:rowOff>
    </xdr:from>
    <xdr:to>
      <xdr:col>44</xdr:col>
      <xdr:colOff>37812</xdr:colOff>
      <xdr:row>64</xdr:row>
      <xdr:rowOff>113483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15EBE0-1608-4C90-BF4C-6CF57F85E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17882" y="6103843"/>
          <a:ext cx="5976930" cy="6201640"/>
        </a:xfrm>
        <a:prstGeom prst="rect">
          <a:avLst/>
        </a:prstGeom>
      </xdr:spPr>
    </xdr:pic>
    <xdr:clientData/>
  </xdr:twoCellAnchor>
  <xdr:twoCellAnchor editAs="oneCell">
    <xdr:from>
      <xdr:col>12</xdr:col>
      <xdr:colOff>84602</xdr:colOff>
      <xdr:row>2</xdr:row>
      <xdr:rowOff>6507</xdr:rowOff>
    </xdr:from>
    <xdr:to>
      <xdr:col>26</xdr:col>
      <xdr:colOff>489857</xdr:colOff>
      <xdr:row>22</xdr:row>
      <xdr:rowOff>106674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C7B74F-F859-45DD-B366-88C78E88E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1710"/>
        <a:stretch/>
      </xdr:blipFill>
      <xdr:spPr>
        <a:xfrm>
          <a:off x="13076702" y="387507"/>
          <a:ext cx="8939655" cy="3910167"/>
        </a:xfrm>
        <a:prstGeom prst="rect">
          <a:avLst/>
        </a:prstGeom>
      </xdr:spPr>
    </xdr:pic>
    <xdr:clientData/>
  </xdr:twoCellAnchor>
  <xdr:twoCellAnchor editAs="oneCell">
    <xdr:from>
      <xdr:col>12</xdr:col>
      <xdr:colOff>283976</xdr:colOff>
      <xdr:row>25</xdr:row>
      <xdr:rowOff>126084</xdr:rowOff>
    </xdr:from>
    <xdr:to>
      <xdr:col>26</xdr:col>
      <xdr:colOff>489858</xdr:colOff>
      <xdr:row>48</xdr:row>
      <xdr:rowOff>176387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153E97-D53E-450C-907C-3EF849D0B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76076" y="4888584"/>
          <a:ext cx="8740282" cy="4431803"/>
        </a:xfrm>
        <a:prstGeom prst="rect">
          <a:avLst/>
        </a:prstGeom>
      </xdr:spPr>
    </xdr:pic>
    <xdr:clientData/>
  </xdr:twoCellAnchor>
  <xdr:twoCellAnchor>
    <xdr:from>
      <xdr:col>24</xdr:col>
      <xdr:colOff>302895</xdr:colOff>
      <xdr:row>1</xdr:row>
      <xdr:rowOff>142875</xdr:rowOff>
    </xdr:from>
    <xdr:to>
      <xdr:col>24</xdr:col>
      <xdr:colOff>302895</xdr:colOff>
      <xdr:row>20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68331B2-3B1F-4E22-9D21-FB085F1EE278}"/>
            </a:ext>
          </a:extLst>
        </xdr:cNvPr>
        <xdr:cNvCxnSpPr/>
      </xdr:nvCxnSpPr>
      <xdr:spPr>
        <a:xfrm>
          <a:off x="20610195" y="333375"/>
          <a:ext cx="0" cy="34861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200025</xdr:colOff>
      <xdr:row>3</xdr:row>
      <xdr:rowOff>13855</xdr:rowOff>
    </xdr:from>
    <xdr:to>
      <xdr:col>25</xdr:col>
      <xdr:colOff>484036</xdr:colOff>
      <xdr:row>16</xdr:row>
      <xdr:rowOff>162682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C99B2273-91C5-44F7-A50B-3EE142FD2409}"/>
            </a:ext>
          </a:extLst>
        </xdr:cNvPr>
        <xdr:cNvSpPr/>
      </xdr:nvSpPr>
      <xdr:spPr>
        <a:xfrm>
          <a:off x="16849725" y="585355"/>
          <a:ext cx="4551211" cy="2625327"/>
        </a:xfrm>
        <a:custGeom>
          <a:avLst/>
          <a:gdLst>
            <a:gd name="connsiteX0" fmla="*/ 0 w 3131344"/>
            <a:gd name="connsiteY0" fmla="*/ 0 h 2500313"/>
            <a:gd name="connsiteX1" fmla="*/ 976313 w 3131344"/>
            <a:gd name="connsiteY1" fmla="*/ 1708547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25079 w 3131344"/>
            <a:gd name="connsiteY1" fmla="*/ 1393031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77236 w 4525902"/>
            <a:gd name="connsiteY1" fmla="*/ 1376181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45914 w 4519475"/>
            <a:gd name="connsiteY1" fmla="*/ 1378305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08402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22618 w 4544370"/>
            <a:gd name="connsiteY2" fmla="*/ 221842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55872 w 4544370"/>
            <a:gd name="connsiteY1" fmla="*/ 1373292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544370" h="2625327">
              <a:moveTo>
                <a:pt x="0" y="0"/>
              </a:moveTo>
              <a:cubicBezTo>
                <a:pt x="196850" y="696105"/>
                <a:pt x="320429" y="1013581"/>
                <a:pt x="655872" y="1388332"/>
              </a:cubicBezTo>
              <a:cubicBezTo>
                <a:pt x="991315" y="1763083"/>
                <a:pt x="1364577" y="2042343"/>
                <a:pt x="2012660" y="2248509"/>
              </a:cubicBezTo>
              <a:cubicBezTo>
                <a:pt x="2660743" y="2454675"/>
                <a:pt x="3192794" y="2533244"/>
                <a:pt x="4544370" y="2625327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247271</xdr:colOff>
      <xdr:row>1</xdr:row>
      <xdr:rowOff>180975</xdr:rowOff>
    </xdr:from>
    <xdr:to>
      <xdr:col>19</xdr:col>
      <xdr:colOff>153563</xdr:colOff>
      <xdr:row>3</xdr:row>
      <xdr:rowOff>57150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C1815F-2CA1-400B-941E-B516693F0706}"/>
            </a:ext>
          </a:extLst>
        </xdr:cNvPr>
        <xdr:cNvSpPr txBox="1"/>
      </xdr:nvSpPr>
      <xdr:spPr>
        <a:xfrm>
          <a:off x="16896971" y="371475"/>
          <a:ext cx="515892" cy="2571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~1.57</a:t>
          </a:r>
        </a:p>
      </xdr:txBody>
    </xdr:sp>
    <xdr:clientData/>
  </xdr:twoCellAnchor>
  <xdr:twoCellAnchor>
    <xdr:from>
      <xdr:col>24</xdr:col>
      <xdr:colOff>354090</xdr:colOff>
      <xdr:row>14</xdr:row>
      <xdr:rowOff>74118</xdr:rowOff>
    </xdr:from>
    <xdr:to>
      <xdr:col>25</xdr:col>
      <xdr:colOff>468390</xdr:colOff>
      <xdr:row>15</xdr:row>
      <xdr:rowOff>140793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1003E2-D1AE-4399-B09A-BA2A6568C105}"/>
            </a:ext>
          </a:extLst>
        </xdr:cNvPr>
        <xdr:cNvSpPr txBox="1"/>
      </xdr:nvSpPr>
      <xdr:spPr>
        <a:xfrm>
          <a:off x="20661390" y="2741118"/>
          <a:ext cx="7239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Kt = 1.4</a:t>
          </a:r>
        </a:p>
      </xdr:txBody>
    </xdr:sp>
    <xdr:clientData/>
  </xdr:twoCellAnchor>
  <xdr:twoCellAnchor>
    <xdr:from>
      <xdr:col>16</xdr:col>
      <xdr:colOff>550545</xdr:colOff>
      <xdr:row>27</xdr:row>
      <xdr:rowOff>123825</xdr:rowOff>
    </xdr:from>
    <xdr:to>
      <xdr:col>16</xdr:col>
      <xdr:colOff>550545</xdr:colOff>
      <xdr:row>45</xdr:row>
      <xdr:rowOff>180975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5A0367D-DA64-48C4-A411-D22E4CB72721}"/>
            </a:ext>
          </a:extLst>
        </xdr:cNvPr>
        <xdr:cNvCxnSpPr/>
      </xdr:nvCxnSpPr>
      <xdr:spPr>
        <a:xfrm>
          <a:off x="15981045" y="5267325"/>
          <a:ext cx="0" cy="34861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515514</xdr:colOff>
      <xdr:row>34</xdr:row>
      <xdr:rowOff>33511</xdr:rowOff>
    </xdr:from>
    <xdr:to>
      <xdr:col>19</xdr:col>
      <xdr:colOff>18208</xdr:colOff>
      <xdr:row>35</xdr:row>
      <xdr:rowOff>100186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2793A2-55BD-4710-8C1B-C1247430F3C5}"/>
            </a:ext>
          </a:extLst>
        </xdr:cNvPr>
        <xdr:cNvSpPr txBox="1"/>
      </xdr:nvSpPr>
      <xdr:spPr>
        <a:xfrm>
          <a:off x="16555614" y="6510511"/>
          <a:ext cx="721894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 = 0.7</a:t>
          </a:r>
        </a:p>
      </xdr:txBody>
    </xdr:sp>
    <xdr:clientData/>
  </xdr:twoCellAnchor>
  <xdr:twoCellAnchor>
    <xdr:from>
      <xdr:col>13</xdr:col>
      <xdr:colOff>512844</xdr:colOff>
      <xdr:row>32</xdr:row>
      <xdr:rowOff>83976</xdr:rowOff>
    </xdr:from>
    <xdr:to>
      <xdr:col>21</xdr:col>
      <xdr:colOff>606355</xdr:colOff>
      <xdr:row>39</xdr:row>
      <xdr:rowOff>155728</xdr:rowOff>
    </xdr:to>
    <xdr:sp macro="" textlink="">
      <xdr:nvSpPr>
        <xdr:cNvPr id="13" name="Freeform: Shape 12">
          <a:extLst>
            <a:ext uri="{FF2B5EF4-FFF2-40B4-BE49-F238E27FC236}">
              <a16:creationId xmlns:a16="http://schemas.microsoft.com/office/drawing/2014/main" id="{9B1DB497-4303-4A8B-B36D-CACC7D71B728}"/>
            </a:ext>
          </a:extLst>
        </xdr:cNvPr>
        <xdr:cNvSpPr/>
      </xdr:nvSpPr>
      <xdr:spPr>
        <a:xfrm>
          <a:off x="14114544" y="6179976"/>
          <a:ext cx="4970311" cy="1405252"/>
        </a:xfrm>
        <a:custGeom>
          <a:avLst/>
          <a:gdLst>
            <a:gd name="connsiteX0" fmla="*/ 0 w 3131344"/>
            <a:gd name="connsiteY0" fmla="*/ 0 h 2500313"/>
            <a:gd name="connsiteX1" fmla="*/ 976313 w 3131344"/>
            <a:gd name="connsiteY1" fmla="*/ 1708547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25079 w 3131344"/>
            <a:gd name="connsiteY1" fmla="*/ 1393031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77236 w 4525902"/>
            <a:gd name="connsiteY1" fmla="*/ 1376181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45914 w 4519475"/>
            <a:gd name="connsiteY1" fmla="*/ 1378305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08402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22618 w 4544370"/>
            <a:gd name="connsiteY2" fmla="*/ 221842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55872 w 4544370"/>
            <a:gd name="connsiteY1" fmla="*/ 1373292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659145"/>
            <a:gd name="connsiteY0" fmla="*/ 0 h 2251813"/>
            <a:gd name="connsiteX1" fmla="*/ 655872 w 4659145"/>
            <a:gd name="connsiteY1" fmla="*/ 1388332 h 2251813"/>
            <a:gd name="connsiteX2" fmla="*/ 2012660 w 4659145"/>
            <a:gd name="connsiteY2" fmla="*/ 2248509 h 2251813"/>
            <a:gd name="connsiteX3" fmla="*/ 4659145 w 4659145"/>
            <a:gd name="connsiteY3" fmla="*/ 1086287 h 2251813"/>
            <a:gd name="connsiteX0" fmla="*/ 0 w 4659145"/>
            <a:gd name="connsiteY0" fmla="*/ 0 h 1533252"/>
            <a:gd name="connsiteX1" fmla="*/ 655872 w 4659145"/>
            <a:gd name="connsiteY1" fmla="*/ 1388332 h 1533252"/>
            <a:gd name="connsiteX2" fmla="*/ 1992699 w 4659145"/>
            <a:gd name="connsiteY2" fmla="*/ 1456430 h 1533252"/>
            <a:gd name="connsiteX3" fmla="*/ 4659145 w 4659145"/>
            <a:gd name="connsiteY3" fmla="*/ 1086287 h 1533252"/>
            <a:gd name="connsiteX0" fmla="*/ 0 w 4714037"/>
            <a:gd name="connsiteY0" fmla="*/ 0 h 1523948"/>
            <a:gd name="connsiteX1" fmla="*/ 655872 w 4714037"/>
            <a:gd name="connsiteY1" fmla="*/ 1388332 h 1523948"/>
            <a:gd name="connsiteX2" fmla="*/ 1992699 w 4714037"/>
            <a:gd name="connsiteY2" fmla="*/ 1456430 h 1523948"/>
            <a:gd name="connsiteX3" fmla="*/ 4714037 w 4714037"/>
            <a:gd name="connsiteY3" fmla="*/ 1256734 h 1523948"/>
            <a:gd name="connsiteX0" fmla="*/ 0 w 4958559"/>
            <a:gd name="connsiteY0" fmla="*/ 1429353 h 1590441"/>
            <a:gd name="connsiteX1" fmla="*/ 900394 w 4958559"/>
            <a:gd name="connsiteY1" fmla="*/ 150685 h 1590441"/>
            <a:gd name="connsiteX2" fmla="*/ 2237221 w 4958559"/>
            <a:gd name="connsiteY2" fmla="*/ 218783 h 1590441"/>
            <a:gd name="connsiteX3" fmla="*/ 4958559 w 4958559"/>
            <a:gd name="connsiteY3" fmla="*/ 19087 h 1590441"/>
            <a:gd name="connsiteX0" fmla="*/ 0 w 4958559"/>
            <a:gd name="connsiteY0" fmla="*/ 1434028 h 1632058"/>
            <a:gd name="connsiteX1" fmla="*/ 875443 w 4958559"/>
            <a:gd name="connsiteY1" fmla="*/ 581478 h 1632058"/>
            <a:gd name="connsiteX2" fmla="*/ 2237221 w 4958559"/>
            <a:gd name="connsiteY2" fmla="*/ 223458 h 1632058"/>
            <a:gd name="connsiteX3" fmla="*/ 4958559 w 4958559"/>
            <a:gd name="connsiteY3" fmla="*/ 23762 h 1632058"/>
            <a:gd name="connsiteX0" fmla="*/ 0 w 4958559"/>
            <a:gd name="connsiteY0" fmla="*/ 1434028 h 1434028"/>
            <a:gd name="connsiteX1" fmla="*/ 875443 w 4958559"/>
            <a:gd name="connsiteY1" fmla="*/ 581478 h 1434028"/>
            <a:gd name="connsiteX2" fmla="*/ 2237221 w 4958559"/>
            <a:gd name="connsiteY2" fmla="*/ 223458 h 1434028"/>
            <a:gd name="connsiteX3" fmla="*/ 4958559 w 4958559"/>
            <a:gd name="connsiteY3" fmla="*/ 23762 h 1434028"/>
            <a:gd name="connsiteX0" fmla="*/ 0 w 4958559"/>
            <a:gd name="connsiteY0" fmla="*/ 1431690 h 1431690"/>
            <a:gd name="connsiteX1" fmla="*/ 875443 w 4958559"/>
            <a:gd name="connsiteY1" fmla="*/ 579140 h 1431690"/>
            <a:gd name="connsiteX2" fmla="*/ 2262172 w 4958559"/>
            <a:gd name="connsiteY2" fmla="*/ 251199 h 1431690"/>
            <a:gd name="connsiteX3" fmla="*/ 4958559 w 4958559"/>
            <a:gd name="connsiteY3" fmla="*/ 21424 h 1431690"/>
            <a:gd name="connsiteX0" fmla="*/ 0 w 4958559"/>
            <a:gd name="connsiteY0" fmla="*/ 1432081 h 1432081"/>
            <a:gd name="connsiteX1" fmla="*/ 740707 w 4958559"/>
            <a:gd name="connsiteY1" fmla="*/ 614623 h 1432081"/>
            <a:gd name="connsiteX2" fmla="*/ 2262172 w 4958559"/>
            <a:gd name="connsiteY2" fmla="*/ 251590 h 1432081"/>
            <a:gd name="connsiteX3" fmla="*/ 4958559 w 4958559"/>
            <a:gd name="connsiteY3" fmla="*/ 21815 h 1432081"/>
            <a:gd name="connsiteX0" fmla="*/ 0 w 4953569"/>
            <a:gd name="connsiteY0" fmla="*/ 1462160 h 1462160"/>
            <a:gd name="connsiteX1" fmla="*/ 735717 w 4953569"/>
            <a:gd name="connsiteY1" fmla="*/ 614623 h 1462160"/>
            <a:gd name="connsiteX2" fmla="*/ 2257182 w 4953569"/>
            <a:gd name="connsiteY2" fmla="*/ 251590 h 1462160"/>
            <a:gd name="connsiteX3" fmla="*/ 4953569 w 4953569"/>
            <a:gd name="connsiteY3" fmla="*/ 21815 h 1462160"/>
            <a:gd name="connsiteX0" fmla="*/ 0 w 4953569"/>
            <a:gd name="connsiteY0" fmla="*/ 1461769 h 1461769"/>
            <a:gd name="connsiteX1" fmla="*/ 695795 w 4953569"/>
            <a:gd name="connsiteY1" fmla="*/ 579140 h 1461769"/>
            <a:gd name="connsiteX2" fmla="*/ 2257182 w 4953569"/>
            <a:gd name="connsiteY2" fmla="*/ 251199 h 1461769"/>
            <a:gd name="connsiteX3" fmla="*/ 4953569 w 4953569"/>
            <a:gd name="connsiteY3" fmla="*/ 21424 h 1461769"/>
            <a:gd name="connsiteX0" fmla="*/ 0 w 4973530"/>
            <a:gd name="connsiteY0" fmla="*/ 1411637 h 1411637"/>
            <a:gd name="connsiteX1" fmla="*/ 715756 w 4973530"/>
            <a:gd name="connsiteY1" fmla="*/ 579140 h 1411637"/>
            <a:gd name="connsiteX2" fmla="*/ 2277143 w 4973530"/>
            <a:gd name="connsiteY2" fmla="*/ 251199 h 1411637"/>
            <a:gd name="connsiteX3" fmla="*/ 4973530 w 4973530"/>
            <a:gd name="connsiteY3" fmla="*/ 21424 h 1411637"/>
            <a:gd name="connsiteX0" fmla="*/ 0 w 4973530"/>
            <a:gd name="connsiteY0" fmla="*/ 1413975 h 1413975"/>
            <a:gd name="connsiteX1" fmla="*/ 715756 w 4973530"/>
            <a:gd name="connsiteY1" fmla="*/ 581478 h 1413975"/>
            <a:gd name="connsiteX2" fmla="*/ 2272153 w 4973530"/>
            <a:gd name="connsiteY2" fmla="*/ 223458 h 1413975"/>
            <a:gd name="connsiteX3" fmla="*/ 4973530 w 4973530"/>
            <a:gd name="connsiteY3" fmla="*/ 23762 h 1413975"/>
            <a:gd name="connsiteX0" fmla="*/ 0 w 4973530"/>
            <a:gd name="connsiteY0" fmla="*/ 1390510 h 1390510"/>
            <a:gd name="connsiteX1" fmla="*/ 715756 w 4973530"/>
            <a:gd name="connsiteY1" fmla="*/ 558013 h 1390510"/>
            <a:gd name="connsiteX2" fmla="*/ 2272153 w 4973530"/>
            <a:gd name="connsiteY2" fmla="*/ 199993 h 1390510"/>
            <a:gd name="connsiteX3" fmla="*/ 4973530 w 4973530"/>
            <a:gd name="connsiteY3" fmla="*/ 297 h 1390510"/>
            <a:gd name="connsiteX0" fmla="*/ 0 w 4973530"/>
            <a:gd name="connsiteY0" fmla="*/ 1390213 h 1390213"/>
            <a:gd name="connsiteX1" fmla="*/ 715756 w 4973530"/>
            <a:gd name="connsiteY1" fmla="*/ 557716 h 1390213"/>
            <a:gd name="connsiteX2" fmla="*/ 2272153 w 4973530"/>
            <a:gd name="connsiteY2" fmla="*/ 199696 h 1390213"/>
            <a:gd name="connsiteX3" fmla="*/ 4973530 w 4973530"/>
            <a:gd name="connsiteY3" fmla="*/ 0 h 1390213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72153 w 4963550"/>
            <a:gd name="connsiteY2" fmla="*/ 214735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72153 w 4963550"/>
            <a:gd name="connsiteY2" fmla="*/ 214735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90804 w 4963550"/>
            <a:gd name="connsiteY1" fmla="*/ 592807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75833 w 4963550"/>
            <a:gd name="connsiteY1" fmla="*/ 587794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75833 w 4963550"/>
            <a:gd name="connsiteY1" fmla="*/ 587794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963550" h="1405252">
              <a:moveTo>
                <a:pt x="0" y="1405252"/>
              </a:moveTo>
              <a:cubicBezTo>
                <a:pt x="201841" y="928278"/>
                <a:pt x="293814" y="789556"/>
                <a:pt x="675833" y="587794"/>
              </a:cubicBezTo>
              <a:cubicBezTo>
                <a:pt x="1057852" y="386033"/>
                <a:pt x="1577496" y="292649"/>
                <a:pt x="2292115" y="194683"/>
              </a:cubicBezTo>
              <a:cubicBezTo>
                <a:pt x="3006734" y="96717"/>
                <a:pt x="3582033" y="28234"/>
                <a:pt x="4963550" y="0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322947</xdr:colOff>
      <xdr:row>33</xdr:row>
      <xdr:rowOff>148891</xdr:rowOff>
    </xdr:from>
    <xdr:to>
      <xdr:col>19</xdr:col>
      <xdr:colOff>137179</xdr:colOff>
      <xdr:row>33</xdr:row>
      <xdr:rowOff>148891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C31209D-0A6F-43C2-9396-3E8C8FF36A6B}"/>
            </a:ext>
          </a:extLst>
        </xdr:cNvPr>
        <xdr:cNvCxnSpPr/>
      </xdr:nvCxnSpPr>
      <xdr:spPr>
        <a:xfrm>
          <a:off x="13924647" y="6435391"/>
          <a:ext cx="347183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13607</xdr:colOff>
      <xdr:row>14</xdr:row>
      <xdr:rowOff>0</xdr:rowOff>
    </xdr:from>
    <xdr:to>
      <xdr:col>34</xdr:col>
      <xdr:colOff>4785</xdr:colOff>
      <xdr:row>53</xdr:row>
      <xdr:rowOff>40821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E2511EB-8459-4BD7-B72E-B33BC204A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49707" y="2667000"/>
          <a:ext cx="8239828" cy="7470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494D-6DBB-4C99-8823-86FC1866476E}">
  <sheetPr>
    <tabColor rgb="FFC00000"/>
  </sheetPr>
  <dimension ref="B1:CD202"/>
  <sheetViews>
    <sheetView tabSelected="1" zoomScaleNormal="100" workbookViewId="0">
      <selection activeCell="C23" sqref="C23"/>
    </sheetView>
  </sheetViews>
  <sheetFormatPr defaultRowHeight="15" customHeight="1" x14ac:dyDescent="0.25"/>
  <cols>
    <col min="2" max="2" width="30.5703125" style="1" customWidth="1"/>
    <col min="3" max="3" width="13" style="1" customWidth="1"/>
    <col min="4" max="4" width="10.140625" style="1" customWidth="1"/>
    <col min="5" max="5" width="10.42578125" bestFit="1" customWidth="1"/>
    <col min="6" max="6" width="31.28515625" style="1" bestFit="1" customWidth="1"/>
    <col min="7" max="7" width="13" style="1" customWidth="1"/>
    <col min="8" max="8" width="10.140625" style="1" customWidth="1"/>
    <col min="25" max="25" width="16.28515625" bestFit="1" customWidth="1"/>
    <col min="26" max="29" width="9.140625" customWidth="1"/>
  </cols>
  <sheetData>
    <row r="1" spans="2:82" ht="15" customHeight="1" x14ac:dyDescent="0.25">
      <c r="Z1" s="12"/>
      <c r="AG1" s="12"/>
      <c r="AN1" s="12"/>
      <c r="AU1" s="12"/>
      <c r="BB1" s="12"/>
      <c r="BI1" s="12"/>
      <c r="BP1" s="12"/>
      <c r="BW1" s="12"/>
      <c r="CD1" s="12"/>
    </row>
    <row r="2" spans="2:82" ht="15" customHeight="1" x14ac:dyDescent="0.25">
      <c r="C2"/>
      <c r="D2"/>
      <c r="F2"/>
      <c r="G2"/>
      <c r="H2"/>
      <c r="Z2" s="12"/>
      <c r="AG2" s="12"/>
      <c r="AN2" s="12"/>
      <c r="AU2" s="12"/>
      <c r="BB2" s="12"/>
      <c r="BI2" s="12"/>
      <c r="BP2" s="12"/>
      <c r="BW2" s="12"/>
      <c r="CD2" s="12"/>
    </row>
    <row r="3" spans="2:82" ht="15" customHeight="1" thickBot="1" x14ac:dyDescent="0.3">
      <c r="B3" s="2" t="s">
        <v>0</v>
      </c>
      <c r="C3" s="3" t="s">
        <v>1</v>
      </c>
      <c r="D3" s="4" t="s">
        <v>3</v>
      </c>
      <c r="F3" s="5" t="s">
        <v>4</v>
      </c>
      <c r="G3" s="5"/>
      <c r="H3" s="5"/>
      <c r="Z3" s="12"/>
      <c r="AG3" s="12"/>
      <c r="AN3" s="12"/>
      <c r="AU3" s="12"/>
      <c r="BB3" s="12"/>
      <c r="BI3" s="12"/>
      <c r="BP3" s="12"/>
      <c r="BW3" s="12"/>
      <c r="CD3" s="12"/>
    </row>
    <row r="4" spans="2:82" ht="15" customHeight="1" x14ac:dyDescent="0.25">
      <c r="Y4" s="15" t="s">
        <v>31</v>
      </c>
      <c r="Z4" s="16"/>
      <c r="AG4" s="12"/>
      <c r="AN4" s="12"/>
      <c r="AU4" s="12"/>
      <c r="BB4" s="12"/>
      <c r="BI4" s="12"/>
      <c r="BP4" s="12"/>
      <c r="BW4" s="12"/>
      <c r="CD4" s="12"/>
    </row>
    <row r="5" spans="2:82" ht="15" customHeight="1" x14ac:dyDescent="0.25">
      <c r="B5" s="6" t="s">
        <v>22</v>
      </c>
      <c r="C5" s="6"/>
      <c r="D5" s="6"/>
      <c r="F5" s="7" t="s">
        <v>21</v>
      </c>
      <c r="G5" s="7"/>
      <c r="H5" s="7"/>
      <c r="Y5" s="13" t="s">
        <v>29</v>
      </c>
      <c r="Z5" s="14" t="s">
        <v>12</v>
      </c>
      <c r="AG5" s="12"/>
      <c r="AN5" s="12"/>
      <c r="AU5" s="12"/>
      <c r="BB5" s="12"/>
      <c r="BI5" s="12"/>
      <c r="BP5" s="12"/>
      <c r="BW5" s="12"/>
      <c r="CD5" s="12"/>
    </row>
    <row r="6" spans="2:82" ht="15" customHeight="1" x14ac:dyDescent="0.25">
      <c r="B6" s="8" t="str">
        <f>IF($D$3="English","Diametrial Pitch, P (N/d)", "Module, m (d/N)")</f>
        <v>Diametrial Pitch, P (N/d)</v>
      </c>
      <c r="C6" s="8">
        <v>8</v>
      </c>
      <c r="D6" s="10" t="str">
        <f>IF($D$3="English","teeth/in", "mm/tooth")</f>
        <v>teeth/in</v>
      </c>
      <c r="F6" s="9" t="s">
        <v>26</v>
      </c>
      <c r="G6" s="22">
        <f>C19/C10</f>
        <v>10000</v>
      </c>
      <c r="H6" s="9" t="str">
        <f>IF($D$3="English","psi","Pa")</f>
        <v>psi</v>
      </c>
      <c r="Y6" s="21">
        <v>12</v>
      </c>
      <c r="Z6" s="26">
        <v>0.245</v>
      </c>
      <c r="AG6" s="12"/>
      <c r="AN6" s="12"/>
      <c r="AU6" s="12"/>
      <c r="BB6" s="12"/>
      <c r="BI6" s="12"/>
      <c r="BP6" s="12"/>
      <c r="BW6" s="12"/>
      <c r="CD6" s="12"/>
    </row>
    <row r="7" spans="2:82" ht="15" customHeight="1" x14ac:dyDescent="0.25">
      <c r="B7" s="8" t="s">
        <v>13</v>
      </c>
      <c r="C7" s="8">
        <v>1.5</v>
      </c>
      <c r="D7" s="8" t="str">
        <f>IF($D$3="English","in", "mm")</f>
        <v>in</v>
      </c>
      <c r="F7" s="9"/>
      <c r="G7" s="25">
        <f>IF($D$3="English",G6*10^-3,G6*10^-6)</f>
        <v>10</v>
      </c>
      <c r="H7" s="9" t="str">
        <f>IF($D$3="English","kpsi","MPa")</f>
        <v>kpsi</v>
      </c>
      <c r="Y7" s="21">
        <v>13</v>
      </c>
      <c r="Z7" s="26">
        <v>0.26100000000000001</v>
      </c>
      <c r="AG7" s="12"/>
      <c r="AN7" s="12"/>
      <c r="AU7" s="12"/>
      <c r="BB7" s="12"/>
      <c r="BI7" s="12"/>
      <c r="BP7" s="12"/>
      <c r="BW7" s="12"/>
      <c r="CD7" s="12"/>
    </row>
    <row r="8" spans="2:82" ht="15" customHeight="1" x14ac:dyDescent="0.25">
      <c r="B8" s="8" t="s">
        <v>14</v>
      </c>
      <c r="C8" s="8">
        <v>16</v>
      </c>
      <c r="D8" s="10" t="s">
        <v>5</v>
      </c>
      <c r="F8" s="9" t="s">
        <v>60</v>
      </c>
      <c r="G8" s="9">
        <f>IF(C8&lt;=MIN(Y6:Y31), INDEX(Z6:Z31, MATCH(MIN(Y6:Y31), Y6:Y31, 0)),
   IF(C8&gt;=MAX(Y6:Y31), INDEX(Z6:Z31, MATCH(MAX(Y6:Y31), Y6:Y31, 0)),
      INDEX(Z6:Z31, MATCH(LARGE(Y6:Y31, COUNTIF(Y6:Y31, "&gt;"&amp;C8)), Y6:Y31, 0)) +
      (C8 - LARGE(Y6:Y31, COUNTIF(Y6:Y31, "&gt;"&amp;C8))) *
      (INDEX(Z6:Z31, MATCH(SMALL(Y6:Y31, COUNTIF(Y6:Y31, "&lt;="&amp;C8)), Y6:Y31, 0)) -
       INDEX(Z6:Z31, MATCH(LARGE(Y6:Y31, COUNTIF(Y6:Y31, "&gt;"&amp;C8)), Y6:Y31, 0))) /
      (SMALL(Y6:Y31, COUNTIF(Y6:Y31, "&lt;="&amp;C8)) - LARGE(Y6:Y31, COUNTIF(Y6:Y31, "&gt;"&amp;C8)))
   )
)</f>
        <v>0.29599999999999999</v>
      </c>
      <c r="H8" s="11" t="s">
        <v>8</v>
      </c>
      <c r="Y8" s="21">
        <v>14</v>
      </c>
      <c r="Z8" s="26">
        <v>0.27700000000000002</v>
      </c>
      <c r="AG8" s="12"/>
      <c r="AN8" s="12"/>
      <c r="AU8" s="12"/>
      <c r="BB8" s="12"/>
      <c r="BI8" s="12"/>
      <c r="BP8" s="12"/>
      <c r="BW8" s="12"/>
      <c r="CD8" s="12"/>
    </row>
    <row r="9" spans="2:82" ht="15" customHeight="1" x14ac:dyDescent="0.25">
      <c r="B9" s="8" t="s">
        <v>6</v>
      </c>
      <c r="C9" s="8">
        <v>20</v>
      </c>
      <c r="D9" s="8" t="s">
        <v>7</v>
      </c>
      <c r="F9" s="9" t="s">
        <v>59</v>
      </c>
      <c r="G9" s="9">
        <f>IF($D$3="English",(C6^-1)*C8, C6*C8)</f>
        <v>2</v>
      </c>
      <c r="H9" s="9" t="str">
        <f>IF($D$3="English","in", "mm")</f>
        <v>in</v>
      </c>
      <c r="Y9" s="21">
        <v>15</v>
      </c>
      <c r="Z9" s="26">
        <v>0.28999999999999998</v>
      </c>
      <c r="AG9" s="12"/>
      <c r="AN9" s="12"/>
      <c r="AU9" s="12"/>
      <c r="BB9" s="12"/>
      <c r="BI9" s="12"/>
      <c r="BP9" s="12"/>
      <c r="BW9" s="12"/>
      <c r="CD9" s="12"/>
    </row>
    <row r="10" spans="2:82" ht="15" customHeight="1" x14ac:dyDescent="0.25">
      <c r="B10" s="8" t="s">
        <v>17</v>
      </c>
      <c r="C10" s="8">
        <v>3</v>
      </c>
      <c r="D10" s="10" t="s">
        <v>8</v>
      </c>
      <c r="F10" s="9" t="s">
        <v>11</v>
      </c>
      <c r="G10" s="32">
        <f>C12*G9/2</f>
        <v>125.66370614359172</v>
      </c>
      <c r="H10" s="9" t="str">
        <f>IF($D$3="English","in/s", "mm/s")</f>
        <v>in/s</v>
      </c>
      <c r="Y10" s="21">
        <v>16</v>
      </c>
      <c r="Z10" s="26">
        <v>0.29599999999999999</v>
      </c>
      <c r="AG10" s="12"/>
      <c r="AN10" s="12"/>
      <c r="AU10" s="12"/>
      <c r="BB10" s="12"/>
      <c r="BI10" s="12"/>
      <c r="BP10" s="12"/>
      <c r="BW10" s="12"/>
      <c r="CD10" s="12"/>
    </row>
    <row r="11" spans="2:82" ht="15" customHeight="1" x14ac:dyDescent="0.25">
      <c r="B11" s="8" t="s">
        <v>18</v>
      </c>
      <c r="C11" s="8">
        <v>1200</v>
      </c>
      <c r="D11" s="8" t="s">
        <v>2</v>
      </c>
      <c r="F11" s="9"/>
      <c r="G11" s="32">
        <f>IF($D$3="English",G10*(1/12)*60, G10*10^-3)</f>
        <v>628.31853071795854</v>
      </c>
      <c r="H11" s="9" t="str">
        <f>IF($D$3="English","ft/min", "m/s")</f>
        <v>ft/min</v>
      </c>
      <c r="Y11" s="21">
        <v>17</v>
      </c>
      <c r="Z11" s="26">
        <v>0.30299999999999999</v>
      </c>
      <c r="AG11" s="12"/>
      <c r="AN11" s="12"/>
      <c r="AU11" s="12"/>
      <c r="BB11" s="12"/>
      <c r="BI11" s="12"/>
      <c r="BP11" s="12"/>
      <c r="BW11" s="12"/>
      <c r="CD11" s="12"/>
    </row>
    <row r="12" spans="2:82" ht="15" customHeight="1" x14ac:dyDescent="0.25">
      <c r="B12" s="9" t="s">
        <v>19</v>
      </c>
      <c r="C12" s="17">
        <f>C11*PI()/30</f>
        <v>125.66370614359172</v>
      </c>
      <c r="D12" s="9" t="s">
        <v>9</v>
      </c>
      <c r="F12" s="9" t="s">
        <v>32</v>
      </c>
      <c r="G12" s="18">
        <f>IF($D$3="English",
   IF(C16="Cast Profile",((600+G11)/600),
     IF(C16="Cut or Milled Profile",((1200+G11)/1200),
       IF(C16="Hobbed or Shaped Profile",((50+SQRT(G11))/50),
         IF(C16="Shaped or Ground Profile",SQRT((78+SQRT(G11))/78),NA())))),
   IF(C16="Cast Profile",((3.05+G11)/3.05),
     IF(C16="Cut or Milled Profile",((6.1+G11)/6.1),
       IF(C16="Hobbed or Shaped Profile",((3.56+SQRT(G11))/3.56),
         IF(C16="Shaped or Ground Profile",SQRT((5.56+SQRT(G11))/5.56),NA()))))
)</f>
        <v>1.5235987755982987</v>
      </c>
      <c r="H12" s="9" t="str">
        <f>IF($D$3="English","ft/min", "m/s")</f>
        <v>ft/min</v>
      </c>
      <c r="Y12" s="21">
        <v>18</v>
      </c>
      <c r="Z12" s="26">
        <v>0.309</v>
      </c>
      <c r="AG12" s="12"/>
      <c r="AN12" s="12"/>
      <c r="AU12" s="12"/>
      <c r="BB12" s="12"/>
      <c r="BI12" s="12"/>
      <c r="BP12" s="12"/>
      <c r="BW12" s="12"/>
      <c r="CD12" s="12"/>
    </row>
    <row r="13" spans="2:82" ht="15" customHeight="1" x14ac:dyDescent="0.25">
      <c r="B13" s="1" t="s">
        <v>20</v>
      </c>
      <c r="F13" s="9" t="s">
        <v>35</v>
      </c>
      <c r="G13" s="17">
        <f>IF($D$3="English",33000/G11, 60000/(G10*60))</f>
        <v>52.521131220325472</v>
      </c>
      <c r="H13" s="9" t="str">
        <f>IF($D$3="English","lbf/HP", "kN/kW")</f>
        <v>lbf/HP</v>
      </c>
      <c r="Y13" s="21">
        <v>19</v>
      </c>
      <c r="Z13" s="26">
        <v>0.314</v>
      </c>
      <c r="AG13" s="12"/>
      <c r="AN13" s="12"/>
      <c r="AU13" s="12"/>
      <c r="BB13" s="12"/>
      <c r="BI13" s="12"/>
      <c r="BP13" s="12"/>
      <c r="BW13" s="12"/>
      <c r="CD13" s="12"/>
    </row>
    <row r="14" spans="2:82" ht="15" customHeight="1" x14ac:dyDescent="0.25">
      <c r="B14" s="6" t="s">
        <v>23</v>
      </c>
      <c r="C14" s="6"/>
      <c r="D14" s="6"/>
      <c r="F14" s="9" t="s">
        <v>36</v>
      </c>
      <c r="G14" s="17">
        <f>(G6*C7*G8)/(G12*G13*IF($D$3="English",C6, C6^-1))</f>
        <v>6.9356680108894695</v>
      </c>
      <c r="H14" s="9" t="str">
        <f>IF($D$3="English","HP", "kW")</f>
        <v>HP</v>
      </c>
      <c r="Y14" s="21">
        <v>20</v>
      </c>
      <c r="Z14" s="26">
        <v>0.32200000000000001</v>
      </c>
      <c r="AG14" s="12"/>
      <c r="AN14" s="12"/>
      <c r="AU14" s="12"/>
      <c r="BB14" s="12"/>
      <c r="BI14" s="12"/>
      <c r="BP14" s="12"/>
      <c r="BW14" s="12"/>
      <c r="CD14" s="12"/>
    </row>
    <row r="15" spans="2:82" ht="15" customHeight="1" x14ac:dyDescent="0.25">
      <c r="B15" s="8" t="s">
        <v>15</v>
      </c>
      <c r="C15" s="8" t="s">
        <v>16</v>
      </c>
      <c r="D15" s="8"/>
      <c r="F15" s="1" t="s">
        <v>57</v>
      </c>
      <c r="G15" s="27"/>
      <c r="Y15" s="21">
        <v>21</v>
      </c>
      <c r="Z15" s="26">
        <v>0.32800000000000001</v>
      </c>
      <c r="AG15" s="12"/>
      <c r="AN15" s="12"/>
      <c r="AU15" s="12"/>
      <c r="BB15" s="12"/>
      <c r="BI15" s="12"/>
      <c r="BP15" s="12"/>
      <c r="BW15" s="12"/>
      <c r="CD15" s="12"/>
    </row>
    <row r="16" spans="2:82" ht="15" customHeight="1" x14ac:dyDescent="0.25">
      <c r="B16" s="8" t="s">
        <v>33</v>
      </c>
      <c r="C16" s="8" t="s">
        <v>34</v>
      </c>
      <c r="D16" s="8"/>
      <c r="Y16" s="21">
        <v>22</v>
      </c>
      <c r="Z16" s="26">
        <v>0.33100000000000002</v>
      </c>
      <c r="AG16" s="12"/>
      <c r="AN16" s="12"/>
      <c r="AU16" s="12"/>
      <c r="BB16" s="12"/>
      <c r="BI16" s="12"/>
      <c r="BP16" s="12"/>
      <c r="BW16" s="12"/>
      <c r="CD16" s="12"/>
    </row>
    <row r="17" spans="2:82" ht="15" customHeight="1" x14ac:dyDescent="0.25">
      <c r="B17" s="8" t="s">
        <v>24</v>
      </c>
      <c r="C17" s="23">
        <f>55*10^3</f>
        <v>55000</v>
      </c>
      <c r="D17" s="8" t="str">
        <f>IF($D$3="English","psi","Pa")</f>
        <v>psi</v>
      </c>
      <c r="F17" s="7" t="s">
        <v>28</v>
      </c>
      <c r="G17" s="7"/>
      <c r="H17" s="7"/>
      <c r="Y17" s="21">
        <v>24</v>
      </c>
      <c r="Z17" s="26">
        <v>0.33700000000000002</v>
      </c>
      <c r="AG17" s="12"/>
      <c r="AN17" s="12"/>
      <c r="AU17" s="12"/>
      <c r="BB17" s="12"/>
      <c r="BI17" s="12"/>
      <c r="BP17" s="12"/>
      <c r="BW17" s="12"/>
      <c r="CD17" s="12"/>
    </row>
    <row r="18" spans="2:82" ht="15" customHeight="1" x14ac:dyDescent="0.25">
      <c r="B18" s="9"/>
      <c r="C18" s="9">
        <f>IF($D$3="English",C17*10^-3,C17*10^-6)</f>
        <v>55</v>
      </c>
      <c r="D18" s="9" t="str">
        <f>IF($D$3="English","kpsi","MPa")</f>
        <v>kpsi</v>
      </c>
      <c r="F18" s="28" t="s">
        <v>42</v>
      </c>
      <c r="G18" s="36">
        <f>0.5*C17</f>
        <v>27500</v>
      </c>
      <c r="H18" s="28" t="str">
        <f>IF($D$3="English","psi","Pa")</f>
        <v>psi</v>
      </c>
      <c r="Y18" s="21">
        <v>26</v>
      </c>
      <c r="Z18" s="26">
        <v>0.34599999999999997</v>
      </c>
      <c r="AG18" s="12"/>
      <c r="AN18" s="12"/>
      <c r="AU18" s="12"/>
      <c r="BB18" s="12"/>
      <c r="BI18" s="12"/>
      <c r="BP18" s="12"/>
      <c r="BW18" s="12"/>
      <c r="CD18" s="12"/>
    </row>
    <row r="19" spans="2:82" ht="15" customHeight="1" x14ac:dyDescent="0.25">
      <c r="B19" s="8" t="s">
        <v>25</v>
      </c>
      <c r="C19" s="24">
        <f>30*10^3</f>
        <v>30000</v>
      </c>
      <c r="D19" s="8" t="str">
        <f>IF($D$3="English","psi","Pa")</f>
        <v>psi</v>
      </c>
      <c r="F19" s="28" t="s">
        <v>43</v>
      </c>
      <c r="G19" s="28">
        <v>2.7</v>
      </c>
      <c r="H19" s="28"/>
      <c r="Y19" s="21">
        <v>28</v>
      </c>
      <c r="Z19" s="26">
        <v>0.35299999999999998</v>
      </c>
      <c r="AG19" s="12"/>
      <c r="AN19" s="12"/>
      <c r="AU19" s="12"/>
      <c r="BB19" s="12"/>
      <c r="BI19" s="12"/>
      <c r="BP19" s="12"/>
      <c r="BW19" s="12"/>
      <c r="CD19" s="12"/>
    </row>
    <row r="20" spans="2:82" ht="15" customHeight="1" x14ac:dyDescent="0.25">
      <c r="B20" s="9"/>
      <c r="C20" s="9">
        <f>IF($D$3="English",C19*10^-3,C19*10^-6)</f>
        <v>30</v>
      </c>
      <c r="D20" s="9" t="str">
        <f>IF($D$3="English","kpsi","MPa")</f>
        <v>kpsi</v>
      </c>
      <c r="F20" s="28" t="s">
        <v>44</v>
      </c>
      <c r="G20" s="28">
        <v>-0.26500000000000001</v>
      </c>
      <c r="H20" s="28"/>
      <c r="Y20" s="21">
        <v>30</v>
      </c>
      <c r="Z20" s="26">
        <v>0.35899999999999999</v>
      </c>
      <c r="AG20" s="12"/>
      <c r="AN20" s="12"/>
      <c r="AU20" s="12"/>
      <c r="BB20" s="12"/>
      <c r="BI20" s="12"/>
      <c r="BP20" s="12"/>
      <c r="BW20" s="12"/>
      <c r="CD20" s="12"/>
    </row>
    <row r="21" spans="2:82" ht="15" customHeight="1" x14ac:dyDescent="0.25">
      <c r="F21" s="9" t="s">
        <v>40</v>
      </c>
      <c r="G21" s="9">
        <f>G19*(C18^G20)</f>
        <v>0.93361463609981132</v>
      </c>
      <c r="H21" s="11" t="s">
        <v>8</v>
      </c>
      <c r="Y21" s="21">
        <v>34</v>
      </c>
      <c r="Z21" s="26">
        <v>0.371</v>
      </c>
      <c r="AG21" s="12"/>
      <c r="AN21" s="12"/>
      <c r="AU21" s="12"/>
      <c r="BB21" s="12"/>
      <c r="BI21" s="12"/>
      <c r="BP21" s="12"/>
      <c r="BW21" s="12"/>
      <c r="CD21" s="12"/>
    </row>
    <row r="22" spans="2:82" ht="15" customHeight="1" x14ac:dyDescent="0.25">
      <c r="F22" s="9" t="s">
        <v>46</v>
      </c>
      <c r="G22" s="9">
        <f>(3*G8)/(2*IF($D$3="English",C6, C6^-1))</f>
        <v>5.5499999999999994E-2</v>
      </c>
      <c r="H22" s="9" t="str">
        <f>IF($D$3="English","in", "mm")</f>
        <v>in</v>
      </c>
      <c r="Y22" s="21">
        <v>38</v>
      </c>
      <c r="Z22" s="26">
        <v>0.38400000000000001</v>
      </c>
      <c r="AG22" s="12"/>
      <c r="AN22" s="12"/>
      <c r="AU22" s="12"/>
      <c r="BB22" s="12"/>
      <c r="BI22" s="12"/>
      <c r="BP22" s="12"/>
      <c r="BW22" s="12"/>
      <c r="CD22" s="12"/>
    </row>
    <row r="23" spans="2:82" ht="15" customHeight="1" x14ac:dyDescent="0.25">
      <c r="F23" s="9" t="s">
        <v>48</v>
      </c>
      <c r="G23" s="9">
        <f>1*(IF($D$3="English",C6, C6^-1))^-1 + 1.25*(IF($D$3="English",C6, C6^-1))^-1</f>
        <v>0.28125</v>
      </c>
      <c r="H23" s="9" t="str">
        <f>IF($D$3="English","in", "mm")</f>
        <v>in</v>
      </c>
      <c r="Y23" s="21">
        <v>43</v>
      </c>
      <c r="Z23" s="26">
        <v>0.39700000000000002</v>
      </c>
      <c r="AG23" s="12"/>
      <c r="AN23" s="12"/>
      <c r="AU23" s="12"/>
      <c r="BB23" s="12"/>
      <c r="BI23" s="12"/>
      <c r="BP23" s="12"/>
      <c r="BW23" s="12"/>
      <c r="CD23" s="12"/>
    </row>
    <row r="24" spans="2:82" ht="15" customHeight="1" x14ac:dyDescent="0.25">
      <c r="F24" s="9" t="s">
        <v>47</v>
      </c>
      <c r="G24" s="9">
        <f>SQRT(4*G23*G22)</f>
        <v>0.24987496873436521</v>
      </c>
      <c r="H24" s="9" t="str">
        <f>IF($D$3="English","in", "mm")</f>
        <v>in</v>
      </c>
      <c r="Y24" s="21">
        <v>50</v>
      </c>
      <c r="Z24" s="26">
        <v>0.40899999999999997</v>
      </c>
      <c r="AG24" s="12"/>
      <c r="AN24" s="12"/>
      <c r="AU24" s="12"/>
      <c r="BB24" s="12"/>
      <c r="BI24" s="12"/>
      <c r="BP24" s="12"/>
      <c r="BW24" s="12"/>
      <c r="CD24" s="12"/>
    </row>
    <row r="25" spans="2:82" ht="15" customHeight="1" x14ac:dyDescent="0.25">
      <c r="B25" s="7" t="s">
        <v>37</v>
      </c>
      <c r="C25" s="7"/>
      <c r="D25" s="7"/>
      <c r="F25" s="9" t="s">
        <v>45</v>
      </c>
      <c r="G25" s="9">
        <f>0.808*SQRT(G24*C7)</f>
        <v>0.49467318239590163</v>
      </c>
      <c r="H25" s="9" t="str">
        <f>IF($D$3="English","in", "mm")</f>
        <v>in</v>
      </c>
      <c r="Y25" s="21">
        <v>60</v>
      </c>
      <c r="Z25" s="26">
        <v>0.42199999999999999</v>
      </c>
      <c r="AG25" s="12"/>
      <c r="AN25" s="12"/>
      <c r="AU25" s="12"/>
      <c r="BB25" s="12"/>
      <c r="BI25" s="12"/>
      <c r="BP25" s="12"/>
      <c r="BW25" s="12"/>
      <c r="CD25" s="12"/>
    </row>
    <row r="26" spans="2:82" ht="15" customHeight="1" x14ac:dyDescent="0.25">
      <c r="B26" s="8" t="s">
        <v>10</v>
      </c>
      <c r="C26" s="34">
        <f>G14</f>
        <v>6.9356680108894695</v>
      </c>
      <c r="D26" s="8" t="str">
        <f>IF($D$3="English","HP", "kW")</f>
        <v>HP</v>
      </c>
      <c r="F26" s="28" t="s">
        <v>39</v>
      </c>
      <c r="G26" s="28">
        <f>0.879*(G25^-0.107)</f>
        <v>0.94775658337690349</v>
      </c>
      <c r="H26" s="29" t="s">
        <v>8</v>
      </c>
      <c r="Y26" s="21">
        <v>75</v>
      </c>
      <c r="Z26" s="26">
        <v>0.435</v>
      </c>
      <c r="AG26" s="12"/>
      <c r="AN26" s="12"/>
      <c r="AU26" s="12"/>
      <c r="BB26" s="12"/>
      <c r="BI26" s="12"/>
      <c r="BP26" s="12"/>
      <c r="BW26" s="12"/>
      <c r="CD26" s="12"/>
    </row>
    <row r="27" spans="2:82" ht="15" customHeight="1" x14ac:dyDescent="0.25">
      <c r="B27" s="9" t="s">
        <v>61</v>
      </c>
      <c r="C27" s="17">
        <f>G13*C26</f>
        <v>364.26912970053957</v>
      </c>
      <c r="D27" s="9" t="str">
        <f>IF($D$3="English","lbf", "kN")</f>
        <v>lbf</v>
      </c>
      <c r="F27" s="9" t="s">
        <v>38</v>
      </c>
      <c r="G27" s="9">
        <v>1</v>
      </c>
      <c r="H27" s="11" t="s">
        <v>8</v>
      </c>
      <c r="M27" s="1"/>
      <c r="S27" s="1"/>
      <c r="Y27" s="21">
        <v>100</v>
      </c>
      <c r="Z27" s="26">
        <v>0.44700000000000001</v>
      </c>
      <c r="AG27" s="12"/>
      <c r="AN27" s="12"/>
      <c r="AU27" s="12"/>
      <c r="BB27" s="12"/>
      <c r="BI27" s="12"/>
      <c r="BP27" s="12"/>
      <c r="BW27" s="12"/>
      <c r="CD27" s="12"/>
    </row>
    <row r="28" spans="2:82" ht="15" customHeight="1" x14ac:dyDescent="0.25">
      <c r="B28" s="9"/>
      <c r="C28" s="32">
        <f>C27*10^3</f>
        <v>364269.12970053958</v>
      </c>
      <c r="D28" s="9" t="str">
        <f>IF($D$3="English","*10^-3 lbf", "N")</f>
        <v>*10^-3 lbf</v>
      </c>
      <c r="F28" s="9" t="s">
        <v>41</v>
      </c>
      <c r="G28" s="22">
        <f>G21*G26*G27*G18</f>
        <v>24333.083986767277</v>
      </c>
      <c r="H28" s="9" t="str">
        <f>IF($D$3="English","psi","Pa")</f>
        <v>psi</v>
      </c>
      <c r="M28" s="1"/>
      <c r="S28" s="1"/>
      <c r="Y28" s="21">
        <v>150</v>
      </c>
      <c r="Z28" s="26">
        <v>0.46</v>
      </c>
      <c r="AG28" s="12"/>
      <c r="AN28" s="12"/>
      <c r="AU28" s="12"/>
      <c r="BB28" s="12"/>
      <c r="BI28" s="12"/>
      <c r="BP28" s="12"/>
      <c r="BW28" s="12"/>
      <c r="CD28" s="12"/>
    </row>
    <row r="29" spans="2:82" ht="15" customHeight="1" x14ac:dyDescent="0.25">
      <c r="B29" s="9" t="s">
        <v>27</v>
      </c>
      <c r="C29" s="22">
        <f>(G12*G13*C26*IF($D$3="English",C6, (C6^-1)*10^9))/(C7*G8)</f>
        <v>10000.000000000002</v>
      </c>
      <c r="D29" s="9" t="str">
        <f>IF($D$3="English","psi","Pa")</f>
        <v>psi</v>
      </c>
      <c r="M29" s="1"/>
      <c r="S29" s="1"/>
      <c r="Y29" s="21">
        <v>300</v>
      </c>
      <c r="Z29" s="26">
        <v>0.47199999999999998</v>
      </c>
      <c r="AG29" s="12"/>
      <c r="AN29" s="12"/>
      <c r="AU29" s="12"/>
      <c r="BB29" s="12"/>
      <c r="BI29" s="12"/>
      <c r="BP29" s="12"/>
      <c r="BW29" s="12"/>
      <c r="CD29" s="12"/>
    </row>
    <row r="30" spans="2:82" ht="15" customHeight="1" x14ac:dyDescent="0.25">
      <c r="B30" s="9"/>
      <c r="C30" s="33">
        <f>IF($D$3="English",C29*10^-3,C29*10^-6)</f>
        <v>10.000000000000002</v>
      </c>
      <c r="D30" s="9" t="str">
        <f>IF($D$3="English","kpsi","MPa")</f>
        <v>kpsi</v>
      </c>
      <c r="F30" s="8" t="s">
        <v>52</v>
      </c>
      <c r="G30" s="8">
        <v>3.7499999999999999E-2</v>
      </c>
      <c r="H30" s="8" t="str">
        <f>IF($D$3="English","in", "mm")</f>
        <v>in</v>
      </c>
      <c r="M30" s="1"/>
      <c r="S30" s="1"/>
      <c r="Y30" s="21">
        <v>400</v>
      </c>
      <c r="Z30" s="26">
        <v>0.48</v>
      </c>
      <c r="AG30" s="12"/>
      <c r="AN30" s="12"/>
      <c r="AU30" s="12"/>
      <c r="BB30" s="12"/>
      <c r="BI30" s="12"/>
      <c r="BP30" s="12"/>
      <c r="BW30" s="12"/>
      <c r="CD30" s="12"/>
    </row>
    <row r="31" spans="2:82" ht="15" customHeight="1" thickBot="1" x14ac:dyDescent="0.3">
      <c r="F31" s="9" t="s">
        <v>63</v>
      </c>
      <c r="G31" s="37">
        <f>PI()*G9/C8</f>
        <v>0.39269908169872414</v>
      </c>
      <c r="H31" s="9" t="str">
        <f>IF($D$3="English","in", "mm")</f>
        <v>in</v>
      </c>
      <c r="M31" s="1"/>
      <c r="S31" s="1"/>
      <c r="Y31" s="19" t="s">
        <v>30</v>
      </c>
      <c r="Z31" s="20">
        <v>0.48499999999999999</v>
      </c>
      <c r="AG31" s="12"/>
      <c r="AN31" s="12"/>
      <c r="AU31" s="12"/>
      <c r="BB31" s="12"/>
      <c r="BI31" s="12"/>
      <c r="BP31" s="12"/>
      <c r="BW31" s="12"/>
      <c r="CD31" s="12"/>
    </row>
    <row r="32" spans="2:82" ht="15" customHeight="1" x14ac:dyDescent="0.25">
      <c r="C32" s="38" t="s">
        <v>64</v>
      </c>
      <c r="D32" s="1" t="s">
        <v>65</v>
      </c>
      <c r="E32">
        <f>G30/G24</f>
        <v>0.15007505629691606</v>
      </c>
      <c r="F32" s="8" t="s">
        <v>51</v>
      </c>
      <c r="G32" s="8">
        <v>1.7</v>
      </c>
      <c r="H32" s="10" t="s">
        <v>8</v>
      </c>
      <c r="M32" s="1"/>
      <c r="S32" s="1"/>
      <c r="AG32" s="12"/>
      <c r="AN32" s="12"/>
      <c r="AU32" s="12"/>
      <c r="BB32" s="12"/>
      <c r="BI32" s="12"/>
      <c r="BP32" s="12"/>
      <c r="BW32" s="12"/>
      <c r="CD32" s="12"/>
    </row>
    <row r="33" spans="2:82" ht="15" customHeight="1" x14ac:dyDescent="0.25">
      <c r="C33" s="38" t="s">
        <v>66</v>
      </c>
      <c r="D33" s="1" t="s">
        <v>67</v>
      </c>
      <c r="E33">
        <f>G31/G24</f>
        <v>1.5715823144982204</v>
      </c>
      <c r="F33" s="8" t="s">
        <v>50</v>
      </c>
      <c r="G33" s="8">
        <v>0.62</v>
      </c>
      <c r="H33" s="10" t="s">
        <v>8</v>
      </c>
      <c r="K33" s="1"/>
      <c r="M33" s="1"/>
      <c r="S33" s="1"/>
      <c r="T33" s="1"/>
      <c r="AG33" s="12"/>
      <c r="AN33" s="12"/>
      <c r="AU33" s="12"/>
      <c r="BB33" s="12"/>
      <c r="BI33" s="12"/>
      <c r="BP33" s="12"/>
      <c r="BW33" s="12"/>
      <c r="CD33" s="12"/>
    </row>
    <row r="34" spans="2:82" ht="15" customHeight="1" x14ac:dyDescent="0.25">
      <c r="F34" s="9" t="s">
        <v>49</v>
      </c>
      <c r="G34" s="9">
        <f>1+G33*(G32-1)</f>
        <v>1.4339999999999999</v>
      </c>
      <c r="H34" s="11" t="s">
        <v>8</v>
      </c>
      <c r="K34" s="1"/>
      <c r="M34" s="1"/>
      <c r="S34" s="1"/>
      <c r="T34" s="1"/>
      <c r="AG34" s="12"/>
      <c r="AN34" s="12"/>
      <c r="AU34" s="12"/>
      <c r="BB34" s="12"/>
      <c r="BI34" s="12"/>
      <c r="BP34" s="12"/>
      <c r="BW34" s="12"/>
      <c r="CD34" s="12"/>
    </row>
    <row r="35" spans="2:82" ht="15" customHeight="1" x14ac:dyDescent="0.25">
      <c r="K35" s="1"/>
      <c r="M35" s="1"/>
      <c r="S35" s="1"/>
      <c r="T35" s="1"/>
      <c r="AG35" s="12"/>
      <c r="AN35" s="12"/>
      <c r="AU35" s="12"/>
      <c r="BB35" s="12"/>
      <c r="BI35" s="12"/>
      <c r="BP35" s="12"/>
      <c r="BW35" s="12"/>
      <c r="CD35" s="12"/>
    </row>
    <row r="36" spans="2:82" ht="15" customHeight="1" x14ac:dyDescent="0.25">
      <c r="B36" s="9" t="s">
        <v>68</v>
      </c>
      <c r="C36" s="22">
        <f>C29*G34</f>
        <v>14340.000000000002</v>
      </c>
      <c r="D36" s="9" t="str">
        <f>IF($D$3="English","psi","Pa")</f>
        <v>psi</v>
      </c>
      <c r="F36" s="9" t="s">
        <v>53</v>
      </c>
      <c r="G36" s="22">
        <f>(G12*G13*IF($D$3="English",C6, C6^-1))/(C7*G8)</f>
        <v>1441.8221841500088</v>
      </c>
      <c r="H36" s="9" t="str">
        <f>IF($D$3="English","psi","Pa")</f>
        <v>psi</v>
      </c>
      <c r="K36" s="1"/>
      <c r="T36" s="1"/>
      <c r="Z36" s="12"/>
      <c r="AG36" s="12"/>
      <c r="AN36" s="12"/>
      <c r="AU36" s="12"/>
      <c r="BB36" s="12"/>
      <c r="BI36" s="12"/>
      <c r="BP36" s="12"/>
      <c r="BW36" s="12"/>
      <c r="CD36" s="12"/>
    </row>
    <row r="37" spans="2:82" ht="15" customHeight="1" x14ac:dyDescent="0.25">
      <c r="B37" s="9"/>
      <c r="C37" s="33">
        <f>IF($D$3="English",C36*10^-3,C36*10^-6)</f>
        <v>14.340000000000002</v>
      </c>
      <c r="D37" s="9" t="str">
        <f>IF($D$3="English","kpsi","MPa")</f>
        <v>kpsi</v>
      </c>
      <c r="F37" s="9"/>
      <c r="G37" s="25">
        <f>IF($D$3="English",G36*10^-3,G36*10^-6)</f>
        <v>1.4418221841500087</v>
      </c>
      <c r="H37" s="9" t="str">
        <f>IF($D$3="English","kpsi","MPa")</f>
        <v>kpsi</v>
      </c>
      <c r="K37" s="1"/>
      <c r="T37" s="1"/>
      <c r="Z37" s="12"/>
      <c r="AG37" s="12"/>
      <c r="AN37" s="12"/>
      <c r="AU37" s="12"/>
      <c r="BB37" s="12"/>
      <c r="BI37" s="12"/>
      <c r="BP37" s="12"/>
      <c r="BW37" s="12"/>
      <c r="CD37" s="12"/>
    </row>
    <row r="38" spans="2:82" ht="15" customHeight="1" x14ac:dyDescent="0.25">
      <c r="C38"/>
      <c r="D38"/>
      <c r="F38" s="9" t="s">
        <v>54</v>
      </c>
      <c r="G38" s="22">
        <f>(G34/2)*G36</f>
        <v>1033.7865060355562</v>
      </c>
      <c r="H38" s="9" t="str">
        <f>IF($D$3="English","psi","Pa")</f>
        <v>psi</v>
      </c>
      <c r="K38" s="1"/>
      <c r="T38" s="1"/>
      <c r="Z38" s="12"/>
      <c r="AG38" s="12"/>
      <c r="AN38" s="12"/>
      <c r="AU38" s="12"/>
      <c r="BB38" s="12"/>
      <c r="BI38" s="12"/>
      <c r="BP38" s="12"/>
      <c r="BW38" s="12"/>
      <c r="CD38" s="12"/>
    </row>
    <row r="39" spans="2:82" ht="15" customHeight="1" x14ac:dyDescent="0.25">
      <c r="C39"/>
      <c r="D39"/>
      <c r="F39" s="9"/>
      <c r="G39" s="25">
        <f>IF($D$3="English",G38*10^-3,G38*10^-6)</f>
        <v>1.0337865060355562</v>
      </c>
      <c r="H39" s="9" t="str">
        <f>IF($D$3="English","kpsi","MPa")</f>
        <v>kpsi</v>
      </c>
      <c r="K39" s="1"/>
      <c r="T39" s="1"/>
      <c r="Z39" s="12"/>
      <c r="AG39" s="12"/>
      <c r="AN39" s="12"/>
      <c r="AU39" s="12"/>
      <c r="BB39" s="12"/>
      <c r="BI39" s="12"/>
      <c r="BP39" s="12"/>
      <c r="BW39" s="12"/>
      <c r="CD39" s="12"/>
    </row>
    <row r="40" spans="2:82" ht="15" customHeight="1" x14ac:dyDescent="0.25">
      <c r="F40" s="9" t="s">
        <v>36</v>
      </c>
      <c r="G40" s="17">
        <f>(C10*((G38/G28) + (G38/C17)))^-1</f>
        <v>5.4394300164162752</v>
      </c>
      <c r="H40" s="9" t="str">
        <f>IF($D$3="English","HP", "kN")</f>
        <v>HP</v>
      </c>
      <c r="K40" s="1"/>
      <c r="T40" s="1"/>
      <c r="Z40" s="12"/>
      <c r="AG40" s="12"/>
      <c r="AN40" s="12"/>
      <c r="AU40" s="12"/>
      <c r="BB40" s="12"/>
      <c r="BI40" s="12"/>
      <c r="BP40" s="12"/>
      <c r="BW40" s="12"/>
      <c r="CD40" s="12"/>
    </row>
    <row r="41" spans="2:82" ht="15" customHeight="1" x14ac:dyDescent="0.25">
      <c r="F41" s="1" t="s">
        <v>56</v>
      </c>
      <c r="K41" s="1"/>
      <c r="L41" s="1"/>
      <c r="T41" s="1"/>
      <c r="Z41" s="12"/>
      <c r="AG41" s="12"/>
      <c r="AN41" s="12"/>
      <c r="AU41" s="12"/>
      <c r="BB41" s="12"/>
      <c r="BI41" s="12"/>
      <c r="BP41" s="12"/>
      <c r="BW41" s="12"/>
      <c r="CD41" s="12"/>
    </row>
    <row r="42" spans="2:82" ht="15" customHeight="1" x14ac:dyDescent="0.25">
      <c r="Z42" s="12"/>
      <c r="AG42" s="12"/>
      <c r="AN42" s="12"/>
      <c r="AU42" s="12"/>
      <c r="BB42" s="12"/>
      <c r="BI42" s="12"/>
      <c r="BP42" s="12"/>
      <c r="BW42" s="12"/>
      <c r="CD42" s="12"/>
    </row>
    <row r="43" spans="2:82" ht="15" customHeight="1" x14ac:dyDescent="0.25">
      <c r="Z43" s="12"/>
      <c r="AG43" s="12"/>
      <c r="AN43" s="12"/>
      <c r="AU43" s="12"/>
      <c r="BB43" s="12"/>
      <c r="BI43" s="12"/>
      <c r="BP43" s="12"/>
      <c r="BW43" s="12"/>
      <c r="CD43" s="12"/>
    </row>
    <row r="44" spans="2:82" ht="15" customHeight="1" x14ac:dyDescent="0.25">
      <c r="Z44" s="12"/>
      <c r="AG44" s="12"/>
      <c r="AN44" s="12"/>
      <c r="AU44" s="12"/>
      <c r="BB44" s="12"/>
      <c r="BI44" s="12"/>
      <c r="BP44" s="12"/>
      <c r="BW44" s="12"/>
      <c r="CD44" s="12"/>
    </row>
    <row r="45" spans="2:82" ht="15" customHeight="1" x14ac:dyDescent="0.25">
      <c r="Z45" s="12"/>
      <c r="AG45" s="12"/>
      <c r="AN45" s="12"/>
      <c r="AU45" s="12"/>
      <c r="BB45" s="12"/>
      <c r="BI45" s="12"/>
      <c r="BP45" s="12"/>
      <c r="BW45" s="12"/>
      <c r="CD45" s="12"/>
    </row>
    <row r="46" spans="2:82" ht="15" customHeight="1" x14ac:dyDescent="0.25">
      <c r="Z46" s="12"/>
      <c r="AG46" s="12"/>
      <c r="AN46" s="12"/>
      <c r="AU46" s="12"/>
      <c r="BB46" s="12"/>
      <c r="BI46" s="12"/>
      <c r="BP46" s="12"/>
      <c r="BW46" s="12"/>
      <c r="CD46" s="12"/>
    </row>
    <row r="47" spans="2:82" ht="15" customHeight="1" x14ac:dyDescent="0.25">
      <c r="Z47" s="12"/>
      <c r="AG47" s="12"/>
      <c r="AN47" s="12"/>
      <c r="AU47" s="12"/>
      <c r="BB47" s="12"/>
      <c r="BI47" s="12"/>
      <c r="BP47" s="12"/>
      <c r="BW47" s="12"/>
      <c r="CD47" s="12"/>
    </row>
    <row r="48" spans="2:82" ht="15" customHeight="1" x14ac:dyDescent="0.25">
      <c r="Z48" s="12"/>
      <c r="AG48" s="12"/>
      <c r="AN48" s="12"/>
      <c r="AU48" s="12"/>
      <c r="BB48" s="12"/>
      <c r="BI48" s="12"/>
      <c r="BP48" s="12"/>
      <c r="BW48" s="12"/>
      <c r="CD48" s="12"/>
    </row>
    <row r="49" spans="26:82" ht="15" customHeight="1" x14ac:dyDescent="0.25">
      <c r="Z49" s="12"/>
      <c r="AG49" s="12"/>
      <c r="AN49" s="12"/>
      <c r="AU49" s="12"/>
      <c r="BB49" s="12"/>
      <c r="BI49" s="12"/>
      <c r="BP49" s="12"/>
      <c r="BW49" s="12"/>
      <c r="CD49" s="12"/>
    </row>
    <row r="50" spans="26:82" ht="15" customHeight="1" x14ac:dyDescent="0.25">
      <c r="Z50" s="12"/>
      <c r="AG50" s="12"/>
      <c r="AN50" s="12"/>
      <c r="AU50" s="12"/>
      <c r="BB50" s="12"/>
      <c r="BI50" s="12"/>
      <c r="BP50" s="12"/>
      <c r="BW50" s="12"/>
      <c r="CD50" s="12"/>
    </row>
    <row r="51" spans="26:82" ht="15" customHeight="1" x14ac:dyDescent="0.25">
      <c r="Z51" s="12"/>
      <c r="AG51" s="12"/>
      <c r="AN51" s="12"/>
      <c r="AU51" s="12"/>
      <c r="BB51" s="12"/>
      <c r="BI51" s="12"/>
      <c r="BP51" s="12"/>
      <c r="BW51" s="12"/>
      <c r="CD51" s="12"/>
    </row>
    <row r="52" spans="26:82" ht="15" customHeight="1" x14ac:dyDescent="0.25">
      <c r="Z52" s="12"/>
      <c r="AG52" s="12"/>
      <c r="AN52" s="12"/>
      <c r="AU52" s="12"/>
      <c r="BB52" s="12"/>
      <c r="BI52" s="12"/>
      <c r="BP52" s="12"/>
      <c r="BW52" s="12"/>
      <c r="CD52" s="12"/>
    </row>
    <row r="53" spans="26:82" ht="15" customHeight="1" x14ac:dyDescent="0.25">
      <c r="Z53" s="12"/>
      <c r="AG53" s="12"/>
      <c r="AN53" s="12"/>
      <c r="AU53" s="12"/>
      <c r="BB53" s="12"/>
      <c r="BI53" s="12"/>
      <c r="BP53" s="12"/>
      <c r="BW53" s="12"/>
      <c r="CD53" s="12"/>
    </row>
    <row r="54" spans="26:82" ht="15" customHeight="1" x14ac:dyDescent="0.25">
      <c r="Z54" s="12"/>
      <c r="AG54" s="12"/>
      <c r="AN54" s="12"/>
      <c r="AU54" s="12"/>
      <c r="BB54" s="12"/>
      <c r="BI54" s="12"/>
      <c r="BP54" s="12"/>
      <c r="BW54" s="12"/>
      <c r="CD54" s="12"/>
    </row>
    <row r="55" spans="26:82" ht="15" customHeight="1" x14ac:dyDescent="0.25">
      <c r="Z55" s="12"/>
      <c r="AG55" s="12"/>
      <c r="AN55" s="12"/>
      <c r="AU55" s="12"/>
      <c r="BB55" s="12"/>
      <c r="BI55" s="12"/>
      <c r="BP55" s="12"/>
      <c r="BW55" s="12"/>
      <c r="CD55" s="12"/>
    </row>
    <row r="56" spans="26:82" ht="15" customHeight="1" x14ac:dyDescent="0.25">
      <c r="Z56" s="12"/>
      <c r="AG56" s="12"/>
      <c r="AN56" s="12"/>
      <c r="AU56" s="12"/>
      <c r="BB56" s="12"/>
      <c r="BI56" s="12"/>
      <c r="BP56" s="12"/>
      <c r="BW56" s="12"/>
      <c r="CD56" s="12"/>
    </row>
    <row r="57" spans="26:82" ht="15" customHeight="1" x14ac:dyDescent="0.25">
      <c r="Z57" s="12"/>
      <c r="AG57" s="12"/>
      <c r="AN57" s="12"/>
      <c r="AU57" s="12"/>
      <c r="BB57" s="12"/>
      <c r="BI57" s="12"/>
      <c r="BP57" s="12"/>
      <c r="BW57" s="12"/>
      <c r="CD57" s="12"/>
    </row>
    <row r="58" spans="26:82" ht="15" customHeight="1" x14ac:dyDescent="0.25">
      <c r="Z58" s="12"/>
      <c r="AG58" s="12"/>
      <c r="AN58" s="12"/>
      <c r="AU58" s="12"/>
      <c r="BB58" s="12"/>
      <c r="BI58" s="12"/>
      <c r="BP58" s="12"/>
      <c r="BW58" s="12"/>
      <c r="CD58" s="12"/>
    </row>
    <row r="59" spans="26:82" ht="15" customHeight="1" x14ac:dyDescent="0.25">
      <c r="Z59" s="12"/>
      <c r="AG59" s="12"/>
      <c r="AN59" s="12"/>
      <c r="AU59" s="12"/>
      <c r="BB59" s="12"/>
      <c r="BI59" s="12"/>
      <c r="BP59" s="12"/>
      <c r="BW59" s="12"/>
      <c r="CD59" s="12"/>
    </row>
    <row r="60" spans="26:82" ht="15" customHeight="1" x14ac:dyDescent="0.25">
      <c r="Z60" s="12"/>
      <c r="AG60" s="12"/>
      <c r="AN60" s="12"/>
      <c r="AU60" s="12"/>
      <c r="BB60" s="12"/>
      <c r="BI60" s="12"/>
      <c r="BP60" s="12"/>
      <c r="BW60" s="12"/>
      <c r="CD60" s="12"/>
    </row>
    <row r="61" spans="26:82" ht="15" customHeight="1" x14ac:dyDescent="0.25">
      <c r="Z61" s="12"/>
      <c r="AG61" s="12"/>
      <c r="AN61" s="12"/>
      <c r="AU61" s="12"/>
      <c r="BB61" s="12"/>
      <c r="BI61" s="12"/>
      <c r="BP61" s="12"/>
      <c r="BW61" s="12"/>
      <c r="CD61" s="12"/>
    </row>
    <row r="62" spans="26:82" ht="15" customHeight="1" x14ac:dyDescent="0.25">
      <c r="Z62" s="12"/>
      <c r="AG62" s="12"/>
      <c r="AN62" s="12"/>
      <c r="AU62" s="12"/>
      <c r="BB62" s="12"/>
      <c r="BI62" s="12"/>
      <c r="BP62" s="12"/>
      <c r="BW62" s="12"/>
      <c r="CD62" s="12"/>
    </row>
    <row r="63" spans="26:82" ht="15" customHeight="1" x14ac:dyDescent="0.25">
      <c r="Z63" s="12"/>
      <c r="AG63" s="12"/>
      <c r="AN63" s="12"/>
      <c r="AU63" s="12"/>
      <c r="BB63" s="12"/>
      <c r="BI63" s="12"/>
      <c r="BP63" s="12"/>
      <c r="BW63" s="12"/>
      <c r="CD63" s="12"/>
    </row>
    <row r="64" spans="26:82" ht="15" customHeight="1" x14ac:dyDescent="0.25">
      <c r="Z64" s="12"/>
      <c r="AG64" s="12"/>
      <c r="AN64" s="12"/>
      <c r="AU64" s="12"/>
      <c r="BB64" s="12"/>
      <c r="BI64" s="12"/>
      <c r="BP64" s="12"/>
      <c r="BW64" s="12"/>
      <c r="CD64" s="12"/>
    </row>
    <row r="75" spans="8:8" ht="15" customHeight="1" x14ac:dyDescent="0.25">
      <c r="H75"/>
    </row>
    <row r="84" spans="2:8" ht="15" customHeight="1" x14ac:dyDescent="0.25">
      <c r="B84" s="30"/>
      <c r="C84" s="30" t="s">
        <v>55</v>
      </c>
      <c r="D84" s="30"/>
      <c r="E84" s="31"/>
      <c r="F84" s="30"/>
      <c r="G84" s="30"/>
      <c r="H84" s="30"/>
    </row>
    <row r="202" spans="2:2" ht="15" customHeight="1" x14ac:dyDescent="0.25">
      <c r="B202"/>
    </row>
  </sheetData>
  <conditionalFormatting sqref="B6:D6">
    <cfRule type="expression" dxfId="7" priority="1">
      <formula>$I$54</formula>
    </cfRule>
    <cfRule type="expression" dxfId="6" priority="2">
      <formula>$I$51</formula>
    </cfRule>
  </conditionalFormatting>
  <dataValidations count="2">
    <dataValidation type="list" allowBlank="1" showInputMessage="1" showErrorMessage="1" sqref="C16" xr:uid="{258813CC-C01E-45D9-AE0B-D1DDDF563817}">
      <formula1>"Cast Profile, Cut or Milled Profile, Hobbed or Shaped Profile, Shaped or Ground Profile"</formula1>
    </dataValidation>
    <dataValidation type="list" allowBlank="1" showInputMessage="1" showErrorMessage="1" sqref="D3" xr:uid="{5EBB6853-56B4-4A89-9756-43B7E38EF405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20B1-D32D-44CE-A71A-BAEEFF058B9E}">
  <sheetPr>
    <tabColor rgb="FF00B050"/>
  </sheetPr>
  <dimension ref="B1:CD202"/>
  <sheetViews>
    <sheetView zoomScaleNormal="100" workbookViewId="0">
      <selection activeCell="C34" sqref="C34"/>
    </sheetView>
  </sheetViews>
  <sheetFormatPr defaultRowHeight="15" customHeight="1" x14ac:dyDescent="0.25"/>
  <cols>
    <col min="2" max="2" width="30.5703125" style="1" customWidth="1"/>
    <col min="3" max="3" width="13" style="1" customWidth="1"/>
    <col min="4" max="4" width="10.140625" style="1" customWidth="1"/>
    <col min="5" max="5" width="10.42578125" bestFit="1" customWidth="1"/>
    <col min="6" max="6" width="31.28515625" style="1" bestFit="1" customWidth="1"/>
    <col min="7" max="7" width="13" style="1" customWidth="1"/>
    <col min="8" max="8" width="10.140625" style="1" customWidth="1"/>
    <col min="25" max="25" width="16.28515625" bestFit="1" customWidth="1"/>
    <col min="26" max="29" width="9.140625" customWidth="1"/>
  </cols>
  <sheetData>
    <row r="1" spans="2:82" ht="15" customHeight="1" x14ac:dyDescent="0.25">
      <c r="Z1" s="12"/>
      <c r="AG1" s="12"/>
      <c r="AN1" s="12"/>
      <c r="AU1" s="12"/>
      <c r="BB1" s="12"/>
      <c r="BI1" s="12"/>
      <c r="BP1" s="12"/>
      <c r="BW1" s="12"/>
      <c r="CD1" s="12"/>
    </row>
    <row r="2" spans="2:82" ht="15" customHeight="1" x14ac:dyDescent="0.25">
      <c r="C2"/>
      <c r="D2"/>
      <c r="F2"/>
      <c r="G2"/>
      <c r="H2"/>
      <c r="Z2" s="12"/>
      <c r="AG2" s="12"/>
      <c r="AN2" s="12"/>
      <c r="AU2" s="12"/>
      <c r="BB2" s="12"/>
      <c r="BI2" s="12"/>
      <c r="BP2" s="12"/>
      <c r="BW2" s="12"/>
      <c r="CD2" s="12"/>
    </row>
    <row r="3" spans="2:82" ht="15" customHeight="1" thickBot="1" x14ac:dyDescent="0.3">
      <c r="B3" s="2" t="s">
        <v>0</v>
      </c>
      <c r="C3" s="3" t="s">
        <v>1</v>
      </c>
      <c r="D3" s="4" t="s">
        <v>58</v>
      </c>
      <c r="F3" s="5" t="s">
        <v>4</v>
      </c>
      <c r="G3" s="5"/>
      <c r="H3" s="5"/>
      <c r="Z3" s="12"/>
      <c r="AG3" s="12"/>
      <c r="AN3" s="12"/>
      <c r="AU3" s="12"/>
      <c r="BB3" s="12"/>
      <c r="BI3" s="12"/>
      <c r="BP3" s="12"/>
      <c r="BW3" s="12"/>
      <c r="CD3" s="12"/>
    </row>
    <row r="4" spans="2:82" ht="15" customHeight="1" x14ac:dyDescent="0.25">
      <c r="Y4" s="15" t="s">
        <v>31</v>
      </c>
      <c r="Z4" s="16"/>
      <c r="AG4" s="12"/>
      <c r="AN4" s="12"/>
      <c r="AU4" s="12"/>
      <c r="BB4" s="12"/>
      <c r="BI4" s="12"/>
      <c r="BP4" s="12"/>
      <c r="BW4" s="12"/>
      <c r="CD4" s="12"/>
    </row>
    <row r="5" spans="2:82" ht="15" customHeight="1" x14ac:dyDescent="0.25">
      <c r="B5" s="6" t="s">
        <v>22</v>
      </c>
      <c r="C5" s="6"/>
      <c r="D5" s="6"/>
      <c r="F5" s="7" t="s">
        <v>21</v>
      </c>
      <c r="G5" s="7"/>
      <c r="H5" s="7"/>
      <c r="Y5" s="13" t="s">
        <v>29</v>
      </c>
      <c r="Z5" s="14" t="s">
        <v>12</v>
      </c>
      <c r="AG5" s="12"/>
      <c r="AN5" s="12"/>
      <c r="AU5" s="12"/>
      <c r="BB5" s="12"/>
      <c r="BI5" s="12"/>
      <c r="BP5" s="12"/>
      <c r="BW5" s="12"/>
      <c r="CD5" s="12"/>
    </row>
    <row r="6" spans="2:82" ht="15" customHeight="1" x14ac:dyDescent="0.25">
      <c r="B6" s="8" t="str">
        <f>IF($D$3="English","Diametrial Pitch, P (N/d)", "Module, m (d/N)")</f>
        <v>Module, m (d/N)</v>
      </c>
      <c r="C6" s="8">
        <v>1.25</v>
      </c>
      <c r="D6" s="10" t="str">
        <f>IF($D$3="English","teeth/in", "mm/tooth")</f>
        <v>mm/tooth</v>
      </c>
      <c r="F6" s="9" t="s">
        <v>26</v>
      </c>
      <c r="G6" s="22">
        <f>C19/C10</f>
        <v>10000</v>
      </c>
      <c r="H6" s="9" t="str">
        <f>IF($D$3="English","psi","Pa")</f>
        <v>Pa</v>
      </c>
      <c r="Y6" s="21">
        <v>12</v>
      </c>
      <c r="Z6" s="26">
        <v>0.245</v>
      </c>
      <c r="AG6" s="12"/>
      <c r="AN6" s="12"/>
      <c r="AU6" s="12"/>
      <c r="BB6" s="12"/>
      <c r="BI6" s="12"/>
      <c r="BP6" s="12"/>
      <c r="BW6" s="12"/>
      <c r="CD6" s="12"/>
    </row>
    <row r="7" spans="2:82" ht="15" customHeight="1" x14ac:dyDescent="0.25">
      <c r="B7" s="8" t="s">
        <v>13</v>
      </c>
      <c r="C7" s="8">
        <v>12</v>
      </c>
      <c r="D7" s="8" t="str">
        <f>IF($D$3="English","in", "mm")</f>
        <v>mm</v>
      </c>
      <c r="F7" s="9"/>
      <c r="G7" s="25">
        <f>IF($D$3="English",G6*10^-3,G6*10^-6)</f>
        <v>0.01</v>
      </c>
      <c r="H7" s="9" t="str">
        <f>IF($D$3="English","kpsi","MPa")</f>
        <v>MPa</v>
      </c>
      <c r="Y7" s="21">
        <v>13</v>
      </c>
      <c r="Z7" s="26">
        <v>0.26100000000000001</v>
      </c>
      <c r="AG7" s="12"/>
      <c r="AN7" s="12"/>
      <c r="AU7" s="12"/>
      <c r="BB7" s="12"/>
      <c r="BI7" s="12"/>
      <c r="BP7" s="12"/>
      <c r="BW7" s="12"/>
      <c r="CD7" s="12"/>
    </row>
    <row r="8" spans="2:82" ht="15" customHeight="1" x14ac:dyDescent="0.25">
      <c r="B8" s="8" t="s">
        <v>14</v>
      </c>
      <c r="C8" s="8">
        <v>18</v>
      </c>
      <c r="D8" s="10" t="s">
        <v>5</v>
      </c>
      <c r="F8" s="9" t="s">
        <v>60</v>
      </c>
      <c r="G8" s="9">
        <f>IF(C8&lt;=MIN(Y6:Y31), INDEX(Z6:Z31, MATCH(MIN(Y6:Y31), Y6:Y31, 0)),
   IF(C8&gt;=MAX(Y6:Y31), INDEX(Z6:Z31, MATCH(MAX(Y6:Y31), Y6:Y31, 0)),
      INDEX(Z6:Z31, MATCH(LARGE(Y6:Y31, COUNTIF(Y6:Y31, "&gt;"&amp;C8)), Y6:Y31, 0)) +
      (C8 - LARGE(Y6:Y31, COUNTIF(Y6:Y31, "&gt;"&amp;C8))) *
      (INDEX(Z6:Z31, MATCH(SMALL(Y6:Y31, COUNTIF(Y6:Y31, "&lt;="&amp;C8)), Y6:Y31, 0)) -
       INDEX(Z6:Z31, MATCH(LARGE(Y6:Y31, COUNTIF(Y6:Y31, "&gt;"&amp;C8)), Y6:Y31, 0))) /
      (SMALL(Y6:Y31, COUNTIF(Y6:Y31, "&lt;="&amp;C8)) - LARGE(Y6:Y31, COUNTIF(Y6:Y31, "&gt;"&amp;C8)))
   )
)</f>
        <v>0.309</v>
      </c>
      <c r="H8" s="11" t="s">
        <v>8</v>
      </c>
      <c r="Y8" s="21">
        <v>14</v>
      </c>
      <c r="Z8" s="26">
        <v>0.27700000000000002</v>
      </c>
      <c r="AG8" s="12"/>
      <c r="AN8" s="12"/>
      <c r="AU8" s="12"/>
      <c r="BB8" s="12"/>
      <c r="BI8" s="12"/>
      <c r="BP8" s="12"/>
      <c r="BW8" s="12"/>
      <c r="CD8" s="12"/>
    </row>
    <row r="9" spans="2:82" ht="15" customHeight="1" x14ac:dyDescent="0.25">
      <c r="B9" s="8" t="s">
        <v>6</v>
      </c>
      <c r="C9" s="8">
        <v>20</v>
      </c>
      <c r="D9" s="8" t="s">
        <v>7</v>
      </c>
      <c r="F9" s="9" t="s">
        <v>59</v>
      </c>
      <c r="G9" s="9">
        <f>IF($D$3="English",(C6^-1)*C8, C6*C8)</f>
        <v>22.5</v>
      </c>
      <c r="H9" s="9" t="str">
        <f>IF($D$3="English","in", "mm")</f>
        <v>mm</v>
      </c>
      <c r="Y9" s="21">
        <v>15</v>
      </c>
      <c r="Z9" s="26">
        <v>0.28999999999999998</v>
      </c>
      <c r="AG9" s="12"/>
      <c r="AN9" s="12"/>
      <c r="AU9" s="12"/>
      <c r="BB9" s="12"/>
      <c r="BI9" s="12"/>
      <c r="BP9" s="12"/>
      <c r="BW9" s="12"/>
      <c r="CD9" s="12"/>
    </row>
    <row r="10" spans="2:82" ht="15" customHeight="1" x14ac:dyDescent="0.25">
      <c r="B10" s="8" t="s">
        <v>17</v>
      </c>
      <c r="C10" s="8">
        <v>3</v>
      </c>
      <c r="D10" s="10" t="s">
        <v>8</v>
      </c>
      <c r="F10" s="9" t="s">
        <v>11</v>
      </c>
      <c r="G10" s="32">
        <f>C12*G9/2</f>
        <v>2120.5750411731101</v>
      </c>
      <c r="H10" s="9" t="str">
        <f>IF($D$3="English","in/s", "mm/s")</f>
        <v>mm/s</v>
      </c>
      <c r="Y10" s="21">
        <v>16</v>
      </c>
      <c r="Z10" s="26">
        <v>0.29599999999999999</v>
      </c>
      <c r="AG10" s="12"/>
      <c r="AN10" s="12"/>
      <c r="AU10" s="12"/>
      <c r="BB10" s="12"/>
      <c r="BI10" s="12"/>
      <c r="BP10" s="12"/>
      <c r="BW10" s="12"/>
      <c r="CD10" s="12"/>
    </row>
    <row r="11" spans="2:82" ht="15" customHeight="1" x14ac:dyDescent="0.25">
      <c r="B11" s="8" t="s">
        <v>18</v>
      </c>
      <c r="C11" s="8">
        <v>1800</v>
      </c>
      <c r="D11" s="8" t="s">
        <v>2</v>
      </c>
      <c r="F11" s="9"/>
      <c r="G11" s="32">
        <f>IF($D$3="English",G10*(1/12)*60, G10*10^-3)</f>
        <v>2.1205750411731104</v>
      </c>
      <c r="H11" s="9" t="str">
        <f>IF($D$3="English","ft/min", "m/s")</f>
        <v>m/s</v>
      </c>
      <c r="Y11" s="21">
        <v>17</v>
      </c>
      <c r="Z11" s="26">
        <v>0.30299999999999999</v>
      </c>
      <c r="AG11" s="12"/>
      <c r="AN11" s="12"/>
      <c r="AU11" s="12"/>
      <c r="BB11" s="12"/>
      <c r="BI11" s="12"/>
      <c r="BP11" s="12"/>
      <c r="BW11" s="12"/>
      <c r="CD11" s="12"/>
    </row>
    <row r="12" spans="2:82" ht="15" customHeight="1" x14ac:dyDescent="0.25">
      <c r="B12" s="9" t="s">
        <v>19</v>
      </c>
      <c r="C12" s="17">
        <f>C11*PI()/30</f>
        <v>188.49555921538757</v>
      </c>
      <c r="D12" s="9" t="s">
        <v>9</v>
      </c>
      <c r="F12" s="9" t="s">
        <v>32</v>
      </c>
      <c r="G12" s="18">
        <f>IF($D$3="English",
   IF(C16="Cast Profile",((600+G11)/600),
     IF(C16="Cut or Milled Profile",((1200+G11)/1200),
       IF(C16="Hobbed or Shaped Profile",((50+SQRT(G11))/50),
         IF(C16="Shaped or Ground Profile",SQRT((78+SQRT(G11))/78),NA())))),
   IF(C16="Cast Profile",((3.05+G11)/3.05),
     IF(C16="Cut or Milled Profile",((6.1+G11)/6.1),
       IF(C16="Hobbed or Shaped Profile",((3.56+SQRT(G11))/3.56),
         IF(C16="Shaped or Ground Profile",SQRT((5.56+SQRT(G11))/5.56),NA()))))
)</f>
        <v>1.3476352526513296</v>
      </c>
      <c r="H12" s="9" t="str">
        <f>IF($D$3="English","ft/min", "m/s")</f>
        <v>m/s</v>
      </c>
      <c r="Y12" s="21">
        <v>18</v>
      </c>
      <c r="Z12" s="26">
        <v>0.309</v>
      </c>
      <c r="AG12" s="12"/>
      <c r="AN12" s="12"/>
      <c r="AU12" s="12"/>
      <c r="BB12" s="12"/>
      <c r="BI12" s="12"/>
      <c r="BP12" s="12"/>
      <c r="BW12" s="12"/>
      <c r="CD12" s="12"/>
    </row>
    <row r="13" spans="2:82" ht="15" customHeight="1" x14ac:dyDescent="0.35">
      <c r="B13" s="1" t="s">
        <v>20</v>
      </c>
      <c r="E13" s="35" t="s">
        <v>62</v>
      </c>
      <c r="F13" s="9" t="s">
        <v>35</v>
      </c>
      <c r="G13" s="17">
        <f>IF($D$3="English",33000/G11, 60000/(G10*60))</f>
        <v>0.47157020175376402</v>
      </c>
      <c r="H13" s="9" t="str">
        <f>IF($D$3="English","lbf/HP", "kN/kW")</f>
        <v>kN/kW</v>
      </c>
      <c r="Y13" s="21">
        <v>19</v>
      </c>
      <c r="Z13" s="26">
        <v>0.314</v>
      </c>
      <c r="AG13" s="12"/>
      <c r="AN13" s="12"/>
      <c r="AU13" s="12"/>
      <c r="BB13" s="12"/>
      <c r="BI13" s="12"/>
      <c r="BP13" s="12"/>
      <c r="BW13" s="12"/>
      <c r="CD13" s="12"/>
    </row>
    <row r="14" spans="2:82" ht="15" customHeight="1" x14ac:dyDescent="0.25">
      <c r="B14" s="6" t="s">
        <v>23</v>
      </c>
      <c r="C14" s="6"/>
      <c r="D14" s="6"/>
      <c r="F14" s="9" t="s">
        <v>36</v>
      </c>
      <c r="G14" s="17">
        <f>(G6*C7*G8)/(G12*G13*IF($D$3="English",C6, C6^-1))</f>
        <v>72934.165951062154</v>
      </c>
      <c r="H14" s="9" t="str">
        <f>IF($D$3="English","HP", "kW")</f>
        <v>kW</v>
      </c>
      <c r="Y14" s="21">
        <v>20</v>
      </c>
      <c r="Z14" s="26">
        <v>0.32200000000000001</v>
      </c>
      <c r="AG14" s="12"/>
      <c r="AN14" s="12"/>
      <c r="AU14" s="12"/>
      <c r="BB14" s="12"/>
      <c r="BI14" s="12"/>
      <c r="BP14" s="12"/>
      <c r="BW14" s="12"/>
      <c r="CD14" s="12"/>
    </row>
    <row r="15" spans="2:82" ht="15" customHeight="1" x14ac:dyDescent="0.25">
      <c r="B15" s="8" t="s">
        <v>15</v>
      </c>
      <c r="C15" s="8" t="s">
        <v>16</v>
      </c>
      <c r="D15" s="8"/>
      <c r="G15" s="27"/>
      <c r="Y15" s="21">
        <v>21</v>
      </c>
      <c r="Z15" s="26">
        <v>0.32800000000000001</v>
      </c>
      <c r="AG15" s="12"/>
      <c r="AN15" s="12"/>
      <c r="AU15" s="12"/>
      <c r="BB15" s="12"/>
      <c r="BI15" s="12"/>
      <c r="BP15" s="12"/>
      <c r="BW15" s="12"/>
      <c r="CD15" s="12"/>
    </row>
    <row r="16" spans="2:82" ht="15" customHeight="1" x14ac:dyDescent="0.25">
      <c r="B16" s="8" t="s">
        <v>33</v>
      </c>
      <c r="C16" s="8" t="s">
        <v>34</v>
      </c>
      <c r="D16" s="8"/>
      <c r="Y16" s="21">
        <v>22</v>
      </c>
      <c r="Z16" s="26">
        <v>0.33100000000000002</v>
      </c>
      <c r="AG16" s="12"/>
      <c r="AN16" s="12"/>
      <c r="AU16" s="12"/>
      <c r="BB16" s="12"/>
      <c r="BI16" s="12"/>
      <c r="BP16" s="12"/>
      <c r="BW16" s="12"/>
      <c r="CD16" s="12"/>
    </row>
    <row r="17" spans="2:82" ht="15" customHeight="1" x14ac:dyDescent="0.25">
      <c r="B17" s="8" t="s">
        <v>24</v>
      </c>
      <c r="C17" s="23">
        <f>55*10^3</f>
        <v>55000</v>
      </c>
      <c r="D17" s="8" t="str">
        <f>IF($D$3="English","psi","Pa")</f>
        <v>Pa</v>
      </c>
      <c r="F17" s="7" t="s">
        <v>28</v>
      </c>
      <c r="G17" s="7"/>
      <c r="H17" s="7"/>
      <c r="Y17" s="21">
        <v>24</v>
      </c>
      <c r="Z17" s="26">
        <v>0.33700000000000002</v>
      </c>
      <c r="AG17" s="12"/>
      <c r="AN17" s="12"/>
      <c r="AU17" s="12"/>
      <c r="BB17" s="12"/>
      <c r="BI17" s="12"/>
      <c r="BP17" s="12"/>
      <c r="BW17" s="12"/>
      <c r="CD17" s="12"/>
    </row>
    <row r="18" spans="2:82" ht="15" customHeight="1" x14ac:dyDescent="0.25">
      <c r="B18" s="9"/>
      <c r="C18" s="9">
        <f>IF($D$3="English",C17*10^-3,C17*10^-6)</f>
        <v>5.5E-2</v>
      </c>
      <c r="D18" s="9" t="str">
        <f>IF($D$3="English","kpsi","MPa")</f>
        <v>MPa</v>
      </c>
      <c r="F18" s="28" t="s">
        <v>42</v>
      </c>
      <c r="G18" s="36">
        <f>0.5*C17</f>
        <v>27500</v>
      </c>
      <c r="H18" s="28" t="str">
        <f>IF($D$3="English","psi","Pa")</f>
        <v>Pa</v>
      </c>
      <c r="Y18" s="21">
        <v>26</v>
      </c>
      <c r="Z18" s="26">
        <v>0.34599999999999997</v>
      </c>
      <c r="AG18" s="12"/>
      <c r="AN18" s="12"/>
      <c r="AU18" s="12"/>
      <c r="BB18" s="12"/>
      <c r="BI18" s="12"/>
      <c r="BP18" s="12"/>
      <c r="BW18" s="12"/>
      <c r="CD18" s="12"/>
    </row>
    <row r="19" spans="2:82" ht="15" customHeight="1" x14ac:dyDescent="0.25">
      <c r="B19" s="8" t="s">
        <v>25</v>
      </c>
      <c r="C19" s="24">
        <f>30*10^3</f>
        <v>30000</v>
      </c>
      <c r="D19" s="8" t="str">
        <f>IF($D$3="English","psi","Pa")</f>
        <v>Pa</v>
      </c>
      <c r="F19" s="28" t="s">
        <v>43</v>
      </c>
      <c r="G19" s="28">
        <v>2.7</v>
      </c>
      <c r="H19" s="28"/>
      <c r="Y19" s="21">
        <v>28</v>
      </c>
      <c r="Z19" s="26">
        <v>0.35299999999999998</v>
      </c>
      <c r="AG19" s="12"/>
      <c r="AN19" s="12"/>
      <c r="AU19" s="12"/>
      <c r="BB19" s="12"/>
      <c r="BI19" s="12"/>
      <c r="BP19" s="12"/>
      <c r="BW19" s="12"/>
      <c r="CD19" s="12"/>
    </row>
    <row r="20" spans="2:82" ht="15" customHeight="1" x14ac:dyDescent="0.25">
      <c r="B20" s="9"/>
      <c r="C20" s="9">
        <f>IF($D$3="English",C19*10^-3,C19*10^-6)</f>
        <v>0.03</v>
      </c>
      <c r="D20" s="9" t="str">
        <f>IF($D$3="English","kpsi","MPa")</f>
        <v>MPa</v>
      </c>
      <c r="F20" s="28" t="s">
        <v>44</v>
      </c>
      <c r="G20" s="28">
        <v>-0.26500000000000001</v>
      </c>
      <c r="H20" s="28"/>
      <c r="Y20" s="21">
        <v>30</v>
      </c>
      <c r="Z20" s="26">
        <v>0.35899999999999999</v>
      </c>
      <c r="AG20" s="12"/>
      <c r="AN20" s="12"/>
      <c r="AU20" s="12"/>
      <c r="BB20" s="12"/>
      <c r="BI20" s="12"/>
      <c r="BP20" s="12"/>
      <c r="BW20" s="12"/>
      <c r="CD20" s="12"/>
    </row>
    <row r="21" spans="2:82" ht="15" customHeight="1" x14ac:dyDescent="0.25">
      <c r="F21" s="9" t="s">
        <v>40</v>
      </c>
      <c r="G21" s="9">
        <f>G19*(C18^G20)</f>
        <v>5.8232797145169455</v>
      </c>
      <c r="H21" s="11" t="s">
        <v>8</v>
      </c>
      <c r="Y21" s="21">
        <v>34</v>
      </c>
      <c r="Z21" s="26">
        <v>0.371</v>
      </c>
      <c r="AG21" s="12"/>
      <c r="AN21" s="12"/>
      <c r="AU21" s="12"/>
      <c r="BB21" s="12"/>
      <c r="BI21" s="12"/>
      <c r="BP21" s="12"/>
      <c r="BW21" s="12"/>
      <c r="CD21" s="12"/>
    </row>
    <row r="22" spans="2:82" ht="15" customHeight="1" x14ac:dyDescent="0.25">
      <c r="F22" s="9" t="s">
        <v>46</v>
      </c>
      <c r="G22" s="9">
        <f>(3*G8)/(2*IF($D$3="English",C6, C6^-1))</f>
        <v>0.57937499999999997</v>
      </c>
      <c r="H22" s="9" t="str">
        <f>IF($D$3="English","in", "mm")</f>
        <v>mm</v>
      </c>
      <c r="Y22" s="21">
        <v>38</v>
      </c>
      <c r="Z22" s="26">
        <v>0.38400000000000001</v>
      </c>
      <c r="AG22" s="12"/>
      <c r="AN22" s="12"/>
      <c r="AU22" s="12"/>
      <c r="BB22" s="12"/>
      <c r="BI22" s="12"/>
      <c r="BP22" s="12"/>
      <c r="BW22" s="12"/>
      <c r="CD22" s="12"/>
    </row>
    <row r="23" spans="2:82" ht="15" customHeight="1" x14ac:dyDescent="0.25">
      <c r="F23" s="9" t="s">
        <v>48</v>
      </c>
      <c r="G23" s="9">
        <f>1*(IF($D$3="English",C6, C6^-1))^-1 + 1.25*(IF($D$3="English",C6, C6^-1))^-1</f>
        <v>2.8125</v>
      </c>
      <c r="H23" s="9" t="str">
        <f>IF($D$3="English","in", "mm")</f>
        <v>mm</v>
      </c>
      <c r="Y23" s="21">
        <v>43</v>
      </c>
      <c r="Z23" s="26">
        <v>0.39700000000000002</v>
      </c>
      <c r="AG23" s="12"/>
      <c r="AN23" s="12"/>
      <c r="AU23" s="12"/>
      <c r="BB23" s="12"/>
      <c r="BI23" s="12"/>
      <c r="BP23" s="12"/>
      <c r="BW23" s="12"/>
      <c r="CD23" s="12"/>
    </row>
    <row r="24" spans="2:82" ht="15" customHeight="1" x14ac:dyDescent="0.25">
      <c r="B24" s="7" t="s">
        <v>37</v>
      </c>
      <c r="C24" s="7"/>
      <c r="D24" s="7"/>
      <c r="F24" s="9" t="s">
        <v>47</v>
      </c>
      <c r="G24" s="9">
        <f>SQRT(4*G23*G22)</f>
        <v>2.5530312865297988</v>
      </c>
      <c r="H24" s="9" t="str">
        <f>IF($D$3="English","in", "mm")</f>
        <v>mm</v>
      </c>
      <c r="Y24" s="21">
        <v>50</v>
      </c>
      <c r="Z24" s="26">
        <v>0.40899999999999997</v>
      </c>
      <c r="AG24" s="12"/>
      <c r="AN24" s="12"/>
      <c r="AU24" s="12"/>
      <c r="BB24" s="12"/>
      <c r="BI24" s="12"/>
      <c r="BP24" s="12"/>
      <c r="BW24" s="12"/>
      <c r="CD24" s="12"/>
    </row>
    <row r="25" spans="2:82" ht="15" customHeight="1" x14ac:dyDescent="0.25">
      <c r="B25" s="8" t="s">
        <v>10</v>
      </c>
      <c r="C25" s="8">
        <v>0.5</v>
      </c>
      <c r="D25" s="8" t="str">
        <f>IF($D$3="English","HP", "kW")</f>
        <v>kW</v>
      </c>
      <c r="F25" s="9" t="s">
        <v>45</v>
      </c>
      <c r="G25" s="9">
        <f>0.808*SQRT(G24*C7)</f>
        <v>4.4722909804917528</v>
      </c>
      <c r="H25" s="9" t="str">
        <f>IF($D$3="English","in", "mm")</f>
        <v>mm</v>
      </c>
      <c r="Y25" s="21">
        <v>60</v>
      </c>
      <c r="Z25" s="26">
        <v>0.42199999999999999</v>
      </c>
      <c r="AG25" s="12"/>
      <c r="AN25" s="12"/>
      <c r="AU25" s="12"/>
      <c r="BB25" s="12"/>
      <c r="BI25" s="12"/>
      <c r="BP25" s="12"/>
      <c r="BW25" s="12"/>
      <c r="CD25" s="12"/>
    </row>
    <row r="26" spans="2:82" ht="15" customHeight="1" x14ac:dyDescent="0.25">
      <c r="B26" s="9" t="s">
        <v>61</v>
      </c>
      <c r="C26" s="17">
        <f>G13*C25</f>
        <v>0.23578510087688201</v>
      </c>
      <c r="D26" s="9" t="str">
        <f>IF($D$3="English","lbf", "kN")</f>
        <v>kN</v>
      </c>
      <c r="F26" s="28" t="s">
        <v>39</v>
      </c>
      <c r="G26" s="28">
        <f>0.879*(G25^-0.107)</f>
        <v>0.74882814554146926</v>
      </c>
      <c r="H26" s="29" t="s">
        <v>8</v>
      </c>
      <c r="Y26" s="21">
        <v>75</v>
      </c>
      <c r="Z26" s="26">
        <v>0.435</v>
      </c>
      <c r="AG26" s="12"/>
      <c r="AN26" s="12"/>
      <c r="AU26" s="12"/>
      <c r="BB26" s="12"/>
      <c r="BI26" s="12"/>
      <c r="BP26" s="12"/>
      <c r="BW26" s="12"/>
      <c r="CD26" s="12"/>
    </row>
    <row r="27" spans="2:82" ht="15" customHeight="1" x14ac:dyDescent="0.25">
      <c r="B27" s="9"/>
      <c r="C27" s="32">
        <f>C26*10^3</f>
        <v>235.78510087688201</v>
      </c>
      <c r="D27" s="9" t="str">
        <f>IF($D$3="English","*10^-3 lbf", "N")</f>
        <v>N</v>
      </c>
      <c r="F27" s="9" t="s">
        <v>38</v>
      </c>
      <c r="G27" s="9">
        <v>1</v>
      </c>
      <c r="H27" s="11" t="s">
        <v>8</v>
      </c>
      <c r="M27" s="1"/>
      <c r="S27" s="1"/>
      <c r="Y27" s="21">
        <v>100</v>
      </c>
      <c r="Z27" s="26">
        <v>0.44700000000000001</v>
      </c>
      <c r="AG27" s="12"/>
      <c r="AN27" s="12"/>
      <c r="AU27" s="12"/>
      <c r="BB27" s="12"/>
      <c r="BI27" s="12"/>
      <c r="BP27" s="12"/>
      <c r="BW27" s="12"/>
      <c r="CD27" s="12"/>
    </row>
    <row r="28" spans="2:82" ht="15" customHeight="1" x14ac:dyDescent="0.25">
      <c r="B28" s="9" t="s">
        <v>27</v>
      </c>
      <c r="C28" s="22">
        <f>(G12*G13*C25*IF($D$3="English",C6, (C6^-1)*10^9))/(C7*G8)</f>
        <v>68554976.049975425</v>
      </c>
      <c r="D28" s="9" t="str">
        <f>IF($D$3="English","psi","Pa")</f>
        <v>Pa</v>
      </c>
      <c r="F28" s="9" t="s">
        <v>41</v>
      </c>
      <c r="G28" s="22">
        <f>G21*G26*G27*G18</f>
        <v>119917.48311375196</v>
      </c>
      <c r="H28" s="9" t="str">
        <f>IF($D$3="English","psi","Pa")</f>
        <v>Pa</v>
      </c>
      <c r="M28" s="1"/>
      <c r="S28" s="1"/>
      <c r="Y28" s="21">
        <v>150</v>
      </c>
      <c r="Z28" s="26">
        <v>0.46</v>
      </c>
      <c r="AG28" s="12"/>
      <c r="AN28" s="12"/>
      <c r="AU28" s="12"/>
      <c r="BB28" s="12"/>
      <c r="BI28" s="12"/>
      <c r="BP28" s="12"/>
      <c r="BW28" s="12"/>
      <c r="CD28" s="12"/>
    </row>
    <row r="29" spans="2:82" ht="15" customHeight="1" x14ac:dyDescent="0.25">
      <c r="B29" s="9"/>
      <c r="C29" s="25">
        <f>IF($D$3="English",C28*10^-3,C28*10^-6)</f>
        <v>68.554976049975423</v>
      </c>
      <c r="D29" s="9" t="str">
        <f>IF($D$3="English","kpsi","MPa")</f>
        <v>MPa</v>
      </c>
      <c r="F29" s="8" t="s">
        <v>52</v>
      </c>
      <c r="G29" s="8">
        <v>3.7499999999999999E-2</v>
      </c>
      <c r="H29" s="8" t="str">
        <f>IF($D$3="English","in", "mm")</f>
        <v>mm</v>
      </c>
      <c r="M29" s="1"/>
      <c r="S29" s="1"/>
      <c r="Y29" s="21">
        <v>300</v>
      </c>
      <c r="Z29" s="26">
        <v>0.47199999999999998</v>
      </c>
      <c r="AG29" s="12"/>
      <c r="AN29" s="12"/>
      <c r="AU29" s="12"/>
      <c r="BB29" s="12"/>
      <c r="BI29" s="12"/>
      <c r="BP29" s="12"/>
      <c r="BW29" s="12"/>
      <c r="CD29" s="12"/>
    </row>
    <row r="30" spans="2:82" ht="15" customHeight="1" x14ac:dyDescent="0.25">
      <c r="F30" s="8" t="s">
        <v>51</v>
      </c>
      <c r="G30" s="8">
        <v>1.7</v>
      </c>
      <c r="H30" s="10" t="s">
        <v>8</v>
      </c>
      <c r="M30" s="1"/>
      <c r="S30" s="1"/>
      <c r="Y30" s="21">
        <v>400</v>
      </c>
      <c r="Z30" s="26">
        <v>0.48</v>
      </c>
      <c r="AG30" s="12"/>
      <c r="AN30" s="12"/>
      <c r="AU30" s="12"/>
      <c r="BB30" s="12"/>
      <c r="BI30" s="12"/>
      <c r="BP30" s="12"/>
      <c r="BW30" s="12"/>
      <c r="CD30" s="12"/>
    </row>
    <row r="31" spans="2:82" ht="15" customHeight="1" thickBot="1" x14ac:dyDescent="0.3">
      <c r="F31" s="8" t="s">
        <v>50</v>
      </c>
      <c r="G31" s="8">
        <v>0.62</v>
      </c>
      <c r="H31" s="10" t="s">
        <v>8</v>
      </c>
      <c r="M31" s="1"/>
      <c r="S31" s="1"/>
      <c r="Y31" s="19" t="s">
        <v>30</v>
      </c>
      <c r="Z31" s="20">
        <v>0.48499999999999999</v>
      </c>
      <c r="AG31" s="12"/>
      <c r="AN31" s="12"/>
      <c r="AU31" s="12"/>
      <c r="BB31" s="12"/>
      <c r="BI31" s="12"/>
      <c r="BP31" s="12"/>
      <c r="BW31" s="12"/>
      <c r="CD31" s="12"/>
    </row>
    <row r="32" spans="2:82" ht="15" customHeight="1" x14ac:dyDescent="0.25">
      <c r="F32" s="9" t="s">
        <v>49</v>
      </c>
      <c r="G32" s="9">
        <f>1+G31*(G30-1)</f>
        <v>1.4339999999999999</v>
      </c>
      <c r="H32" s="11" t="s">
        <v>8</v>
      </c>
      <c r="M32" s="1"/>
      <c r="S32" s="1"/>
      <c r="AG32" s="12"/>
      <c r="AN32" s="12"/>
      <c r="AU32" s="12"/>
      <c r="BB32" s="12"/>
      <c r="BI32" s="12"/>
      <c r="BP32" s="12"/>
      <c r="BW32" s="12"/>
      <c r="CD32" s="12"/>
    </row>
    <row r="33" spans="2:82" ht="15" customHeight="1" x14ac:dyDescent="0.25">
      <c r="F33" s="9" t="s">
        <v>53</v>
      </c>
      <c r="G33" s="22">
        <f>(G12*G13*IF($D$3="English",C6, C6^-1))/(C7*G8)</f>
        <v>0.13710995209995086</v>
      </c>
      <c r="H33" s="9" t="str">
        <f>IF($D$3="English","psi","Pa")</f>
        <v>Pa</v>
      </c>
      <c r="K33" s="1"/>
      <c r="M33" s="1"/>
      <c r="S33" s="1"/>
      <c r="T33" s="1"/>
      <c r="AG33" s="12"/>
      <c r="AN33" s="12"/>
      <c r="AU33" s="12"/>
      <c r="BB33" s="12"/>
      <c r="BI33" s="12"/>
      <c r="BP33" s="12"/>
      <c r="BW33" s="12"/>
      <c r="CD33" s="12"/>
    </row>
    <row r="34" spans="2:82" ht="15" customHeight="1" x14ac:dyDescent="0.25">
      <c r="F34" s="9"/>
      <c r="G34" s="25">
        <f>IF($D$3="English",G33*10^-3,G33*10^-6)</f>
        <v>1.3710995209995087E-7</v>
      </c>
      <c r="H34" s="9" t="str">
        <f>IF($D$3="English","kpsi","MPa")</f>
        <v>MPa</v>
      </c>
      <c r="K34" s="1"/>
      <c r="M34" s="1"/>
      <c r="S34" s="1"/>
      <c r="T34" s="1"/>
      <c r="AG34" s="12"/>
      <c r="AN34" s="12"/>
      <c r="AU34" s="12"/>
      <c r="BB34" s="12"/>
      <c r="BI34" s="12"/>
      <c r="BP34" s="12"/>
      <c r="BW34" s="12"/>
      <c r="CD34" s="12"/>
    </row>
    <row r="35" spans="2:82" ht="15" customHeight="1" x14ac:dyDescent="0.25">
      <c r="F35" s="9" t="s">
        <v>54</v>
      </c>
      <c r="G35" s="22">
        <f>(G32/2)*G33</f>
        <v>9.8307835655664769E-2</v>
      </c>
      <c r="H35" s="9" t="str">
        <f>IF($D$3="English","psi","Pa")</f>
        <v>Pa</v>
      </c>
      <c r="K35" s="1"/>
      <c r="M35" s="1"/>
      <c r="S35" s="1"/>
      <c r="T35" s="1"/>
      <c r="AG35" s="12"/>
      <c r="AN35" s="12"/>
      <c r="AU35" s="12"/>
      <c r="BB35" s="12"/>
      <c r="BI35" s="12"/>
      <c r="BP35" s="12"/>
      <c r="BW35" s="12"/>
      <c r="CD35" s="12"/>
    </row>
    <row r="36" spans="2:82" ht="15" customHeight="1" x14ac:dyDescent="0.25">
      <c r="F36" s="9"/>
      <c r="G36" s="25">
        <f>IF($D$3="English",G35*10^-3,G35*10^-6)</f>
        <v>9.8307835655664758E-8</v>
      </c>
      <c r="H36" s="9" t="str">
        <f>IF($D$3="English","kpsi","MPa")</f>
        <v>MPa</v>
      </c>
      <c r="K36" s="1"/>
      <c r="T36" s="1"/>
      <c r="Z36" s="12"/>
      <c r="AG36" s="12"/>
      <c r="AN36" s="12"/>
      <c r="AU36" s="12"/>
      <c r="BB36" s="12"/>
      <c r="BI36" s="12"/>
      <c r="BP36" s="12"/>
      <c r="BW36" s="12"/>
      <c r="CD36" s="12"/>
    </row>
    <row r="37" spans="2:82" ht="15" customHeight="1" x14ac:dyDescent="0.25">
      <c r="F37" s="9" t="s">
        <v>36</v>
      </c>
      <c r="G37" s="17">
        <f>(C10*((G35/G28) + (G35/C17)))^-1</f>
        <v>127850.54541589411</v>
      </c>
      <c r="H37" s="9" t="str">
        <f>IF($D$3="English","HP", "kN")</f>
        <v>kN</v>
      </c>
      <c r="K37" s="1"/>
      <c r="T37" s="1"/>
      <c r="Z37" s="12"/>
      <c r="AG37" s="12"/>
      <c r="AN37" s="12"/>
      <c r="AU37" s="12"/>
      <c r="BB37" s="12"/>
      <c r="BI37" s="12"/>
      <c r="BP37" s="12"/>
      <c r="BW37" s="12"/>
      <c r="CD37" s="12"/>
    </row>
    <row r="38" spans="2:82" ht="15" customHeight="1" x14ac:dyDescent="0.25">
      <c r="K38" s="1"/>
      <c r="T38" s="1"/>
      <c r="Z38" s="12"/>
      <c r="AG38" s="12"/>
      <c r="AN38" s="12"/>
      <c r="AU38" s="12"/>
      <c r="BB38" s="12"/>
      <c r="BI38" s="12"/>
      <c r="BP38" s="12"/>
      <c r="BW38" s="12"/>
      <c r="CD38" s="12"/>
    </row>
    <row r="39" spans="2:82" ht="15" customHeight="1" x14ac:dyDescent="0.25">
      <c r="B39"/>
      <c r="K39" s="1"/>
      <c r="T39" s="1"/>
      <c r="Z39" s="12"/>
      <c r="AG39" s="12"/>
      <c r="AN39" s="12"/>
      <c r="AU39" s="12"/>
      <c r="BB39" s="12"/>
      <c r="BI39" s="12"/>
      <c r="BP39" s="12"/>
      <c r="BW39" s="12"/>
      <c r="CD39" s="12"/>
    </row>
    <row r="40" spans="2:82" ht="15" customHeight="1" x14ac:dyDescent="0.25">
      <c r="K40" s="1"/>
      <c r="T40" s="1"/>
      <c r="Z40" s="12"/>
      <c r="AG40" s="12"/>
      <c r="AN40" s="12"/>
      <c r="AU40" s="12"/>
      <c r="BB40" s="12"/>
      <c r="BI40" s="12"/>
      <c r="BP40" s="12"/>
      <c r="BW40" s="12"/>
      <c r="CD40" s="12"/>
    </row>
    <row r="41" spans="2:82" ht="15" customHeight="1" x14ac:dyDescent="0.25">
      <c r="K41" s="1"/>
      <c r="L41" s="1"/>
      <c r="T41" s="1"/>
      <c r="Z41" s="12"/>
      <c r="AG41" s="12"/>
      <c r="AN41" s="12"/>
      <c r="AU41" s="12"/>
      <c r="BB41" s="12"/>
      <c r="BI41" s="12"/>
      <c r="BP41" s="12"/>
      <c r="BW41" s="12"/>
      <c r="CD41" s="12"/>
    </row>
    <row r="42" spans="2:82" ht="15" customHeight="1" x14ac:dyDescent="0.25">
      <c r="Z42" s="12"/>
      <c r="AG42" s="12"/>
      <c r="AN42" s="12"/>
      <c r="AU42" s="12"/>
      <c r="BB42" s="12"/>
      <c r="BI42" s="12"/>
      <c r="BP42" s="12"/>
      <c r="BW42" s="12"/>
      <c r="CD42" s="12"/>
    </row>
    <row r="43" spans="2:82" ht="15" customHeight="1" x14ac:dyDescent="0.25">
      <c r="Z43" s="12"/>
      <c r="AG43" s="12"/>
      <c r="AN43" s="12"/>
      <c r="AU43" s="12"/>
      <c r="BB43" s="12"/>
      <c r="BI43" s="12"/>
      <c r="BP43" s="12"/>
      <c r="BW43" s="12"/>
      <c r="CD43" s="12"/>
    </row>
    <row r="44" spans="2:82" ht="15" customHeight="1" x14ac:dyDescent="0.25">
      <c r="Z44" s="12"/>
      <c r="AG44" s="12"/>
      <c r="AN44" s="12"/>
      <c r="AU44" s="12"/>
      <c r="BB44" s="12"/>
      <c r="BI44" s="12"/>
      <c r="BP44" s="12"/>
      <c r="BW44" s="12"/>
      <c r="CD44" s="12"/>
    </row>
    <row r="45" spans="2:82" ht="15" customHeight="1" x14ac:dyDescent="0.25">
      <c r="Z45" s="12"/>
      <c r="AG45" s="12"/>
      <c r="AN45" s="12"/>
      <c r="AU45" s="12"/>
      <c r="BB45" s="12"/>
      <c r="BI45" s="12"/>
      <c r="BP45" s="12"/>
      <c r="BW45" s="12"/>
      <c r="CD45" s="12"/>
    </row>
    <row r="46" spans="2:82" ht="15" customHeight="1" x14ac:dyDescent="0.25">
      <c r="Z46" s="12"/>
      <c r="AG46" s="12"/>
      <c r="AN46" s="12"/>
      <c r="AU46" s="12"/>
      <c r="BB46" s="12"/>
      <c r="BI46" s="12"/>
      <c r="BP46" s="12"/>
      <c r="BW46" s="12"/>
      <c r="CD46" s="12"/>
    </row>
    <row r="47" spans="2:82" ht="15" customHeight="1" x14ac:dyDescent="0.25">
      <c r="Z47" s="12"/>
      <c r="AG47" s="12"/>
      <c r="AN47" s="12"/>
      <c r="AU47" s="12"/>
      <c r="BB47" s="12"/>
      <c r="BI47" s="12"/>
      <c r="BP47" s="12"/>
      <c r="BW47" s="12"/>
      <c r="CD47" s="12"/>
    </row>
    <row r="48" spans="2:82" ht="15" customHeight="1" x14ac:dyDescent="0.25">
      <c r="Z48" s="12"/>
      <c r="AG48" s="12"/>
      <c r="AN48" s="12"/>
      <c r="AU48" s="12"/>
      <c r="BB48" s="12"/>
      <c r="BI48" s="12"/>
      <c r="BP48" s="12"/>
      <c r="BW48" s="12"/>
      <c r="CD48" s="12"/>
    </row>
    <row r="49" spans="26:82" ht="15" customHeight="1" x14ac:dyDescent="0.25">
      <c r="Z49" s="12"/>
      <c r="AG49" s="12"/>
      <c r="AN49" s="12"/>
      <c r="AU49" s="12"/>
      <c r="BB49" s="12"/>
      <c r="BI49" s="12"/>
      <c r="BP49" s="12"/>
      <c r="BW49" s="12"/>
      <c r="CD49" s="12"/>
    </row>
    <row r="50" spans="26:82" ht="15" customHeight="1" x14ac:dyDescent="0.25">
      <c r="Z50" s="12"/>
      <c r="AG50" s="12"/>
      <c r="AN50" s="12"/>
      <c r="AU50" s="12"/>
      <c r="BB50" s="12"/>
      <c r="BI50" s="12"/>
      <c r="BP50" s="12"/>
      <c r="BW50" s="12"/>
      <c r="CD50" s="12"/>
    </row>
    <row r="51" spans="26:82" ht="15" customHeight="1" x14ac:dyDescent="0.25">
      <c r="Z51" s="12"/>
      <c r="AG51" s="12"/>
      <c r="AN51" s="12"/>
      <c r="AU51" s="12"/>
      <c r="BB51" s="12"/>
      <c r="BI51" s="12"/>
      <c r="BP51" s="12"/>
      <c r="BW51" s="12"/>
      <c r="CD51" s="12"/>
    </row>
    <row r="52" spans="26:82" ht="15" customHeight="1" x14ac:dyDescent="0.25">
      <c r="Z52" s="12"/>
      <c r="AG52" s="12"/>
      <c r="AN52" s="12"/>
      <c r="AU52" s="12"/>
      <c r="BB52" s="12"/>
      <c r="BI52" s="12"/>
      <c r="BP52" s="12"/>
      <c r="BW52" s="12"/>
      <c r="CD52" s="12"/>
    </row>
    <row r="53" spans="26:82" ht="15" customHeight="1" x14ac:dyDescent="0.25">
      <c r="Z53" s="12"/>
      <c r="AG53" s="12"/>
      <c r="AN53" s="12"/>
      <c r="AU53" s="12"/>
      <c r="BB53" s="12"/>
      <c r="BI53" s="12"/>
      <c r="BP53" s="12"/>
      <c r="BW53" s="12"/>
      <c r="CD53" s="12"/>
    </row>
    <row r="54" spans="26:82" ht="15" customHeight="1" x14ac:dyDescent="0.25">
      <c r="Z54" s="12"/>
      <c r="AG54" s="12"/>
      <c r="AN54" s="12"/>
      <c r="AU54" s="12"/>
      <c r="BB54" s="12"/>
      <c r="BI54" s="12"/>
      <c r="BP54" s="12"/>
      <c r="BW54" s="12"/>
      <c r="CD54" s="12"/>
    </row>
    <row r="55" spans="26:82" ht="15" customHeight="1" x14ac:dyDescent="0.25">
      <c r="Z55" s="12"/>
      <c r="AG55" s="12"/>
      <c r="AN55" s="12"/>
      <c r="AU55" s="12"/>
      <c r="BB55" s="12"/>
      <c r="BI55" s="12"/>
      <c r="BP55" s="12"/>
      <c r="BW55" s="12"/>
      <c r="CD55" s="12"/>
    </row>
    <row r="56" spans="26:82" ht="15" customHeight="1" x14ac:dyDescent="0.25">
      <c r="Z56" s="12"/>
      <c r="AG56" s="12"/>
      <c r="AN56" s="12"/>
      <c r="AU56" s="12"/>
      <c r="BB56" s="12"/>
      <c r="BI56" s="12"/>
      <c r="BP56" s="12"/>
      <c r="BW56" s="12"/>
      <c r="CD56" s="12"/>
    </row>
    <row r="57" spans="26:82" ht="15" customHeight="1" x14ac:dyDescent="0.25">
      <c r="Z57" s="12"/>
      <c r="AG57" s="12"/>
      <c r="AN57" s="12"/>
      <c r="AU57" s="12"/>
      <c r="BB57" s="12"/>
      <c r="BI57" s="12"/>
      <c r="BP57" s="12"/>
      <c r="BW57" s="12"/>
      <c r="CD57" s="12"/>
    </row>
    <row r="58" spans="26:82" ht="15" customHeight="1" x14ac:dyDescent="0.25">
      <c r="Z58" s="12"/>
      <c r="AG58" s="12"/>
      <c r="AN58" s="12"/>
      <c r="AU58" s="12"/>
      <c r="BB58" s="12"/>
      <c r="BI58" s="12"/>
      <c r="BP58" s="12"/>
      <c r="BW58" s="12"/>
      <c r="CD58" s="12"/>
    </row>
    <row r="59" spans="26:82" ht="15" customHeight="1" x14ac:dyDescent="0.25">
      <c r="Z59" s="12"/>
      <c r="AG59" s="12"/>
      <c r="AN59" s="12"/>
      <c r="AU59" s="12"/>
      <c r="BB59" s="12"/>
      <c r="BI59" s="12"/>
      <c r="BP59" s="12"/>
      <c r="BW59" s="12"/>
      <c r="CD59" s="12"/>
    </row>
    <row r="60" spans="26:82" ht="15" customHeight="1" x14ac:dyDescent="0.25">
      <c r="Z60" s="12"/>
      <c r="AG60" s="12"/>
      <c r="AN60" s="12"/>
      <c r="AU60" s="12"/>
      <c r="BB60" s="12"/>
      <c r="BI60" s="12"/>
      <c r="BP60" s="12"/>
      <c r="BW60" s="12"/>
      <c r="CD60" s="12"/>
    </row>
    <row r="61" spans="26:82" ht="15" customHeight="1" x14ac:dyDescent="0.25">
      <c r="Z61" s="12"/>
      <c r="AG61" s="12"/>
      <c r="AN61" s="12"/>
      <c r="AU61" s="12"/>
      <c r="BB61" s="12"/>
      <c r="BI61" s="12"/>
      <c r="BP61" s="12"/>
      <c r="BW61" s="12"/>
      <c r="CD61" s="12"/>
    </row>
    <row r="62" spans="26:82" ht="15" customHeight="1" x14ac:dyDescent="0.25">
      <c r="Z62" s="12"/>
      <c r="AG62" s="12"/>
      <c r="AN62" s="12"/>
      <c r="AU62" s="12"/>
      <c r="BB62" s="12"/>
      <c r="BI62" s="12"/>
      <c r="BP62" s="12"/>
      <c r="BW62" s="12"/>
      <c r="CD62" s="12"/>
    </row>
    <row r="63" spans="26:82" ht="15" customHeight="1" x14ac:dyDescent="0.25">
      <c r="Z63" s="12"/>
      <c r="AG63" s="12"/>
      <c r="AN63" s="12"/>
      <c r="AU63" s="12"/>
      <c r="BB63" s="12"/>
      <c r="BI63" s="12"/>
      <c r="BP63" s="12"/>
      <c r="BW63" s="12"/>
      <c r="CD63" s="12"/>
    </row>
    <row r="64" spans="26:82" ht="15" customHeight="1" x14ac:dyDescent="0.25">
      <c r="Z64" s="12"/>
      <c r="AG64" s="12"/>
      <c r="AN64" s="12"/>
      <c r="AU64" s="12"/>
      <c r="BB64" s="12"/>
      <c r="BI64" s="12"/>
      <c r="BP64" s="12"/>
      <c r="BW64" s="12"/>
      <c r="CD64" s="12"/>
    </row>
    <row r="73" spans="8:8" ht="15" customHeight="1" x14ac:dyDescent="0.25">
      <c r="H73"/>
    </row>
    <row r="82" spans="2:8" ht="15" customHeight="1" x14ac:dyDescent="0.25">
      <c r="B82" s="30"/>
      <c r="C82" s="30" t="s">
        <v>55</v>
      </c>
      <c r="D82" s="30"/>
      <c r="E82" s="31"/>
      <c r="F82" s="30"/>
      <c r="G82" s="30"/>
      <c r="H82" s="30"/>
    </row>
    <row r="202" spans="2:2" ht="15" customHeight="1" x14ac:dyDescent="0.25">
      <c r="B202"/>
    </row>
  </sheetData>
  <conditionalFormatting sqref="B6:D6">
    <cfRule type="expression" dxfId="5" priority="1">
      <formula>$I$54</formula>
    </cfRule>
    <cfRule type="expression" dxfId="4" priority="2">
      <formula>$I$51</formula>
    </cfRule>
  </conditionalFormatting>
  <dataValidations disablePrompts="1" count="2">
    <dataValidation type="list" allowBlank="1" showInputMessage="1" showErrorMessage="1" sqref="C16" xr:uid="{45C704EE-E219-4063-A3BF-6420919CFFE9}">
      <formula1>"Cast Profile, Cut or Milled Profile, Hobbed or Shaped Profile, Shaped or Ground Profile"</formula1>
    </dataValidation>
    <dataValidation type="list" allowBlank="1" showInputMessage="1" showErrorMessage="1" sqref="D3" xr:uid="{C8E6F961-603B-4EA3-877B-51B29D007BEC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7695-8806-4058-9F66-8B00467EDB28}">
  <sheetPr>
    <tabColor rgb="FF00B050"/>
  </sheetPr>
  <dimension ref="B1:CD202"/>
  <sheetViews>
    <sheetView zoomScaleNormal="100" workbookViewId="0">
      <selection activeCell="E32" sqref="E32"/>
    </sheetView>
  </sheetViews>
  <sheetFormatPr defaultRowHeight="15" customHeight="1" x14ac:dyDescent="0.25"/>
  <cols>
    <col min="2" max="2" width="30.5703125" style="1" customWidth="1"/>
    <col min="3" max="3" width="13" style="1" customWidth="1"/>
    <col min="4" max="4" width="10.140625" style="1" customWidth="1"/>
    <col min="5" max="5" width="10.42578125" bestFit="1" customWidth="1"/>
    <col min="6" max="6" width="31.28515625" style="1" bestFit="1" customWidth="1"/>
    <col min="7" max="7" width="13" style="1" customWidth="1"/>
    <col min="8" max="8" width="10.140625" style="1" customWidth="1"/>
    <col min="25" max="25" width="16.28515625" bestFit="1" customWidth="1"/>
    <col min="26" max="29" width="9.140625" customWidth="1"/>
  </cols>
  <sheetData>
    <row r="1" spans="2:82" ht="15" customHeight="1" x14ac:dyDescent="0.25">
      <c r="Z1" s="12"/>
      <c r="AG1" s="12"/>
      <c r="AN1" s="12"/>
      <c r="AU1" s="12"/>
      <c r="BB1" s="12"/>
      <c r="BI1" s="12"/>
      <c r="BP1" s="12"/>
      <c r="BW1" s="12"/>
      <c r="CD1" s="12"/>
    </row>
    <row r="2" spans="2:82" ht="15" customHeight="1" x14ac:dyDescent="0.25">
      <c r="C2"/>
      <c r="D2"/>
      <c r="F2"/>
      <c r="G2"/>
      <c r="H2"/>
      <c r="Z2" s="12"/>
      <c r="AG2" s="12"/>
      <c r="AN2" s="12"/>
      <c r="AU2" s="12"/>
      <c r="BB2" s="12"/>
      <c r="BI2" s="12"/>
      <c r="BP2" s="12"/>
      <c r="BW2" s="12"/>
      <c r="CD2" s="12"/>
    </row>
    <row r="3" spans="2:82" ht="15" customHeight="1" thickBot="1" x14ac:dyDescent="0.3">
      <c r="B3" s="2" t="s">
        <v>0</v>
      </c>
      <c r="C3" s="3" t="s">
        <v>1</v>
      </c>
      <c r="D3" s="4" t="s">
        <v>3</v>
      </c>
      <c r="F3" s="5" t="s">
        <v>4</v>
      </c>
      <c r="G3" s="5"/>
      <c r="H3" s="5"/>
      <c r="Z3" s="12"/>
      <c r="AG3" s="12"/>
      <c r="AN3" s="12"/>
      <c r="AU3" s="12"/>
      <c r="BB3" s="12"/>
      <c r="BI3" s="12"/>
      <c r="BP3" s="12"/>
      <c r="BW3" s="12"/>
      <c r="CD3" s="12"/>
    </row>
    <row r="4" spans="2:82" ht="15" customHeight="1" x14ac:dyDescent="0.25">
      <c r="Y4" s="15" t="s">
        <v>31</v>
      </c>
      <c r="Z4" s="16"/>
      <c r="AG4" s="12"/>
      <c r="AN4" s="12"/>
      <c r="AU4" s="12"/>
      <c r="BB4" s="12"/>
      <c r="BI4" s="12"/>
      <c r="BP4" s="12"/>
      <c r="BW4" s="12"/>
      <c r="CD4" s="12"/>
    </row>
    <row r="5" spans="2:82" ht="15" customHeight="1" x14ac:dyDescent="0.25">
      <c r="B5" s="6" t="s">
        <v>22</v>
      </c>
      <c r="C5" s="6"/>
      <c r="D5" s="6"/>
      <c r="F5" s="7" t="s">
        <v>21</v>
      </c>
      <c r="G5" s="7"/>
      <c r="H5" s="7"/>
      <c r="Y5" s="13" t="s">
        <v>29</v>
      </c>
      <c r="Z5" s="14" t="s">
        <v>12</v>
      </c>
      <c r="AG5" s="12"/>
      <c r="AN5" s="12"/>
      <c r="AU5" s="12"/>
      <c r="BB5" s="12"/>
      <c r="BI5" s="12"/>
      <c r="BP5" s="12"/>
      <c r="BW5" s="12"/>
      <c r="CD5" s="12"/>
    </row>
    <row r="6" spans="2:82" ht="15" customHeight="1" x14ac:dyDescent="0.25">
      <c r="B6" s="8" t="str">
        <f>IF($D$3="English","Diametrial Pitch, P (N/d)", "Module, m (d/N)")</f>
        <v>Diametrial Pitch, P (N/d)</v>
      </c>
      <c r="C6" s="8">
        <v>10</v>
      </c>
      <c r="D6" s="10" t="str">
        <f>IF($D$3="English","teeth/in", "mm/tooth")</f>
        <v>teeth/in</v>
      </c>
      <c r="F6" s="9" t="s">
        <v>26</v>
      </c>
      <c r="G6" s="22">
        <f>C19/C10</f>
        <v>10000</v>
      </c>
      <c r="H6" s="9" t="str">
        <f>IF($D$3="English","psi","Pa")</f>
        <v>psi</v>
      </c>
      <c r="Y6" s="21">
        <v>12</v>
      </c>
      <c r="Z6" s="26">
        <v>0.245</v>
      </c>
      <c r="AG6" s="12"/>
      <c r="AN6" s="12"/>
      <c r="AU6" s="12"/>
      <c r="BB6" s="12"/>
      <c r="BI6" s="12"/>
      <c r="BP6" s="12"/>
      <c r="BW6" s="12"/>
      <c r="CD6" s="12"/>
    </row>
    <row r="7" spans="2:82" ht="15" customHeight="1" x14ac:dyDescent="0.25">
      <c r="B7" s="8" t="s">
        <v>13</v>
      </c>
      <c r="C7" s="8">
        <v>1</v>
      </c>
      <c r="D7" s="8" t="str">
        <f>IF($D$3="English","in", "mm")</f>
        <v>in</v>
      </c>
      <c r="F7" s="9"/>
      <c r="G7" s="25">
        <f>IF($D$3="English",G6*10^-3,G6*10^-6)</f>
        <v>10</v>
      </c>
      <c r="H7" s="9" t="str">
        <f>IF($D$3="English","kpsi","MPa")</f>
        <v>kpsi</v>
      </c>
      <c r="Y7" s="21">
        <v>13</v>
      </c>
      <c r="Z7" s="26">
        <v>0.26100000000000001</v>
      </c>
      <c r="AG7" s="12"/>
      <c r="AN7" s="12"/>
      <c r="AU7" s="12"/>
      <c r="BB7" s="12"/>
      <c r="BI7" s="12"/>
      <c r="BP7" s="12"/>
      <c r="BW7" s="12"/>
      <c r="CD7" s="12"/>
    </row>
    <row r="8" spans="2:82" ht="15" customHeight="1" x14ac:dyDescent="0.25">
      <c r="B8" s="8" t="s">
        <v>14</v>
      </c>
      <c r="C8" s="8">
        <v>18</v>
      </c>
      <c r="D8" s="10" t="s">
        <v>5</v>
      </c>
      <c r="F8" s="9" t="s">
        <v>60</v>
      </c>
      <c r="G8" s="9">
        <f>IF(C8&lt;=MIN(Y6:Y31), INDEX(Z6:Z31, MATCH(MIN(Y6:Y31), Y6:Y31, 0)),
   IF(C8&gt;=MAX(Y6:Y31), INDEX(Z6:Z31, MATCH(MAX(Y6:Y31), Y6:Y31, 0)),
      INDEX(Z6:Z31, MATCH(LARGE(Y6:Y31, COUNTIF(Y6:Y31, "&gt;"&amp;C8)), Y6:Y31, 0)) +
      (C8 - LARGE(Y6:Y31, COUNTIF(Y6:Y31, "&gt;"&amp;C8))) *
      (INDEX(Z6:Z31, MATCH(SMALL(Y6:Y31, COUNTIF(Y6:Y31, "&lt;="&amp;C8)), Y6:Y31, 0)) -
       INDEX(Z6:Z31, MATCH(LARGE(Y6:Y31, COUNTIF(Y6:Y31, "&gt;"&amp;C8)), Y6:Y31, 0))) /
      (SMALL(Y6:Y31, COUNTIF(Y6:Y31, "&lt;="&amp;C8)) - LARGE(Y6:Y31, COUNTIF(Y6:Y31, "&gt;"&amp;C8)))
   )
)</f>
        <v>0.309</v>
      </c>
      <c r="H8" s="11" t="s">
        <v>8</v>
      </c>
      <c r="Y8" s="21">
        <v>14</v>
      </c>
      <c r="Z8" s="26">
        <v>0.27700000000000002</v>
      </c>
      <c r="AG8" s="12"/>
      <c r="AN8" s="12"/>
      <c r="AU8" s="12"/>
      <c r="BB8" s="12"/>
      <c r="BI8" s="12"/>
      <c r="BP8" s="12"/>
      <c r="BW8" s="12"/>
      <c r="CD8" s="12"/>
    </row>
    <row r="9" spans="2:82" ht="15" customHeight="1" x14ac:dyDescent="0.25">
      <c r="B9" s="8" t="s">
        <v>6</v>
      </c>
      <c r="C9" s="8">
        <v>20</v>
      </c>
      <c r="D9" s="8" t="s">
        <v>7</v>
      </c>
      <c r="F9" s="9" t="s">
        <v>59</v>
      </c>
      <c r="G9" s="9">
        <f>IF($D$3="English",(C6^-1)*C8, C6*C8)</f>
        <v>1.8</v>
      </c>
      <c r="H9" s="9" t="str">
        <f>IF($D$3="English","in", "mm")</f>
        <v>in</v>
      </c>
      <c r="Y9" s="21">
        <v>15</v>
      </c>
      <c r="Z9" s="26">
        <v>0.28999999999999998</v>
      </c>
      <c r="AG9" s="12"/>
      <c r="AN9" s="12"/>
      <c r="AU9" s="12"/>
      <c r="BB9" s="12"/>
      <c r="BI9" s="12"/>
      <c r="BP9" s="12"/>
      <c r="BW9" s="12"/>
      <c r="CD9" s="12"/>
    </row>
    <row r="10" spans="2:82" ht="15" customHeight="1" x14ac:dyDescent="0.25">
      <c r="B10" s="8" t="s">
        <v>17</v>
      </c>
      <c r="C10" s="8">
        <v>3</v>
      </c>
      <c r="D10" s="10" t="s">
        <v>8</v>
      </c>
      <c r="F10" s="9" t="s">
        <v>11</v>
      </c>
      <c r="G10" s="32">
        <f>C12*G9/2</f>
        <v>56.548667764616276</v>
      </c>
      <c r="H10" s="9" t="str">
        <f>IF($D$3="English","in/s", "mm/s")</f>
        <v>in/s</v>
      </c>
      <c r="Y10" s="21">
        <v>16</v>
      </c>
      <c r="Z10" s="26">
        <v>0.29599999999999999</v>
      </c>
      <c r="AG10" s="12"/>
      <c r="AN10" s="12"/>
      <c r="AU10" s="12"/>
      <c r="BB10" s="12"/>
      <c r="BI10" s="12"/>
      <c r="BP10" s="12"/>
      <c r="BW10" s="12"/>
      <c r="CD10" s="12"/>
    </row>
    <row r="11" spans="2:82" ht="15" customHeight="1" x14ac:dyDescent="0.25">
      <c r="B11" s="8" t="s">
        <v>18</v>
      </c>
      <c r="C11" s="8">
        <v>600</v>
      </c>
      <c r="D11" s="8" t="s">
        <v>2</v>
      </c>
      <c r="F11" s="9"/>
      <c r="G11" s="32">
        <f>IF($D$3="English",G10*(1/12)*60, G10*10^-3)</f>
        <v>282.74333882308139</v>
      </c>
      <c r="H11" s="9" t="str">
        <f>IF($D$3="English","ft/min", "m/s")</f>
        <v>ft/min</v>
      </c>
      <c r="Y11" s="21">
        <v>17</v>
      </c>
      <c r="Z11" s="26">
        <v>0.30299999999999999</v>
      </c>
      <c r="AG11" s="12"/>
      <c r="AN11" s="12"/>
      <c r="AU11" s="12"/>
      <c r="BB11" s="12"/>
      <c r="BI11" s="12"/>
      <c r="BP11" s="12"/>
      <c r="BW11" s="12"/>
      <c r="CD11" s="12"/>
    </row>
    <row r="12" spans="2:82" ht="15" customHeight="1" x14ac:dyDescent="0.25">
      <c r="B12" s="9" t="s">
        <v>19</v>
      </c>
      <c r="C12" s="17">
        <f>C11*PI()/30</f>
        <v>62.831853071795862</v>
      </c>
      <c r="D12" s="9" t="s">
        <v>9</v>
      </c>
      <c r="F12" s="9" t="s">
        <v>32</v>
      </c>
      <c r="G12" s="18">
        <f>IF($D$3="English",
   IF(C16="Cast Profile",((600+G11)/600),
     IF(C16="Cut or Milled Profile",((1200+G11)/1200),
       IF(C16="Hobbed or Shaped Profile",((50+SQRT(G11))/50),
         IF(C16="Shaped or Ground Profile",SQRT((78+SQRT(G11))/78),NA())))),
   IF(C16="Cast Profile",((3.05+G11)/3.05),
     IF(C16="Cut or Milled Profile",((6.1+G11)/6.1),
       IF(C16="Hobbed or Shaped Profile",((3.56+SQRT(G11))/3.56),
         IF(C16="Shaped or Ground Profile",SQRT((5.56+SQRT(G11))/5.56),NA()))))
)</f>
        <v>1.2356194490192345</v>
      </c>
      <c r="H12" s="9" t="str">
        <f>IF($D$3="English","ft/min", "m/s")</f>
        <v>ft/min</v>
      </c>
      <c r="Y12" s="21">
        <v>18</v>
      </c>
      <c r="Z12" s="26">
        <v>0.309</v>
      </c>
      <c r="AG12" s="12"/>
      <c r="AN12" s="12"/>
      <c r="AU12" s="12"/>
      <c r="BB12" s="12"/>
      <c r="BI12" s="12"/>
      <c r="BP12" s="12"/>
      <c r="BW12" s="12"/>
      <c r="CD12" s="12"/>
    </row>
    <row r="13" spans="2:82" ht="15" customHeight="1" x14ac:dyDescent="0.35">
      <c r="B13" s="1" t="s">
        <v>20</v>
      </c>
      <c r="E13" s="35" t="s">
        <v>62</v>
      </c>
      <c r="F13" s="9" t="s">
        <v>35</v>
      </c>
      <c r="G13" s="17">
        <f>IF($D$3="English",33000/G11, 60000/(G10*60))</f>
        <v>116.71362493405658</v>
      </c>
      <c r="H13" s="9" t="str">
        <f>IF($D$3="English","lbf/HP", "kN/kW")</f>
        <v>lbf/HP</v>
      </c>
      <c r="Y13" s="21">
        <v>19</v>
      </c>
      <c r="Z13" s="26">
        <v>0.314</v>
      </c>
      <c r="AG13" s="12"/>
      <c r="AN13" s="12"/>
      <c r="AU13" s="12"/>
      <c r="BB13" s="12"/>
      <c r="BI13" s="12"/>
      <c r="BP13" s="12"/>
      <c r="BW13" s="12"/>
      <c r="CD13" s="12"/>
    </row>
    <row r="14" spans="2:82" ht="15" customHeight="1" x14ac:dyDescent="0.25">
      <c r="B14" s="6" t="s">
        <v>23</v>
      </c>
      <c r="C14" s="6"/>
      <c r="D14" s="6"/>
      <c r="F14" s="9" t="s">
        <v>36</v>
      </c>
      <c r="G14" s="17">
        <f>(G6*C7*G8)/(G12*G13*IF($D$3="English",C6, C6^-1))</f>
        <v>2.1426546912005988</v>
      </c>
      <c r="H14" s="9" t="str">
        <f>IF($D$3="English","HP", "kW")</f>
        <v>HP</v>
      </c>
      <c r="Y14" s="21">
        <v>20</v>
      </c>
      <c r="Z14" s="26">
        <v>0.32200000000000001</v>
      </c>
      <c r="AG14" s="12"/>
      <c r="AN14" s="12"/>
      <c r="AU14" s="12"/>
      <c r="BB14" s="12"/>
      <c r="BI14" s="12"/>
      <c r="BP14" s="12"/>
      <c r="BW14" s="12"/>
      <c r="CD14" s="12"/>
    </row>
    <row r="15" spans="2:82" ht="15" customHeight="1" x14ac:dyDescent="0.25">
      <c r="B15" s="8" t="s">
        <v>15</v>
      </c>
      <c r="C15" s="8" t="s">
        <v>16</v>
      </c>
      <c r="D15" s="8"/>
      <c r="F15" s="1" t="s">
        <v>57</v>
      </c>
      <c r="G15" s="27"/>
      <c r="Y15" s="21">
        <v>21</v>
      </c>
      <c r="Z15" s="26">
        <v>0.32800000000000001</v>
      </c>
      <c r="AG15" s="12"/>
      <c r="AN15" s="12"/>
      <c r="AU15" s="12"/>
      <c r="BB15" s="12"/>
      <c r="BI15" s="12"/>
      <c r="BP15" s="12"/>
      <c r="BW15" s="12"/>
      <c r="CD15" s="12"/>
    </row>
    <row r="16" spans="2:82" ht="15" customHeight="1" x14ac:dyDescent="0.25">
      <c r="B16" s="8" t="s">
        <v>33</v>
      </c>
      <c r="C16" s="8" t="s">
        <v>34</v>
      </c>
      <c r="D16" s="8"/>
      <c r="Y16" s="21">
        <v>22</v>
      </c>
      <c r="Z16" s="26">
        <v>0.33100000000000002</v>
      </c>
      <c r="AG16" s="12"/>
      <c r="AN16" s="12"/>
      <c r="AU16" s="12"/>
      <c r="BB16" s="12"/>
      <c r="BI16" s="12"/>
      <c r="BP16" s="12"/>
      <c r="BW16" s="12"/>
      <c r="CD16" s="12"/>
    </row>
    <row r="17" spans="2:82" ht="15" customHeight="1" x14ac:dyDescent="0.25">
      <c r="B17" s="8" t="s">
        <v>24</v>
      </c>
      <c r="C17" s="23">
        <f>55*10^3</f>
        <v>55000</v>
      </c>
      <c r="D17" s="8" t="str">
        <f>IF($D$3="English","psi","Pa")</f>
        <v>psi</v>
      </c>
      <c r="F17" s="7" t="s">
        <v>28</v>
      </c>
      <c r="G17" s="7"/>
      <c r="H17" s="7"/>
      <c r="Y17" s="21">
        <v>24</v>
      </c>
      <c r="Z17" s="26">
        <v>0.33700000000000002</v>
      </c>
      <c r="AG17" s="12"/>
      <c r="AN17" s="12"/>
      <c r="AU17" s="12"/>
      <c r="BB17" s="12"/>
      <c r="BI17" s="12"/>
      <c r="BP17" s="12"/>
      <c r="BW17" s="12"/>
      <c r="CD17" s="12"/>
    </row>
    <row r="18" spans="2:82" ht="15" customHeight="1" x14ac:dyDescent="0.25">
      <c r="B18" s="9"/>
      <c r="C18" s="9">
        <f>IF($D$3="English",C17*10^-3,C17*10^-6)</f>
        <v>55</v>
      </c>
      <c r="D18" s="9" t="str">
        <f>IF($D$3="English","kpsi","MPa")</f>
        <v>kpsi</v>
      </c>
      <c r="F18" s="28" t="s">
        <v>42</v>
      </c>
      <c r="G18" s="36">
        <f>0.5*C17</f>
        <v>27500</v>
      </c>
      <c r="H18" s="28" t="str">
        <f>IF($D$3="English","psi","Pa")</f>
        <v>psi</v>
      </c>
      <c r="Y18" s="21">
        <v>26</v>
      </c>
      <c r="Z18" s="26">
        <v>0.34599999999999997</v>
      </c>
      <c r="AG18" s="12"/>
      <c r="AN18" s="12"/>
      <c r="AU18" s="12"/>
      <c r="BB18" s="12"/>
      <c r="BI18" s="12"/>
      <c r="BP18" s="12"/>
      <c r="BW18" s="12"/>
      <c r="CD18" s="12"/>
    </row>
    <row r="19" spans="2:82" ht="15" customHeight="1" x14ac:dyDescent="0.25">
      <c r="B19" s="8" t="s">
        <v>25</v>
      </c>
      <c r="C19" s="24">
        <f>30*10^3</f>
        <v>30000</v>
      </c>
      <c r="D19" s="8" t="str">
        <f>IF($D$3="English","psi","Pa")</f>
        <v>psi</v>
      </c>
      <c r="F19" s="28" t="s">
        <v>43</v>
      </c>
      <c r="G19" s="28">
        <v>2.7</v>
      </c>
      <c r="H19" s="28"/>
      <c r="Y19" s="21">
        <v>28</v>
      </c>
      <c r="Z19" s="26">
        <v>0.35299999999999998</v>
      </c>
      <c r="AG19" s="12"/>
      <c r="AN19" s="12"/>
      <c r="AU19" s="12"/>
      <c r="BB19" s="12"/>
      <c r="BI19" s="12"/>
      <c r="BP19" s="12"/>
      <c r="BW19" s="12"/>
      <c r="CD19" s="12"/>
    </row>
    <row r="20" spans="2:82" ht="15" customHeight="1" x14ac:dyDescent="0.25">
      <c r="B20" s="9"/>
      <c r="C20" s="9">
        <f>IF($D$3="English",C19*10^-3,C19*10^-6)</f>
        <v>30</v>
      </c>
      <c r="D20" s="9" t="str">
        <f>IF($D$3="English","kpsi","MPa")</f>
        <v>kpsi</v>
      </c>
      <c r="F20" s="28" t="s">
        <v>44</v>
      </c>
      <c r="G20" s="28">
        <v>-0.26500000000000001</v>
      </c>
      <c r="H20" s="28"/>
      <c r="Y20" s="21">
        <v>30</v>
      </c>
      <c r="Z20" s="26">
        <v>0.35899999999999999</v>
      </c>
      <c r="AG20" s="12"/>
      <c r="AN20" s="12"/>
      <c r="AU20" s="12"/>
      <c r="BB20" s="12"/>
      <c r="BI20" s="12"/>
      <c r="BP20" s="12"/>
      <c r="BW20" s="12"/>
      <c r="CD20" s="12"/>
    </row>
    <row r="21" spans="2:82" ht="15" customHeight="1" x14ac:dyDescent="0.25">
      <c r="F21" s="9" t="s">
        <v>40</v>
      </c>
      <c r="G21" s="9">
        <f>G19*(C18^G20)</f>
        <v>0.93361463609981132</v>
      </c>
      <c r="H21" s="11" t="s">
        <v>8</v>
      </c>
      <c r="Y21" s="21">
        <v>34</v>
      </c>
      <c r="Z21" s="26">
        <v>0.371</v>
      </c>
      <c r="AG21" s="12"/>
      <c r="AN21" s="12"/>
      <c r="AU21" s="12"/>
      <c r="BB21" s="12"/>
      <c r="BI21" s="12"/>
      <c r="BP21" s="12"/>
      <c r="BW21" s="12"/>
      <c r="CD21" s="12"/>
    </row>
    <row r="22" spans="2:82" ht="15" customHeight="1" x14ac:dyDescent="0.25">
      <c r="F22" s="9" t="s">
        <v>46</v>
      </c>
      <c r="G22" s="9">
        <f>(3*G8)/(2*IF($D$3="English",C6, C6^-1))</f>
        <v>4.6350000000000002E-2</v>
      </c>
      <c r="H22" s="9" t="str">
        <f>IF($D$3="English","in", "mm")</f>
        <v>in</v>
      </c>
      <c r="Y22" s="21">
        <v>38</v>
      </c>
      <c r="Z22" s="26">
        <v>0.38400000000000001</v>
      </c>
      <c r="AG22" s="12"/>
      <c r="AN22" s="12"/>
      <c r="AU22" s="12"/>
      <c r="BB22" s="12"/>
      <c r="BI22" s="12"/>
      <c r="BP22" s="12"/>
      <c r="BW22" s="12"/>
      <c r="CD22" s="12"/>
    </row>
    <row r="23" spans="2:82" ht="15" customHeight="1" x14ac:dyDescent="0.25">
      <c r="F23" s="9" t="s">
        <v>48</v>
      </c>
      <c r="G23" s="9">
        <f>1*(IF($D$3="English",C6, C6^-1))^-1 + 1.25*(IF($D$3="English",C6, C6^-1))^-1</f>
        <v>0.22500000000000001</v>
      </c>
      <c r="H23" s="9" t="str">
        <f>IF($D$3="English","in", "mm")</f>
        <v>in</v>
      </c>
      <c r="Y23" s="21">
        <v>43</v>
      </c>
      <c r="Z23" s="26">
        <v>0.39700000000000002</v>
      </c>
      <c r="AG23" s="12"/>
      <c r="AN23" s="12"/>
      <c r="AU23" s="12"/>
      <c r="BB23" s="12"/>
      <c r="BI23" s="12"/>
      <c r="BP23" s="12"/>
      <c r="BW23" s="12"/>
      <c r="CD23" s="12"/>
    </row>
    <row r="24" spans="2:82" ht="15" customHeight="1" x14ac:dyDescent="0.25">
      <c r="B24" s="7" t="s">
        <v>37</v>
      </c>
      <c r="C24" s="7"/>
      <c r="D24" s="7"/>
      <c r="F24" s="9" t="s">
        <v>47</v>
      </c>
      <c r="G24" s="9">
        <f>SQRT(4*G23*G22)</f>
        <v>0.20424250292238391</v>
      </c>
      <c r="H24" s="9" t="str">
        <f>IF($D$3="English","in", "mm")</f>
        <v>in</v>
      </c>
      <c r="Y24" s="21">
        <v>50</v>
      </c>
      <c r="Z24" s="26">
        <v>0.40899999999999997</v>
      </c>
      <c r="AG24" s="12"/>
      <c r="AN24" s="12"/>
      <c r="AU24" s="12"/>
      <c r="BB24" s="12"/>
      <c r="BI24" s="12"/>
      <c r="BP24" s="12"/>
      <c r="BW24" s="12"/>
      <c r="CD24" s="12"/>
    </row>
    <row r="25" spans="2:82" ht="15" customHeight="1" x14ac:dyDescent="0.25">
      <c r="B25" s="8" t="s">
        <v>10</v>
      </c>
      <c r="C25" s="8">
        <v>2</v>
      </c>
      <c r="D25" s="8" t="str">
        <f>IF($D$3="English","HP", "kW")</f>
        <v>HP</v>
      </c>
      <c r="F25" s="9" t="s">
        <v>45</v>
      </c>
      <c r="G25" s="9">
        <f>0.808*SQRT(G24*C7)</f>
        <v>0.3651610294485424</v>
      </c>
      <c r="H25" s="9" t="str">
        <f>IF($D$3="English","in", "mm")</f>
        <v>in</v>
      </c>
      <c r="Y25" s="21">
        <v>60</v>
      </c>
      <c r="Z25" s="26">
        <v>0.42199999999999999</v>
      </c>
      <c r="AG25" s="12"/>
      <c r="AN25" s="12"/>
      <c r="AU25" s="12"/>
      <c r="BB25" s="12"/>
      <c r="BI25" s="12"/>
      <c r="BP25" s="12"/>
      <c r="BW25" s="12"/>
      <c r="CD25" s="12"/>
    </row>
    <row r="26" spans="2:82" ht="15" customHeight="1" x14ac:dyDescent="0.25">
      <c r="B26" s="9" t="s">
        <v>61</v>
      </c>
      <c r="C26" s="17">
        <f>G13*C25</f>
        <v>233.42724986811317</v>
      </c>
      <c r="D26" s="9" t="str">
        <f>IF($D$3="English","lbf", "kN")</f>
        <v>lbf</v>
      </c>
      <c r="F26" s="28" t="s">
        <v>39</v>
      </c>
      <c r="G26" s="28">
        <f>0.879*(G25^-0.107)</f>
        <v>0.97904587475260851</v>
      </c>
      <c r="H26" s="29" t="s">
        <v>8</v>
      </c>
      <c r="Y26" s="21">
        <v>75</v>
      </c>
      <c r="Z26" s="26">
        <v>0.435</v>
      </c>
      <c r="AG26" s="12"/>
      <c r="AN26" s="12"/>
      <c r="AU26" s="12"/>
      <c r="BB26" s="12"/>
      <c r="BI26" s="12"/>
      <c r="BP26" s="12"/>
      <c r="BW26" s="12"/>
      <c r="CD26" s="12"/>
    </row>
    <row r="27" spans="2:82" ht="15" customHeight="1" x14ac:dyDescent="0.25">
      <c r="B27" s="9"/>
      <c r="C27" s="32">
        <f>C26*10^3</f>
        <v>233427.24986811317</v>
      </c>
      <c r="D27" s="9" t="str">
        <f>IF($D$3="English","*10^-3 lbf", "N")</f>
        <v>*10^-3 lbf</v>
      </c>
      <c r="F27" s="9" t="s">
        <v>38</v>
      </c>
      <c r="G27" s="9">
        <v>1</v>
      </c>
      <c r="H27" s="11" t="s">
        <v>8</v>
      </c>
      <c r="M27" s="1"/>
      <c r="S27" s="1"/>
      <c r="Y27" s="21">
        <v>100</v>
      </c>
      <c r="Z27" s="26">
        <v>0.44700000000000001</v>
      </c>
      <c r="AG27" s="12"/>
      <c r="AN27" s="12"/>
      <c r="AU27" s="12"/>
      <c r="BB27" s="12"/>
      <c r="BI27" s="12"/>
      <c r="BP27" s="12"/>
      <c r="BW27" s="12"/>
      <c r="CD27" s="12"/>
    </row>
    <row r="28" spans="2:82" ht="15" customHeight="1" x14ac:dyDescent="0.25">
      <c r="B28" s="9" t="s">
        <v>27</v>
      </c>
      <c r="C28" s="22">
        <f>(G12*G13*C25*IF($D$3="English",C6, (C6^-1)*10^9))/(C7*G8)</f>
        <v>9334.2152060878052</v>
      </c>
      <c r="D28" s="9" t="str">
        <f>IF($D$3="English","psi","Pa")</f>
        <v>psi</v>
      </c>
      <c r="F28" s="9" t="s">
        <v>41</v>
      </c>
      <c r="G28" s="22">
        <f>G21*G26*G27*G18</f>
        <v>25136.417847259898</v>
      </c>
      <c r="H28" s="9" t="str">
        <f>IF($D$3="English","psi","Pa")</f>
        <v>psi</v>
      </c>
      <c r="M28" s="1"/>
      <c r="S28" s="1"/>
      <c r="Y28" s="21">
        <v>150</v>
      </c>
      <c r="Z28" s="26">
        <v>0.46</v>
      </c>
      <c r="AG28" s="12"/>
      <c r="AN28" s="12"/>
      <c r="AU28" s="12"/>
      <c r="BB28" s="12"/>
      <c r="BI28" s="12"/>
      <c r="BP28" s="12"/>
      <c r="BW28" s="12"/>
      <c r="CD28" s="12"/>
    </row>
    <row r="29" spans="2:82" ht="15" customHeight="1" x14ac:dyDescent="0.25">
      <c r="B29" s="9"/>
      <c r="C29" s="33">
        <f>IF($D$3="English",C28*10^-3,C28*10^-6)</f>
        <v>9.334215206087805</v>
      </c>
      <c r="D29" s="9" t="str">
        <f>IF($D$3="English","kpsi","MPa")</f>
        <v>kpsi</v>
      </c>
      <c r="F29" s="8" t="s">
        <v>52</v>
      </c>
      <c r="G29" s="8">
        <v>3.7499999999999999E-2</v>
      </c>
      <c r="H29" s="8" t="str">
        <f>IF($D$3="English","in", "mm")</f>
        <v>in</v>
      </c>
      <c r="M29" s="1"/>
      <c r="S29" s="1"/>
      <c r="Y29" s="21">
        <v>300</v>
      </c>
      <c r="Z29" s="26">
        <v>0.47199999999999998</v>
      </c>
      <c r="AG29" s="12"/>
      <c r="AN29" s="12"/>
      <c r="AU29" s="12"/>
      <c r="BB29" s="12"/>
      <c r="BI29" s="12"/>
      <c r="BP29" s="12"/>
      <c r="BW29" s="12"/>
      <c r="CD29" s="12"/>
    </row>
    <row r="30" spans="2:82" ht="15" customHeight="1" x14ac:dyDescent="0.25">
      <c r="F30" s="8" t="s">
        <v>51</v>
      </c>
      <c r="G30" s="8">
        <v>1.7</v>
      </c>
      <c r="H30" s="10" t="s">
        <v>8</v>
      </c>
      <c r="M30" s="1"/>
      <c r="S30" s="1"/>
      <c r="Y30" s="21">
        <v>400</v>
      </c>
      <c r="Z30" s="26">
        <v>0.48</v>
      </c>
      <c r="AG30" s="12"/>
      <c r="AN30" s="12"/>
      <c r="AU30" s="12"/>
      <c r="BB30" s="12"/>
      <c r="BI30" s="12"/>
      <c r="BP30" s="12"/>
      <c r="BW30" s="12"/>
      <c r="CD30" s="12"/>
    </row>
    <row r="31" spans="2:82" ht="15" customHeight="1" thickBot="1" x14ac:dyDescent="0.3">
      <c r="F31" s="8" t="s">
        <v>50</v>
      </c>
      <c r="G31" s="8">
        <v>0.62</v>
      </c>
      <c r="H31" s="10" t="s">
        <v>8</v>
      </c>
      <c r="M31" s="1"/>
      <c r="S31" s="1"/>
      <c r="Y31" s="19" t="s">
        <v>30</v>
      </c>
      <c r="Z31" s="20">
        <v>0.48499999999999999</v>
      </c>
      <c r="AG31" s="12"/>
      <c r="AN31" s="12"/>
      <c r="AU31" s="12"/>
      <c r="BB31" s="12"/>
      <c r="BI31" s="12"/>
      <c r="BP31" s="12"/>
      <c r="BW31" s="12"/>
      <c r="CD31" s="12"/>
    </row>
    <row r="32" spans="2:82" ht="15" customHeight="1" x14ac:dyDescent="0.25">
      <c r="F32" s="9" t="s">
        <v>49</v>
      </c>
      <c r="G32" s="9">
        <f>1+G31*(G30-1)</f>
        <v>1.4339999999999999</v>
      </c>
      <c r="H32" s="11" t="s">
        <v>8</v>
      </c>
      <c r="M32" s="1"/>
      <c r="S32" s="1"/>
      <c r="AG32" s="12"/>
      <c r="AN32" s="12"/>
      <c r="AU32" s="12"/>
      <c r="BB32" s="12"/>
      <c r="BI32" s="12"/>
      <c r="BP32" s="12"/>
      <c r="BW32" s="12"/>
      <c r="CD32" s="12"/>
    </row>
    <row r="33" spans="6:82" ht="15" customHeight="1" x14ac:dyDescent="0.25">
      <c r="F33" s="9" t="s">
        <v>53</v>
      </c>
      <c r="G33" s="22">
        <f>(G12*G13*IF($D$3="English",C6, C6^-1))/(C7*G8)</f>
        <v>4667.1076030439026</v>
      </c>
      <c r="H33" s="9" t="str">
        <f>IF($D$3="English","psi","Pa")</f>
        <v>psi</v>
      </c>
      <c r="K33" s="1"/>
      <c r="M33" s="1"/>
      <c r="S33" s="1"/>
      <c r="T33" s="1"/>
      <c r="AG33" s="12"/>
      <c r="AN33" s="12"/>
      <c r="AU33" s="12"/>
      <c r="BB33" s="12"/>
      <c r="BI33" s="12"/>
      <c r="BP33" s="12"/>
      <c r="BW33" s="12"/>
      <c r="CD33" s="12"/>
    </row>
    <row r="34" spans="6:82" ht="15" customHeight="1" x14ac:dyDescent="0.25">
      <c r="F34" s="9"/>
      <c r="G34" s="25">
        <f>IF($D$3="English",G33*10^-3,G33*10^-6)</f>
        <v>4.6671076030439025</v>
      </c>
      <c r="H34" s="9" t="str">
        <f>IF($D$3="English","kpsi","MPa")</f>
        <v>kpsi</v>
      </c>
      <c r="K34" s="1"/>
      <c r="M34" s="1"/>
      <c r="S34" s="1"/>
      <c r="T34" s="1"/>
      <c r="AG34" s="12"/>
      <c r="AN34" s="12"/>
      <c r="AU34" s="12"/>
      <c r="BB34" s="12"/>
      <c r="BI34" s="12"/>
      <c r="BP34" s="12"/>
      <c r="BW34" s="12"/>
      <c r="CD34" s="12"/>
    </row>
    <row r="35" spans="6:82" ht="15" customHeight="1" x14ac:dyDescent="0.25">
      <c r="F35" s="9" t="s">
        <v>54</v>
      </c>
      <c r="G35" s="22">
        <f>(G32/2)*G33</f>
        <v>3346.316151382478</v>
      </c>
      <c r="H35" s="9" t="str">
        <f>IF($D$3="English","psi","Pa")</f>
        <v>psi</v>
      </c>
      <c r="K35" s="1"/>
      <c r="M35" s="1"/>
      <c r="S35" s="1"/>
      <c r="T35" s="1"/>
      <c r="AG35" s="12"/>
      <c r="AN35" s="12"/>
      <c r="AU35" s="12"/>
      <c r="BB35" s="12"/>
      <c r="BI35" s="12"/>
      <c r="BP35" s="12"/>
      <c r="BW35" s="12"/>
      <c r="CD35" s="12"/>
    </row>
    <row r="36" spans="6:82" ht="15" customHeight="1" x14ac:dyDescent="0.25">
      <c r="F36" s="9"/>
      <c r="G36" s="25">
        <f>IF($D$3="English",G35*10^-3,G35*10^-6)</f>
        <v>3.346316151382478</v>
      </c>
      <c r="H36" s="9" t="str">
        <f>IF($D$3="English","kpsi","MPa")</f>
        <v>kpsi</v>
      </c>
      <c r="K36" s="1"/>
      <c r="T36" s="1"/>
      <c r="Z36" s="12"/>
      <c r="AG36" s="12"/>
      <c r="AN36" s="12"/>
      <c r="AU36" s="12"/>
      <c r="BB36" s="12"/>
      <c r="BI36" s="12"/>
      <c r="BP36" s="12"/>
      <c r="BW36" s="12"/>
      <c r="CD36" s="12"/>
    </row>
    <row r="37" spans="6:82" ht="15" customHeight="1" x14ac:dyDescent="0.25">
      <c r="F37" s="9" t="s">
        <v>36</v>
      </c>
      <c r="G37" s="17">
        <f>(C10*((G35/G28) + (G35/C17)))^-1</f>
        <v>1.718493631423385</v>
      </c>
      <c r="H37" s="9" t="str">
        <f>IF($D$3="English","HP", "kN")</f>
        <v>HP</v>
      </c>
      <c r="K37" s="1"/>
      <c r="T37" s="1"/>
      <c r="Z37" s="12"/>
      <c r="AG37" s="12"/>
      <c r="AN37" s="12"/>
      <c r="AU37" s="12"/>
      <c r="BB37" s="12"/>
      <c r="BI37" s="12"/>
      <c r="BP37" s="12"/>
      <c r="BW37" s="12"/>
      <c r="CD37" s="12"/>
    </row>
    <row r="38" spans="6:82" ht="15" customHeight="1" x14ac:dyDescent="0.25">
      <c r="F38" s="1" t="s">
        <v>56</v>
      </c>
      <c r="K38" s="1"/>
      <c r="T38" s="1"/>
      <c r="Z38" s="12"/>
      <c r="AG38" s="12"/>
      <c r="AN38" s="12"/>
      <c r="AU38" s="12"/>
      <c r="BB38" s="12"/>
      <c r="BI38" s="12"/>
      <c r="BP38" s="12"/>
      <c r="BW38" s="12"/>
      <c r="CD38" s="12"/>
    </row>
    <row r="39" spans="6:82" ht="15" customHeight="1" x14ac:dyDescent="0.25">
      <c r="K39" s="1"/>
      <c r="T39" s="1"/>
      <c r="Z39" s="12"/>
      <c r="AG39" s="12"/>
      <c r="AN39" s="12"/>
      <c r="AU39" s="12"/>
      <c r="BB39" s="12"/>
      <c r="BI39" s="12"/>
      <c r="BP39" s="12"/>
      <c r="BW39" s="12"/>
      <c r="CD39" s="12"/>
    </row>
    <row r="40" spans="6:82" ht="15" customHeight="1" x14ac:dyDescent="0.25">
      <c r="K40" s="1"/>
      <c r="T40" s="1"/>
      <c r="Z40" s="12"/>
      <c r="AG40" s="12"/>
      <c r="AN40" s="12"/>
      <c r="AU40" s="12"/>
      <c r="BB40" s="12"/>
      <c r="BI40" s="12"/>
      <c r="BP40" s="12"/>
      <c r="BW40" s="12"/>
      <c r="CD40" s="12"/>
    </row>
    <row r="41" spans="6:82" ht="15" customHeight="1" x14ac:dyDescent="0.25">
      <c r="K41" s="1"/>
      <c r="L41" s="1"/>
      <c r="T41" s="1"/>
      <c r="Z41" s="12"/>
      <c r="AG41" s="12"/>
      <c r="AN41" s="12"/>
      <c r="AU41" s="12"/>
      <c r="BB41" s="12"/>
      <c r="BI41" s="12"/>
      <c r="BP41" s="12"/>
      <c r="BW41" s="12"/>
      <c r="CD41" s="12"/>
    </row>
    <row r="42" spans="6:82" ht="15" customHeight="1" x14ac:dyDescent="0.25">
      <c r="Z42" s="12"/>
      <c r="AG42" s="12"/>
      <c r="AN42" s="12"/>
      <c r="AU42" s="12"/>
      <c r="BB42" s="12"/>
      <c r="BI42" s="12"/>
      <c r="BP42" s="12"/>
      <c r="BW42" s="12"/>
      <c r="CD42" s="12"/>
    </row>
    <row r="43" spans="6:82" ht="15" customHeight="1" x14ac:dyDescent="0.25">
      <c r="Z43" s="12"/>
      <c r="AG43" s="12"/>
      <c r="AN43" s="12"/>
      <c r="AU43" s="12"/>
      <c r="BB43" s="12"/>
      <c r="BI43" s="12"/>
      <c r="BP43" s="12"/>
      <c r="BW43" s="12"/>
      <c r="CD43" s="12"/>
    </row>
    <row r="44" spans="6:82" ht="15" customHeight="1" x14ac:dyDescent="0.25">
      <c r="Z44" s="12"/>
      <c r="AG44" s="12"/>
      <c r="AN44" s="12"/>
      <c r="AU44" s="12"/>
      <c r="BB44" s="12"/>
      <c r="BI44" s="12"/>
      <c r="BP44" s="12"/>
      <c r="BW44" s="12"/>
      <c r="CD44" s="12"/>
    </row>
    <row r="45" spans="6:82" ht="15" customHeight="1" x14ac:dyDescent="0.25">
      <c r="Z45" s="12"/>
      <c r="AG45" s="12"/>
      <c r="AN45" s="12"/>
      <c r="AU45" s="12"/>
      <c r="BB45" s="12"/>
      <c r="BI45" s="12"/>
      <c r="BP45" s="12"/>
      <c r="BW45" s="12"/>
      <c r="CD45" s="12"/>
    </row>
    <row r="46" spans="6:82" ht="15" customHeight="1" x14ac:dyDescent="0.25">
      <c r="Z46" s="12"/>
      <c r="AG46" s="12"/>
      <c r="AN46" s="12"/>
      <c r="AU46" s="12"/>
      <c r="BB46" s="12"/>
      <c r="BI46" s="12"/>
      <c r="BP46" s="12"/>
      <c r="BW46" s="12"/>
      <c r="CD46" s="12"/>
    </row>
    <row r="47" spans="6:82" ht="15" customHeight="1" x14ac:dyDescent="0.25">
      <c r="Z47" s="12"/>
      <c r="AG47" s="12"/>
      <c r="AN47" s="12"/>
      <c r="AU47" s="12"/>
      <c r="BB47" s="12"/>
      <c r="BI47" s="12"/>
      <c r="BP47" s="12"/>
      <c r="BW47" s="12"/>
      <c r="CD47" s="12"/>
    </row>
    <row r="48" spans="6:82" ht="15" customHeight="1" x14ac:dyDescent="0.25">
      <c r="Z48" s="12"/>
      <c r="AG48" s="12"/>
      <c r="AN48" s="12"/>
      <c r="AU48" s="12"/>
      <c r="BB48" s="12"/>
      <c r="BI48" s="12"/>
      <c r="BP48" s="12"/>
      <c r="BW48" s="12"/>
      <c r="CD48" s="12"/>
    </row>
    <row r="49" spans="26:82" ht="15" customHeight="1" x14ac:dyDescent="0.25">
      <c r="Z49" s="12"/>
      <c r="AG49" s="12"/>
      <c r="AN49" s="12"/>
      <c r="AU49" s="12"/>
      <c r="BB49" s="12"/>
      <c r="BI49" s="12"/>
      <c r="BP49" s="12"/>
      <c r="BW49" s="12"/>
      <c r="CD49" s="12"/>
    </row>
    <row r="50" spans="26:82" ht="15" customHeight="1" x14ac:dyDescent="0.25">
      <c r="Z50" s="12"/>
      <c r="AG50" s="12"/>
      <c r="AN50" s="12"/>
      <c r="AU50" s="12"/>
      <c r="BB50" s="12"/>
      <c r="BI50" s="12"/>
      <c r="BP50" s="12"/>
      <c r="BW50" s="12"/>
      <c r="CD50" s="12"/>
    </row>
    <row r="51" spans="26:82" ht="15" customHeight="1" x14ac:dyDescent="0.25">
      <c r="Z51" s="12"/>
      <c r="AG51" s="12"/>
      <c r="AN51" s="12"/>
      <c r="AU51" s="12"/>
      <c r="BB51" s="12"/>
      <c r="BI51" s="12"/>
      <c r="BP51" s="12"/>
      <c r="BW51" s="12"/>
      <c r="CD51" s="12"/>
    </row>
    <row r="52" spans="26:82" ht="15" customHeight="1" x14ac:dyDescent="0.25">
      <c r="Z52" s="12"/>
      <c r="AG52" s="12"/>
      <c r="AN52" s="12"/>
      <c r="AU52" s="12"/>
      <c r="BB52" s="12"/>
      <c r="BI52" s="12"/>
      <c r="BP52" s="12"/>
      <c r="BW52" s="12"/>
      <c r="CD52" s="12"/>
    </row>
    <row r="53" spans="26:82" ht="15" customHeight="1" x14ac:dyDescent="0.25">
      <c r="Z53" s="12"/>
      <c r="AG53" s="12"/>
      <c r="AN53" s="12"/>
      <c r="AU53" s="12"/>
      <c r="BB53" s="12"/>
      <c r="BI53" s="12"/>
      <c r="BP53" s="12"/>
      <c r="BW53" s="12"/>
      <c r="CD53" s="12"/>
    </row>
    <row r="54" spans="26:82" ht="15" customHeight="1" x14ac:dyDescent="0.25">
      <c r="Z54" s="12"/>
      <c r="AG54" s="12"/>
      <c r="AN54" s="12"/>
      <c r="AU54" s="12"/>
      <c r="BB54" s="12"/>
      <c r="BI54" s="12"/>
      <c r="BP54" s="12"/>
      <c r="BW54" s="12"/>
      <c r="CD54" s="12"/>
    </row>
    <row r="55" spans="26:82" ht="15" customHeight="1" x14ac:dyDescent="0.25">
      <c r="Z55" s="12"/>
      <c r="AG55" s="12"/>
      <c r="AN55" s="12"/>
      <c r="AU55" s="12"/>
      <c r="BB55" s="12"/>
      <c r="BI55" s="12"/>
      <c r="BP55" s="12"/>
      <c r="BW55" s="12"/>
      <c r="CD55" s="12"/>
    </row>
    <row r="56" spans="26:82" ht="15" customHeight="1" x14ac:dyDescent="0.25">
      <c r="Z56" s="12"/>
      <c r="AG56" s="12"/>
      <c r="AN56" s="12"/>
      <c r="AU56" s="12"/>
      <c r="BB56" s="12"/>
      <c r="BI56" s="12"/>
      <c r="BP56" s="12"/>
      <c r="BW56" s="12"/>
      <c r="CD56" s="12"/>
    </row>
    <row r="57" spans="26:82" ht="15" customHeight="1" x14ac:dyDescent="0.25">
      <c r="Z57" s="12"/>
      <c r="AG57" s="12"/>
      <c r="AN57" s="12"/>
      <c r="AU57" s="12"/>
      <c r="BB57" s="12"/>
      <c r="BI57" s="12"/>
      <c r="BP57" s="12"/>
      <c r="BW57" s="12"/>
      <c r="CD57" s="12"/>
    </row>
    <row r="58" spans="26:82" ht="15" customHeight="1" x14ac:dyDescent="0.25">
      <c r="Z58" s="12"/>
      <c r="AG58" s="12"/>
      <c r="AN58" s="12"/>
      <c r="AU58" s="12"/>
      <c r="BB58" s="12"/>
      <c r="BI58" s="12"/>
      <c r="BP58" s="12"/>
      <c r="BW58" s="12"/>
      <c r="CD58" s="12"/>
    </row>
    <row r="59" spans="26:82" ht="15" customHeight="1" x14ac:dyDescent="0.25">
      <c r="Z59" s="12"/>
      <c r="AG59" s="12"/>
      <c r="AN59" s="12"/>
      <c r="AU59" s="12"/>
      <c r="BB59" s="12"/>
      <c r="BI59" s="12"/>
      <c r="BP59" s="12"/>
      <c r="BW59" s="12"/>
      <c r="CD59" s="12"/>
    </row>
    <row r="60" spans="26:82" ht="15" customHeight="1" x14ac:dyDescent="0.25">
      <c r="Z60" s="12"/>
      <c r="AG60" s="12"/>
      <c r="AN60" s="12"/>
      <c r="AU60" s="12"/>
      <c r="BB60" s="12"/>
      <c r="BI60" s="12"/>
      <c r="BP60" s="12"/>
      <c r="BW60" s="12"/>
      <c r="CD60" s="12"/>
    </row>
    <row r="61" spans="26:82" ht="15" customHeight="1" x14ac:dyDescent="0.25">
      <c r="Z61" s="12"/>
      <c r="AG61" s="12"/>
      <c r="AN61" s="12"/>
      <c r="AU61" s="12"/>
      <c r="BB61" s="12"/>
      <c r="BI61" s="12"/>
      <c r="BP61" s="12"/>
      <c r="BW61" s="12"/>
      <c r="CD61" s="12"/>
    </row>
    <row r="62" spans="26:82" ht="15" customHeight="1" x14ac:dyDescent="0.25">
      <c r="Z62" s="12"/>
      <c r="AG62" s="12"/>
      <c r="AN62" s="12"/>
      <c r="AU62" s="12"/>
      <c r="BB62" s="12"/>
      <c r="BI62" s="12"/>
      <c r="BP62" s="12"/>
      <c r="BW62" s="12"/>
      <c r="CD62" s="12"/>
    </row>
    <row r="63" spans="26:82" ht="15" customHeight="1" x14ac:dyDescent="0.25">
      <c r="Z63" s="12"/>
      <c r="AG63" s="12"/>
      <c r="AN63" s="12"/>
      <c r="AU63" s="12"/>
      <c r="BB63" s="12"/>
      <c r="BI63" s="12"/>
      <c r="BP63" s="12"/>
      <c r="BW63" s="12"/>
      <c r="CD63" s="12"/>
    </row>
    <row r="64" spans="26:82" ht="15" customHeight="1" x14ac:dyDescent="0.25">
      <c r="Z64" s="12"/>
      <c r="AG64" s="12"/>
      <c r="AN64" s="12"/>
      <c r="AU64" s="12"/>
      <c r="BB64" s="12"/>
      <c r="BI64" s="12"/>
      <c r="BP64" s="12"/>
      <c r="BW64" s="12"/>
      <c r="CD64" s="12"/>
    </row>
    <row r="73" spans="8:8" ht="15" customHeight="1" x14ac:dyDescent="0.25">
      <c r="H73"/>
    </row>
    <row r="82" spans="2:8" ht="15" customHeight="1" x14ac:dyDescent="0.25">
      <c r="B82" s="30"/>
      <c r="C82" s="30" t="s">
        <v>55</v>
      </c>
      <c r="D82" s="30"/>
      <c r="E82" s="31"/>
      <c r="F82" s="30"/>
      <c r="G82" s="30"/>
      <c r="H82" s="30"/>
    </row>
    <row r="202" spans="2:2" ht="15" customHeight="1" x14ac:dyDescent="0.25">
      <c r="B202"/>
    </row>
  </sheetData>
  <conditionalFormatting sqref="B6:D6">
    <cfRule type="expression" dxfId="3" priority="1">
      <formula>$I$54</formula>
    </cfRule>
    <cfRule type="expression" dxfId="2" priority="2">
      <formula>$I$51</formula>
    </cfRule>
  </conditionalFormatting>
  <dataValidations disablePrompts="1" count="2">
    <dataValidation type="list" allowBlank="1" showInputMessage="1" showErrorMessage="1" sqref="D3" xr:uid="{9552396B-E6A8-4E52-881E-8BEAD4B85FCE}">
      <formula1>"English, Metric"</formula1>
    </dataValidation>
    <dataValidation type="list" allowBlank="1" showInputMessage="1" showErrorMessage="1" sqref="C16" xr:uid="{D422EE0B-CF06-44D6-80BB-12EB9E2600F1}">
      <formula1>"Cast Profile, Cut or Milled Profile, Hobbed or Shaped Profile, Shaped or Ground Profile"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298B-5266-4BA4-AB1F-FC637927B511}">
  <sheetPr>
    <tabColor rgb="FF0070C0"/>
  </sheetPr>
  <dimension ref="B1:CO202"/>
  <sheetViews>
    <sheetView zoomScaleNormal="100" workbookViewId="0">
      <selection activeCell="K33" sqref="K33"/>
    </sheetView>
  </sheetViews>
  <sheetFormatPr defaultRowHeight="15" customHeight="1" x14ac:dyDescent="0.25"/>
  <cols>
    <col min="2" max="2" width="34.140625" style="1" bestFit="1" customWidth="1"/>
    <col min="3" max="3" width="13" style="1" customWidth="1"/>
    <col min="4" max="4" width="10.140625" style="1" customWidth="1"/>
    <col min="5" max="5" width="10.42578125" bestFit="1" customWidth="1"/>
    <col min="6" max="6" width="31.28515625" style="1" bestFit="1" customWidth="1"/>
    <col min="7" max="7" width="13" style="1" customWidth="1"/>
    <col min="8" max="8" width="10.140625" style="1" customWidth="1"/>
    <col min="9" max="9" width="9.140625" customWidth="1"/>
    <col min="10" max="10" width="31.28515625" style="1" bestFit="1" customWidth="1"/>
    <col min="11" max="11" width="13" style="1" customWidth="1"/>
    <col min="12" max="12" width="10.140625" style="1" customWidth="1"/>
    <col min="28" max="28" width="34.140625" style="1" bestFit="1" customWidth="1"/>
    <col min="29" max="29" width="13" style="1" customWidth="1"/>
    <col min="30" max="30" width="10.140625" style="1" customWidth="1"/>
    <col min="32" max="32" width="34.140625" style="1" bestFit="1" customWidth="1"/>
    <col min="33" max="33" width="13" style="1" customWidth="1"/>
    <col min="34" max="34" width="10.140625" style="1" customWidth="1"/>
    <col min="36" max="36" width="16.28515625" bestFit="1" customWidth="1"/>
    <col min="37" max="40" width="9.140625" customWidth="1"/>
  </cols>
  <sheetData>
    <row r="1" spans="2:93" ht="15" customHeight="1" x14ac:dyDescent="0.25">
      <c r="AK1" s="12"/>
      <c r="AR1" s="12"/>
      <c r="AY1" s="12"/>
      <c r="BF1" s="12"/>
      <c r="BM1" s="12"/>
      <c r="BT1" s="12"/>
      <c r="CA1" s="12"/>
      <c r="CH1" s="12"/>
      <c r="CO1" s="12"/>
    </row>
    <row r="2" spans="2:93" ht="15" customHeight="1" x14ac:dyDescent="0.25">
      <c r="C2"/>
      <c r="D2"/>
      <c r="F2"/>
      <c r="G2"/>
      <c r="H2"/>
      <c r="J2"/>
      <c r="K2"/>
      <c r="L2"/>
      <c r="AB2"/>
      <c r="AC2"/>
      <c r="AD2"/>
      <c r="AF2"/>
      <c r="AG2"/>
      <c r="AH2"/>
      <c r="AK2" s="12"/>
      <c r="AR2" s="12"/>
      <c r="AY2" s="12"/>
      <c r="BF2" s="12"/>
      <c r="BM2" s="12"/>
      <c r="BT2" s="12"/>
      <c r="CA2" s="12"/>
      <c r="CH2" s="12"/>
      <c r="CO2" s="12"/>
    </row>
    <row r="3" spans="2:93" ht="15" customHeight="1" thickBot="1" x14ac:dyDescent="0.3">
      <c r="B3" s="2" t="s">
        <v>0</v>
      </c>
      <c r="C3" s="3" t="s">
        <v>1</v>
      </c>
      <c r="D3" s="4" t="s">
        <v>3</v>
      </c>
      <c r="F3" s="5" t="s">
        <v>4</v>
      </c>
      <c r="G3" s="5"/>
      <c r="H3" s="5"/>
      <c r="I3" s="5"/>
      <c r="J3" s="5"/>
      <c r="K3" s="5"/>
      <c r="L3" s="5"/>
      <c r="AB3" s="39" t="s">
        <v>69</v>
      </c>
      <c r="AC3" s="39"/>
      <c r="AD3" s="39"/>
      <c r="AE3" s="39"/>
      <c r="AF3" s="39"/>
      <c r="AG3" s="39"/>
      <c r="AH3" s="39"/>
      <c r="AK3" s="12"/>
      <c r="AR3" s="12"/>
      <c r="AY3" s="12"/>
      <c r="BF3" s="12"/>
      <c r="BM3" s="12"/>
      <c r="BT3" s="12"/>
      <c r="CA3" s="12"/>
      <c r="CH3" s="12"/>
      <c r="CO3" s="12"/>
    </row>
    <row r="4" spans="2:93" ht="15" customHeight="1" x14ac:dyDescent="0.25">
      <c r="AB4"/>
      <c r="AC4"/>
      <c r="AD4"/>
      <c r="AF4"/>
      <c r="AG4"/>
      <c r="AH4"/>
      <c r="AJ4" s="15" t="s">
        <v>31</v>
      </c>
      <c r="AK4" s="16"/>
      <c r="AR4" s="12"/>
      <c r="AY4" s="12"/>
      <c r="BF4" s="12"/>
      <c r="BM4" s="12"/>
      <c r="BT4" s="12"/>
      <c r="CA4" s="12"/>
      <c r="CH4" s="12"/>
      <c r="CO4" s="12"/>
    </row>
    <row r="5" spans="2:93" ht="15" customHeight="1" x14ac:dyDescent="0.25">
      <c r="B5" s="6" t="s">
        <v>22</v>
      </c>
      <c r="C5" s="6"/>
      <c r="D5" s="6"/>
      <c r="F5" s="7" t="s">
        <v>70</v>
      </c>
      <c r="G5" s="7"/>
      <c r="H5" s="7"/>
      <c r="J5" s="7" t="s">
        <v>71</v>
      </c>
      <c r="K5" s="7"/>
      <c r="L5" s="7"/>
      <c r="AB5" s="40" t="s">
        <v>72</v>
      </c>
      <c r="AC5" s="41"/>
      <c r="AD5" s="41"/>
      <c r="AF5" s="40" t="s">
        <v>73</v>
      </c>
      <c r="AG5" s="41"/>
      <c r="AH5" s="41"/>
      <c r="AJ5" s="13" t="s">
        <v>29</v>
      </c>
      <c r="AK5" s="14" t="s">
        <v>12</v>
      </c>
      <c r="AR5" s="12"/>
      <c r="AY5" s="12"/>
      <c r="BF5" s="12"/>
      <c r="BM5" s="12"/>
      <c r="BT5" s="12"/>
      <c r="CA5" s="12"/>
      <c r="CH5" s="12"/>
      <c r="CO5" s="12"/>
    </row>
    <row r="6" spans="2:93" ht="15" customHeight="1" x14ac:dyDescent="0.25">
      <c r="B6" s="8" t="str">
        <f>IF($D$3="English","Diametrial Pitch, P (N/d)", "Module, m (d/N)")</f>
        <v>Diametrial Pitch, P (N/d)</v>
      </c>
      <c r="C6" s="8">
        <v>8</v>
      </c>
      <c r="D6" s="10" t="str">
        <f>IF($D$3="English","teeth/in", "mm/tooth")</f>
        <v>teeth/in</v>
      </c>
      <c r="F6" s="9" t="s">
        <v>26</v>
      </c>
      <c r="G6" s="22">
        <f>C19/C10</f>
        <v>10000</v>
      </c>
      <c r="H6" s="9" t="str">
        <f>IF($D$3="English","psi","Pa")</f>
        <v>psi</v>
      </c>
      <c r="J6" s="8" t="s">
        <v>52</v>
      </c>
      <c r="K6" s="8">
        <v>6.3E-2</v>
      </c>
      <c r="L6" s="8" t="str">
        <f>IF($D$3="English","in", "mm")</f>
        <v>in</v>
      </c>
      <c r="AB6" s="9" t="s">
        <v>74</v>
      </c>
      <c r="AC6" s="32">
        <f>K22</f>
        <v>10020.064019700523</v>
      </c>
      <c r="AD6" s="9" t="str">
        <f>IF($D$3="English","psi","Pa")</f>
        <v>psi</v>
      </c>
      <c r="AF6" s="9" t="s">
        <v>75</v>
      </c>
      <c r="AG6" s="32">
        <f>K24</f>
        <v>12825.681945216667</v>
      </c>
      <c r="AH6" s="9" t="str">
        <f>IF($D$3="English","psi","Pa")</f>
        <v>psi</v>
      </c>
      <c r="AJ6" s="21">
        <v>12</v>
      </c>
      <c r="AK6" s="26">
        <v>0.245</v>
      </c>
      <c r="AR6" s="12"/>
      <c r="AY6" s="12"/>
      <c r="BF6" s="12"/>
      <c r="BM6" s="12"/>
      <c r="BT6" s="12"/>
      <c r="CA6" s="12"/>
      <c r="CH6" s="12"/>
      <c r="CO6" s="12"/>
    </row>
    <row r="7" spans="2:93" ht="15" customHeight="1" x14ac:dyDescent="0.25">
      <c r="B7" s="8" t="s">
        <v>13</v>
      </c>
      <c r="C7" s="8">
        <v>1.5</v>
      </c>
      <c r="D7" s="8" t="str">
        <f>IF($D$3="English","in", "mm")</f>
        <v>in</v>
      </c>
      <c r="F7" s="9"/>
      <c r="G7" s="25">
        <f>IF($D$3="English",G6*10^-3,G6*10^-6)</f>
        <v>10</v>
      </c>
      <c r="H7" s="9" t="str">
        <f>IF($D$3="English","kpsi","MPa")</f>
        <v>kpsi</v>
      </c>
      <c r="J7" s="9" t="s">
        <v>63</v>
      </c>
      <c r="K7" s="37">
        <f>PI()*G9/C8</f>
        <v>0.39269908169872414</v>
      </c>
      <c r="L7" s="9" t="str">
        <f>IF($D$3="English","in", "mm")</f>
        <v>in</v>
      </c>
      <c r="AB7" s="9"/>
      <c r="AC7" s="33">
        <f>IF($D$3="English",AC6*10^-3,AC6*10^-6)</f>
        <v>10.020064019700524</v>
      </c>
      <c r="AD7" s="9" t="str">
        <f>IF($D$3="English","kpsi","MPa")</f>
        <v>kpsi</v>
      </c>
      <c r="AF7" s="9"/>
      <c r="AG7" s="33">
        <f>IF($D$3="English",AG6*10^-3,AG6*10^-6)</f>
        <v>12.825681945216667</v>
      </c>
      <c r="AH7" s="9" t="str">
        <f>IF($D$3="English","kpsi","MPa")</f>
        <v>kpsi</v>
      </c>
      <c r="AJ7" s="21">
        <v>13</v>
      </c>
      <c r="AK7" s="26">
        <v>0.26100000000000001</v>
      </c>
      <c r="AR7" s="12"/>
      <c r="AY7" s="12"/>
      <c r="BF7" s="12"/>
      <c r="BM7" s="12"/>
      <c r="BT7" s="12"/>
      <c r="CA7" s="12"/>
      <c r="CH7" s="12"/>
      <c r="CO7" s="12"/>
    </row>
    <row r="8" spans="2:93" ht="15" customHeight="1" x14ac:dyDescent="0.25">
      <c r="B8" s="8" t="s">
        <v>14</v>
      </c>
      <c r="C8" s="8">
        <v>16</v>
      </c>
      <c r="D8" s="10" t="s">
        <v>5</v>
      </c>
      <c r="F8" s="9" t="s">
        <v>76</v>
      </c>
      <c r="G8" s="9">
        <f>IF(C8&lt;=MIN(AJ6:AJ31), INDEX(AK6:AK31, MATCH(MIN(AJ6:AJ31), AJ6:AJ31, 0)),
   IF(C8&gt;=MAX(AJ6:AJ31), INDEX(AK6:AK31, MATCH(MAX(AJ6:AJ31), AJ6:AJ31, 0)),
      INDEX(AK6:AK31, MATCH(LARGE(AJ6:AJ31, COUNTIF(AJ6:AJ31, "&gt;"&amp;C8)), AJ6:AJ31, 0)) +
      (C8 - LARGE(AJ6:AJ31, COUNTIF(AJ6:AJ31, "&gt;"&amp;C8))) *
      (INDEX(AK6:AK31, MATCH(SMALL(AJ6:AJ31, COUNTIF(AJ6:AJ31, "&lt;="&amp;C8)), AJ6:AJ31, 0)) -
       INDEX(AK6:AK31, MATCH(LARGE(AJ6:AJ31, COUNTIF(AJ6:AJ31, "&gt;"&amp;C8)), AJ6:AJ31, 0))) /
      (SMALL(AJ6:AJ31, COUNTIF(AJ6:AJ31, "&lt;="&amp;C8)) - LARGE(AJ6:AJ31, COUNTIF(AJ6:AJ31, "&gt;"&amp;C8)))
   )
)</f>
        <v>0.29599999999999999</v>
      </c>
      <c r="H8" s="11" t="s">
        <v>8</v>
      </c>
      <c r="J8" s="9" t="s">
        <v>46</v>
      </c>
      <c r="K8" s="9">
        <f>(3*G8)/(2*IF($D$3="English",C6, C6^-1))</f>
        <v>5.5499999999999994E-2</v>
      </c>
      <c r="L8" s="9" t="str">
        <f>IF($D$3="English","in", "mm")</f>
        <v>in</v>
      </c>
      <c r="AB8" s="8" t="s">
        <v>77</v>
      </c>
      <c r="AC8" s="42">
        <v>11338.156000000001</v>
      </c>
      <c r="AD8" s="8" t="str">
        <f>IF($D$3="English","psi","Pa")</f>
        <v>psi</v>
      </c>
      <c r="AF8" s="8" t="s">
        <v>77</v>
      </c>
      <c r="AG8" s="42">
        <v>11338.156000000001</v>
      </c>
      <c r="AH8" s="8" t="str">
        <f>IF($D$3="English","psi","Pa")</f>
        <v>psi</v>
      </c>
      <c r="AJ8" s="21">
        <v>14</v>
      </c>
      <c r="AK8" s="26">
        <v>0.27700000000000002</v>
      </c>
      <c r="AR8" s="12"/>
      <c r="AY8" s="12"/>
      <c r="BF8" s="12"/>
      <c r="BM8" s="12"/>
      <c r="BT8" s="12"/>
      <c r="CA8" s="12"/>
      <c r="CH8" s="12"/>
      <c r="CO8" s="12"/>
    </row>
    <row r="9" spans="2:93" ht="15" customHeight="1" x14ac:dyDescent="0.25">
      <c r="B9" s="8" t="s">
        <v>6</v>
      </c>
      <c r="C9" s="8">
        <v>20</v>
      </c>
      <c r="D9" s="8" t="s">
        <v>7</v>
      </c>
      <c r="F9" s="9" t="s">
        <v>59</v>
      </c>
      <c r="G9" s="9">
        <f>IF($D$3="English",(C6^-1)*C8, C6*C8)</f>
        <v>2</v>
      </c>
      <c r="H9" s="9" t="str">
        <f>IF($D$3="English","in", "mm")</f>
        <v>in</v>
      </c>
      <c r="J9" s="9" t="s">
        <v>48</v>
      </c>
      <c r="K9" s="9">
        <f>1*(IF($D$3="English",C6, C6^-1))^-1 + 1.25*(IF($D$3="English",C6, C6^-1))^-1</f>
        <v>0.28125</v>
      </c>
      <c r="L9" s="9" t="str">
        <f>IF($D$3="English","in", "mm")</f>
        <v>in</v>
      </c>
      <c r="AB9" s="9"/>
      <c r="AC9" s="33">
        <f>IF($D$3="English",AC8*10^-3,AC8*10^-6)</f>
        <v>11.338156000000001</v>
      </c>
      <c r="AD9" s="9" t="str">
        <f>IF($D$3="English","kpsi","MPa")</f>
        <v>kpsi</v>
      </c>
      <c r="AF9" s="9"/>
      <c r="AG9" s="33">
        <f>IF($D$3="English",AG8*10^-3,AG8*10^-6)</f>
        <v>11.338156000000001</v>
      </c>
      <c r="AH9" s="9" t="str">
        <f>IF($D$3="English","kpsi","MPa")</f>
        <v>kpsi</v>
      </c>
      <c r="AJ9" s="21">
        <v>15</v>
      </c>
      <c r="AK9" s="26">
        <v>0.28999999999999998</v>
      </c>
      <c r="AR9" s="12"/>
      <c r="AY9" s="12"/>
      <c r="BF9" s="12"/>
      <c r="BM9" s="12"/>
      <c r="BT9" s="12"/>
      <c r="CA9" s="12"/>
      <c r="CH9" s="12"/>
      <c r="CO9" s="12"/>
    </row>
    <row r="10" spans="2:93" ht="15" customHeight="1" x14ac:dyDescent="0.25">
      <c r="B10" s="8" t="s">
        <v>78</v>
      </c>
      <c r="C10" s="8">
        <v>3</v>
      </c>
      <c r="D10" s="10" t="s">
        <v>8</v>
      </c>
      <c r="F10" s="9" t="s">
        <v>11</v>
      </c>
      <c r="G10" s="32">
        <f>C12*G9/2</f>
        <v>125.66370614359172</v>
      </c>
      <c r="H10" s="9" t="str">
        <f>IF($D$3="English","in/s", "mm/s")</f>
        <v>in/s</v>
      </c>
      <c r="J10" s="9" t="s">
        <v>47</v>
      </c>
      <c r="K10" s="9">
        <f>SQRT(4*K9*K8)</f>
        <v>0.24987496873436521</v>
      </c>
      <c r="L10" s="9" t="str">
        <f>IF($D$3="English","in", "mm")</f>
        <v>in</v>
      </c>
      <c r="AB10" s="9" t="s">
        <v>79</v>
      </c>
      <c r="AC10" s="43">
        <f>((AC8-AC6)/AC6)</f>
        <v>0.13154526535039768</v>
      </c>
      <c r="AD10" s="11" t="s">
        <v>8</v>
      </c>
      <c r="AF10" s="9" t="s">
        <v>79</v>
      </c>
      <c r="AG10" s="43">
        <f>((AG8-AG6)/AG6)</f>
        <v>-0.11598026144500166</v>
      </c>
      <c r="AH10" s="11" t="s">
        <v>8</v>
      </c>
      <c r="AJ10" s="21">
        <v>16</v>
      </c>
      <c r="AK10" s="26">
        <v>0.29599999999999999</v>
      </c>
      <c r="AR10" s="12"/>
      <c r="AY10" s="12"/>
      <c r="BF10" s="12"/>
      <c r="BM10" s="12"/>
      <c r="BT10" s="12"/>
      <c r="CA10" s="12"/>
      <c r="CH10" s="12"/>
      <c r="CO10" s="12"/>
    </row>
    <row r="11" spans="2:93" ht="15" customHeight="1" x14ac:dyDescent="0.25">
      <c r="B11" s="8" t="s">
        <v>18</v>
      </c>
      <c r="C11" s="8">
        <v>1200</v>
      </c>
      <c r="D11" s="8" t="s">
        <v>2</v>
      </c>
      <c r="F11" s="9"/>
      <c r="G11" s="32">
        <f>IF($D$3="English",G10*(1/12)*60, G10*10^-3)</f>
        <v>628.31853071795854</v>
      </c>
      <c r="H11" s="9" t="str">
        <f>IF($D$3="English","ft/min", "m/s")</f>
        <v>ft/min</v>
      </c>
      <c r="J11" s="9" t="s">
        <v>80</v>
      </c>
      <c r="K11" s="44">
        <f>K6/K10</f>
        <v>0.25212609457881896</v>
      </c>
      <c r="L11" s="11" t="s">
        <v>8</v>
      </c>
      <c r="AB11" s="8" t="s">
        <v>81</v>
      </c>
      <c r="AC11" s="42">
        <v>8573.5139999999992</v>
      </c>
      <c r="AD11" s="8" t="str">
        <f>IF($D$3="English","psi","Pa")</f>
        <v>psi</v>
      </c>
      <c r="AF11" s="8" t="s">
        <v>81</v>
      </c>
      <c r="AG11" s="42">
        <v>8573.5139999999992</v>
      </c>
      <c r="AH11" s="8" t="str">
        <f>IF($D$3="English","psi","Pa")</f>
        <v>psi</v>
      </c>
      <c r="AJ11" s="21">
        <v>17</v>
      </c>
      <c r="AK11" s="26">
        <v>0.30299999999999999</v>
      </c>
      <c r="AR11" s="12"/>
      <c r="AY11" s="12"/>
      <c r="BF11" s="12"/>
      <c r="BM11" s="12"/>
      <c r="BT11" s="12"/>
      <c r="CA11" s="12"/>
      <c r="CH11" s="12"/>
      <c r="CO11" s="12"/>
    </row>
    <row r="12" spans="2:93" ht="15" customHeight="1" x14ac:dyDescent="0.25">
      <c r="B12" s="9" t="s">
        <v>19</v>
      </c>
      <c r="C12" s="17">
        <f>C11*PI()/30</f>
        <v>125.66370614359172</v>
      </c>
      <c r="D12" s="9" t="s">
        <v>9</v>
      </c>
      <c r="F12" s="9" t="s">
        <v>32</v>
      </c>
      <c r="G12" s="18">
        <f>IF($D$3="English",
   IF(C16="Cast Profile",((600+G11)/600),
     IF(C16="Cut or Milled Profile",((1200+G11)/1200),
       IF(C16="Hobbed or Shaped Profile",((50+SQRT(G11))/50),
         IF(C16="Shaped or Ground Profile",SQRT((78+SQRT(G11))/78),NA())))),
   IF(C16="Cast Profile",((3.05+G11)/3.05),
     IF(C16="Cut or Milled Profile",((6.1+G11)/6.1),
       IF(C16="Hobbed or Shaped Profile",((3.56+SQRT(G11))/3.56),
         IF(C16="Shaped or Ground Profile",SQRT((5.56+SQRT(G11))/5.56),NA()))))
)</f>
        <v>1.5235987755982987</v>
      </c>
      <c r="H12" s="9" t="str">
        <f>IF($D$3="English","ft/min", "m/s")</f>
        <v>ft/min</v>
      </c>
      <c r="J12" s="9" t="s">
        <v>82</v>
      </c>
      <c r="K12" s="44">
        <f>K7/K10</f>
        <v>1.5715823144982204</v>
      </c>
      <c r="L12" s="11" t="s">
        <v>8</v>
      </c>
      <c r="AB12" s="9"/>
      <c r="AC12" s="33">
        <f>IF($D$3="English",AC11*10^-3,AC11*10^-6)</f>
        <v>8.5735139999999994</v>
      </c>
      <c r="AD12" s="9" t="str">
        <f>IF($D$3="English","kpsi","MPa")</f>
        <v>kpsi</v>
      </c>
      <c r="AF12" s="9"/>
      <c r="AG12" s="33">
        <f>IF($D$3="English",AG11*10^-3,AG11*10^-6)</f>
        <v>8.5735139999999994</v>
      </c>
      <c r="AH12" s="9" t="str">
        <f>IF($D$3="English","kpsi","MPa")</f>
        <v>kpsi</v>
      </c>
      <c r="AJ12" s="21">
        <v>18</v>
      </c>
      <c r="AK12" s="26">
        <v>0.309</v>
      </c>
      <c r="AR12" s="12"/>
      <c r="AY12" s="12"/>
      <c r="BF12" s="12"/>
      <c r="BM12" s="12"/>
      <c r="BT12" s="12"/>
      <c r="CA12" s="12"/>
      <c r="CH12" s="12"/>
      <c r="CO12" s="12"/>
    </row>
    <row r="13" spans="2:93" ht="15" customHeight="1" x14ac:dyDescent="0.25">
      <c r="B13" s="1" t="s">
        <v>20</v>
      </c>
      <c r="F13" s="9" t="s">
        <v>35</v>
      </c>
      <c r="G13" s="17">
        <f>IF($D$3="English",33000/G11, 60000/(G10*60))</f>
        <v>52.521131220325472</v>
      </c>
      <c r="H13" s="9" t="str">
        <f>IF($D$3="English","lbf/HP", "kN/kW")</f>
        <v>lbf/HP</v>
      </c>
      <c r="J13" s="8" t="s">
        <v>51</v>
      </c>
      <c r="K13" s="8">
        <v>1.4</v>
      </c>
      <c r="L13" s="10" t="s">
        <v>8</v>
      </c>
      <c r="AB13" s="9" t="s">
        <v>83</v>
      </c>
      <c r="AC13" s="43">
        <f>((AC11-AC6)/AC6)</f>
        <v>-0.14436534705331733</v>
      </c>
      <c r="AD13" s="11" t="s">
        <v>8</v>
      </c>
      <c r="AF13" s="9" t="s">
        <v>83</v>
      </c>
      <c r="AG13" s="43">
        <f>((AG11-AG6)/AG6)</f>
        <v>-0.33153542738540404</v>
      </c>
      <c r="AH13" s="11" t="s">
        <v>8</v>
      </c>
      <c r="AJ13" s="21">
        <v>19</v>
      </c>
      <c r="AK13" s="26">
        <v>0.314</v>
      </c>
      <c r="AR13" s="12"/>
      <c r="AY13" s="12"/>
      <c r="BF13" s="12"/>
      <c r="BM13" s="12"/>
      <c r="BT13" s="12"/>
      <c r="CA13" s="12"/>
      <c r="CH13" s="12"/>
      <c r="CO13" s="12"/>
    </row>
    <row r="14" spans="2:93" ht="15" customHeight="1" x14ac:dyDescent="0.25">
      <c r="B14" s="6" t="s">
        <v>23</v>
      </c>
      <c r="C14" s="6"/>
      <c r="D14" s="6"/>
      <c r="F14" s="9" t="s">
        <v>36</v>
      </c>
      <c r="G14" s="17">
        <f>(G6*C7*G8)/(G12*G13*IF($D$3="English",C6, C6^-1))</f>
        <v>6.9356680108894695</v>
      </c>
      <c r="H14" s="9" t="str">
        <f>IF($D$3="English","HP", "kW")</f>
        <v>HP</v>
      </c>
      <c r="J14" s="8" t="s">
        <v>50</v>
      </c>
      <c r="K14" s="8">
        <v>0.7</v>
      </c>
      <c r="L14" s="10" t="s">
        <v>8</v>
      </c>
      <c r="AJ14" s="21">
        <v>20</v>
      </c>
      <c r="AK14" s="26">
        <v>0.32200000000000001</v>
      </c>
      <c r="AR14" s="12"/>
      <c r="AY14" s="12"/>
      <c r="BF14" s="12"/>
      <c r="BM14" s="12"/>
      <c r="BT14" s="12"/>
      <c r="CA14" s="12"/>
      <c r="CH14" s="12"/>
      <c r="CO14" s="12"/>
    </row>
    <row r="15" spans="2:93" ht="15" customHeight="1" x14ac:dyDescent="0.25">
      <c r="B15" s="8" t="s">
        <v>15</v>
      </c>
      <c r="C15" s="8" t="s">
        <v>16</v>
      </c>
      <c r="D15" s="8"/>
      <c r="F15" s="9" t="s">
        <v>61</v>
      </c>
      <c r="G15" s="17">
        <f>G13*G14</f>
        <v>364.26912970053957</v>
      </c>
      <c r="H15" s="9" t="str">
        <f>IF($D$3="English","lbf", "kN")</f>
        <v>lbf</v>
      </c>
      <c r="J15" s="9" t="s">
        <v>49</v>
      </c>
      <c r="K15" s="9">
        <f>1+K14*(K13-1)</f>
        <v>1.2799999999999998</v>
      </c>
      <c r="L15" s="11" t="s">
        <v>8</v>
      </c>
      <c r="AJ15" s="21">
        <v>21</v>
      </c>
      <c r="AK15" s="26">
        <v>0.32800000000000001</v>
      </c>
      <c r="AR15" s="12"/>
      <c r="AY15" s="12"/>
      <c r="BF15" s="12"/>
      <c r="BM15" s="12"/>
      <c r="BT15" s="12"/>
      <c r="CA15" s="12"/>
      <c r="CH15" s="12"/>
      <c r="CO15" s="12"/>
    </row>
    <row r="16" spans="2:93" ht="15" customHeight="1" x14ac:dyDescent="0.25">
      <c r="B16" s="8" t="s">
        <v>33</v>
      </c>
      <c r="C16" s="8" t="s">
        <v>34</v>
      </c>
      <c r="D16" s="8"/>
      <c r="F16" s="9"/>
      <c r="G16" s="32">
        <f>G15*10^3</f>
        <v>364269.12970053958</v>
      </c>
      <c r="H16" s="9" t="str">
        <f>IF($D$3="English","*10^-3 lbf", "N")</f>
        <v>*10^-3 lbf</v>
      </c>
      <c r="AJ16" s="21">
        <v>22</v>
      </c>
      <c r="AK16" s="26">
        <v>0.33100000000000002</v>
      </c>
      <c r="AR16" s="12"/>
      <c r="AY16" s="12"/>
      <c r="BF16" s="12"/>
      <c r="BM16" s="12"/>
      <c r="BT16" s="12"/>
      <c r="CA16" s="12"/>
      <c r="CH16" s="12"/>
      <c r="CO16" s="12"/>
    </row>
    <row r="17" spans="2:93" ht="15" customHeight="1" x14ac:dyDescent="0.25">
      <c r="B17" s="8" t="s">
        <v>24</v>
      </c>
      <c r="C17" s="23">
        <f>55*10^3</f>
        <v>55000</v>
      </c>
      <c r="D17" s="8" t="str">
        <f>IF($D$3="English","psi","Pa")</f>
        <v>psi</v>
      </c>
      <c r="AJ17" s="21">
        <v>24</v>
      </c>
      <c r="AK17" s="26">
        <v>0.33700000000000002</v>
      </c>
      <c r="AR17" s="12"/>
      <c r="AY17" s="12"/>
      <c r="BF17" s="12"/>
      <c r="BM17" s="12"/>
      <c r="BT17" s="12"/>
      <c r="CA17" s="12"/>
      <c r="CH17" s="12"/>
      <c r="CO17" s="12"/>
    </row>
    <row r="18" spans="2:93" ht="15" customHeight="1" x14ac:dyDescent="0.25">
      <c r="B18" s="9"/>
      <c r="C18" s="9">
        <f>IF($D$3="English",C17*10^-3,C17*10^-6)</f>
        <v>55</v>
      </c>
      <c r="D18" s="9" t="str">
        <f>IF($D$3="English","kpsi","MPa")</f>
        <v>kpsi</v>
      </c>
      <c r="F18" s="7" t="s">
        <v>84</v>
      </c>
      <c r="G18" s="7"/>
      <c r="H18" s="7"/>
      <c r="J18" s="7" t="s">
        <v>85</v>
      </c>
      <c r="K18" s="7"/>
      <c r="L18" s="7"/>
      <c r="AJ18" s="21">
        <v>26</v>
      </c>
      <c r="AK18" s="26">
        <v>0.34599999999999997</v>
      </c>
      <c r="AR18" s="12"/>
      <c r="AY18" s="12"/>
      <c r="BF18" s="12"/>
      <c r="BM18" s="12"/>
      <c r="BT18" s="12"/>
      <c r="CA18" s="12"/>
      <c r="CH18" s="12"/>
      <c r="CO18" s="12"/>
    </row>
    <row r="19" spans="2:93" ht="15" customHeight="1" x14ac:dyDescent="0.25">
      <c r="B19" s="8" t="s">
        <v>25</v>
      </c>
      <c r="C19" s="24">
        <f>30*10^3</f>
        <v>30000</v>
      </c>
      <c r="D19" s="8" t="str">
        <f>IF($D$3="English","psi","Pa")</f>
        <v>psi</v>
      </c>
      <c r="F19" s="8" t="s">
        <v>36</v>
      </c>
      <c r="G19" s="34">
        <v>6.95</v>
      </c>
      <c r="H19" s="8" t="str">
        <f>IF($D$3="English","HP", "kW")</f>
        <v>HP</v>
      </c>
      <c r="J19" s="8" t="s">
        <v>61</v>
      </c>
      <c r="K19" s="34">
        <v>365</v>
      </c>
      <c r="L19" s="8" t="str">
        <f>IF($D$3="English","lbf", "kN")</f>
        <v>lbf</v>
      </c>
      <c r="AG19"/>
      <c r="AH19"/>
      <c r="AJ19" s="21">
        <v>28</v>
      </c>
      <c r="AK19" s="26">
        <v>0.35299999999999998</v>
      </c>
      <c r="AR19" s="12"/>
      <c r="AY19" s="12"/>
      <c r="BF19" s="12"/>
      <c r="BM19" s="12"/>
      <c r="BT19" s="12"/>
      <c r="CA19" s="12"/>
      <c r="CH19" s="12"/>
      <c r="CO19" s="12"/>
    </row>
    <row r="20" spans="2:93" ht="15" customHeight="1" x14ac:dyDescent="0.25">
      <c r="B20" s="9"/>
      <c r="C20" s="9">
        <f>IF($D$3="English",C19*10^-3,C19*10^-6)</f>
        <v>30</v>
      </c>
      <c r="D20" s="9" t="str">
        <f>IF($D$3="English","kpsi","MPa")</f>
        <v>kpsi</v>
      </c>
      <c r="F20" s="9" t="s">
        <v>61</v>
      </c>
      <c r="G20" s="17">
        <f>G13*G19</f>
        <v>365.02186198126202</v>
      </c>
      <c r="H20" s="9" t="str">
        <f>IF($D$3="English","lbf", "kN")</f>
        <v>lbf</v>
      </c>
      <c r="J20" s="9"/>
      <c r="K20" s="32">
        <f>K19*10^3</f>
        <v>365000</v>
      </c>
      <c r="L20" s="9" t="str">
        <f>IF($D$3="English","*10^-3 lbf", "N")</f>
        <v>*10^-3 lbf</v>
      </c>
      <c r="AF20"/>
      <c r="AG20"/>
      <c r="AH20"/>
      <c r="AJ20" s="21">
        <v>30</v>
      </c>
      <c r="AK20" s="26">
        <v>0.35899999999999999</v>
      </c>
      <c r="AR20" s="12"/>
      <c r="AY20" s="12"/>
      <c r="BF20" s="12"/>
      <c r="BM20" s="12"/>
      <c r="BT20" s="12"/>
      <c r="CA20" s="12"/>
      <c r="CH20" s="12"/>
      <c r="CO20" s="12"/>
    </row>
    <row r="21" spans="2:93" ht="15" customHeight="1" x14ac:dyDescent="0.25">
      <c r="F21" s="9"/>
      <c r="G21" s="32">
        <f>G20*10^3</f>
        <v>365021.86198126205</v>
      </c>
      <c r="H21" s="9" t="str">
        <f>IF($D$3="English","*10^-3 lbf", "N")</f>
        <v>*10^-3 lbf</v>
      </c>
      <c r="J21" s="9" t="s">
        <v>36</v>
      </c>
      <c r="K21" s="17">
        <f>IF($D$3="English", (K19/33000)*G11, (K19/60000)*(G10*60))</f>
        <v>6.9495837488501477</v>
      </c>
      <c r="L21" s="9" t="str">
        <f>IF($D$3="English","HP", "kW")</f>
        <v>HP</v>
      </c>
      <c r="AF21"/>
      <c r="AG21"/>
      <c r="AH21"/>
      <c r="AJ21" s="21">
        <v>34</v>
      </c>
      <c r="AK21" s="26">
        <v>0.371</v>
      </c>
      <c r="AR21" s="12"/>
      <c r="AY21" s="12"/>
      <c r="BF21" s="12"/>
      <c r="BM21" s="12"/>
      <c r="BT21" s="12"/>
      <c r="CA21" s="12"/>
      <c r="CH21" s="12"/>
      <c r="CO21" s="12"/>
    </row>
    <row r="22" spans="2:93" ht="15" customHeight="1" x14ac:dyDescent="0.25">
      <c r="F22" s="9" t="s">
        <v>74</v>
      </c>
      <c r="G22" s="32">
        <f>(G12*G13*G19*IF($D$3="English",C6, (C6^-1)*10^9))/(C7*G8)</f>
        <v>10020.664179842561</v>
      </c>
      <c r="H22" s="9" t="str">
        <f>IF($D$3="English","psi","Pa")</f>
        <v>psi</v>
      </c>
      <c r="J22" s="9" t="s">
        <v>74</v>
      </c>
      <c r="K22" s="32">
        <f>(G12*K19*IF($D$3="English",C6, (C6^-1)*10^9))/(C7*G8)</f>
        <v>10020.064019700523</v>
      </c>
      <c r="L22" s="9" t="str">
        <f>IF($D$3="English","psi","Pa")</f>
        <v>psi</v>
      </c>
      <c r="AF22"/>
      <c r="AG22"/>
      <c r="AH22"/>
      <c r="AJ22" s="21">
        <v>38</v>
      </c>
      <c r="AK22" s="26">
        <v>0.38400000000000001</v>
      </c>
      <c r="AR22" s="12"/>
      <c r="AY22" s="12"/>
      <c r="BF22" s="12"/>
      <c r="BM22" s="12"/>
      <c r="BT22" s="12"/>
      <c r="CA22" s="12"/>
      <c r="CH22" s="12"/>
      <c r="CO22" s="12"/>
    </row>
    <row r="23" spans="2:93" ht="15" customHeight="1" x14ac:dyDescent="0.25">
      <c r="F23" s="9"/>
      <c r="G23" s="32">
        <f>IF($D$3="English",G22*10^-3,G22*10^-6)</f>
        <v>10.02066417984256</v>
      </c>
      <c r="H23" s="9" t="str">
        <f>IF($D$3="English","kpsi","MPa")</f>
        <v>kpsi</v>
      </c>
      <c r="J23" s="9"/>
      <c r="K23" s="32">
        <f>IF($D$3="English",K22*10^-3,K22*10^-6)</f>
        <v>10.020064019700524</v>
      </c>
      <c r="L23" s="9" t="str">
        <f>IF($D$3="English","kpsi","MPa")</f>
        <v>kpsi</v>
      </c>
      <c r="AF23"/>
      <c r="AG23"/>
      <c r="AH23"/>
      <c r="AJ23" s="21">
        <v>43</v>
      </c>
      <c r="AK23" s="26">
        <v>0.39700000000000002</v>
      </c>
      <c r="AR23" s="12"/>
      <c r="AY23" s="12"/>
      <c r="BF23" s="12"/>
      <c r="BM23" s="12"/>
      <c r="BT23" s="12"/>
      <c r="CA23" s="12"/>
      <c r="CH23" s="12"/>
      <c r="CO23" s="12"/>
    </row>
    <row r="24" spans="2:93" ht="15" customHeight="1" x14ac:dyDescent="0.25">
      <c r="F24" s="9" t="s">
        <v>75</v>
      </c>
      <c r="G24" s="22">
        <f>G22*K15</f>
        <v>12826.450150198476</v>
      </c>
      <c r="H24" s="9" t="str">
        <f>IF($D$3="English","psi","Pa")</f>
        <v>psi</v>
      </c>
      <c r="J24" s="9" t="s">
        <v>75</v>
      </c>
      <c r="K24" s="22">
        <f>K22*K15</f>
        <v>12825.681945216667</v>
      </c>
      <c r="L24" s="9" t="str">
        <f>IF($D$3="English","psi","Pa")</f>
        <v>psi</v>
      </c>
      <c r="AF24"/>
      <c r="AG24"/>
      <c r="AH24"/>
      <c r="AJ24" s="21">
        <v>50</v>
      </c>
      <c r="AK24" s="26">
        <v>0.40899999999999997</v>
      </c>
      <c r="AR24" s="12"/>
      <c r="AY24" s="12"/>
      <c r="BF24" s="12"/>
      <c r="BM24" s="12"/>
      <c r="BT24" s="12"/>
      <c r="CA24" s="12"/>
      <c r="CH24" s="12"/>
      <c r="CO24" s="12"/>
    </row>
    <row r="25" spans="2:93" ht="15" customHeight="1" x14ac:dyDescent="0.25">
      <c r="F25" s="9"/>
      <c r="G25" s="33">
        <f>IF($D$3="English",G24*10^-3,G24*10^-6)</f>
        <v>12.826450150198477</v>
      </c>
      <c r="H25" s="9" t="str">
        <f>IF($D$3="English","kpsi","MPa")</f>
        <v>kpsi</v>
      </c>
      <c r="J25" s="9"/>
      <c r="K25" s="33">
        <f>IF($D$3="English",K24*10^-3,K24*10^-6)</f>
        <v>12.825681945216667</v>
      </c>
      <c r="L25" s="9" t="str">
        <f>IF($D$3="English","kpsi","MPa")</f>
        <v>kpsi</v>
      </c>
      <c r="AF25"/>
      <c r="AG25"/>
      <c r="AH25"/>
      <c r="AJ25" s="21">
        <v>60</v>
      </c>
      <c r="AK25" s="26">
        <v>0.42199999999999999</v>
      </c>
      <c r="AR25" s="12"/>
      <c r="AY25" s="12"/>
      <c r="BF25" s="12"/>
      <c r="BM25" s="12"/>
      <c r="BT25" s="12"/>
      <c r="CA25" s="12"/>
      <c r="CH25" s="12"/>
      <c r="CO25" s="12"/>
    </row>
    <row r="26" spans="2:93" ht="15" customHeight="1" x14ac:dyDescent="0.25">
      <c r="AF26"/>
      <c r="AG26"/>
      <c r="AH26"/>
      <c r="AJ26" s="21">
        <v>75</v>
      </c>
      <c r="AK26" s="26">
        <v>0.435</v>
      </c>
      <c r="AR26" s="12"/>
      <c r="AY26" s="12"/>
      <c r="BF26" s="12"/>
      <c r="BM26" s="12"/>
      <c r="BT26" s="12"/>
      <c r="CA26" s="12"/>
      <c r="CH26" s="12"/>
      <c r="CO26" s="12"/>
    </row>
    <row r="27" spans="2:93" ht="15" customHeight="1" x14ac:dyDescent="0.25">
      <c r="AF27"/>
      <c r="AG27"/>
      <c r="AH27"/>
      <c r="AJ27" s="21">
        <v>100</v>
      </c>
      <c r="AK27" s="26">
        <v>0.44700000000000001</v>
      </c>
      <c r="AR27" s="12"/>
      <c r="AY27" s="12"/>
      <c r="BF27" s="12"/>
      <c r="BM27" s="12"/>
      <c r="BT27" s="12"/>
      <c r="CA27" s="12"/>
      <c r="CH27" s="12"/>
      <c r="CO27" s="12"/>
    </row>
    <row r="28" spans="2:93" ht="15" customHeight="1" x14ac:dyDescent="0.25">
      <c r="AB28"/>
      <c r="AC28"/>
      <c r="AD28"/>
      <c r="AF28"/>
      <c r="AG28"/>
      <c r="AH28"/>
      <c r="AJ28" s="21">
        <v>150</v>
      </c>
      <c r="AK28" s="26">
        <v>0.46</v>
      </c>
      <c r="AR28" s="12"/>
      <c r="AY28" s="12"/>
      <c r="BF28" s="12"/>
      <c r="BM28" s="12"/>
      <c r="BT28" s="12"/>
      <c r="CA28" s="12"/>
      <c r="CH28" s="12"/>
      <c r="CO28" s="12"/>
    </row>
    <row r="29" spans="2:93" ht="15" customHeight="1" x14ac:dyDescent="0.25">
      <c r="AB29"/>
      <c r="AC29"/>
      <c r="AD29"/>
      <c r="AF29"/>
      <c r="AG29"/>
      <c r="AH29"/>
      <c r="AJ29" s="21">
        <v>300</v>
      </c>
      <c r="AK29" s="26">
        <v>0.47199999999999998</v>
      </c>
      <c r="AR29" s="12"/>
      <c r="AY29" s="12"/>
      <c r="BF29" s="12"/>
      <c r="BM29" s="12"/>
      <c r="BT29" s="12"/>
      <c r="CA29" s="12"/>
      <c r="CH29" s="12"/>
      <c r="CO29" s="12"/>
    </row>
    <row r="30" spans="2:93" ht="15" customHeight="1" x14ac:dyDescent="0.25">
      <c r="AB30"/>
      <c r="AC30"/>
      <c r="AD30"/>
      <c r="AF30"/>
      <c r="AG30"/>
      <c r="AH30"/>
      <c r="AJ30" s="21">
        <v>400</v>
      </c>
      <c r="AK30" s="26">
        <v>0.48</v>
      </c>
      <c r="AR30" s="12"/>
      <c r="AY30" s="12"/>
      <c r="BF30" s="12"/>
      <c r="BM30" s="12"/>
      <c r="BT30" s="12"/>
      <c r="CA30" s="12"/>
      <c r="CH30" s="12"/>
      <c r="CO30" s="12"/>
    </row>
    <row r="31" spans="2:93" ht="15" customHeight="1" thickBot="1" x14ac:dyDescent="0.3">
      <c r="AB31"/>
      <c r="AC31"/>
      <c r="AD31"/>
      <c r="AF31"/>
      <c r="AG31"/>
      <c r="AH31"/>
      <c r="AJ31" s="19" t="s">
        <v>30</v>
      </c>
      <c r="AK31" s="20">
        <v>0.48499999999999999</v>
      </c>
      <c r="AR31" s="12"/>
      <c r="AY31" s="12"/>
      <c r="BF31" s="12"/>
      <c r="BM31" s="12"/>
      <c r="BT31" s="12"/>
      <c r="CA31" s="12"/>
      <c r="CH31" s="12"/>
      <c r="CO31" s="12"/>
    </row>
    <row r="32" spans="2:93" ht="15" customHeight="1" x14ac:dyDescent="0.25">
      <c r="AB32"/>
      <c r="AC32"/>
      <c r="AD32"/>
      <c r="AF32"/>
      <c r="AG32"/>
      <c r="AH32"/>
      <c r="AR32" s="12"/>
      <c r="AY32" s="12"/>
      <c r="BF32" s="12"/>
      <c r="BM32" s="12"/>
      <c r="BT32" s="12"/>
      <c r="CA32" s="12"/>
      <c r="CH32" s="12"/>
      <c r="CO32" s="12"/>
    </row>
    <row r="33" spans="13:93" ht="15" customHeight="1" x14ac:dyDescent="0.25">
      <c r="AB33"/>
      <c r="AC33"/>
      <c r="AD33"/>
      <c r="AF33"/>
      <c r="AG33"/>
      <c r="AH33"/>
      <c r="AR33" s="12"/>
      <c r="AY33" s="12"/>
      <c r="BF33" s="12"/>
      <c r="BM33" s="12"/>
      <c r="BT33" s="12"/>
      <c r="CA33" s="12"/>
      <c r="CH33" s="12"/>
      <c r="CO33" s="12"/>
    </row>
    <row r="34" spans="13:93" ht="15" customHeight="1" x14ac:dyDescent="0.25">
      <c r="AB34"/>
      <c r="AC34"/>
      <c r="AD34"/>
      <c r="AF34"/>
      <c r="AG34"/>
      <c r="AH34"/>
      <c r="AR34" s="12"/>
      <c r="AY34" s="12"/>
      <c r="BF34" s="12"/>
      <c r="BM34" s="12"/>
      <c r="BT34" s="12"/>
      <c r="CA34" s="12"/>
      <c r="CH34" s="12"/>
      <c r="CO34" s="12"/>
    </row>
    <row r="35" spans="13:93" ht="15" customHeight="1" x14ac:dyDescent="0.25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/>
      <c r="AC35"/>
      <c r="AD35"/>
      <c r="AF35"/>
      <c r="AG35"/>
      <c r="AH35"/>
      <c r="AR35" s="12"/>
      <c r="AY35" s="12"/>
      <c r="BF35" s="12"/>
      <c r="BM35" s="12"/>
      <c r="BT35" s="12"/>
      <c r="CA35" s="12"/>
      <c r="CH35" s="12"/>
      <c r="CO35" s="12"/>
    </row>
    <row r="36" spans="13:93" ht="15" customHeight="1" x14ac:dyDescent="0.25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/>
      <c r="AC36"/>
      <c r="AD36"/>
      <c r="AF36"/>
      <c r="AG36"/>
      <c r="AH36"/>
      <c r="AK36" s="12"/>
      <c r="AR36" s="12"/>
      <c r="AY36" s="12"/>
      <c r="BF36" s="12"/>
      <c r="BM36" s="12"/>
      <c r="BT36" s="12"/>
      <c r="CA36" s="12"/>
      <c r="CH36" s="12"/>
      <c r="CO36" s="12"/>
    </row>
    <row r="37" spans="13:93" ht="15" customHeight="1" x14ac:dyDescent="0.25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K37" s="12"/>
      <c r="AR37" s="12"/>
      <c r="AY37" s="12"/>
      <c r="BF37" s="12"/>
      <c r="BM37" s="12"/>
      <c r="BT37" s="12"/>
      <c r="CA37" s="12"/>
      <c r="CH37" s="12"/>
      <c r="CO37" s="12"/>
    </row>
    <row r="38" spans="13:93" ht="15" customHeight="1" x14ac:dyDescent="0.25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K38" s="12"/>
      <c r="AR38" s="12"/>
      <c r="AY38" s="12"/>
      <c r="BF38" s="12"/>
      <c r="BM38" s="12"/>
      <c r="BT38" s="12"/>
      <c r="CA38" s="12"/>
      <c r="CH38" s="12"/>
      <c r="CO38" s="12"/>
    </row>
    <row r="39" spans="13:93" ht="15" customHeight="1" x14ac:dyDescent="0.25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K39" s="12"/>
      <c r="AR39" s="12"/>
      <c r="AY39" s="12"/>
      <c r="BF39" s="12"/>
      <c r="BM39" s="12"/>
      <c r="BT39" s="12"/>
      <c r="CA39" s="12"/>
      <c r="CH39" s="12"/>
      <c r="CO39" s="12"/>
    </row>
    <row r="40" spans="13:93" ht="15" customHeight="1" x14ac:dyDescent="0.25">
      <c r="AK40" s="12"/>
      <c r="AR40" s="12"/>
      <c r="AY40" s="12"/>
      <c r="BF40" s="12"/>
      <c r="BM40" s="12"/>
      <c r="BT40" s="12"/>
      <c r="CA40" s="12"/>
      <c r="CH40" s="12"/>
      <c r="CO40" s="12"/>
    </row>
    <row r="41" spans="13:93" ht="15" customHeight="1" x14ac:dyDescent="0.25">
      <c r="AK41" s="12"/>
      <c r="AR41" s="12"/>
      <c r="AY41" s="12"/>
      <c r="BF41" s="12"/>
      <c r="BM41" s="12"/>
      <c r="BT41" s="12"/>
      <c r="CA41" s="12"/>
      <c r="CH41" s="12"/>
      <c r="CO41" s="12"/>
    </row>
    <row r="42" spans="13:93" ht="15" customHeight="1" x14ac:dyDescent="0.25">
      <c r="AK42" s="12"/>
      <c r="AR42" s="12"/>
      <c r="AY42" s="12"/>
      <c r="BF42" s="12"/>
      <c r="BM42" s="12"/>
      <c r="BT42" s="12"/>
      <c r="CA42" s="12"/>
      <c r="CH42" s="12"/>
      <c r="CO42" s="12"/>
    </row>
    <row r="43" spans="13:93" ht="15" customHeight="1" x14ac:dyDescent="0.25">
      <c r="AK43" s="12"/>
      <c r="AR43" s="12"/>
      <c r="AY43" s="12"/>
      <c r="BF43" s="12"/>
      <c r="BM43" s="12"/>
      <c r="BT43" s="12"/>
      <c r="CA43" s="12"/>
      <c r="CH43" s="12"/>
      <c r="CO43" s="12"/>
    </row>
    <row r="44" spans="13:93" ht="15" customHeight="1" x14ac:dyDescent="0.25">
      <c r="AK44" s="12"/>
      <c r="AR44" s="12"/>
      <c r="AY44" s="12"/>
      <c r="BF44" s="12"/>
      <c r="BM44" s="12"/>
      <c r="BT44" s="12"/>
      <c r="CA44" s="12"/>
      <c r="CH44" s="12"/>
      <c r="CO44" s="12"/>
    </row>
    <row r="45" spans="13:93" ht="15" customHeight="1" x14ac:dyDescent="0.25">
      <c r="AK45" s="12"/>
      <c r="AR45" s="12"/>
      <c r="AY45" s="12"/>
      <c r="BF45" s="12"/>
      <c r="BM45" s="12"/>
      <c r="BT45" s="12"/>
      <c r="CA45" s="12"/>
      <c r="CH45" s="12"/>
      <c r="CO45" s="12"/>
    </row>
    <row r="46" spans="13:93" ht="15" customHeight="1" x14ac:dyDescent="0.25">
      <c r="AK46" s="12"/>
      <c r="AR46" s="12"/>
      <c r="AY46" s="12"/>
      <c r="BF46" s="12"/>
      <c r="BM46" s="12"/>
      <c r="BT46" s="12"/>
      <c r="CA46" s="12"/>
      <c r="CH46" s="12"/>
      <c r="CO46" s="12"/>
    </row>
    <row r="47" spans="13:93" ht="15" customHeight="1" x14ac:dyDescent="0.25">
      <c r="AK47" s="12"/>
      <c r="AR47" s="12"/>
      <c r="AY47" s="12"/>
      <c r="BF47" s="12"/>
      <c r="BM47" s="12"/>
      <c r="BT47" s="12"/>
      <c r="CA47" s="12"/>
      <c r="CH47" s="12"/>
      <c r="CO47" s="12"/>
    </row>
    <row r="48" spans="13:93" ht="15" customHeight="1" x14ac:dyDescent="0.25">
      <c r="AK48" s="12"/>
      <c r="AR48" s="12"/>
      <c r="AY48" s="12"/>
      <c r="BF48" s="12"/>
      <c r="BM48" s="12"/>
      <c r="BT48" s="12"/>
      <c r="CA48" s="12"/>
      <c r="CH48" s="12"/>
      <c r="CO48" s="12"/>
    </row>
    <row r="49" spans="8:93" ht="15" customHeight="1" x14ac:dyDescent="0.25">
      <c r="AK49" s="12"/>
      <c r="AR49" s="12"/>
      <c r="AY49" s="12"/>
      <c r="BF49" s="12"/>
      <c r="BM49" s="12"/>
      <c r="BT49" s="12"/>
      <c r="CA49" s="12"/>
      <c r="CH49" s="12"/>
      <c r="CO49" s="12"/>
    </row>
    <row r="50" spans="8:93" ht="15" customHeight="1" x14ac:dyDescent="0.25">
      <c r="AK50" s="12"/>
      <c r="AR50" s="12"/>
      <c r="AY50" s="12"/>
      <c r="BF50" s="12"/>
      <c r="BM50" s="12"/>
      <c r="BT50" s="12"/>
      <c r="CA50" s="12"/>
      <c r="CH50" s="12"/>
      <c r="CO50" s="12"/>
    </row>
    <row r="51" spans="8:93" ht="15" customHeight="1" x14ac:dyDescent="0.25">
      <c r="AK51" s="12"/>
      <c r="AR51" s="12"/>
      <c r="AY51" s="12"/>
      <c r="BF51" s="12"/>
      <c r="BM51" s="12"/>
      <c r="BT51" s="12"/>
      <c r="CA51" s="12"/>
      <c r="CH51" s="12"/>
      <c r="CO51" s="12"/>
    </row>
    <row r="52" spans="8:93" ht="15" customHeight="1" x14ac:dyDescent="0.25">
      <c r="AK52" s="12"/>
      <c r="AR52" s="12"/>
      <c r="AY52" s="12"/>
      <c r="BF52" s="12"/>
      <c r="BM52" s="12"/>
      <c r="BT52" s="12"/>
      <c r="CA52" s="12"/>
      <c r="CH52" s="12"/>
      <c r="CO52" s="12"/>
    </row>
    <row r="53" spans="8:93" ht="15" customHeight="1" x14ac:dyDescent="0.25">
      <c r="AK53" s="12"/>
      <c r="AR53" s="12"/>
      <c r="AY53" s="12"/>
      <c r="BF53" s="12"/>
      <c r="BM53" s="12"/>
      <c r="BT53" s="12"/>
      <c r="CA53" s="12"/>
      <c r="CH53" s="12"/>
      <c r="CO53" s="12"/>
    </row>
    <row r="54" spans="8:93" ht="15" customHeight="1" x14ac:dyDescent="0.25">
      <c r="AK54" s="12"/>
      <c r="AR54" s="12"/>
      <c r="AY54" s="12"/>
      <c r="BF54" s="12"/>
      <c r="BM54" s="12"/>
      <c r="BT54" s="12"/>
      <c r="CA54" s="12"/>
      <c r="CH54" s="12"/>
      <c r="CO54" s="12"/>
    </row>
    <row r="55" spans="8:93" ht="15" customHeight="1" x14ac:dyDescent="0.25">
      <c r="AK55" s="12"/>
      <c r="AR55" s="12"/>
      <c r="AY55" s="12"/>
      <c r="BF55" s="12"/>
      <c r="BM55" s="12"/>
      <c r="BT55" s="12"/>
      <c r="CA55" s="12"/>
      <c r="CH55" s="12"/>
      <c r="CO55" s="12"/>
    </row>
    <row r="56" spans="8:93" ht="15" customHeight="1" x14ac:dyDescent="0.25">
      <c r="AK56" s="12"/>
      <c r="AR56" s="12"/>
      <c r="AY56" s="12"/>
      <c r="BF56" s="12"/>
      <c r="BM56" s="12"/>
      <c r="BT56" s="12"/>
      <c r="CA56" s="12"/>
      <c r="CH56" s="12"/>
      <c r="CO56" s="12"/>
    </row>
    <row r="57" spans="8:93" ht="15" customHeight="1" x14ac:dyDescent="0.25">
      <c r="H57"/>
      <c r="AK57" s="12"/>
      <c r="AR57" s="12"/>
      <c r="AY57" s="12"/>
      <c r="BF57" s="12"/>
      <c r="BM57" s="12"/>
      <c r="BT57" s="12"/>
      <c r="CA57" s="12"/>
      <c r="CH57" s="12"/>
      <c r="CO57" s="12"/>
    </row>
    <row r="58" spans="8:93" ht="15" customHeight="1" x14ac:dyDescent="0.25">
      <c r="AK58" s="12"/>
      <c r="AR58" s="12"/>
      <c r="AY58" s="12"/>
      <c r="BF58" s="12"/>
      <c r="BM58" s="12"/>
      <c r="BT58" s="12"/>
      <c r="CA58" s="12"/>
      <c r="CH58" s="12"/>
      <c r="CO58" s="12"/>
    </row>
    <row r="59" spans="8:93" ht="15" customHeight="1" x14ac:dyDescent="0.25">
      <c r="AK59" s="12"/>
      <c r="AR59" s="12"/>
      <c r="AY59" s="12"/>
      <c r="BF59" s="12"/>
      <c r="BM59" s="12"/>
      <c r="BT59" s="12"/>
      <c r="CA59" s="12"/>
      <c r="CH59" s="12"/>
      <c r="CO59" s="12"/>
    </row>
    <row r="60" spans="8:93" ht="15" customHeight="1" x14ac:dyDescent="0.25">
      <c r="AK60" s="12"/>
      <c r="AR60" s="12"/>
      <c r="AY60" s="12"/>
      <c r="BF60" s="12"/>
      <c r="BM60" s="12"/>
      <c r="BT60" s="12"/>
      <c r="CA60" s="12"/>
      <c r="CH60" s="12"/>
      <c r="CO60" s="12"/>
    </row>
    <row r="61" spans="8:93" ht="15" customHeight="1" x14ac:dyDescent="0.25">
      <c r="AK61" s="12"/>
      <c r="AR61" s="12"/>
      <c r="AY61" s="12"/>
      <c r="BF61" s="12"/>
      <c r="BM61" s="12"/>
      <c r="BT61" s="12"/>
      <c r="CA61" s="12"/>
      <c r="CH61" s="12"/>
      <c r="CO61" s="12"/>
    </row>
    <row r="62" spans="8:93" ht="15" customHeight="1" x14ac:dyDescent="0.25">
      <c r="AK62" s="12"/>
      <c r="AR62" s="12"/>
      <c r="AY62" s="12"/>
      <c r="BF62" s="12"/>
      <c r="BM62" s="12"/>
      <c r="BT62" s="12"/>
      <c r="CA62" s="12"/>
      <c r="CH62" s="12"/>
      <c r="CO62" s="12"/>
    </row>
    <row r="63" spans="8:93" ht="15" customHeight="1" x14ac:dyDescent="0.25">
      <c r="AK63" s="12"/>
      <c r="AR63" s="12"/>
      <c r="AY63" s="12"/>
      <c r="BF63" s="12"/>
      <c r="BM63" s="12"/>
      <c r="BT63" s="12"/>
      <c r="CA63" s="12"/>
      <c r="CH63" s="12"/>
      <c r="CO63" s="12"/>
    </row>
    <row r="64" spans="8:93" ht="15" customHeight="1" x14ac:dyDescent="0.25">
      <c r="AK64" s="12"/>
      <c r="AR64" s="12"/>
      <c r="AY64" s="12"/>
      <c r="BF64" s="12"/>
      <c r="BM64" s="12"/>
      <c r="BT64" s="12"/>
      <c r="CA64" s="12"/>
      <c r="CH64" s="12"/>
      <c r="CO64" s="12"/>
    </row>
    <row r="69" spans="2:12" ht="15" customHeight="1" x14ac:dyDescent="0.25">
      <c r="B69" s="30"/>
      <c r="C69" s="30" t="s">
        <v>55</v>
      </c>
      <c r="D69" s="30"/>
      <c r="E69" s="31"/>
      <c r="F69" s="30"/>
      <c r="G69" s="30"/>
      <c r="H69" s="30"/>
    </row>
    <row r="73" spans="2:12" ht="15" customHeight="1" x14ac:dyDescent="0.25">
      <c r="L73"/>
    </row>
    <row r="202" spans="2:32" ht="15" customHeight="1" x14ac:dyDescent="0.25">
      <c r="B202"/>
      <c r="AB202"/>
      <c r="AF202"/>
    </row>
  </sheetData>
  <conditionalFormatting sqref="B6:D6">
    <cfRule type="expression" dxfId="1" priority="1">
      <formula>$I$54</formula>
    </cfRule>
    <cfRule type="expression" dxfId="0" priority="2">
      <formula>$I$51</formula>
    </cfRule>
  </conditionalFormatting>
  <dataValidations count="2">
    <dataValidation type="list" allowBlank="1" showInputMessage="1" showErrorMessage="1" sqref="D3" xr:uid="{07D3B524-99CD-4010-AD5E-0D63F457369F}">
      <formula1>"English, Metric"</formula1>
    </dataValidation>
    <dataValidation type="list" allowBlank="1" showInputMessage="1" showErrorMessage="1" sqref="C16" xr:uid="{9BB9B338-B0F4-4721-A45C-F4244B4C0DC2}">
      <formula1>"Cast Profile, Cut or Milled Profile, Hobbed or Shaped Profile, Shaped or Ground Profile"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L26 Lewis Bend</vt:lpstr>
      <vt:lpstr>L26 Lewis Bend Q26 P1</vt:lpstr>
      <vt:lpstr>L26 Lewis Bend Q26 P2</vt:lpstr>
      <vt:lpstr>Gear Stress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Caiden Logan Bonney</dc:creator>
  <cp:lastModifiedBy>Caiden Logan Bonney</cp:lastModifiedBy>
  <dcterms:created xsi:type="dcterms:W3CDTF">2025-03-01T01:25:50Z</dcterms:created>
  <dcterms:modified xsi:type="dcterms:W3CDTF">2025-03-17T01:44:32Z</dcterms:modified>
</cp:coreProperties>
</file>