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 Lab/Lab 2 (Weeks 2&amp;3)/"/>
    </mc:Choice>
  </mc:AlternateContent>
  <xr:revisionPtr revIDLastSave="1361" documentId="11_0B1D56BE9CDCCE836B02CE7A5FB0D4A9BBFD1C62" xr6:coauthVersionLast="47" xr6:coauthVersionMax="47" xr10:uidLastSave="{89366BC5-A5FF-4300-8D83-CAA0B294B284}"/>
  <bookViews>
    <workbookView xWindow="-105" yWindow="0" windowWidth="19410" windowHeight="20985" xr2:uid="{00000000-000D-0000-FFFF-FFFF00000000}"/>
  </bookViews>
  <sheets>
    <sheet name="Jointed Assembly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7" l="1"/>
  <c r="L31" i="7" l="1"/>
  <c r="L30" i="7"/>
  <c r="I31" i="7"/>
  <c r="K31" i="7" s="1"/>
  <c r="F7" i="7"/>
  <c r="K30" i="7"/>
  <c r="J30" i="7"/>
  <c r="I30" i="7"/>
  <c r="C11" i="7" l="1"/>
  <c r="F6" i="7"/>
  <c r="L7" i="7" s="1"/>
  <c r="F5" i="7"/>
  <c r="L9" i="7"/>
  <c r="X42" i="7"/>
  <c r="AA34" i="7"/>
  <c r="X34" i="7"/>
  <c r="D34" i="7"/>
  <c r="AA33" i="7"/>
  <c r="X33" i="7"/>
  <c r="D33" i="7"/>
  <c r="M5" i="7" s="1"/>
  <c r="AT32" i="7"/>
  <c r="AS32" i="7"/>
  <c r="AA32" i="7"/>
  <c r="X32" i="7"/>
  <c r="D32" i="7"/>
  <c r="AA31" i="7"/>
  <c r="X31" i="7"/>
  <c r="D31" i="7"/>
  <c r="X30" i="7"/>
  <c r="D30" i="7"/>
  <c r="X29" i="7"/>
  <c r="D29" i="7"/>
  <c r="BG28" i="7"/>
  <c r="BA28" i="7"/>
  <c r="BG27" i="7"/>
  <c r="BA27" i="7"/>
  <c r="C27" i="7"/>
  <c r="C16" i="7" s="1"/>
  <c r="BG26" i="7"/>
  <c r="BA26" i="7"/>
  <c r="X26" i="7"/>
  <c r="BG25" i="7"/>
  <c r="BA25" i="7"/>
  <c r="X25" i="7"/>
  <c r="BG24" i="7"/>
  <c r="BA24" i="7"/>
  <c r="D24" i="7"/>
  <c r="C24" i="7"/>
  <c r="C10" i="7" s="1"/>
  <c r="B24" i="7"/>
  <c r="BG23" i="7"/>
  <c r="BA23" i="7"/>
  <c r="AA23" i="7"/>
  <c r="X23" i="7"/>
  <c r="D23" i="7"/>
  <c r="BG22" i="7"/>
  <c r="BA22" i="7"/>
  <c r="AO22" i="7"/>
  <c r="AI29" i="7" s="1" a="1"/>
  <c r="AA22" i="7"/>
  <c r="X22" i="7"/>
  <c r="D22" i="7"/>
  <c r="C22" i="7"/>
  <c r="C23" i="7" s="1"/>
  <c r="BG21" i="7"/>
  <c r="BA21" i="7"/>
  <c r="D21" i="7"/>
  <c r="C21" i="7"/>
  <c r="BG20" i="7"/>
  <c r="BA20" i="7"/>
  <c r="AA20" i="7"/>
  <c r="X20" i="7"/>
  <c r="W20" i="7"/>
  <c r="D20" i="7"/>
  <c r="BG19" i="7"/>
  <c r="BA19" i="7"/>
  <c r="AO19" i="7"/>
  <c r="AD19" i="7" a="1"/>
  <c r="W11" i="7" s="1"/>
  <c r="AA19" i="7"/>
  <c r="X19" i="7"/>
  <c r="W19" i="7"/>
  <c r="R19" i="7"/>
  <c r="D19" i="7"/>
  <c r="BG18" i="7"/>
  <c r="BA18" i="7"/>
  <c r="R18" i="7"/>
  <c r="D18" i="7"/>
  <c r="BG17" i="7"/>
  <c r="BA17" i="7"/>
  <c r="X17" i="7"/>
  <c r="R17" i="7"/>
  <c r="K17" i="7"/>
  <c r="D17" i="7"/>
  <c r="C17" i="7"/>
  <c r="C19" i="7" s="1"/>
  <c r="BG16" i="7"/>
  <c r="BA16" i="7"/>
  <c r="X16" i="7"/>
  <c r="R16" i="7"/>
  <c r="K16" i="7"/>
  <c r="D16" i="7"/>
  <c r="BG15" i="7"/>
  <c r="BA15" i="7"/>
  <c r="BG14" i="7"/>
  <c r="BA14" i="7"/>
  <c r="AY14" i="7"/>
  <c r="AX14" i="7"/>
  <c r="AW14" i="7"/>
  <c r="K14" i="7"/>
  <c r="D14" i="7"/>
  <c r="BG13" i="7"/>
  <c r="BA13" i="7"/>
  <c r="AY13" i="7"/>
  <c r="AX13" i="7"/>
  <c r="AW13" i="7"/>
  <c r="K13" i="7"/>
  <c r="BG12" i="7"/>
  <c r="BA12" i="7"/>
  <c r="AY12" i="7"/>
  <c r="AX12" i="7"/>
  <c r="AW12" i="7"/>
  <c r="X12" i="7"/>
  <c r="K12" i="7"/>
  <c r="D12" i="7"/>
  <c r="K5" i="7" s="1"/>
  <c r="BG11" i="7"/>
  <c r="BA11" i="7"/>
  <c r="AY11" i="7"/>
  <c r="AX11" i="7"/>
  <c r="AW11" i="7"/>
  <c r="X11" i="7"/>
  <c r="D11" i="7"/>
  <c r="BG10" i="7"/>
  <c r="BA10" i="7"/>
  <c r="AY10" i="7"/>
  <c r="AX10" i="7"/>
  <c r="AW10" i="7"/>
  <c r="X10" i="7"/>
  <c r="L10" i="7"/>
  <c r="K10" i="7"/>
  <c r="J10" i="7"/>
  <c r="M10" i="7" s="1"/>
  <c r="N10" i="7" s="1"/>
  <c r="BG9" i="7"/>
  <c r="BA9" i="7"/>
  <c r="AY9" i="7"/>
  <c r="AX9" i="7"/>
  <c r="AW9" i="7"/>
  <c r="X9" i="7"/>
  <c r="BG8" i="7"/>
  <c r="BA8" i="7"/>
  <c r="AY8" i="7"/>
  <c r="AX8" i="7"/>
  <c r="AW8" i="7"/>
  <c r="X8" i="7"/>
  <c r="G8" i="7"/>
  <c r="D8" i="7"/>
  <c r="BG7" i="7"/>
  <c r="BE7" i="7"/>
  <c r="BD7" i="7"/>
  <c r="BC7" i="7"/>
  <c r="BA7" i="7"/>
  <c r="AY7" i="7"/>
  <c r="AX7" i="7"/>
  <c r="AW7" i="7"/>
  <c r="X7" i="7"/>
  <c r="G7" i="7"/>
  <c r="D7" i="7"/>
  <c r="X6" i="7"/>
  <c r="K6" i="7"/>
  <c r="J6" i="7"/>
  <c r="G6" i="7"/>
  <c r="D6" i="7"/>
  <c r="X5" i="7"/>
  <c r="G5" i="7"/>
  <c r="L5" i="7" s="1"/>
  <c r="L6" i="7"/>
  <c r="D5" i="7"/>
  <c r="J5" i="7" s="1"/>
  <c r="C29" i="7" l="1"/>
  <c r="C30" i="7" s="1"/>
  <c r="Z19" i="7"/>
  <c r="Z20" i="7"/>
  <c r="K7" i="7"/>
  <c r="K9" i="7"/>
  <c r="W7" i="7"/>
  <c r="W8" i="7" s="1"/>
  <c r="W5" i="7"/>
  <c r="W6" i="7" s="1"/>
  <c r="J13" i="7"/>
  <c r="C20" i="7"/>
  <c r="C31" i="7" s="1"/>
  <c r="C32" i="7" s="1"/>
  <c r="J14" i="7"/>
  <c r="W12" i="7"/>
  <c r="M6" i="7"/>
  <c r="N6" i="7" s="1"/>
  <c r="AD19" i="7"/>
  <c r="AI29" i="7"/>
  <c r="W9" i="7"/>
  <c r="W10" i="7" s="1"/>
  <c r="W17" i="7" l="1"/>
  <c r="Q18" i="7" s="1"/>
  <c r="J7" i="7"/>
  <c r="J8" i="7"/>
  <c r="C33" i="7"/>
  <c r="W42" i="7" l="1"/>
  <c r="W29" i="7"/>
  <c r="W30" i="7" s="1"/>
  <c r="C34" i="7"/>
  <c r="M7" i="7"/>
  <c r="N7" i="7" s="1"/>
  <c r="L8" i="7"/>
  <c r="K8" i="7"/>
  <c r="J9" i="7"/>
  <c r="M9" i="7" s="1"/>
  <c r="N9" i="7" s="1"/>
  <c r="M8" i="7" l="1"/>
  <c r="N8" i="7" s="1"/>
  <c r="J16" i="7" s="1"/>
  <c r="J12" i="7"/>
  <c r="J17" i="7" l="1"/>
  <c r="W15" i="7"/>
  <c r="W22" i="7" l="1"/>
  <c r="W31" i="7" s="1"/>
  <c r="W32" i="7" s="1"/>
  <c r="W23" i="7"/>
  <c r="J19" i="7"/>
  <c r="W26" i="7"/>
  <c r="W25" i="7"/>
  <c r="W39" i="7"/>
  <c r="W16" i="7"/>
  <c r="W36" i="7" s="1"/>
  <c r="Z22" i="7" l="1"/>
  <c r="Z23" i="7"/>
  <c r="W33" i="7"/>
  <c r="W37" i="7"/>
  <c r="W34" i="7" l="1"/>
  <c r="Z33" i="7"/>
  <c r="Z34" i="7" s="1"/>
  <c r="Z31" i="7"/>
  <c r="Z32" i="7" l="1"/>
  <c r="W3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Logan Bonney</author>
  </authors>
  <commentList>
    <comment ref="W25" authorId="0" shapeId="0" xr:uid="{5ED2A529-0483-46BB-BFBB-A4C6B2E75145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  <comment ref="W26" authorId="0" shapeId="0" xr:uid="{C7274594-B90F-4CCB-948F-44F502F30E9B}">
      <text>
        <r>
          <rPr>
            <b/>
            <sz val="9"/>
            <color indexed="81"/>
            <rFont val="Tahoma"/>
            <family val="2"/>
          </rPr>
          <t>Caiden Logan Bonney:</t>
        </r>
        <r>
          <rPr>
            <sz val="9"/>
            <color indexed="81"/>
            <rFont val="Tahoma"/>
            <family val="2"/>
          </rPr>
          <t xml:space="preserve">
should be negative b/c in compression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<sst xmlns="http://schemas.openxmlformats.org/spreadsheetml/2006/main" count="168" uniqueCount="132">
  <si>
    <t/>
  </si>
  <si>
    <t>Metric</t>
  </si>
  <si>
    <t>INPUTS</t>
  </si>
  <si>
    <t>Units:</t>
  </si>
  <si>
    <t>OUTPUTS</t>
  </si>
  <si>
    <t>Tables</t>
  </si>
  <si>
    <t>Table 8-17</t>
  </si>
  <si>
    <t>Table 8-11</t>
  </si>
  <si>
    <t>Table 8-1</t>
  </si>
  <si>
    <t>Table 8-2</t>
  </si>
  <si>
    <t>Member Properties</t>
  </si>
  <si>
    <t>Frusta Dimensions</t>
  </si>
  <si>
    <t>Minimum Strengths of the Bolt</t>
  </si>
  <si>
    <t>English</t>
  </si>
  <si>
    <t>Apex angle, α</t>
  </si>
  <si>
    <t>degrees</t>
  </si>
  <si>
    <t>Elastic Modulus</t>
  </si>
  <si>
    <t>Segment</t>
  </si>
  <si>
    <t>1/k</t>
  </si>
  <si>
    <r>
      <t>Minimum Proof Strength, S</t>
    </r>
    <r>
      <rPr>
        <vertAlign val="subscript"/>
        <sz val="11"/>
        <color theme="1"/>
        <rFont val="Aptos Narrow"/>
        <family val="2"/>
        <scheme val="minor"/>
      </rPr>
      <t>p</t>
    </r>
  </si>
  <si>
    <t>Property Class</t>
  </si>
  <si>
    <t>Min Size</t>
  </si>
  <si>
    <t>Max Size</t>
  </si>
  <si>
    <t>Endurance Strength (Pa)</t>
  </si>
  <si>
    <t>Proof Strength (Pa)</t>
  </si>
  <si>
    <t>Tensile Strength (Pa)</t>
  </si>
  <si>
    <t>Yield Strength (Pa)</t>
  </si>
  <si>
    <t>Material</t>
  </si>
  <si>
    <t>UNC</t>
  </si>
  <si>
    <t>UNF</t>
  </si>
  <si>
    <r>
      <t>Top Washer Length, t</t>
    </r>
    <r>
      <rPr>
        <vertAlign val="subscript"/>
        <sz val="11"/>
        <color theme="1"/>
        <rFont val="Aptos Narrow"/>
        <family val="2"/>
        <scheme val="minor"/>
      </rPr>
      <t>tw</t>
    </r>
  </si>
  <si>
    <t>E top washer</t>
  </si>
  <si>
    <t>Low or medium carbon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</si>
  <si>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</si>
  <si>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Pitch </t>
    </r>
    <r>
      <rPr>
        <b/>
        <i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[mm]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</si>
  <si>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</si>
  <si>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[mm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</si>
  <si>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t>Size Designation</t>
  </si>
  <si>
    <r>
      <t xml:space="preserve">Nominal Major Diameter </t>
    </r>
    <r>
      <rPr>
        <b/>
        <i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</si>
  <si>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Threads per Inch </t>
    </r>
    <r>
      <rPr>
        <b/>
        <i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[in]</t>
    </r>
  </si>
  <si>
    <r>
      <t xml:space="preserve">Tensile-Stress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t</t>
    </r>
    <r>
      <rPr>
        <b/>
        <sz val="11"/>
        <color theme="1"/>
        <rFont val="Aptos Narrow"/>
        <family val="2"/>
        <scheme val="minor"/>
      </rPr>
      <t>​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</si>
  <si>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 xml:space="preserve">Minor-Diameter Area </t>
    </r>
    <r>
      <rPr>
        <b/>
        <i/>
        <sz val="11"/>
        <color theme="1"/>
        <rFont val="Aptos Narrow"/>
        <family val="2"/>
        <scheme val="minor"/>
      </rPr>
      <t>A</t>
    </r>
    <r>
      <rPr>
        <b/>
        <i/>
        <vertAlign val="subscript"/>
        <sz val="11"/>
        <color theme="1"/>
        <rFont val="Aptos Narrow"/>
        <family val="2"/>
        <scheme val="minor"/>
      </rPr>
      <t>r</t>
    </r>
    <r>
      <rPr>
        <b/>
        <sz val="11"/>
        <color theme="1"/>
        <rFont val="Aptos Narrow"/>
        <family val="2"/>
        <scheme val="minor"/>
      </rPr>
      <t xml:space="preserve"> [in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]</t>
    </r>
  </si>
  <si>
    <r>
      <t>Top Member Length, t</t>
    </r>
    <r>
      <rPr>
        <vertAlign val="subscript"/>
        <sz val="11"/>
        <color theme="1"/>
        <rFont val="Aptos Narrow"/>
        <family val="2"/>
        <scheme val="minor"/>
      </rPr>
      <t>tm</t>
    </r>
  </si>
  <si>
    <t>E top member</t>
  </si>
  <si>
    <r>
      <t>Minimum Tensile Strength, S</t>
    </r>
    <r>
      <rPr>
        <vertAlign val="subscript"/>
        <sz val="11"/>
        <color theme="1"/>
        <rFont val="Aptos Narrow"/>
        <family val="2"/>
        <scheme val="minor"/>
      </rPr>
      <t>ut</t>
    </r>
  </si>
  <si>
    <r>
      <t>Bottom Member Length, t</t>
    </r>
    <r>
      <rPr>
        <vertAlign val="subscript"/>
        <sz val="11"/>
        <color theme="1"/>
        <rFont val="Aptos Narrow"/>
        <family val="2"/>
        <scheme val="minor"/>
      </rPr>
      <t>bm</t>
    </r>
  </si>
  <si>
    <t>E bottom member</t>
  </si>
  <si>
    <r>
      <t>Bottom Washer Length, t</t>
    </r>
    <r>
      <rPr>
        <vertAlign val="subscript"/>
        <sz val="11"/>
        <color theme="1"/>
        <rFont val="Aptos Narrow"/>
        <family val="2"/>
        <scheme val="minor"/>
      </rPr>
      <t>bw</t>
    </r>
  </si>
  <si>
    <t>E bottom washer</t>
  </si>
  <si>
    <r>
      <t>Minimum Yield Strength, S</t>
    </r>
    <r>
      <rPr>
        <vertAlign val="subscript"/>
        <sz val="11"/>
        <color theme="1"/>
        <rFont val="Aptos Narrow"/>
        <family val="2"/>
        <scheme val="minor"/>
      </rPr>
      <t>y</t>
    </r>
  </si>
  <si>
    <t>Medium carbon, Q&amp;T</t>
  </si>
  <si>
    <t>Bolt Properties</t>
  </si>
  <si>
    <r>
      <t>Corrected Endurance Strength, S</t>
    </r>
    <r>
      <rPr>
        <vertAlign val="subscript"/>
        <sz val="11"/>
        <color theme="1"/>
        <rFont val="Aptos Narrow"/>
        <family val="2"/>
        <scheme val="minor"/>
      </rPr>
      <t>e</t>
    </r>
  </si>
  <si>
    <t>Low-carbon martensite, Q&amp;T</t>
  </si>
  <si>
    <t>Bolt elastic modulus, E</t>
  </si>
  <si>
    <t>Thickness check</t>
  </si>
  <si>
    <t>Min Size (in)</t>
  </si>
  <si>
    <t>Max Size (in)</t>
  </si>
  <si>
    <t>Endurance Strength (psi)</t>
  </si>
  <si>
    <t>Alloy, Q&amp;T</t>
  </si>
  <si>
    <t>Bolt diameter, d</t>
  </si>
  <si>
    <t>Grip length, l</t>
  </si>
  <si>
    <t>Series</t>
  </si>
  <si>
    <t>Half grip length, l/2</t>
  </si>
  <si>
    <t>Loading on Bolts</t>
  </si>
  <si>
    <t>Bolt Loading</t>
  </si>
  <si>
    <t>Table 8-9</t>
  </si>
  <si>
    <t>Bolt Length, L</t>
  </si>
  <si>
    <t>Number of Bolts, N</t>
  </si>
  <si>
    <t>Joint Compliance, C</t>
  </si>
  <si>
    <t>Grade No.</t>
  </si>
  <si>
    <r>
      <t>Member Stiffness, k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</si>
  <si>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External Load total, P</t>
    </r>
    <r>
      <rPr>
        <vertAlign val="subscript"/>
        <sz val="11"/>
        <color theme="1"/>
        <rFont val="Aptos Narrow"/>
        <family val="2"/>
        <scheme val="minor"/>
      </rPr>
      <t>min_total</t>
    </r>
  </si>
  <si>
    <r>
      <t>Opening load, P</t>
    </r>
    <r>
      <rPr>
        <vertAlign val="subscript"/>
        <sz val="11"/>
        <color theme="1"/>
        <rFont val="Aptos Narrow"/>
        <family val="2"/>
        <scheme val="minor"/>
      </rPr>
      <t>o</t>
    </r>
  </si>
  <si>
    <t>SAE Grade No.</t>
  </si>
  <si>
    <t>Proof Strength (psi)</t>
  </si>
  <si>
    <t>Tensile Strength (psi)</t>
  </si>
  <si>
    <t>Yield Strength (psi)</t>
  </si>
  <si>
    <r>
      <t>External Load total, P</t>
    </r>
    <r>
      <rPr>
        <vertAlign val="subscript"/>
        <sz val="11"/>
        <color theme="1"/>
        <rFont val="Aptos Narrow"/>
        <family val="2"/>
        <scheme val="minor"/>
      </rPr>
      <t>max_total</t>
    </r>
  </si>
  <si>
    <r>
      <t>Proof Load, P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</si>
  <si>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Threaded bolt length, L</t>
    </r>
    <r>
      <rPr>
        <vertAlign val="subscript"/>
        <sz val="11"/>
        <color theme="1"/>
        <rFont val="Aptos Narrow"/>
        <family val="2"/>
        <scheme val="minor"/>
      </rPr>
      <t>T</t>
    </r>
  </si>
  <si>
    <t>Fully Threaded</t>
  </si>
  <si>
    <r>
      <t>Preload, F</t>
    </r>
    <r>
      <rPr>
        <vertAlign val="subscript"/>
        <sz val="11"/>
        <color theme="1"/>
        <rFont val="Aptos Narrow"/>
        <family val="2"/>
        <scheme val="minor"/>
      </rPr>
      <t>i</t>
    </r>
  </si>
  <si>
    <t>Percent of Proof Load</t>
  </si>
  <si>
    <t>Filtering Table 8-17 for when one grade no. has two lines of data based on diameter</t>
  </si>
  <si>
    <t>Override threaded length</t>
  </si>
  <si>
    <t>Override Preload</t>
  </si>
  <si>
    <r>
      <t>External Load per joint, P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</si>
  <si>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Alternating External  Load per joint, P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</si>
  <si>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Unthreaded bolt length, l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</si>
  <si>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External Load per joint, P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</si>
  <si>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Mean External Load per joint, P</t>
    </r>
    <r>
      <rPr>
        <vertAlign val="subscript"/>
        <sz val="11"/>
        <color theme="1"/>
        <rFont val="Aptos Narrow"/>
        <family val="2"/>
        <scheme val="minor"/>
      </rPr>
      <t>m</t>
    </r>
  </si>
  <si>
    <t>Medium carbon, cold-drawn</t>
  </si>
  <si>
    <r>
      <t>Threaded bolt length in grip, l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</si>
  <si>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Area of unthreaded portion, A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</si>
  <si>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b_min</t>
    </r>
  </si>
  <si>
    <r>
      <t>Alternating Load per bolt, 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</si>
  <si>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Area of threaded portion, A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</si>
  <si>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Load per bolt, F</t>
    </r>
    <r>
      <rPr>
        <vertAlign val="subscript"/>
        <sz val="11"/>
        <color theme="1"/>
        <rFont val="Aptos Narrow"/>
        <family val="2"/>
        <scheme val="minor"/>
      </rPr>
      <t>b_max</t>
    </r>
  </si>
  <si>
    <r>
      <t>Mean Load per bolt, F</t>
    </r>
    <r>
      <rPr>
        <vertAlign val="subscript"/>
        <sz val="11"/>
        <color theme="1"/>
        <rFont val="Aptos Narrow"/>
        <family val="2"/>
        <scheme val="minor"/>
      </rPr>
      <t>m</t>
    </r>
  </si>
  <si>
    <t>Medium-carbon alloy, Q&amp;T</t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</si>
  <si>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</si>
  <si>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Load per member, F</t>
    </r>
    <r>
      <rPr>
        <vertAlign val="subscript"/>
        <sz val="11"/>
        <color theme="1"/>
        <rFont val="Aptos Narrow"/>
        <family val="2"/>
        <scheme val="minor"/>
      </rPr>
      <t>max</t>
    </r>
  </si>
  <si>
    <t>Threaded into bottom member</t>
  </si>
  <si>
    <t>Threaded into nut</t>
  </si>
  <si>
    <t>Bolt Stress</t>
  </si>
  <si>
    <t>Filtering Tables 8-9 and 8-11 for when one grade no. has two lines of data based on diameter</t>
  </si>
  <si>
    <r>
      <t>Initial Bolt Sress, σ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</si>
  <si>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Unthreaded Fastener Stiffness, k</t>
    </r>
    <r>
      <rPr>
        <vertAlign val="subscript"/>
        <sz val="11"/>
        <color theme="1"/>
        <rFont val="Aptos Narrow"/>
        <family val="2"/>
        <scheme val="minor"/>
      </rPr>
      <t>d</t>
    </r>
  </si>
  <si>
    <r>
      <t>Bolt Sress, σ</t>
    </r>
    <r>
      <rPr>
        <vertAlign val="subscript"/>
        <sz val="11"/>
        <color theme="1"/>
        <rFont val="Aptos Narrow"/>
        <family val="2"/>
        <scheme val="minor"/>
      </rPr>
      <t>min</t>
    </r>
  </si>
  <si>
    <r>
      <t>Alternating Bolt Sress, σ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</si>
  <si>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Threaded Fastener Stiffness, k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</si>
  <si>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Bolt Sress, σ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</si>
  <si>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Mean Bolt Sress, σ</t>
    </r>
    <r>
      <rPr>
        <vertAlign val="subscript"/>
        <sz val="11"/>
        <color theme="1"/>
        <rFont val="Aptos Narrow"/>
        <family val="2"/>
        <scheme val="minor"/>
      </rPr>
      <t>m</t>
    </r>
  </si>
  <si>
    <r>
      <t>Fastener Stiffness, k</t>
    </r>
    <r>
      <rPr>
        <vertAlign val="subscript"/>
        <sz val="11"/>
        <color theme="1"/>
        <rFont val="Aptos Narrow"/>
        <family val="2"/>
        <scheme val="minor"/>
      </rPr>
      <t>b</t>
    </r>
  </si>
  <si>
    <t>Factors of Safety</t>
  </si>
  <si>
    <r>
      <t>Joint opening FoS, η</t>
    </r>
    <r>
      <rPr>
        <vertAlign val="subscript"/>
        <sz val="11"/>
        <color theme="1"/>
        <rFont val="Aptos Narrow"/>
        <family val="2"/>
        <scheme val="minor"/>
      </rPr>
      <t>o</t>
    </r>
  </si>
  <si>
    <t>was written as FoS against yield on practice quiz --&gt;</t>
  </si>
  <si>
    <r>
      <t>Proof strength FoS, η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</si>
  <si>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Goodman Fatigue FoS, η</t>
    </r>
    <r>
      <rPr>
        <i/>
        <vertAlign val="subscript"/>
        <sz val="11"/>
        <color theme="1"/>
        <rFont val="Aptos Narrow"/>
        <family val="2"/>
        <scheme val="minor"/>
      </rPr>
      <t>f</t>
    </r>
  </si>
  <si>
    <t>EQ (8-38)</t>
  </si>
  <si>
    <r>
      <t>Proof load FoS, η</t>
    </r>
    <r>
      <rPr>
        <vertAlign val="subscript"/>
        <sz val="11"/>
        <color theme="1"/>
        <rFont val="Aptos Narrow"/>
        <family val="2"/>
        <scheme val="minor"/>
      </rPr>
      <t>L</t>
    </r>
  </si>
  <si>
    <t>Torque based on Preload</t>
  </si>
  <si>
    <t>Torque, T</t>
  </si>
  <si>
    <t>Torque coefficient, K</t>
  </si>
  <si>
    <t>.</t>
  </si>
  <si>
    <t xml:space="preserve">               change Bottom Washer Length to 0</t>
  </si>
  <si>
    <t xml:space="preserve">     &lt;---- Note that if this option is selected also</t>
  </si>
  <si>
    <t>member stiffness</t>
  </si>
  <si>
    <t>displacement</t>
  </si>
  <si>
    <t>Mlbf/in</t>
  </si>
  <si>
    <t>percent  errro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</si>
</sst>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0E+00"/>
    <numFmt numFmtId="165" formatCode="##0.0E+00"/>
    <numFmt numFmtId="166" formatCode="0.0000"/>
    <numFmt numFmtId="167" formatCode="##0.000E+00"/>
    <numFmt numFmtId="168" formatCode="##0.00E+00"/>
    <numFmt numFmtId="169" formatCode="0.000"/>
  </numFmts>
  <fonts count="10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vertAlign val="subscript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3" fillId="7" borderId="3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0" fillId="2" borderId="13" xfId="0" applyFill="1" applyBorder="1" applyAlignment="1">
      <alignment vertical="center"/>
    </xf>
    <xf numFmtId="165" fontId="0" fillId="2" borderId="0" xfId="0" applyNumberFormat="1" applyFill="1" applyAlignment="1">
      <alignment vertical="center"/>
    </xf>
    <xf numFmtId="0" fontId="0" fillId="3" borderId="14" xfId="0" applyFill="1" applyBorder="1" applyAlignment="1">
      <alignment vertical="center"/>
    </xf>
    <xf numFmtId="165" fontId="0" fillId="3" borderId="0" xfId="0" applyNumberFormat="1" applyFill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164" fontId="0" fillId="0" borderId="17" xfId="0" applyNumberFormat="1" applyBorder="1" applyAlignment="1">
      <alignment vertical="center"/>
    </xf>
    <xf numFmtId="164" fontId="0" fillId="0" borderId="18" xfId="0" applyNumberForma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19" xfId="0" applyBorder="1" applyAlignment="1">
      <alignment vertical="center"/>
    </xf>
    <xf numFmtId="0" fontId="3" fillId="8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166" fontId="0" fillId="3" borderId="0" xfId="0" applyNumberFormat="1" applyFill="1" applyAlignment="1">
      <alignment vertical="center"/>
    </xf>
    <xf numFmtId="167" fontId="0" fillId="3" borderId="0" xfId="0" applyNumberFormat="1" applyFill="1" applyAlignment="1">
      <alignment vertical="center"/>
    </xf>
    <xf numFmtId="164" fontId="0" fillId="0" borderId="19" xfId="0" applyNumberFormat="1" applyBorder="1" applyAlignment="1">
      <alignment vertical="center"/>
    </xf>
    <xf numFmtId="164" fontId="0" fillId="0" borderId="16" xfId="0" applyNumberForma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2" fontId="0" fillId="0" borderId="15" xfId="0" applyNumberFormat="1" applyBorder="1" applyAlignment="1">
      <alignment vertical="center" wrapText="1"/>
    </xf>
    <xf numFmtId="12" fontId="0" fillId="0" borderId="14" xfId="0" applyNumberForma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164" fontId="0" fillId="0" borderId="25" xfId="0" applyNumberFormat="1" applyBorder="1" applyAlignment="1">
      <alignment vertical="center"/>
    </xf>
    <xf numFmtId="0" fontId="0" fillId="5" borderId="2" xfId="0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167" fontId="0" fillId="0" borderId="0" xfId="0" applyNumberFormat="1" applyAlignment="1">
      <alignment vertical="center"/>
    </xf>
    <xf numFmtId="0" fontId="0" fillId="9" borderId="0" xfId="0" applyFill="1" applyAlignment="1">
      <alignment vertical="center"/>
    </xf>
    <xf numFmtId="164" fontId="0" fillId="0" borderId="24" xfId="0" applyNumberFormat="1" applyBorder="1" applyAlignment="1">
      <alignment vertical="center"/>
    </xf>
    <xf numFmtId="167" fontId="0" fillId="0" borderId="26" xfId="0" applyNumberFormat="1" applyBorder="1" applyAlignment="1">
      <alignment vertical="center"/>
    </xf>
    <xf numFmtId="167" fontId="0" fillId="0" borderId="24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2" fontId="0" fillId="2" borderId="0" xfId="0" applyNumberFormat="1" applyFill="1" applyAlignment="1">
      <alignment vertical="center"/>
    </xf>
    <xf numFmtId="0" fontId="0" fillId="0" borderId="2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2" borderId="0" xfId="0" applyFill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0" borderId="10" xfId="0" applyNumberFormat="1" applyBorder="1" applyAlignment="1">
      <alignment vertical="center"/>
    </xf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164" fontId="0" fillId="0" borderId="22" xfId="0" applyNumberFormat="1" applyBorder="1" applyAlignment="1">
      <alignment vertical="center"/>
    </xf>
    <xf numFmtId="168" fontId="0" fillId="3" borderId="0" xfId="0" applyNumberFormat="1" applyFill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3" borderId="0" xfId="1" applyNumberFormat="1" applyFont="1" applyFill="1" applyAlignment="1">
      <alignment vertical="center"/>
    </xf>
    <xf numFmtId="2" fontId="0" fillId="3" borderId="0" xfId="0" applyNumberFormat="1" applyFill="1" applyAlignment="1">
      <alignment vertical="center"/>
    </xf>
    <xf numFmtId="164" fontId="0" fillId="0" borderId="29" xfId="0" applyNumberFormat="1" applyBorder="1" applyAlignment="1">
      <alignment vertic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1" applyNumberFormat="1" applyFont="1" applyFill="1" applyAlignment="1">
      <alignment vertical="center"/>
    </xf>
    <xf numFmtId="9" fontId="0" fillId="2" borderId="0" xfId="2" applyFont="1" applyFill="1" applyAlignment="1">
      <alignment vertical="center"/>
    </xf>
    <xf numFmtId="0" fontId="0" fillId="0" borderId="17" xfId="0" applyBorder="1" applyAlignment="1">
      <alignment vertical="center"/>
    </xf>
    <xf numFmtId="166" fontId="0" fillId="9" borderId="0" xfId="0" applyNumberFormat="1" applyFill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164" fontId="0" fillId="0" borderId="32" xfId="0" applyNumberFormat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22" xfId="0" applyBorder="1" applyAlignment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35" xfId="0" applyBorder="1" applyAlignment="1">
      <alignment vertical="center"/>
    </xf>
    <xf numFmtId="0" fontId="0" fillId="3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2" fontId="0" fillId="0" borderId="23" xfId="0" applyNumberForma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7" borderId="31" xfId="0" applyFill="1" applyBorder="1" applyAlignment="1">
      <alignment vertical="center"/>
    </xf>
    <xf numFmtId="12" fontId="0" fillId="0" borderId="26" xfId="0" applyNumberFormat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167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31" xfId="0" applyNumberFormat="1" applyBorder="1" applyAlignment="1">
      <alignment vertical="center"/>
    </xf>
    <xf numFmtId="167" fontId="0" fillId="0" borderId="31" xfId="0" applyNumberFormat="1" applyBorder="1" applyAlignment="1">
      <alignment vertical="center"/>
    </xf>
    <xf numFmtId="0" fontId="0" fillId="0" borderId="32" xfId="0" applyBorder="1" applyAlignment="1">
      <alignment vertical="center"/>
    </xf>
    <xf numFmtId="169" fontId="0" fillId="3" borderId="0" xfId="0" applyNumberFormat="1" applyFill="1" applyAlignment="1">
      <alignment vertical="center"/>
    </xf>
    <xf numFmtId="0" fontId="0" fillId="3" borderId="0" xfId="0" applyFill="1" applyAlignment="1">
      <alignment horizontal="right" vertical="center"/>
    </xf>
    <xf numFmtId="169" fontId="0" fillId="2" borderId="0" xfId="0" applyNumberFormat="1" applyFill="1" applyAlignment="1">
      <alignment vertical="center"/>
    </xf>
    <xf numFmtId="0" fontId="3" fillId="4" borderId="2" xfId="0" applyFont="1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0" borderId="0" xfId="0" quotePrefix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16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8" borderId="1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0"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Medium9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615507</xdr:colOff>
      <xdr:row>56</xdr:row>
      <xdr:rowOff>118164</xdr:rowOff>
    </xdr:from>
    <xdr:to>
      <xdr:col>8</xdr:col>
      <xdr:colOff>76647</xdr:colOff>
      <xdr:row>67</xdr:row>
      <xdr:rowOff>118164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BA9D14-5C19-4B11-96B7-C3F978E8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057" y="10786164"/>
          <a:ext cx="6519165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315006</xdr:colOff>
      <xdr:row>70</xdr:row>
      <xdr:rowOff>12247</xdr:rowOff>
    </xdr:from>
    <xdr:to>
      <xdr:col>8</xdr:col>
      <xdr:colOff>373173</xdr:colOff>
      <xdr:row>120</xdr:row>
      <xdr:rowOff>125186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7F7792-AF55-4C98-B753-6F5A2E631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006" y="13347247"/>
          <a:ext cx="7706742" cy="9637939"/>
        </a:xfrm>
        <a:prstGeom prst="rect">
          <a:avLst/>
        </a:prstGeom>
      </xdr:spPr>
    </xdr:pic>
    <xdr:clientData/>
  </xdr:twoCellAnchor>
  <xdr:twoCellAnchor editAs="oneCell">
    <xdr:from>
      <xdr:col>1</xdr:col>
      <xdr:colOff>119083</xdr:colOff>
      <xdr:row>35</xdr:row>
      <xdr:rowOff>147769</xdr:rowOff>
    </xdr:from>
    <xdr:to>
      <xdr:col>8</xdr:col>
      <xdr:colOff>602187</xdr:colOff>
      <xdr:row>53</xdr:row>
      <xdr:rowOff>79189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0AE2B8D-9942-4AF8-A86C-469BA1BA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9633" y="6815269"/>
          <a:ext cx="7541129" cy="3360420"/>
        </a:xfrm>
        <a:prstGeom prst="rect">
          <a:avLst/>
        </a:prstGeom>
      </xdr:spPr>
    </xdr:pic>
    <xdr:clientData/>
  </xdr:twoCellAnchor>
  <xdr:twoCellAnchor editAs="oneCell">
    <xdr:from>
      <xdr:col>42</xdr:col>
      <xdr:colOff>504825</xdr:colOff>
      <xdr:row>33</xdr:row>
      <xdr:rowOff>76200</xdr:rowOff>
    </xdr:from>
    <xdr:to>
      <xdr:col>50</xdr:col>
      <xdr:colOff>638175</xdr:colOff>
      <xdr:row>85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9538BF-D9F7-4A03-AF8D-BAE4A705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29375" y="6362700"/>
          <a:ext cx="7077075" cy="995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571500</xdr:colOff>
      <xdr:row>29</xdr:row>
      <xdr:rowOff>69273</xdr:rowOff>
    </xdr:from>
    <xdr:to>
      <xdr:col>62</xdr:col>
      <xdr:colOff>225632</xdr:colOff>
      <xdr:row>76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9E24D2-3BFA-4D0F-ABC7-5AFB0CA39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06650" y="5593773"/>
          <a:ext cx="9417257" cy="89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742084</xdr:colOff>
      <xdr:row>72</xdr:row>
      <xdr:rowOff>172316</xdr:rowOff>
    </xdr:from>
    <xdr:to>
      <xdr:col>42</xdr:col>
      <xdr:colOff>29610</xdr:colOff>
      <xdr:row>118</xdr:row>
      <xdr:rowOff>183065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16F91C-F84B-461B-B978-6D9EC3CB8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546309" y="13888316"/>
          <a:ext cx="9507851" cy="8773749"/>
        </a:xfrm>
        <a:prstGeom prst="rect">
          <a:avLst/>
        </a:prstGeom>
      </xdr:spPr>
    </xdr:pic>
    <xdr:clientData/>
  </xdr:twoCellAnchor>
  <xdr:twoCellAnchor editAs="oneCell">
    <xdr:from>
      <xdr:col>33</xdr:col>
      <xdr:colOff>833003</xdr:colOff>
      <xdr:row>119</xdr:row>
      <xdr:rowOff>96550</xdr:rowOff>
    </xdr:from>
    <xdr:to>
      <xdr:col>41</xdr:col>
      <xdr:colOff>400793</xdr:colOff>
      <xdr:row>177</xdr:row>
      <xdr:rowOff>40934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CB5C58-C15F-4743-907F-FD3CD3EA4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637228" y="22766050"/>
          <a:ext cx="9197565" cy="10993384"/>
        </a:xfrm>
        <a:prstGeom prst="rect">
          <a:avLst/>
        </a:prstGeom>
      </xdr:spPr>
    </xdr:pic>
    <xdr:clientData/>
  </xdr:twoCellAnchor>
  <xdr:twoCellAnchor editAs="oneCell">
    <xdr:from>
      <xdr:col>33</xdr:col>
      <xdr:colOff>917430</xdr:colOff>
      <xdr:row>31</xdr:row>
      <xdr:rowOff>97414</xdr:rowOff>
    </xdr:from>
    <xdr:to>
      <xdr:col>41</xdr:col>
      <xdr:colOff>434224</xdr:colOff>
      <xdr:row>71</xdr:row>
      <xdr:rowOff>22267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056409C-9A2B-4FDC-8DE4-BF8BF5625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721655" y="6002914"/>
          <a:ext cx="9146569" cy="7544853"/>
        </a:xfrm>
        <a:prstGeom prst="rect">
          <a:avLst/>
        </a:prstGeom>
      </xdr:spPr>
    </xdr:pic>
    <xdr:clientData/>
  </xdr:twoCellAnchor>
  <xdr:twoCellAnchor editAs="oneCell">
    <xdr:from>
      <xdr:col>28</xdr:col>
      <xdr:colOff>600891</xdr:colOff>
      <xdr:row>20</xdr:row>
      <xdr:rowOff>136546</xdr:rowOff>
    </xdr:from>
    <xdr:to>
      <xdr:col>33</xdr:col>
      <xdr:colOff>882540</xdr:colOff>
      <xdr:row>37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3B576A-A755-4373-8DBB-59F033096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794891" y="3946546"/>
          <a:ext cx="5891874" cy="3149579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</xdr:colOff>
      <xdr:row>72</xdr:row>
      <xdr:rowOff>0</xdr:rowOff>
    </xdr:from>
    <xdr:to>
      <xdr:col>25</xdr:col>
      <xdr:colOff>296159</xdr:colOff>
      <xdr:row>76</xdr:row>
      <xdr:rowOff>85843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4404B1-CDE9-4594-8317-415C5AEC1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92950" y="13716000"/>
          <a:ext cx="6335009" cy="847843"/>
        </a:xfrm>
        <a:prstGeom prst="rect">
          <a:avLst/>
        </a:prstGeom>
      </xdr:spPr>
    </xdr:pic>
    <xdr:clientData/>
  </xdr:twoCellAnchor>
  <xdr:twoCellAnchor editAs="oneCell">
    <xdr:from>
      <xdr:col>21</xdr:col>
      <xdr:colOff>197360</xdr:colOff>
      <xdr:row>77</xdr:row>
      <xdr:rowOff>76200</xdr:rowOff>
    </xdr:from>
    <xdr:to>
      <xdr:col>25</xdr:col>
      <xdr:colOff>19050</xdr:colOff>
      <xdr:row>92</xdr:row>
      <xdr:rowOff>4807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EEAD040-6768-4389-A6BF-0650ED81D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33160" y="14744700"/>
          <a:ext cx="5917690" cy="2786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47625</xdr:colOff>
      <xdr:row>59</xdr:row>
      <xdr:rowOff>111814</xdr:rowOff>
    </xdr:from>
    <xdr:to>
      <xdr:col>24</xdr:col>
      <xdr:colOff>1724024</xdr:colOff>
      <xdr:row>70</xdr:row>
      <xdr:rowOff>114299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8B8BD0-3A3B-41EE-B7AF-8B25A9B1A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83425" y="11351314"/>
          <a:ext cx="5467349" cy="2097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76200</xdr:colOff>
      <xdr:row>46</xdr:row>
      <xdr:rowOff>68658</xdr:rowOff>
    </xdr:from>
    <xdr:to>
      <xdr:col>25</xdr:col>
      <xdr:colOff>695324</xdr:colOff>
      <xdr:row>58</xdr:row>
      <xdr:rowOff>114299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9AC5F1-3CC5-4726-A05F-2B864B7D2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8831658"/>
          <a:ext cx="6715124" cy="233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7A6F0-5C52-4957-98A4-5DB490356E0B}">
  <sheetPr>
    <tabColor rgb="FFC00000"/>
  </sheetPr>
  <dimension ref="B2:BL150"/>
  <sheetViews>
    <sheetView tabSelected="1" zoomScale="85" zoomScaleNormal="85" workbookViewId="0">
      <selection activeCell="L32" sqref="L32"/>
    </sheetView>
  </sheetViews>
  <sheetFormatPr defaultColWidth="8.85546875" defaultRowHeight="15" customHeight="1" x14ac:dyDescent="0.25"/>
  <cols>
    <col min="1" max="1" width="8.85546875" style="4"/>
    <col min="2" max="2" width="30.7109375" style="4" bestFit="1" customWidth="1"/>
    <col min="3" max="3" width="13" style="4" customWidth="1"/>
    <col min="4" max="4" width="10.140625" style="4" customWidth="1"/>
    <col min="5" max="5" width="23" style="4" bestFit="1" customWidth="1"/>
    <col min="6" max="6" width="10.7109375" style="4" customWidth="1"/>
    <col min="7" max="8" width="9.140625" style="4" customWidth="1"/>
    <col min="9" max="9" width="19.28515625" style="4" bestFit="1" customWidth="1"/>
    <col min="10" max="10" width="15" style="4" bestFit="1" customWidth="1"/>
    <col min="11" max="11" width="10.140625" style="4" bestFit="1" customWidth="1"/>
    <col min="12" max="12" width="9.7109375" style="4" bestFit="1" customWidth="1"/>
    <col min="13" max="13" width="11" style="4" bestFit="1" customWidth="1"/>
    <col min="14" max="14" width="12" style="4" bestFit="1" customWidth="1"/>
    <col min="15" max="15" width="8.85546875" style="4"/>
    <col min="16" max="16" width="30.7109375" style="4" bestFit="1" customWidth="1"/>
    <col min="17" max="17" width="14.85546875" style="4" bestFit="1" customWidth="1"/>
    <col min="18" max="18" width="10.140625" style="4" customWidth="1"/>
    <col min="19" max="19" width="21.85546875" style="4" bestFit="1" customWidth="1"/>
    <col min="20" max="20" width="10.7109375" style="4" customWidth="1"/>
    <col min="21" max="21" width="8.85546875" style="4"/>
    <col min="22" max="22" width="30.28515625" style="4" bestFit="1" customWidth="1"/>
    <col min="23" max="23" width="16.42578125" style="4" bestFit="1" customWidth="1"/>
    <col min="24" max="24" width="10.140625" style="4" bestFit="1" customWidth="1"/>
    <col min="25" max="25" width="34.5703125" style="4" bestFit="1" customWidth="1"/>
    <col min="26" max="26" width="16.42578125" style="4" bestFit="1" customWidth="1"/>
    <col min="27" max="27" width="10.140625" style="4" customWidth="1"/>
    <col min="28" max="28" width="8.85546875" style="4"/>
    <col min="29" max="29" width="21.85546875" style="4" customWidth="1"/>
    <col min="30" max="30" width="14.28515625" style="4" bestFit="1" customWidth="1"/>
    <col min="31" max="31" width="12" style="4" bestFit="1" customWidth="1"/>
    <col min="32" max="32" width="12.28515625" style="4" bestFit="1" customWidth="1"/>
    <col min="33" max="33" width="23.7109375" style="4" bestFit="1" customWidth="1"/>
    <col min="34" max="34" width="21.28515625" style="4" customWidth="1"/>
    <col min="35" max="35" width="14.28515625" style="4" bestFit="1" customWidth="1"/>
    <col min="36" max="36" width="12" style="4" bestFit="1" customWidth="1"/>
    <col min="37" max="37" width="12.28515625" style="4" bestFit="1" customWidth="1"/>
    <col min="38" max="38" width="18.85546875" style="4" bestFit="1" customWidth="1"/>
    <col min="39" max="39" width="20.5703125" style="4" bestFit="1" customWidth="1"/>
    <col min="40" max="40" width="18.5703125" style="4" bestFit="1" customWidth="1"/>
    <col min="41" max="41" width="26.5703125" style="4" bestFit="1" customWidth="1"/>
    <col min="42" max="42" width="8.85546875" style="4"/>
    <col min="43" max="43" width="16.85546875" style="4" bestFit="1" customWidth="1"/>
    <col min="44" max="44" width="7.7109375" style="4" bestFit="1" customWidth="1"/>
    <col min="45" max="45" width="15.140625" style="4" customWidth="1"/>
    <col min="46" max="46" width="15.85546875" style="4" customWidth="1"/>
    <col min="47" max="47" width="8.85546875" style="4"/>
    <col min="48" max="48" width="16.85546875" style="4" bestFit="1" customWidth="1"/>
    <col min="49" max="49" width="7.7109375" style="4" bestFit="1" customWidth="1"/>
    <col min="50" max="50" width="15.140625" style="4" customWidth="1"/>
    <col min="51" max="51" width="15.85546875" style="4" customWidth="1"/>
    <col min="52" max="52" width="8.85546875" style="4"/>
    <col min="53" max="54" width="16.85546875" style="4" bestFit="1" customWidth="1"/>
    <col min="55" max="55" width="12" style="4" bestFit="1" customWidth="1"/>
    <col min="56" max="56" width="15.140625" style="4" customWidth="1"/>
    <col min="57" max="57" width="15.85546875" style="4" customWidth="1"/>
    <col min="58" max="58" width="8.85546875" style="4"/>
    <col min="59" max="60" width="16.85546875" style="4" bestFit="1" customWidth="1"/>
    <col min="61" max="61" width="12" style="4" bestFit="1" customWidth="1"/>
    <col min="62" max="62" width="15.140625" style="4" customWidth="1"/>
    <col min="63" max="63" width="15.85546875" style="4" customWidth="1"/>
    <col min="64" max="16384" width="8.85546875" style="4"/>
  </cols>
  <sheetData>
    <row r="2" spans="2:64" ht="15" customHeight="1" x14ac:dyDescent="0.25">
      <c r="B2" s="1" t="s">
        <v>2</v>
      </c>
      <c r="C2" s="2" t="s">
        <v>3</v>
      </c>
      <c r="D2" s="3" t="s">
        <v>13</v>
      </c>
      <c r="I2" s="5" t="s">
        <v>4</v>
      </c>
      <c r="J2" s="6"/>
      <c r="K2" s="6"/>
      <c r="L2" s="6"/>
      <c r="M2" s="6"/>
      <c r="N2" s="6"/>
      <c r="P2" s="1" t="s">
        <v>2</v>
      </c>
      <c r="Q2" s="7"/>
      <c r="R2" s="7"/>
      <c r="S2" s="7"/>
      <c r="T2" s="7"/>
      <c r="AC2" s="108" t="s">
        <v>5</v>
      </c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10" t="s">
        <v>0</v>
      </c>
    </row>
    <row r="3" spans="2:64" ht="15" customHeight="1" thickBot="1" x14ac:dyDescent="0.3">
      <c r="I3" s="7" t="s">
        <v>14</v>
      </c>
      <c r="J3" s="7">
        <v>30</v>
      </c>
      <c r="K3" s="7" t="s">
        <v>15</v>
      </c>
      <c r="AD3" s="4" t="s">
        <v>6</v>
      </c>
      <c r="AI3" s="4" t="s">
        <v>7</v>
      </c>
      <c r="AQ3" s="4" t="s">
        <v>8</v>
      </c>
      <c r="BA3" s="4" t="s">
        <v>9</v>
      </c>
    </row>
    <row r="4" spans="2:64" ht="15" customHeight="1" x14ac:dyDescent="0.25">
      <c r="B4" s="8" t="s">
        <v>10</v>
      </c>
      <c r="C4" s="9"/>
      <c r="D4" s="9"/>
      <c r="E4" s="16" t="s">
        <v>16</v>
      </c>
      <c r="F4" s="9"/>
      <c r="G4" s="9"/>
      <c r="I4" s="10" t="s">
        <v>11</v>
      </c>
      <c r="J4" s="10"/>
      <c r="K4" s="11"/>
      <c r="L4" s="11"/>
      <c r="M4" s="11"/>
      <c r="N4" s="11"/>
      <c r="V4" s="10" t="s">
        <v>12</v>
      </c>
      <c r="W4" s="10"/>
      <c r="X4" s="11"/>
      <c r="AD4" s="12" t="s">
        <v>1</v>
      </c>
      <c r="AE4" s="13"/>
      <c r="AF4" s="13"/>
      <c r="AG4" s="14"/>
      <c r="AI4" s="12" t="s">
        <v>1</v>
      </c>
      <c r="AJ4" s="13"/>
      <c r="AK4" s="13"/>
      <c r="AL4" s="15"/>
      <c r="AM4" s="15"/>
      <c r="AN4" s="13"/>
      <c r="AO4" s="14"/>
      <c r="AQ4" s="12"/>
      <c r="AR4" s="13"/>
      <c r="AS4" s="13"/>
      <c r="AT4" s="13"/>
      <c r="AU4" s="15" t="s">
        <v>1</v>
      </c>
      <c r="AV4" s="13"/>
      <c r="AW4" s="13"/>
      <c r="AX4" s="13"/>
      <c r="AY4" s="14"/>
      <c r="BA4" s="12"/>
      <c r="BB4" s="13"/>
      <c r="BC4" s="13"/>
      <c r="BD4" s="13"/>
      <c r="BE4" s="13"/>
      <c r="BF4" s="15" t="s">
        <v>13</v>
      </c>
      <c r="BG4" s="13"/>
      <c r="BH4" s="13"/>
      <c r="BI4" s="13"/>
      <c r="BJ4" s="13"/>
      <c r="BK4" s="14"/>
    </row>
    <row r="5" spans="2:64" ht="15" customHeight="1" x14ac:dyDescent="0.25">
      <c r="B5" s="7" t="s">
        <v>30</v>
      </c>
      <c r="C5" s="7">
        <v>9.5000000000000001E-2</v>
      </c>
      <c r="D5" s="7" t="str">
        <f>IF($D$2="English","in", "mm")</f>
        <v>in</v>
      </c>
      <c r="E5" s="24" t="s">
        <v>31</v>
      </c>
      <c r="F5" s="25">
        <f>CONVERT(210*10^9,"Pa","psi")</f>
        <v>30457924.923343934</v>
      </c>
      <c r="G5" s="7" t="str">
        <f t="shared" ref="G5:G8" si="0">IF($D$2="English","psi","Pa")</f>
        <v>psi</v>
      </c>
      <c r="I5" s="17" t="s">
        <v>17</v>
      </c>
      <c r="J5" s="18" t="str">
        <f>_xlfn.CONCAT("Thickness ", "[",D5,"]")</f>
        <v>Thickness [in]</v>
      </c>
      <c r="K5" s="18" t="str">
        <f>_xlfn.CONCAT("D ", "[",D12,"]")</f>
        <v>D [in]</v>
      </c>
      <c r="L5" s="18" t="str">
        <f>_xlfn.CONCAT("E ", "[",G5,"]")</f>
        <v>E [psi]</v>
      </c>
      <c r="M5" s="18" t="str">
        <f>_xlfn.CONCAT("k ", "[",D33,"]")</f>
        <v>k [lbf/in]</v>
      </c>
      <c r="N5" s="18" t="s">
        <v>18</v>
      </c>
      <c r="V5" s="6" t="s">
        <v>19</v>
      </c>
      <c r="W5" s="19">
        <f>IF(AND($C$12&gt;=$AJ$29,$C$12&lt;=$AK$29),AL29,IF(AND($C$12&gt;=$AJ$30,$C$12&lt;=$AK$30),AL30,NA()))</f>
        <v>85000</v>
      </c>
      <c r="X5" s="6" t="str">
        <f>IF($D$2="English","psi","Pa")</f>
        <v>psi</v>
      </c>
      <c r="AD5" s="20" t="s">
        <v>20</v>
      </c>
      <c r="AE5" s="21" t="s">
        <v>21</v>
      </c>
      <c r="AF5" s="21" t="s">
        <v>22</v>
      </c>
      <c r="AG5" s="22" t="s">
        <v>23</v>
      </c>
      <c r="AI5" s="20" t="s">
        <v>20</v>
      </c>
      <c r="AJ5" s="21" t="s">
        <v>21</v>
      </c>
      <c r="AK5" s="21" t="s">
        <v>22</v>
      </c>
      <c r="AL5" s="21" t="s">
        <v>24</v>
      </c>
      <c r="AM5" s="21" t="s">
        <v>25</v>
      </c>
      <c r="AN5" s="21" t="s">
        <v>26</v>
      </c>
      <c r="AO5" s="22" t="s">
        <v>27</v>
      </c>
      <c r="AQ5" s="115" t="s">
        <v>28</v>
      </c>
      <c r="AR5" s="116"/>
      <c r="AS5" s="116"/>
      <c r="AT5" s="116"/>
      <c r="AU5" s="23"/>
      <c r="AV5" s="116" t="s">
        <v>29</v>
      </c>
      <c r="AW5" s="116"/>
      <c r="AX5" s="116"/>
      <c r="AY5" s="117"/>
      <c r="BA5" s="115" t="s">
        <v>28</v>
      </c>
      <c r="BB5" s="116"/>
      <c r="BC5" s="116"/>
      <c r="BD5" s="116"/>
      <c r="BE5" s="116"/>
      <c r="BF5" s="23"/>
      <c r="BG5" s="116" t="s">
        <v>29</v>
      </c>
      <c r="BH5" s="116"/>
      <c r="BI5" s="116"/>
      <c r="BJ5" s="116"/>
      <c r="BK5" s="117"/>
    </row>
    <row r="6" spans="2:64" ht="15" customHeight="1" x14ac:dyDescent="0.25">
      <c r="B6" s="7" t="s">
        <v>42</v>
      </c>
      <c r="C6" s="7">
        <v>0.5</v>
      </c>
      <c r="D6" s="7" t="str">
        <f t="shared" ref="D6:D8" si="1">IF($D$2="English","in", "mm")</f>
        <v>in</v>
      </c>
      <c r="E6" s="24" t="s">
        <v>43</v>
      </c>
      <c r="F6" s="25">
        <f>CONVERT(210*10^9,"Pa","psi")</f>
        <v>30457924.923343934</v>
      </c>
      <c r="G6" s="7" t="str">
        <f t="shared" si="0"/>
        <v>psi</v>
      </c>
      <c r="I6" s="26">
        <v>1</v>
      </c>
      <c r="J6" s="6">
        <f>C5</f>
        <v>9.5000000000000001E-2</v>
      </c>
      <c r="K6" s="6">
        <f>1.5*C12</f>
        <v>0.75</v>
      </c>
      <c r="L6" s="27">
        <f>F5</f>
        <v>30457924.923343934</v>
      </c>
      <c r="M6" s="27">
        <f>IF(J6=0,0,(PI()*L6*$C$12*TAN(RADIANS($J$3)))/LN(((2*J6*TAN(RADIANS($J$3))+K6-$C$12)*(K6+$C$12))/((2*J6*TAN(RADIANS($J$3))+K6+$C$12)*(K6-$C$12))))</f>
        <v>98763230.069452688</v>
      </c>
      <c r="N6" s="27">
        <f>IF(M6=0,0,M6^-1)</f>
        <v>1.0125225747444427E-8</v>
      </c>
      <c r="V6" s="6"/>
      <c r="W6" s="6">
        <f>IF($D$2="English",W5*10^-3,W5*10^-6)</f>
        <v>85</v>
      </c>
      <c r="X6" s="6" t="str">
        <f>IF($D$2="English","kpsi","MPa")</f>
        <v>kpsi</v>
      </c>
      <c r="AD6" s="28">
        <v>8.8000000000000007</v>
      </c>
      <c r="AE6" s="29">
        <v>16</v>
      </c>
      <c r="AF6" s="29">
        <v>36</v>
      </c>
      <c r="AG6" s="30">
        <v>129000000</v>
      </c>
      <c r="AI6" s="28">
        <v>4.5999999999999996</v>
      </c>
      <c r="AJ6" s="29">
        <v>5</v>
      </c>
      <c r="AK6" s="29">
        <v>36</v>
      </c>
      <c r="AL6" s="31">
        <v>225000000</v>
      </c>
      <c r="AM6" s="32">
        <v>400000000</v>
      </c>
      <c r="AN6" s="31">
        <v>240000000</v>
      </c>
      <c r="AO6" s="33" t="s">
        <v>32</v>
      </c>
      <c r="AQ6" s="34" t="s">
        <v>33</v>
      </c>
      <c r="AR6" s="35" t="s">
        <v>34</v>
      </c>
      <c r="AS6" s="35" t="s">
        <v>35</v>
      </c>
      <c r="AT6" s="36" t="s">
        <v>36</v>
      </c>
      <c r="AU6" s="23"/>
      <c r="AV6" s="37" t="s">
        <v>33</v>
      </c>
      <c r="AW6" s="35" t="s">
        <v>34</v>
      </c>
      <c r="AX6" s="35" t="s">
        <v>35</v>
      </c>
      <c r="AY6" s="38" t="s">
        <v>36</v>
      </c>
      <c r="BA6" s="34" t="s">
        <v>37</v>
      </c>
      <c r="BB6" s="37" t="s">
        <v>38</v>
      </c>
      <c r="BC6" s="35" t="s">
        <v>39</v>
      </c>
      <c r="BD6" s="35" t="s">
        <v>40</v>
      </c>
      <c r="BE6" s="36" t="s">
        <v>41</v>
      </c>
      <c r="BF6" s="23"/>
      <c r="BG6" s="37" t="s">
        <v>37</v>
      </c>
      <c r="BH6" s="37" t="s">
        <v>38</v>
      </c>
      <c r="BI6" s="35" t="s">
        <v>39</v>
      </c>
      <c r="BJ6" s="35" t="s">
        <v>40</v>
      </c>
      <c r="BK6" s="38" t="s">
        <v>41</v>
      </c>
    </row>
    <row r="7" spans="2:64" ht="15" customHeight="1" x14ac:dyDescent="0.25">
      <c r="B7" s="7" t="s">
        <v>45</v>
      </c>
      <c r="C7" s="7">
        <v>0.75</v>
      </c>
      <c r="D7" s="7" t="str">
        <f t="shared" si="1"/>
        <v>in</v>
      </c>
      <c r="E7" s="24" t="s">
        <v>46</v>
      </c>
      <c r="F7" s="25">
        <f>CONVERT(210*10^9,"Pa","psi")</f>
        <v>30457924.923343934</v>
      </c>
      <c r="G7" s="7" t="str">
        <f t="shared" si="0"/>
        <v>psi</v>
      </c>
      <c r="I7" s="26">
        <v>2</v>
      </c>
      <c r="J7" s="6">
        <f>IF(C5+C6&lt;J14,C6,J14-C5)</f>
        <v>0.5</v>
      </c>
      <c r="K7" s="39">
        <f>K6+2*J6*TAN(RADIANS($J$3))</f>
        <v>0.85969655114602883</v>
      </c>
      <c r="L7" s="27">
        <f>F6</f>
        <v>30457924.923343934</v>
      </c>
      <c r="M7" s="27">
        <f>IF(J7=0,0,(PI()*L7*$C$12*TAN(RADIANS($J$3)))/LN(((2*J7*TAN(RADIANS($J$3))+K7-$C$12)*(K7+$C$12))/((2*J7*TAN(RADIANS($J$3))+K7+$C$12)*(K7-$C$12))))</f>
        <v>45764875.898479536</v>
      </c>
      <c r="N7" s="27">
        <f t="shared" ref="N7:N10" si="2">IF(M7=0,0,M7^-1)</f>
        <v>2.1850818567022999E-8</v>
      </c>
      <c r="V7" s="6" t="s">
        <v>44</v>
      </c>
      <c r="W7" s="40">
        <f>IF(AND($C$12&gt;=$AJ$29,$C$12&lt;=$AK$29),AM29,IF(AND($C$12&gt;=$AJ$30,$C$12&lt;=$AK$30),AM30,NA()))</f>
        <v>120000</v>
      </c>
      <c r="X7" s="6" t="str">
        <f>IF($D$2="English","psi","Pa")</f>
        <v>psi</v>
      </c>
      <c r="AD7" s="28">
        <v>9.8000000000000007</v>
      </c>
      <c r="AE7" s="29">
        <v>1.6</v>
      </c>
      <c r="AF7" s="29">
        <v>16</v>
      </c>
      <c r="AG7" s="41">
        <v>140000000</v>
      </c>
      <c r="AI7" s="28">
        <v>4.8</v>
      </c>
      <c r="AJ7" s="29">
        <v>1.6</v>
      </c>
      <c r="AK7" s="29">
        <v>16</v>
      </c>
      <c r="AL7" s="42">
        <v>310000000</v>
      </c>
      <c r="AM7" s="32">
        <v>420000000</v>
      </c>
      <c r="AN7" s="42">
        <v>340000000</v>
      </c>
      <c r="AO7" s="33" t="s">
        <v>32</v>
      </c>
      <c r="AQ7" s="28">
        <v>1.6</v>
      </c>
      <c r="AR7" s="29">
        <v>0.35</v>
      </c>
      <c r="AS7" s="29">
        <v>1.27</v>
      </c>
      <c r="AT7" s="43">
        <v>1.07</v>
      </c>
      <c r="AU7" s="23"/>
      <c r="AV7" s="44">
        <v>1.6</v>
      </c>
      <c r="AW7" s="29" t="e">
        <f>NA()</f>
        <v>#N/A</v>
      </c>
      <c r="AX7" s="29" t="e">
        <f>NA()</f>
        <v>#N/A</v>
      </c>
      <c r="AY7" s="29" t="e">
        <f>NA()</f>
        <v>#N/A</v>
      </c>
      <c r="BA7" s="45">
        <f>0</f>
        <v>0</v>
      </c>
      <c r="BB7" s="44">
        <v>0.06</v>
      </c>
      <c r="BC7" s="29" t="e">
        <f>NA()</f>
        <v>#N/A</v>
      </c>
      <c r="BD7" s="29" t="e">
        <f>NA()</f>
        <v>#N/A</v>
      </c>
      <c r="BE7" s="43" t="e">
        <f>NA()</f>
        <v>#N/A</v>
      </c>
      <c r="BF7" s="23"/>
      <c r="BG7" s="46">
        <f>0</f>
        <v>0</v>
      </c>
      <c r="BH7" s="44">
        <v>0.06</v>
      </c>
      <c r="BI7" s="29">
        <v>80</v>
      </c>
      <c r="BJ7" s="29">
        <v>1.8E-3</v>
      </c>
      <c r="BK7" s="47">
        <v>1.5100000000000001E-3</v>
      </c>
    </row>
    <row r="8" spans="2:64" ht="15" customHeight="1" x14ac:dyDescent="0.25">
      <c r="B8" s="7" t="s">
        <v>47</v>
      </c>
      <c r="C8" s="7"/>
      <c r="D8" s="7" t="str">
        <f t="shared" si="1"/>
        <v>in</v>
      </c>
      <c r="E8" s="24" t="s">
        <v>48</v>
      </c>
      <c r="F8" s="25"/>
      <c r="G8" s="7" t="str">
        <f t="shared" si="0"/>
        <v>psi</v>
      </c>
      <c r="I8" s="26">
        <v>3</v>
      </c>
      <c r="J8" s="6">
        <f>IF(C5+C6&lt;J14,J14-C6-C5,C5+C6-J14)</f>
        <v>7.7499999999999986E-2</v>
      </c>
      <c r="K8" s="39">
        <f>IF(J6+J7&lt;J14,K7+2*J7*TAN(RADIANS($J$3)),K7+2*J7*TAN(RADIANS($J$3))-2*J8*TAN(RADIANS($J$3)))</f>
        <v>1.4370468203356546</v>
      </c>
      <c r="L8" s="27">
        <f>IF(J6+J7&lt;J14,F7,F6)</f>
        <v>30457924.923343934</v>
      </c>
      <c r="M8" s="27">
        <f>IF(J8=0,0,(PI()*L8*$C$12*TAN(RADIANS($J$3)))/LN(((2*J8*TAN(RADIANS($J$3))+K8-$C$12)*(K8+$C$12))/((2*J8*TAN(RADIANS($J$3))+K8+$C$12)*(K8-$C$12))))</f>
        <v>599848884.69514358</v>
      </c>
      <c r="N8" s="27">
        <f t="shared" si="2"/>
        <v>1.6670865371504726E-9</v>
      </c>
      <c r="V8" s="6"/>
      <c r="W8" s="6">
        <f>IF($D$2="English",W7*10^-3,W7*10^-6)</f>
        <v>120</v>
      </c>
      <c r="X8" s="6" t="str">
        <f>IF($D$2="English","kpsi","MPa")</f>
        <v>kpsi</v>
      </c>
      <c r="AD8" s="28">
        <v>10.9</v>
      </c>
      <c r="AE8" s="29">
        <v>5</v>
      </c>
      <c r="AF8" s="29">
        <v>36</v>
      </c>
      <c r="AG8" s="41">
        <v>162000000</v>
      </c>
      <c r="AI8" s="28">
        <v>5.8</v>
      </c>
      <c r="AJ8" s="29">
        <v>5</v>
      </c>
      <c r="AK8" s="29">
        <v>24</v>
      </c>
      <c r="AL8" s="42">
        <v>380000000</v>
      </c>
      <c r="AM8" s="32">
        <v>520000000</v>
      </c>
      <c r="AN8" s="42">
        <v>420000000</v>
      </c>
      <c r="AO8" s="33" t="s">
        <v>32</v>
      </c>
      <c r="AQ8" s="28">
        <v>2</v>
      </c>
      <c r="AR8" s="29">
        <v>0.4</v>
      </c>
      <c r="AS8" s="29">
        <v>2.0699999999999998</v>
      </c>
      <c r="AT8" s="43">
        <v>1.79</v>
      </c>
      <c r="AU8" s="23"/>
      <c r="AV8" s="44">
        <v>2</v>
      </c>
      <c r="AW8" s="29" t="e">
        <f>NA()</f>
        <v>#N/A</v>
      </c>
      <c r="AX8" s="29" t="e">
        <f>NA()</f>
        <v>#N/A</v>
      </c>
      <c r="AY8" s="29" t="e">
        <f>NA()</f>
        <v>#N/A</v>
      </c>
      <c r="BA8" s="45">
        <f>1</f>
        <v>1</v>
      </c>
      <c r="BB8" s="44">
        <v>7.2999999999999995E-2</v>
      </c>
      <c r="BC8" s="29">
        <v>64</v>
      </c>
      <c r="BD8" s="29">
        <v>2.63E-3</v>
      </c>
      <c r="BE8" s="43">
        <v>2.1800000000000001E-3</v>
      </c>
      <c r="BF8" s="23"/>
      <c r="BG8" s="46">
        <f>1</f>
        <v>1</v>
      </c>
      <c r="BH8" s="44">
        <v>7.2999999999999995E-2</v>
      </c>
      <c r="BI8" s="29">
        <v>72</v>
      </c>
      <c r="BJ8" s="29">
        <v>2.7799999999999999E-3</v>
      </c>
      <c r="BK8" s="47">
        <v>2.3700000000000001E-3</v>
      </c>
    </row>
    <row r="9" spans="2:64" ht="15" customHeight="1" thickBot="1" x14ac:dyDescent="0.3">
      <c r="I9" s="26">
        <v>4</v>
      </c>
      <c r="J9" s="6">
        <f>C16-SUM(J6:J8)-J10</f>
        <v>0.67249999999999999</v>
      </c>
      <c r="K9" s="39">
        <f>K10+2*J10*TAN(RADIANS($J$3))</f>
        <v>0.75</v>
      </c>
      <c r="L9" s="27">
        <f>F7</f>
        <v>30457924.923343934</v>
      </c>
      <c r="M9" s="27">
        <f>IF(J9=0,0,(PI()*L9*$C$12*TAN(RADIANS($J$3)))/LN(((2*J9*TAN(RADIANS($J$3))+K9-$C$12)*(K9+$C$12))/((2*J9*TAN(RADIANS($J$3))+K9+$C$12)*(K9-$C$12))))</f>
        <v>29723749.683418959</v>
      </c>
      <c r="N9" s="27">
        <f t="shared" si="2"/>
        <v>3.3643130851617891E-8</v>
      </c>
      <c r="V9" s="6" t="s">
        <v>49</v>
      </c>
      <c r="W9" s="19">
        <f>IF(AND($C$12&gt;=$AJ$29,$C$12&lt;=$AK$29),AN29,IF(AND($C$12&gt;=$AJ$30,$C$12&lt;=$AK$30),AN30,NA()))</f>
        <v>92000</v>
      </c>
      <c r="X9" s="6" t="str">
        <f>IF($D$2="English","psi","Pa")</f>
        <v>psi</v>
      </c>
      <c r="AD9" s="48">
        <v>12.9</v>
      </c>
      <c r="AE9" s="49">
        <v>1.6</v>
      </c>
      <c r="AF9" s="49">
        <v>36</v>
      </c>
      <c r="AG9" s="50">
        <v>190000000</v>
      </c>
      <c r="AI9" s="28">
        <v>8.8000000000000007</v>
      </c>
      <c r="AJ9" s="29">
        <v>16</v>
      </c>
      <c r="AK9" s="29">
        <v>36</v>
      </c>
      <c r="AL9" s="42">
        <v>600000000</v>
      </c>
      <c r="AM9" s="32">
        <v>830000000</v>
      </c>
      <c r="AN9" s="42">
        <v>660000000</v>
      </c>
      <c r="AO9" s="33" t="s">
        <v>50</v>
      </c>
      <c r="AQ9" s="28">
        <v>2.5</v>
      </c>
      <c r="AR9" s="29">
        <v>0.45</v>
      </c>
      <c r="AS9" s="29">
        <v>3.39</v>
      </c>
      <c r="AT9" s="43">
        <v>2.98</v>
      </c>
      <c r="AU9" s="23"/>
      <c r="AV9" s="44">
        <v>2.5</v>
      </c>
      <c r="AW9" s="29" t="e">
        <f>NA()</f>
        <v>#N/A</v>
      </c>
      <c r="AX9" s="29" t="e">
        <f>NA()</f>
        <v>#N/A</v>
      </c>
      <c r="AY9" s="29" t="e">
        <f>NA()</f>
        <v>#N/A</v>
      </c>
      <c r="BA9" s="45">
        <f>2</f>
        <v>2</v>
      </c>
      <c r="BB9" s="44">
        <v>8.5999999999999993E-2</v>
      </c>
      <c r="BC9" s="29">
        <v>56</v>
      </c>
      <c r="BD9" s="29">
        <v>3.7000000000000002E-3</v>
      </c>
      <c r="BE9" s="43">
        <v>3.0999999999999999E-3</v>
      </c>
      <c r="BF9" s="23"/>
      <c r="BG9" s="46">
        <f>2</f>
        <v>2</v>
      </c>
      <c r="BH9" s="44">
        <v>8.5999999999999993E-2</v>
      </c>
      <c r="BI9" s="29">
        <v>64</v>
      </c>
      <c r="BJ9" s="29">
        <v>3.9399999999999999E-3</v>
      </c>
      <c r="BK9" s="47">
        <v>3.3899999999999998E-3</v>
      </c>
    </row>
    <row r="10" spans="2:64" ht="15" customHeight="1" thickBot="1" x14ac:dyDescent="0.3">
      <c r="B10" s="8" t="s">
        <v>51</v>
      </c>
      <c r="C10" s="51" t="str">
        <f>_xlfn.CONCAT(IF($D$2="English",_xlfn.CONCAT(TEXT(C12, "# ?/?"),"""-",C24,"-", C14, " ",C13),_xlfn.CONCAT("M",C12,"-", C24,"-", C14," ",C13)), " Grade ", C15)</f>
        <v xml:space="preserve"> 1/2"-20-1.5 UNF Grade 5</v>
      </c>
      <c r="D10" s="8"/>
      <c r="E10" s="8"/>
      <c r="F10" s="8"/>
      <c r="I10" s="26">
        <v>5</v>
      </c>
      <c r="J10" s="6">
        <f>C8</f>
        <v>0</v>
      </c>
      <c r="K10" s="6">
        <f>1.5*C12</f>
        <v>0.75</v>
      </c>
      <c r="L10" s="27">
        <f>F8</f>
        <v>0</v>
      </c>
      <c r="M10" s="27">
        <f>IF(J10=0,0,(PI()*L10*$C$12*TAN(RADIANS($J$3)))/LN(((2*J10*TAN(RADIANS($J$3))+K10-$C$12)*(K10+$C$12))/((2*J10*TAN(RADIANS($J$3))+K10+$C$12)*(K10-$C$12))))</f>
        <v>0</v>
      </c>
      <c r="N10" s="27">
        <f t="shared" si="2"/>
        <v>0</v>
      </c>
      <c r="V10" s="6"/>
      <c r="W10" s="6">
        <f>IF($D$2="English",W9*10^-3,W9*10^-6)</f>
        <v>92</v>
      </c>
      <c r="X10" s="6" t="str">
        <f>IF($D$2="English","kpsi","MPa")</f>
        <v>kpsi</v>
      </c>
      <c r="AI10" s="28">
        <v>9.8000000000000007</v>
      </c>
      <c r="AJ10" s="29">
        <v>1.6</v>
      </c>
      <c r="AK10" s="29">
        <v>16</v>
      </c>
      <c r="AL10" s="42">
        <v>650000000</v>
      </c>
      <c r="AM10" s="32">
        <v>900000000</v>
      </c>
      <c r="AN10" s="42">
        <v>720000000</v>
      </c>
      <c r="AO10" s="33" t="s">
        <v>50</v>
      </c>
      <c r="AQ10" s="28">
        <v>3</v>
      </c>
      <c r="AR10" s="29">
        <v>0.5</v>
      </c>
      <c r="AS10" s="29">
        <v>5.03</v>
      </c>
      <c r="AT10" s="43">
        <v>4.47</v>
      </c>
      <c r="AU10" s="23"/>
      <c r="AV10" s="44">
        <v>3</v>
      </c>
      <c r="AW10" s="29" t="e">
        <f>NA()</f>
        <v>#N/A</v>
      </c>
      <c r="AX10" s="29" t="e">
        <f>NA()</f>
        <v>#N/A</v>
      </c>
      <c r="AY10" s="29" t="e">
        <f>NA()</f>
        <v>#N/A</v>
      </c>
      <c r="BA10" s="45">
        <f>3</f>
        <v>3</v>
      </c>
      <c r="BB10" s="44">
        <v>9.9000000000000005E-2</v>
      </c>
      <c r="BC10" s="29">
        <v>48</v>
      </c>
      <c r="BD10" s="29">
        <v>4.8700000000000002E-3</v>
      </c>
      <c r="BE10" s="43">
        <v>4.0600000000000002E-3</v>
      </c>
      <c r="BF10" s="23"/>
      <c r="BG10" s="46">
        <f>3</f>
        <v>3</v>
      </c>
      <c r="BH10" s="44">
        <v>9.9000000000000005E-2</v>
      </c>
      <c r="BI10" s="29">
        <v>56</v>
      </c>
      <c r="BJ10" s="29">
        <v>5.2300000000000003E-3</v>
      </c>
      <c r="BK10" s="47">
        <v>4.5100000000000001E-3</v>
      </c>
    </row>
    <row r="11" spans="2:64" ht="15" customHeight="1" x14ac:dyDescent="0.25">
      <c r="B11" s="7" t="s">
        <v>54</v>
      </c>
      <c r="C11" s="25">
        <f>CONVERT(210*10^9,"Pa","psi")</f>
        <v>30457924.923343934</v>
      </c>
      <c r="D11" s="7" t="str">
        <f>IF($D$2="English","psi","Pa")</f>
        <v>psi</v>
      </c>
      <c r="V11" s="6" t="s">
        <v>52</v>
      </c>
      <c r="W11" s="19">
        <f>IF(AND($C$12&gt;=AE$19,$C$12&lt;=AF$19),AG19,IF(AND($C$12&gt;=AE$20,$C$12&lt;=AF$20),AG20,NA()))</f>
        <v>18600</v>
      </c>
      <c r="X11" s="6" t="str">
        <f>IF($D$2="English","psi","Pa")</f>
        <v>psi</v>
      </c>
      <c r="AD11" s="12" t="s">
        <v>13</v>
      </c>
      <c r="AE11" s="13"/>
      <c r="AF11" s="13"/>
      <c r="AG11" s="52"/>
      <c r="AI11" s="28">
        <v>10.9</v>
      </c>
      <c r="AJ11" s="29">
        <v>5</v>
      </c>
      <c r="AK11" s="29">
        <v>36</v>
      </c>
      <c r="AL11" s="42">
        <v>830000000</v>
      </c>
      <c r="AM11" s="53">
        <v>1040000000</v>
      </c>
      <c r="AN11" s="42">
        <v>940000000</v>
      </c>
      <c r="AO11" s="33" t="s">
        <v>53</v>
      </c>
      <c r="AQ11" s="28">
        <v>3.5</v>
      </c>
      <c r="AR11" s="29">
        <v>0.6</v>
      </c>
      <c r="AS11" s="29">
        <v>6.78</v>
      </c>
      <c r="AT11" s="43">
        <v>6</v>
      </c>
      <c r="AU11" s="23"/>
      <c r="AV11" s="44">
        <v>3.5</v>
      </c>
      <c r="AW11" s="29" t="e">
        <f>NA()</f>
        <v>#N/A</v>
      </c>
      <c r="AX11" s="29" t="e">
        <f>NA()</f>
        <v>#N/A</v>
      </c>
      <c r="AY11" s="29" t="e">
        <f>NA()</f>
        <v>#N/A</v>
      </c>
      <c r="BA11" s="45">
        <f>4</f>
        <v>4</v>
      </c>
      <c r="BB11" s="44">
        <v>0.112</v>
      </c>
      <c r="BC11" s="29">
        <v>40</v>
      </c>
      <c r="BD11" s="29">
        <v>6.0400000000000002E-3</v>
      </c>
      <c r="BE11" s="43">
        <v>4.96E-3</v>
      </c>
      <c r="BF11" s="23"/>
      <c r="BG11" s="46">
        <f>4</f>
        <v>4</v>
      </c>
      <c r="BH11" s="44">
        <v>0.112</v>
      </c>
      <c r="BI11" s="29">
        <v>48</v>
      </c>
      <c r="BJ11" s="29">
        <v>6.6100000000000004E-3</v>
      </c>
      <c r="BK11" s="47">
        <v>5.6600000000000001E-3</v>
      </c>
    </row>
    <row r="12" spans="2:64" ht="15" customHeight="1" thickBot="1" x14ac:dyDescent="0.3">
      <c r="B12" s="7" t="s">
        <v>60</v>
      </c>
      <c r="C12" s="59">
        <v>0.5</v>
      </c>
      <c r="D12" s="7" t="str">
        <f t="shared" ref="D12" si="3">IF($D$2="English","in", "mm")</f>
        <v>in</v>
      </c>
      <c r="I12" s="54" t="s">
        <v>55</v>
      </c>
      <c r="J12" s="54">
        <f>SUM(J6:J10)</f>
        <v>1.345</v>
      </c>
      <c r="K12" s="54" t="str">
        <f>IF($D$2="English","in", "mm")</f>
        <v>in</v>
      </c>
      <c r="V12" s="6"/>
      <c r="W12" s="6">
        <f>IF($D$2="English",W11*10^-3,W11*10^-6)</f>
        <v>18.600000000000001</v>
      </c>
      <c r="X12" s="6" t="str">
        <f>IF($D$2="English","kpsi","MPa")</f>
        <v>kpsi</v>
      </c>
      <c r="AD12" s="20" t="s">
        <v>20</v>
      </c>
      <c r="AE12" s="21" t="s">
        <v>56</v>
      </c>
      <c r="AF12" s="21" t="s">
        <v>57</v>
      </c>
      <c r="AG12" s="22" t="s">
        <v>58</v>
      </c>
      <c r="AI12" s="48">
        <v>12.9</v>
      </c>
      <c r="AJ12" s="49">
        <v>1.6</v>
      </c>
      <c r="AK12" s="49">
        <v>36</v>
      </c>
      <c r="AL12" s="55">
        <v>970000000</v>
      </c>
      <c r="AM12" s="56">
        <v>1220000000</v>
      </c>
      <c r="AN12" s="57">
        <v>1100000000</v>
      </c>
      <c r="AO12" s="58" t="s">
        <v>59</v>
      </c>
      <c r="AQ12" s="28">
        <v>4</v>
      </c>
      <c r="AR12" s="29">
        <v>0.7</v>
      </c>
      <c r="AS12" s="29">
        <v>8.7799999999999994</v>
      </c>
      <c r="AT12" s="43">
        <v>7.75</v>
      </c>
      <c r="AU12" s="23"/>
      <c r="AV12" s="44">
        <v>4</v>
      </c>
      <c r="AW12" s="29" t="e">
        <f>NA()</f>
        <v>#N/A</v>
      </c>
      <c r="AX12" s="29" t="e">
        <f>NA()</f>
        <v>#N/A</v>
      </c>
      <c r="AY12" s="29" t="e">
        <f>NA()</f>
        <v>#N/A</v>
      </c>
      <c r="BA12" s="45">
        <f>5</f>
        <v>5</v>
      </c>
      <c r="BB12" s="44">
        <v>0.125</v>
      </c>
      <c r="BC12" s="29">
        <v>40</v>
      </c>
      <c r="BD12" s="29">
        <v>7.9600000000000001E-3</v>
      </c>
      <c r="BE12" s="43">
        <v>6.7200000000000003E-3</v>
      </c>
      <c r="BF12" s="23"/>
      <c r="BG12" s="46">
        <f>5</f>
        <v>5</v>
      </c>
      <c r="BH12" s="44">
        <v>0.125</v>
      </c>
      <c r="BI12" s="29">
        <v>44</v>
      </c>
      <c r="BJ12" s="29">
        <v>8.8000000000000005E-3</v>
      </c>
      <c r="BK12" s="47">
        <v>7.1599999999999997E-3</v>
      </c>
    </row>
    <row r="13" spans="2:64" ht="15" customHeight="1" x14ac:dyDescent="0.25">
      <c r="B13" s="7" t="s">
        <v>62</v>
      </c>
      <c r="C13" s="62" t="s">
        <v>29</v>
      </c>
      <c r="D13" s="7"/>
      <c r="I13" s="54" t="s">
        <v>61</v>
      </c>
      <c r="J13" s="54">
        <f>C16</f>
        <v>1.345</v>
      </c>
      <c r="K13" s="54" t="str">
        <f>IF($D$2="English","in", "mm")</f>
        <v>in</v>
      </c>
      <c r="AD13" s="60">
        <v>5</v>
      </c>
      <c r="AE13" s="61">
        <v>0.125</v>
      </c>
      <c r="AF13" s="61">
        <v>1</v>
      </c>
      <c r="AG13" s="30">
        <v>18600</v>
      </c>
      <c r="AQ13" s="28">
        <v>5</v>
      </c>
      <c r="AR13" s="29">
        <v>0.8</v>
      </c>
      <c r="AS13" s="29">
        <v>14.2</v>
      </c>
      <c r="AT13" s="43">
        <v>12.7</v>
      </c>
      <c r="AU13" s="23"/>
      <c r="AV13" s="44">
        <v>5</v>
      </c>
      <c r="AW13" s="29" t="e">
        <f>NA()</f>
        <v>#N/A</v>
      </c>
      <c r="AX13" s="29" t="e">
        <f>NA()</f>
        <v>#N/A</v>
      </c>
      <c r="AY13" s="29" t="e">
        <f>NA()</f>
        <v>#N/A</v>
      </c>
      <c r="BA13" s="45">
        <f>6</f>
        <v>6</v>
      </c>
      <c r="BB13" s="44">
        <v>0.13800000000000001</v>
      </c>
      <c r="BC13" s="29">
        <v>32</v>
      </c>
      <c r="BD13" s="29">
        <v>9.0900000000000009E-3</v>
      </c>
      <c r="BE13" s="43">
        <v>7.45E-3</v>
      </c>
      <c r="BF13" s="23"/>
      <c r="BG13" s="46">
        <f>6</f>
        <v>6</v>
      </c>
      <c r="BH13" s="44">
        <v>0.13800000000000001</v>
      </c>
      <c r="BI13" s="29">
        <v>40</v>
      </c>
      <c r="BJ13" s="29">
        <v>1.0149999999999999E-2</v>
      </c>
      <c r="BK13" s="47">
        <v>8.7399999999999995E-3</v>
      </c>
    </row>
    <row r="14" spans="2:64" ht="15" customHeight="1" thickBot="1" x14ac:dyDescent="0.3">
      <c r="B14" s="7" t="s">
        <v>67</v>
      </c>
      <c r="C14" s="7">
        <v>1.5</v>
      </c>
      <c r="D14" s="7" t="str">
        <f t="shared" ref="D14" si="4">IF($D$2="English","in", "mm")</f>
        <v>in</v>
      </c>
      <c r="I14" s="54" t="s">
        <v>63</v>
      </c>
      <c r="J14" s="54">
        <f>C16/2</f>
        <v>0.67249999999999999</v>
      </c>
      <c r="K14" s="54" t="str">
        <f t="shared" ref="K14" si="5">IF($D$2="English","in", "mm")</f>
        <v>in</v>
      </c>
      <c r="P14" s="8" t="s">
        <v>64</v>
      </c>
      <c r="Q14" s="8"/>
      <c r="R14" s="8"/>
      <c r="S14" s="8"/>
      <c r="T14" s="8"/>
      <c r="V14" s="10" t="s">
        <v>65</v>
      </c>
      <c r="W14" s="10"/>
      <c r="X14" s="11"/>
      <c r="Y14" s="11"/>
      <c r="Z14" s="11"/>
      <c r="AA14" s="11"/>
      <c r="AD14" s="63">
        <v>5</v>
      </c>
      <c r="AE14" s="64">
        <v>1.125</v>
      </c>
      <c r="AF14" s="64">
        <v>1.5</v>
      </c>
      <c r="AG14" s="65">
        <v>16300</v>
      </c>
      <c r="AI14" s="4" t="s">
        <v>66</v>
      </c>
      <c r="AQ14" s="28">
        <v>6</v>
      </c>
      <c r="AR14" s="29">
        <v>1</v>
      </c>
      <c r="AS14" s="29">
        <v>20.100000000000001</v>
      </c>
      <c r="AT14" s="43">
        <v>17.899999999999999</v>
      </c>
      <c r="AU14" s="23"/>
      <c r="AV14" s="44">
        <v>6</v>
      </c>
      <c r="AW14" s="29" t="e">
        <f>NA()</f>
        <v>#N/A</v>
      </c>
      <c r="AX14" s="29" t="e">
        <f>NA()</f>
        <v>#N/A</v>
      </c>
      <c r="AY14" s="29" t="e">
        <f>NA()</f>
        <v>#N/A</v>
      </c>
      <c r="BA14" s="45">
        <f>8</f>
        <v>8</v>
      </c>
      <c r="BB14" s="44">
        <v>0.16400000000000001</v>
      </c>
      <c r="BC14" s="29">
        <v>32</v>
      </c>
      <c r="BD14" s="29">
        <v>1.4E-2</v>
      </c>
      <c r="BE14" s="43">
        <v>1.196E-2</v>
      </c>
      <c r="BF14" s="23"/>
      <c r="BG14" s="46">
        <f>8</f>
        <v>8</v>
      </c>
      <c r="BH14" s="44">
        <v>0.16400000000000001</v>
      </c>
      <c r="BI14" s="29">
        <v>36</v>
      </c>
      <c r="BJ14" s="29">
        <v>1.474E-2</v>
      </c>
      <c r="BK14" s="47">
        <v>1.285E-2</v>
      </c>
    </row>
    <row r="15" spans="2:64" ht="15" customHeight="1" x14ac:dyDescent="0.25">
      <c r="B15" s="7" t="s">
        <v>70</v>
      </c>
      <c r="C15" s="7">
        <v>5</v>
      </c>
      <c r="D15" s="7"/>
      <c r="P15" s="7" t="s">
        <v>68</v>
      </c>
      <c r="Q15" s="7">
        <v>1</v>
      </c>
      <c r="R15" s="7"/>
      <c r="V15" s="6" t="s">
        <v>69</v>
      </c>
      <c r="W15" s="39">
        <f>C33/(C33+J16)</f>
        <v>0.19591034389952103</v>
      </c>
      <c r="X15" s="27"/>
      <c r="AD15" s="66">
        <v>7</v>
      </c>
      <c r="AE15" s="67">
        <v>0.25</v>
      </c>
      <c r="AF15" s="67">
        <v>1.5</v>
      </c>
      <c r="AG15" s="68">
        <v>20600</v>
      </c>
      <c r="AI15" s="12" t="s">
        <v>13</v>
      </c>
      <c r="AJ15" s="13"/>
      <c r="AK15" s="13"/>
      <c r="AL15" s="15"/>
      <c r="AM15" s="15"/>
      <c r="AN15" s="13"/>
      <c r="AO15" s="52"/>
      <c r="AQ15" s="28">
        <v>8</v>
      </c>
      <c r="AR15" s="29">
        <v>1.25</v>
      </c>
      <c r="AS15" s="29">
        <v>36.6</v>
      </c>
      <c r="AT15" s="43">
        <v>32.799999999999997</v>
      </c>
      <c r="AU15" s="23"/>
      <c r="AV15" s="44">
        <v>8</v>
      </c>
      <c r="AW15" s="29">
        <v>1</v>
      </c>
      <c r="AX15" s="29">
        <v>39.200000000000003</v>
      </c>
      <c r="AY15" s="47">
        <v>36</v>
      </c>
      <c r="BA15" s="45">
        <f>10</f>
        <v>10</v>
      </c>
      <c r="BB15" s="44">
        <v>0.19</v>
      </c>
      <c r="BC15" s="29">
        <v>24</v>
      </c>
      <c r="BD15" s="29">
        <v>1.7500000000000002E-2</v>
      </c>
      <c r="BE15" s="43">
        <v>1.4500000000000001E-2</v>
      </c>
      <c r="BF15" s="23"/>
      <c r="BG15" s="46">
        <f>10</f>
        <v>10</v>
      </c>
      <c r="BH15" s="44">
        <v>0.19</v>
      </c>
      <c r="BI15" s="29">
        <v>32</v>
      </c>
      <c r="BJ15" s="29">
        <v>0.02</v>
      </c>
      <c r="BK15" s="47">
        <v>1.7500000000000002E-2</v>
      </c>
    </row>
    <row r="16" spans="2:64" ht="15" customHeight="1" thickBot="1" x14ac:dyDescent="0.3">
      <c r="B16" s="6" t="s">
        <v>61</v>
      </c>
      <c r="C16" s="6">
        <f>IF(C27,SUM(C5:C7)+C8,IF(C12&lt;=C7, C5+C6+(C12/2), C5+C6+(C7/2)))</f>
        <v>1.345</v>
      </c>
      <c r="D16" s="6" t="str">
        <f>IF($D$2="English","in", "mm")</f>
        <v>in</v>
      </c>
      <c r="I16" s="6" t="s">
        <v>71</v>
      </c>
      <c r="J16" s="69">
        <f>SUM(N6:N10)^-1</f>
        <v>14861874.841709478</v>
      </c>
      <c r="K16" s="6" t="str">
        <f>IF($D$2="English","lbf/in","mN/m")</f>
        <v>lbf/in</v>
      </c>
      <c r="P16" s="7" t="s">
        <v>72</v>
      </c>
      <c r="Q16" s="70">
        <v>0</v>
      </c>
      <c r="R16" s="7" t="str">
        <f>IF($D$2="English","lbf", "N")</f>
        <v>lbf</v>
      </c>
      <c r="V16" s="6" t="s">
        <v>73</v>
      </c>
      <c r="W16" s="71">
        <f>Q18/(1-W15)</f>
        <v>4974.5696510989073</v>
      </c>
      <c r="X16" s="6" t="str">
        <f t="shared" ref="R16:AA26" si="6">IF($D$2="English","lbf", "N")</f>
        <v>lbf</v>
      </c>
      <c r="AD16" s="48">
        <v>8</v>
      </c>
      <c r="AE16" s="49">
        <v>0.25</v>
      </c>
      <c r="AF16" s="49">
        <v>1.5</v>
      </c>
      <c r="AG16" s="50">
        <v>23200</v>
      </c>
      <c r="AI16" s="20" t="s">
        <v>74</v>
      </c>
      <c r="AJ16" s="21" t="s">
        <v>56</v>
      </c>
      <c r="AK16" s="21" t="s">
        <v>57</v>
      </c>
      <c r="AL16" s="21" t="s">
        <v>75</v>
      </c>
      <c r="AM16" s="21" t="s">
        <v>76</v>
      </c>
      <c r="AN16" s="21" t="s">
        <v>77</v>
      </c>
      <c r="AO16" s="22" t="s">
        <v>27</v>
      </c>
      <c r="AQ16" s="28">
        <v>10</v>
      </c>
      <c r="AR16" s="29">
        <v>1.5</v>
      </c>
      <c r="AS16" s="29">
        <v>58</v>
      </c>
      <c r="AT16" s="43">
        <v>52.3</v>
      </c>
      <c r="AU16" s="23"/>
      <c r="AV16" s="44">
        <v>10</v>
      </c>
      <c r="AW16" s="29">
        <v>1.25</v>
      </c>
      <c r="AX16" s="29">
        <v>61.2</v>
      </c>
      <c r="AY16" s="47">
        <v>56.3</v>
      </c>
      <c r="BA16" s="45">
        <f>12</f>
        <v>12</v>
      </c>
      <c r="BB16" s="44">
        <v>0.216</v>
      </c>
      <c r="BC16" s="29">
        <v>24</v>
      </c>
      <c r="BD16" s="29">
        <v>2.4199999999999999E-2</v>
      </c>
      <c r="BE16" s="43">
        <v>2.06E-2</v>
      </c>
      <c r="BF16" s="23"/>
      <c r="BG16" s="46">
        <f>12</f>
        <v>12</v>
      </c>
      <c r="BH16" s="44">
        <v>0.216</v>
      </c>
      <c r="BI16" s="29">
        <v>28</v>
      </c>
      <c r="BJ16" s="29">
        <v>2.58E-2</v>
      </c>
      <c r="BK16" s="47">
        <v>2.2599999999999999E-2</v>
      </c>
    </row>
    <row r="17" spans="2:63" ht="15" customHeight="1" x14ac:dyDescent="0.25">
      <c r="B17" s="6" t="s">
        <v>80</v>
      </c>
      <c r="C17" s="6">
        <f>IF(F18,C18,IF(F17,C14,IF($D$2="English",IF(C14&lt;=6, 2*C12+0.25, 2*C12+0.5),IF(AND(C14&lt;=125,C12&lt;=48),2*C12+6,IF(C14&lt;=200,2*C12+12,2*C12+25)))))</f>
        <v>1.5</v>
      </c>
      <c r="D17" s="6" t="str">
        <f t="shared" ref="D17:D18" si="7">IF($D$2="English","in", "mm")</f>
        <v>in</v>
      </c>
      <c r="E17" s="7" t="s">
        <v>81</v>
      </c>
      <c r="F17" s="74" t="b">
        <v>1</v>
      </c>
      <c r="I17" s="6"/>
      <c r="J17" s="72">
        <f>IF($D$2="English",J16*10^-6,J16*10^-9)</f>
        <v>14.861874841709477</v>
      </c>
      <c r="K17" s="6" t="str">
        <f>IF($D$2="English","Mlbf/in","MN/m")</f>
        <v>Mlbf/in</v>
      </c>
      <c r="P17" s="7" t="s">
        <v>78</v>
      </c>
      <c r="Q17" s="70">
        <v>4000</v>
      </c>
      <c r="R17" s="7" t="str">
        <f>IF($D$2="English","lbf", "N")</f>
        <v>lbf</v>
      </c>
      <c r="V17" s="6" t="s">
        <v>79</v>
      </c>
      <c r="W17" s="71">
        <f>IF($D$2="English",W5*$C$23,W5*$C$23)</f>
        <v>13591.499999999998</v>
      </c>
      <c r="X17" s="6" t="str">
        <f t="shared" si="6"/>
        <v>lbf</v>
      </c>
      <c r="AI17" s="28">
        <v>1</v>
      </c>
      <c r="AJ17" s="29">
        <v>0.25</v>
      </c>
      <c r="AK17" s="29">
        <v>1.5</v>
      </c>
      <c r="AL17" s="73">
        <v>33000</v>
      </c>
      <c r="AM17" s="73">
        <v>60000</v>
      </c>
      <c r="AN17" s="73">
        <v>36000</v>
      </c>
      <c r="AO17" s="33" t="s">
        <v>32</v>
      </c>
      <c r="AQ17" s="28">
        <v>12</v>
      </c>
      <c r="AR17" s="29">
        <v>1.75</v>
      </c>
      <c r="AS17" s="29">
        <v>84.3</v>
      </c>
      <c r="AT17" s="43">
        <v>76.3</v>
      </c>
      <c r="AU17" s="23"/>
      <c r="AV17" s="44">
        <v>12</v>
      </c>
      <c r="AW17" s="29">
        <v>1.25</v>
      </c>
      <c r="AX17" s="29">
        <v>92.1</v>
      </c>
      <c r="AY17" s="47">
        <v>86</v>
      </c>
      <c r="BA17" s="45">
        <f>1/4</f>
        <v>0.25</v>
      </c>
      <c r="BB17" s="44">
        <v>0.25</v>
      </c>
      <c r="BC17" s="29">
        <v>20</v>
      </c>
      <c r="BD17" s="29">
        <v>3.1800000000000002E-2</v>
      </c>
      <c r="BE17" s="43">
        <v>2.69E-2</v>
      </c>
      <c r="BF17" s="23"/>
      <c r="BG17" s="46">
        <f>1/4</f>
        <v>0.25</v>
      </c>
      <c r="BH17" s="44">
        <v>0.25</v>
      </c>
      <c r="BI17" s="29">
        <v>28</v>
      </c>
      <c r="BJ17" s="29">
        <v>3.6400000000000002E-2</v>
      </c>
      <c r="BK17" s="47">
        <v>3.2599999999999997E-2</v>
      </c>
    </row>
    <row r="18" spans="2:63" ht="15" customHeight="1" thickBot="1" x14ac:dyDescent="0.3">
      <c r="B18" s="7"/>
      <c r="C18" s="7"/>
      <c r="D18" s="7" t="str">
        <f t="shared" si="7"/>
        <v>in</v>
      </c>
      <c r="E18" s="7" t="s">
        <v>85</v>
      </c>
      <c r="F18" s="74" t="b">
        <v>0</v>
      </c>
      <c r="P18" s="7" t="s">
        <v>82</v>
      </c>
      <c r="Q18" s="75">
        <f>IF(T19,Q19,W17*T18)</f>
        <v>4000</v>
      </c>
      <c r="R18" s="6" t="str">
        <f t="shared" si="6"/>
        <v>lbf</v>
      </c>
      <c r="S18" s="7" t="s">
        <v>83</v>
      </c>
      <c r="T18" s="76">
        <v>0.75</v>
      </c>
      <c r="AD18" s="4" t="s">
        <v>84</v>
      </c>
      <c r="AI18" s="60">
        <v>2</v>
      </c>
      <c r="AJ18" s="61">
        <v>0.25</v>
      </c>
      <c r="AK18" s="61">
        <v>0.75</v>
      </c>
      <c r="AL18" s="42">
        <v>55000</v>
      </c>
      <c r="AM18" s="42">
        <v>74000</v>
      </c>
      <c r="AN18" s="42">
        <v>57000</v>
      </c>
      <c r="AO18" s="77" t="s">
        <v>32</v>
      </c>
      <c r="AQ18" s="28">
        <v>14</v>
      </c>
      <c r="AR18" s="29">
        <v>2</v>
      </c>
      <c r="AS18" s="29">
        <v>115</v>
      </c>
      <c r="AT18" s="43">
        <v>104</v>
      </c>
      <c r="AU18" s="23"/>
      <c r="AV18" s="44">
        <v>14</v>
      </c>
      <c r="AW18" s="29">
        <v>1.5</v>
      </c>
      <c r="AX18" s="29">
        <v>125</v>
      </c>
      <c r="AY18" s="47">
        <v>116</v>
      </c>
      <c r="BA18" s="45">
        <f>5/16</f>
        <v>0.3125</v>
      </c>
      <c r="BB18" s="44">
        <v>0.3125</v>
      </c>
      <c r="BC18" s="29">
        <v>18</v>
      </c>
      <c r="BD18" s="29">
        <v>5.2400000000000002E-2</v>
      </c>
      <c r="BE18" s="43">
        <v>4.5400000000000003E-2</v>
      </c>
      <c r="BF18" s="23"/>
      <c r="BG18" s="46">
        <f>5/16</f>
        <v>0.3125</v>
      </c>
      <c r="BH18" s="44">
        <v>0.3125</v>
      </c>
      <c r="BI18" s="29">
        <v>24</v>
      </c>
      <c r="BJ18" s="29">
        <v>5.8000000000000003E-2</v>
      </c>
      <c r="BK18" s="47">
        <v>5.2400000000000002E-2</v>
      </c>
    </row>
    <row r="19" spans="2:63" ht="15" customHeight="1" x14ac:dyDescent="0.25">
      <c r="B19" s="6" t="s">
        <v>89</v>
      </c>
      <c r="C19" s="6">
        <f>C14-C17</f>
        <v>0</v>
      </c>
      <c r="D19" s="6" t="str">
        <f>IF($D$2="English","in", "mm")</f>
        <v>in</v>
      </c>
      <c r="I19" s="54" t="s">
        <v>69</v>
      </c>
      <c r="J19" s="78">
        <f>W15</f>
        <v>0.19591034389952103</v>
      </c>
      <c r="P19" s="7"/>
      <c r="Q19" s="70">
        <v>4000</v>
      </c>
      <c r="R19" s="7" t="str">
        <f t="shared" si="6"/>
        <v>lbf</v>
      </c>
      <c r="S19" s="7" t="s">
        <v>86</v>
      </c>
      <c r="T19" s="74" t="b">
        <v>1</v>
      </c>
      <c r="V19" s="6" t="s">
        <v>87</v>
      </c>
      <c r="W19" s="71">
        <f>Q16/Q15</f>
        <v>0</v>
      </c>
      <c r="X19" s="6" t="str">
        <f>IF($D$2="English","lbf", "N")</f>
        <v>lbf</v>
      </c>
      <c r="Y19" s="6" t="s">
        <v>88</v>
      </c>
      <c r="Z19" s="71">
        <f>0.5*(W20-W19)</f>
        <v>2000</v>
      </c>
      <c r="AA19" s="6" t="str">
        <f t="shared" si="6"/>
        <v>lbf</v>
      </c>
      <c r="AD19" s="79" cm="1">
        <f t="array" ref="AD19:AG20">IF($D$2="English",_xlfn._xlws.FILTER(AD13:AG16,AD13:AD16=C15,AD17:AG18=NA()), _xlfn._xlws.FILTER(AD6:AG9,AD6:AD9=C15,AD17:AG18=NA()))</f>
        <v>5</v>
      </c>
      <c r="AE19" s="80">
        <v>0.125</v>
      </c>
      <c r="AF19" s="80">
        <v>1</v>
      </c>
      <c r="AG19" s="81">
        <v>18600</v>
      </c>
      <c r="AI19" s="63">
        <v>2</v>
      </c>
      <c r="AJ19" s="64">
        <v>0.875</v>
      </c>
      <c r="AK19" s="64">
        <v>1.5</v>
      </c>
      <c r="AL19" s="82">
        <v>33000</v>
      </c>
      <c r="AM19" s="82">
        <v>60000</v>
      </c>
      <c r="AN19" s="82">
        <v>36000</v>
      </c>
      <c r="AO19" s="83" t="e">
        <f>NA()</f>
        <v>#N/A</v>
      </c>
      <c r="AQ19" s="28">
        <v>16</v>
      </c>
      <c r="AR19" s="29">
        <v>2</v>
      </c>
      <c r="AS19" s="29">
        <v>157</v>
      </c>
      <c r="AT19" s="43">
        <v>144</v>
      </c>
      <c r="AU19" s="23"/>
      <c r="AV19" s="44">
        <v>16</v>
      </c>
      <c r="AW19" s="29">
        <v>1.5</v>
      </c>
      <c r="AX19" s="29">
        <v>167</v>
      </c>
      <c r="AY19" s="47">
        <v>157</v>
      </c>
      <c r="BA19" s="45">
        <f>3/8</f>
        <v>0.375</v>
      </c>
      <c r="BB19" s="44">
        <v>0.375</v>
      </c>
      <c r="BC19" s="29">
        <v>16</v>
      </c>
      <c r="BD19" s="29">
        <v>7.7499999999999999E-2</v>
      </c>
      <c r="BE19" s="43">
        <v>6.7799999999999999E-2</v>
      </c>
      <c r="BF19" s="23"/>
      <c r="BG19" s="46">
        <f>3/8</f>
        <v>0.375</v>
      </c>
      <c r="BH19" s="44">
        <v>0.375</v>
      </c>
      <c r="BI19" s="29">
        <v>24</v>
      </c>
      <c r="BJ19" s="29">
        <v>8.7800000000000003E-2</v>
      </c>
      <c r="BK19" s="47">
        <v>8.09E-2</v>
      </c>
    </row>
    <row r="20" spans="2:63" ht="15" customHeight="1" thickBot="1" x14ac:dyDescent="0.3">
      <c r="B20" s="6" t="s">
        <v>93</v>
      </c>
      <c r="C20" s="6">
        <f>C16-C19</f>
        <v>1.345</v>
      </c>
      <c r="D20" s="6" t="str">
        <f>IF($D$2="English","in", "mm")</f>
        <v>in</v>
      </c>
      <c r="V20" s="6" t="s">
        <v>90</v>
      </c>
      <c r="W20" s="71">
        <f>Q17/Q15</f>
        <v>4000</v>
      </c>
      <c r="X20" s="6" t="str">
        <f>IF($D$2="English","lbf", "N")</f>
        <v>lbf</v>
      </c>
      <c r="Y20" s="6" t="s">
        <v>91</v>
      </c>
      <c r="Z20" s="71">
        <f>0.5*(W20+W19)</f>
        <v>2000</v>
      </c>
      <c r="AA20" s="6" t="str">
        <f t="shared" si="6"/>
        <v>lbf</v>
      </c>
      <c r="AD20" s="84">
        <v>5</v>
      </c>
      <c r="AE20" s="85">
        <v>1.125</v>
      </c>
      <c r="AF20" s="85">
        <v>1.5</v>
      </c>
      <c r="AG20" s="86">
        <v>16300</v>
      </c>
      <c r="AI20" s="28">
        <v>4</v>
      </c>
      <c r="AJ20" s="29">
        <v>0.25</v>
      </c>
      <c r="AK20" s="29">
        <v>1.5</v>
      </c>
      <c r="AL20" s="73">
        <v>65000</v>
      </c>
      <c r="AM20" s="73">
        <v>115000</v>
      </c>
      <c r="AN20" s="73">
        <v>100000</v>
      </c>
      <c r="AO20" s="33" t="s">
        <v>92</v>
      </c>
      <c r="AQ20" s="28">
        <v>20</v>
      </c>
      <c r="AR20" s="29">
        <v>2.5</v>
      </c>
      <c r="AS20" s="29">
        <v>245</v>
      </c>
      <c r="AT20" s="43">
        <v>225</v>
      </c>
      <c r="AU20" s="23"/>
      <c r="AV20" s="44">
        <v>20</v>
      </c>
      <c r="AW20" s="29">
        <v>1.5</v>
      </c>
      <c r="AX20" s="29">
        <v>272</v>
      </c>
      <c r="AY20" s="47">
        <v>259</v>
      </c>
      <c r="BA20" s="45">
        <f>7/16</f>
        <v>0.4375</v>
      </c>
      <c r="BB20" s="44">
        <v>0.4375</v>
      </c>
      <c r="BC20" s="29">
        <v>14</v>
      </c>
      <c r="BD20" s="29">
        <v>0.10630000000000001</v>
      </c>
      <c r="BE20" s="43">
        <v>9.3299999999999994E-2</v>
      </c>
      <c r="BF20" s="23"/>
      <c r="BG20" s="46">
        <f>7/16</f>
        <v>0.4375</v>
      </c>
      <c r="BH20" s="44">
        <v>0.4375</v>
      </c>
      <c r="BI20" s="29">
        <v>20</v>
      </c>
      <c r="BJ20" s="29">
        <v>0.1187</v>
      </c>
      <c r="BK20" s="47">
        <v>0.109</v>
      </c>
    </row>
    <row r="21" spans="2:63" ht="15" customHeight="1" x14ac:dyDescent="0.25">
      <c r="B21" s="6" t="s">
        <v>94</v>
      </c>
      <c r="C21" s="39">
        <f>(PI()*(C12^2))/4</f>
        <v>0.19634954084936207</v>
      </c>
      <c r="D21" s="6" t="str">
        <f>IF($D$2="English","in^2","mm^2")</f>
        <v>in^2</v>
      </c>
      <c r="U21" s="87"/>
      <c r="AI21" s="60">
        <v>5</v>
      </c>
      <c r="AJ21" s="61">
        <v>0.25</v>
      </c>
      <c r="AK21" s="61">
        <v>1</v>
      </c>
      <c r="AL21" s="42">
        <v>85000</v>
      </c>
      <c r="AM21" s="42">
        <v>120000</v>
      </c>
      <c r="AN21" s="42">
        <v>92000</v>
      </c>
      <c r="AO21" s="77" t="s">
        <v>50</v>
      </c>
      <c r="AQ21" s="28">
        <v>24</v>
      </c>
      <c r="AR21" s="29">
        <v>3</v>
      </c>
      <c r="AS21" s="29">
        <v>353</v>
      </c>
      <c r="AT21" s="43">
        <v>324</v>
      </c>
      <c r="AU21" s="23"/>
      <c r="AV21" s="44">
        <v>24</v>
      </c>
      <c r="AW21" s="29">
        <v>2</v>
      </c>
      <c r="AX21" s="29">
        <v>384</v>
      </c>
      <c r="AY21" s="47">
        <v>365</v>
      </c>
      <c r="BA21" s="45">
        <f>1/2</f>
        <v>0.5</v>
      </c>
      <c r="BB21" s="44">
        <v>0.5</v>
      </c>
      <c r="BC21" s="29">
        <v>13</v>
      </c>
      <c r="BD21" s="29">
        <v>0.1419</v>
      </c>
      <c r="BE21" s="43">
        <v>0.12570000000000001</v>
      </c>
      <c r="BF21" s="23"/>
      <c r="BG21" s="46">
        <f>1/2</f>
        <v>0.5</v>
      </c>
      <c r="BH21" s="44">
        <v>0.5</v>
      </c>
      <c r="BI21" s="29">
        <v>20</v>
      </c>
      <c r="BJ21" s="29">
        <v>0.15989999999999999</v>
      </c>
      <c r="BK21" s="47">
        <v>0.14860000000000001</v>
      </c>
    </row>
    <row r="22" spans="2:63" ht="15" customHeight="1" x14ac:dyDescent="0.25">
      <c r="B22" s="6" t="s">
        <v>97</v>
      </c>
      <c r="C22" s="6">
        <f>IF($D$2="English",IF($C$13="UNC",VLOOKUP($C$12,$BB$7:$BE$28,3,FALSE),VLOOKUP($C$12,$BH$7:$BK$28,3,FALSE)), IF($C$13="UNC",VLOOKUP($C$12,$AQ$7:$AT$32,3,FALSE),VLOOKUP($C$12,$AV$7:$AY$32,3,FALSE)))</f>
        <v>0.15989999999999999</v>
      </c>
      <c r="D22" s="6" t="str">
        <f>IF($D$2="English","in^2","mm^2")</f>
        <v>in^2</v>
      </c>
      <c r="V22" s="6" t="s">
        <v>95</v>
      </c>
      <c r="W22" s="71">
        <f>$W$15*W19+$Q$18</f>
        <v>4000</v>
      </c>
      <c r="X22" s="6" t="str">
        <f t="shared" si="6"/>
        <v>lbf</v>
      </c>
      <c r="Y22" s="6" t="s">
        <v>96</v>
      </c>
      <c r="Z22" s="71">
        <f>0.5*(W23-W22)</f>
        <v>391.82068779904193</v>
      </c>
      <c r="AA22" s="6" t="str">
        <f t="shared" si="6"/>
        <v>lbf</v>
      </c>
      <c r="AI22" s="63">
        <v>5</v>
      </c>
      <c r="AJ22" s="64">
        <v>1.125</v>
      </c>
      <c r="AK22" s="64">
        <v>1.5</v>
      </c>
      <c r="AL22" s="82">
        <v>74000</v>
      </c>
      <c r="AM22" s="82">
        <v>105000</v>
      </c>
      <c r="AN22" s="82">
        <v>81000</v>
      </c>
      <c r="AO22" s="83" t="e">
        <f>NA()</f>
        <v>#N/A</v>
      </c>
      <c r="AQ22" s="28">
        <v>30</v>
      </c>
      <c r="AR22" s="29">
        <v>3.5</v>
      </c>
      <c r="AS22" s="29">
        <v>561</v>
      </c>
      <c r="AT22" s="43">
        <v>519</v>
      </c>
      <c r="AU22" s="23"/>
      <c r="AV22" s="44">
        <v>30</v>
      </c>
      <c r="AW22" s="29">
        <v>2</v>
      </c>
      <c r="AX22" s="29">
        <v>621</v>
      </c>
      <c r="AY22" s="47">
        <v>596</v>
      </c>
      <c r="BA22" s="45">
        <f>9/16</f>
        <v>0.5625</v>
      </c>
      <c r="BB22" s="44">
        <v>0.5625</v>
      </c>
      <c r="BC22" s="29">
        <v>12</v>
      </c>
      <c r="BD22" s="29">
        <v>0.182</v>
      </c>
      <c r="BE22" s="43">
        <v>0.16200000000000001</v>
      </c>
      <c r="BF22" s="23"/>
      <c r="BG22" s="46">
        <f>9/16</f>
        <v>0.5625</v>
      </c>
      <c r="BH22" s="44">
        <v>0.5625</v>
      </c>
      <c r="BI22" s="29">
        <v>18</v>
      </c>
      <c r="BJ22" s="29">
        <v>0.20300000000000001</v>
      </c>
      <c r="BK22" s="47">
        <v>0.189</v>
      </c>
    </row>
    <row r="23" spans="2:63" ht="15" customHeight="1" x14ac:dyDescent="0.25">
      <c r="B23" s="6"/>
      <c r="C23" s="19">
        <f>IF($D$2="English",C22,C22*10^-6)</f>
        <v>0.15989999999999999</v>
      </c>
      <c r="D23" s="6" t="str">
        <f>IF($D$2="English","in^2","m^2")</f>
        <v>in^2</v>
      </c>
      <c r="V23" s="6" t="s">
        <v>98</v>
      </c>
      <c r="W23" s="71">
        <f>$W$15*W20+$Q$18</f>
        <v>4783.6413755980839</v>
      </c>
      <c r="X23" s="6" t="str">
        <f t="shared" si="6"/>
        <v>lbf</v>
      </c>
      <c r="Y23" s="6" t="s">
        <v>99</v>
      </c>
      <c r="Z23" s="71">
        <f>0.5*(W23+W22)</f>
        <v>4391.8206877990415</v>
      </c>
      <c r="AA23" s="6" t="str">
        <f t="shared" si="6"/>
        <v>lbf</v>
      </c>
      <c r="AI23" s="66">
        <v>5.2</v>
      </c>
      <c r="AJ23" s="67">
        <v>0.25</v>
      </c>
      <c r="AK23" s="67">
        <v>1</v>
      </c>
      <c r="AL23" s="73">
        <v>85000</v>
      </c>
      <c r="AM23" s="73">
        <v>120000</v>
      </c>
      <c r="AN23" s="73">
        <v>92000</v>
      </c>
      <c r="AO23" s="88" t="s">
        <v>53</v>
      </c>
      <c r="AQ23" s="28">
        <v>36</v>
      </c>
      <c r="AR23" s="29">
        <v>4</v>
      </c>
      <c r="AS23" s="29">
        <v>817</v>
      </c>
      <c r="AT23" s="43">
        <v>759</v>
      </c>
      <c r="AU23" s="23"/>
      <c r="AV23" s="44">
        <v>36</v>
      </c>
      <c r="AW23" s="29">
        <v>2</v>
      </c>
      <c r="AX23" s="29">
        <v>915</v>
      </c>
      <c r="AY23" s="47">
        <v>884</v>
      </c>
      <c r="BA23" s="45">
        <f>5/8</f>
        <v>0.625</v>
      </c>
      <c r="BB23" s="44">
        <v>0.625</v>
      </c>
      <c r="BC23" s="29">
        <v>11</v>
      </c>
      <c r="BD23" s="29">
        <v>0.22600000000000001</v>
      </c>
      <c r="BE23" s="43">
        <v>0.20200000000000001</v>
      </c>
      <c r="BF23" s="23"/>
      <c r="BG23" s="46">
        <f>5/8</f>
        <v>0.625</v>
      </c>
      <c r="BH23" s="44">
        <v>0.625</v>
      </c>
      <c r="BI23" s="29">
        <v>18</v>
      </c>
      <c r="BJ23" s="29">
        <v>0.25600000000000001</v>
      </c>
      <c r="BK23" s="47">
        <v>0.24</v>
      </c>
    </row>
    <row r="24" spans="2:63" ht="15" customHeight="1" x14ac:dyDescent="0.25">
      <c r="B24" s="6" t="str">
        <f>IF($D$2="English","Bolt threads per inch, p","Bolt pitch, p")</f>
        <v>Bolt threads per inch, p</v>
      </c>
      <c r="C24" s="6">
        <f>IF($D$2="English",IF($C$13="UNC",VLOOKUP($C$12,$BB$7:$BE$28,2,FALSE),VLOOKUP($C$12,$BH$7:$BK$28,2,FALSE)), IF($C$13="UNC",VLOOKUP($C$12,$AQ$7:$AT$32,2,FALSE),VLOOKUP($C$12,$AV$7:$AY$32,2,FALSE)))</f>
        <v>20</v>
      </c>
      <c r="D24" s="6" t="str">
        <f>IF($D$2="English","threads/in","mm")</f>
        <v>threads/in</v>
      </c>
      <c r="AI24" s="66">
        <v>7</v>
      </c>
      <c r="AJ24" s="67">
        <v>0.25</v>
      </c>
      <c r="AK24" s="67">
        <v>1.5</v>
      </c>
      <c r="AL24" s="73">
        <v>105000</v>
      </c>
      <c r="AM24" s="73">
        <v>133000</v>
      </c>
      <c r="AN24" s="73">
        <v>115000</v>
      </c>
      <c r="AO24" s="88" t="s">
        <v>100</v>
      </c>
      <c r="AQ24" s="28">
        <v>42</v>
      </c>
      <c r="AR24" s="29">
        <v>4.5</v>
      </c>
      <c r="AS24" s="29">
        <v>1120</v>
      </c>
      <c r="AT24" s="43">
        <v>1050</v>
      </c>
      <c r="AU24" s="23"/>
      <c r="AV24" s="44">
        <v>42</v>
      </c>
      <c r="AW24" s="29">
        <v>2</v>
      </c>
      <c r="AX24" s="29">
        <v>1260</v>
      </c>
      <c r="AY24" s="47">
        <v>1230</v>
      </c>
      <c r="BA24" s="45">
        <f>3/4</f>
        <v>0.75</v>
      </c>
      <c r="BB24" s="44">
        <v>0.75</v>
      </c>
      <c r="BC24" s="29">
        <v>10</v>
      </c>
      <c r="BD24" s="29">
        <v>0.33400000000000002</v>
      </c>
      <c r="BE24" s="43">
        <v>0.30199999999999999</v>
      </c>
      <c r="BF24" s="23"/>
      <c r="BG24" s="46">
        <f>3/4</f>
        <v>0.75</v>
      </c>
      <c r="BH24" s="44">
        <v>0.75</v>
      </c>
      <c r="BI24" s="29">
        <v>16</v>
      </c>
      <c r="BJ24" s="29">
        <v>0.373</v>
      </c>
      <c r="BK24" s="47">
        <v>0.35099999999999998</v>
      </c>
    </row>
    <row r="25" spans="2:63" ht="15" customHeight="1" x14ac:dyDescent="0.25">
      <c r="U25" s="87"/>
      <c r="V25" s="6" t="s">
        <v>101</v>
      </c>
      <c r="W25" s="71">
        <f>(1-$W$15)*W19-$Q$18</f>
        <v>-4000</v>
      </c>
      <c r="X25" s="6" t="str">
        <f t="shared" si="6"/>
        <v>lbf</v>
      </c>
      <c r="AI25" s="66">
        <v>8</v>
      </c>
      <c r="AJ25" s="67">
        <v>0.25</v>
      </c>
      <c r="AK25" s="67">
        <v>1.5</v>
      </c>
      <c r="AL25" s="73">
        <v>120000</v>
      </c>
      <c r="AM25" s="73">
        <v>150000</v>
      </c>
      <c r="AN25" s="73">
        <v>130000</v>
      </c>
      <c r="AO25" s="88" t="s">
        <v>100</v>
      </c>
      <c r="AQ25" s="28">
        <v>48</v>
      </c>
      <c r="AR25" s="29">
        <v>5</v>
      </c>
      <c r="AS25" s="29">
        <v>1470</v>
      </c>
      <c r="AT25" s="43">
        <v>1380</v>
      </c>
      <c r="AU25" s="23"/>
      <c r="AV25" s="44">
        <v>48</v>
      </c>
      <c r="AW25" s="29">
        <v>2</v>
      </c>
      <c r="AX25" s="29">
        <v>1670</v>
      </c>
      <c r="AY25" s="47">
        <v>1630</v>
      </c>
      <c r="BA25" s="45">
        <f>7/8</f>
        <v>0.875</v>
      </c>
      <c r="BB25" s="44">
        <v>0.875</v>
      </c>
      <c r="BC25" s="29">
        <v>9</v>
      </c>
      <c r="BD25" s="29">
        <v>0.46200000000000002</v>
      </c>
      <c r="BE25" s="43">
        <v>0.41899999999999998</v>
      </c>
      <c r="BF25" s="23"/>
      <c r="BG25" s="46">
        <f>7/8</f>
        <v>0.875</v>
      </c>
      <c r="BH25" s="44">
        <v>0.875</v>
      </c>
      <c r="BI25" s="29">
        <v>14</v>
      </c>
      <c r="BJ25" s="29">
        <v>0.50900000000000001</v>
      </c>
      <c r="BK25" s="47">
        <v>0.48</v>
      </c>
    </row>
    <row r="26" spans="2:63" ht="15" customHeight="1" thickBot="1" x14ac:dyDescent="0.3">
      <c r="B26" s="7" t="s">
        <v>103</v>
      </c>
      <c r="C26" s="74" t="b">
        <v>0</v>
      </c>
      <c r="D26" s="112" t="s">
        <v>127</v>
      </c>
      <c r="E26" s="111"/>
      <c r="F26" s="111"/>
      <c r="V26" s="6" t="s">
        <v>102</v>
      </c>
      <c r="W26" s="71">
        <f>(1-$W$15)*W20-$Q$18</f>
        <v>-783.64137559808387</v>
      </c>
      <c r="X26" s="6" t="str">
        <f t="shared" si="6"/>
        <v>lbf</v>
      </c>
      <c r="AI26" s="89">
        <v>8.1999999999999993</v>
      </c>
      <c r="AJ26" s="90">
        <v>0.25</v>
      </c>
      <c r="AK26" s="90">
        <v>1</v>
      </c>
      <c r="AL26" s="55">
        <v>120000</v>
      </c>
      <c r="AM26" s="55">
        <v>150000</v>
      </c>
      <c r="AN26" s="55">
        <v>130000</v>
      </c>
      <c r="AO26" s="91" t="s">
        <v>53</v>
      </c>
      <c r="AQ26" s="28">
        <v>56</v>
      </c>
      <c r="AR26" s="29">
        <v>5.5</v>
      </c>
      <c r="AS26" s="29">
        <v>2030</v>
      </c>
      <c r="AT26" s="43">
        <v>1910</v>
      </c>
      <c r="AU26" s="23"/>
      <c r="AV26" s="44">
        <v>56</v>
      </c>
      <c r="AW26" s="29">
        <v>2</v>
      </c>
      <c r="AX26" s="29">
        <v>2300</v>
      </c>
      <c r="AY26" s="47">
        <v>2250</v>
      </c>
      <c r="BA26" s="45">
        <f>1</f>
        <v>1</v>
      </c>
      <c r="BB26" s="44">
        <v>1</v>
      </c>
      <c r="BC26" s="29">
        <v>8</v>
      </c>
      <c r="BD26" s="29">
        <v>0.60599999999999998</v>
      </c>
      <c r="BE26" s="43">
        <v>0.55100000000000005</v>
      </c>
      <c r="BF26" s="23"/>
      <c r="BG26" s="46">
        <f>1</f>
        <v>1</v>
      </c>
      <c r="BH26" s="44">
        <v>1</v>
      </c>
      <c r="BI26" s="29">
        <v>12</v>
      </c>
      <c r="BJ26" s="29">
        <v>0.66300000000000003</v>
      </c>
      <c r="BK26" s="47">
        <v>0.625</v>
      </c>
    </row>
    <row r="27" spans="2:63" ht="15" customHeight="1" x14ac:dyDescent="0.25">
      <c r="B27" s="7" t="s">
        <v>104</v>
      </c>
      <c r="C27" s="92" t="b">
        <f>NOT(C26)</f>
        <v>1</v>
      </c>
      <c r="D27" s="112" t="s">
        <v>126</v>
      </c>
      <c r="E27" s="111"/>
      <c r="F27" s="111"/>
      <c r="AQ27" s="28">
        <v>64</v>
      </c>
      <c r="AR27" s="29">
        <v>6</v>
      </c>
      <c r="AS27" s="29">
        <v>2680</v>
      </c>
      <c r="AT27" s="43">
        <v>2520</v>
      </c>
      <c r="AU27" s="23"/>
      <c r="AV27" s="44">
        <v>64</v>
      </c>
      <c r="AW27" s="29">
        <v>2</v>
      </c>
      <c r="AX27" s="29">
        <v>3030</v>
      </c>
      <c r="AY27" s="47">
        <v>2980</v>
      </c>
      <c r="BA27" s="45">
        <f>1.25</f>
        <v>1.25</v>
      </c>
      <c r="BB27" s="44">
        <v>1.25</v>
      </c>
      <c r="BC27" s="29">
        <v>7</v>
      </c>
      <c r="BD27" s="29">
        <v>0.96899999999999997</v>
      </c>
      <c r="BE27" s="43">
        <v>0.89</v>
      </c>
      <c r="BF27" s="23"/>
      <c r="BG27" s="46">
        <f>1.25</f>
        <v>1.25</v>
      </c>
      <c r="BH27" s="44">
        <v>1.25</v>
      </c>
      <c r="BI27" s="29">
        <v>12</v>
      </c>
      <c r="BJ27" s="29">
        <v>1.073</v>
      </c>
      <c r="BK27" s="47">
        <v>1.024</v>
      </c>
    </row>
    <row r="28" spans="2:63" ht="15" customHeight="1" thickBot="1" x14ac:dyDescent="0.3">
      <c r="V28" s="10" t="s">
        <v>105</v>
      </c>
      <c r="W28" s="10"/>
      <c r="X28" s="11"/>
      <c r="Y28" s="11"/>
      <c r="Z28" s="11"/>
      <c r="AA28" s="11"/>
      <c r="AI28" s="85" t="s">
        <v>106</v>
      </c>
      <c r="AJ28" s="85"/>
      <c r="AK28" s="85"/>
      <c r="AL28" s="85"/>
      <c r="AM28" s="85"/>
      <c r="AN28" s="85"/>
      <c r="AO28" s="85"/>
      <c r="AQ28" s="28">
        <v>72</v>
      </c>
      <c r="AR28" s="29">
        <v>6</v>
      </c>
      <c r="AS28" s="29">
        <v>3460</v>
      </c>
      <c r="AT28" s="43">
        <v>3280</v>
      </c>
      <c r="AU28" s="23"/>
      <c r="AV28" s="44">
        <v>72</v>
      </c>
      <c r="AW28" s="29">
        <v>2</v>
      </c>
      <c r="AX28" s="29">
        <v>3860</v>
      </c>
      <c r="AY28" s="47">
        <v>3800</v>
      </c>
      <c r="BA28" s="93">
        <f>1.5</f>
        <v>1.5</v>
      </c>
      <c r="BB28" s="94">
        <v>1.5</v>
      </c>
      <c r="BC28" s="49">
        <v>6</v>
      </c>
      <c r="BD28" s="49">
        <v>1.405</v>
      </c>
      <c r="BE28" s="95">
        <v>1.294</v>
      </c>
      <c r="BF28" s="96"/>
      <c r="BG28" s="97">
        <f>1.5</f>
        <v>1.5</v>
      </c>
      <c r="BH28" s="94">
        <v>1.5</v>
      </c>
      <c r="BI28" s="49">
        <v>12</v>
      </c>
      <c r="BJ28" s="49">
        <v>1.581</v>
      </c>
      <c r="BK28" s="98">
        <v>1.5209999999999999</v>
      </c>
    </row>
    <row r="29" spans="2:63" ht="15" customHeight="1" x14ac:dyDescent="0.25">
      <c r="B29" s="6" t="s">
        <v>108</v>
      </c>
      <c r="C29" s="69">
        <f>IF(C19=0,0,(C21*C11)/C19)</f>
        <v>0</v>
      </c>
      <c r="D29" s="6" t="str">
        <f>IF($D$2="English","lbf/in","mN/m")</f>
        <v>lbf/in</v>
      </c>
      <c r="I29" s="4" t="s">
        <v>129</v>
      </c>
      <c r="J29" s="4" t="s">
        <v>128</v>
      </c>
      <c r="K29" s="4" t="s">
        <v>130</v>
      </c>
      <c r="L29" s="4" t="s">
        <v>131</v>
      </c>
      <c r="V29" s="6" t="s">
        <v>107</v>
      </c>
      <c r="W29" s="40">
        <f>Q18/$C$23</f>
        <v>25015.634771732333</v>
      </c>
      <c r="X29" s="6" t="str">
        <f>IF($D$2="English","psi","Pa")</f>
        <v>psi</v>
      </c>
      <c r="AI29" s="79" cm="1">
        <f t="array" ref="AI29:AO30">IF($D$2="English",_xlfn._xlws.FILTER(AI17:AO26,AI17:AI26=C15,AI27:AO28=NA()), _xlfn._xlws.FILTER(AI6:AO12,AI6:AI12=C15,AI27:AO28=NA()))</f>
        <v>5</v>
      </c>
      <c r="AJ29" s="80">
        <v>0.25</v>
      </c>
      <c r="AK29" s="80">
        <v>1</v>
      </c>
      <c r="AL29" s="99">
        <v>85000</v>
      </c>
      <c r="AM29" s="100">
        <v>120000</v>
      </c>
      <c r="AN29" s="100">
        <v>92000</v>
      </c>
      <c r="AO29" s="101" t="str">
        <v>Medium carbon, Q&amp;T</v>
      </c>
      <c r="AQ29" s="28">
        <v>80</v>
      </c>
      <c r="AR29" s="29">
        <v>6</v>
      </c>
      <c r="AS29" s="29">
        <v>4340</v>
      </c>
      <c r="AT29" s="43">
        <v>4140</v>
      </c>
      <c r="AU29" s="23"/>
      <c r="AV29" s="44">
        <v>80</v>
      </c>
      <c r="AW29" s="29">
        <v>1.5</v>
      </c>
      <c r="AX29" s="29">
        <v>4850</v>
      </c>
      <c r="AY29" s="47">
        <v>4800</v>
      </c>
    </row>
    <row r="30" spans="2:63" ht="15" customHeight="1" thickBot="1" x14ac:dyDescent="0.3">
      <c r="B30" s="6"/>
      <c r="C30" s="72">
        <f>IF($D$2="English",C29*10^-6,C29*10^-9)</f>
        <v>0</v>
      </c>
      <c r="D30" s="6" t="str">
        <f>IF($D$2="English","Mlbf/in","MN/m")</f>
        <v>Mlbf/in</v>
      </c>
      <c r="I30" s="4">
        <f>3.522*10^-4</f>
        <v>3.522E-4</v>
      </c>
      <c r="J30" s="4">
        <f>4000/I30</f>
        <v>11357183.418512208</v>
      </c>
      <c r="K30" s="113">
        <f>J30*10^-6</f>
        <v>11.357183418512207</v>
      </c>
      <c r="L30" s="114">
        <f>(ABS(K30-$J$17)/$J$17)*100</f>
        <v>23.581758429033744</v>
      </c>
      <c r="V30" s="6"/>
      <c r="W30" s="72">
        <f>IF($D$2="English",W29*10^-3,W29*10^-6)</f>
        <v>25.015634771732334</v>
      </c>
      <c r="X30" s="6" t="str">
        <f>IF($D$2="English","kpsi","MPa")</f>
        <v>kpsi</v>
      </c>
      <c r="AI30" s="84">
        <v>5</v>
      </c>
      <c r="AJ30" s="85">
        <v>1.125</v>
      </c>
      <c r="AK30" s="85">
        <v>1.5</v>
      </c>
      <c r="AL30" s="102">
        <v>74000</v>
      </c>
      <c r="AM30" s="103">
        <v>105000</v>
      </c>
      <c r="AN30" s="103">
        <v>81000</v>
      </c>
      <c r="AO30" s="104" t="e">
        <v>#N/A</v>
      </c>
      <c r="AQ30" s="28">
        <v>90</v>
      </c>
      <c r="AR30" s="29">
        <v>6</v>
      </c>
      <c r="AS30" s="29">
        <v>5590</v>
      </c>
      <c r="AT30" s="43">
        <v>5360</v>
      </c>
      <c r="AU30" s="23"/>
      <c r="AV30" s="44">
        <v>90</v>
      </c>
      <c r="AW30" s="29">
        <v>2</v>
      </c>
      <c r="AX30" s="29">
        <v>6100</v>
      </c>
      <c r="AY30" s="47">
        <v>6020</v>
      </c>
    </row>
    <row r="31" spans="2:63" ht="15" customHeight="1" x14ac:dyDescent="0.25">
      <c r="B31" s="6" t="s">
        <v>111</v>
      </c>
      <c r="C31" s="69">
        <f>IF(C20=0,0,(C22*C11)/C20)</f>
        <v>3620983.0447901078</v>
      </c>
      <c r="D31" s="6" t="str">
        <f>IF($D$2="English","lbf/in","mN/m")</f>
        <v>lbf/in</v>
      </c>
      <c r="I31" s="4">
        <f>2.849*10^-4</f>
        <v>2.8490000000000004E-4</v>
      </c>
      <c r="J31" s="4">
        <f>4000/I31</f>
        <v>14040014.040014038</v>
      </c>
      <c r="K31" s="113">
        <f>J31*10^-6</f>
        <v>14.040014040014038</v>
      </c>
      <c r="L31" s="114">
        <f>(ABS(K31-$J$17)/$J$17)*100</f>
        <v>5.5299940986510547</v>
      </c>
      <c r="V31" s="6" t="s">
        <v>109</v>
      </c>
      <c r="W31" s="40">
        <f>W22/$C$23</f>
        <v>25015.634771732333</v>
      </c>
      <c r="X31" s="6" t="str">
        <f>IF($D$2="English","psi","Pa")</f>
        <v>psi</v>
      </c>
      <c r="Y31" s="6" t="s">
        <v>110</v>
      </c>
      <c r="Z31" s="40">
        <f>0.5*(W33-W31)</f>
        <v>2450.4108054974495</v>
      </c>
      <c r="AA31" s="6" t="str">
        <f>IF($D$2="English","psi","Pa")</f>
        <v>psi</v>
      </c>
      <c r="AQ31" s="28">
        <v>100</v>
      </c>
      <c r="AR31" s="29">
        <v>6</v>
      </c>
      <c r="AS31" s="29">
        <v>6990</v>
      </c>
      <c r="AT31" s="43">
        <v>6740</v>
      </c>
      <c r="AU31" s="23"/>
      <c r="AV31" s="44">
        <v>100</v>
      </c>
      <c r="AW31" s="29">
        <v>2</v>
      </c>
      <c r="AX31" s="29">
        <v>7560</v>
      </c>
      <c r="AY31" s="47">
        <v>7470</v>
      </c>
    </row>
    <row r="32" spans="2:63" ht="15" customHeight="1" thickBot="1" x14ac:dyDescent="0.3">
      <c r="B32" s="6"/>
      <c r="C32" s="72">
        <f>IF($D$2="English",C31*10^-6,C31*10^-9)</f>
        <v>3.6209830447901075</v>
      </c>
      <c r="D32" s="6" t="str">
        <f>IF($D$2="English","Mlbf/in","MN/m")</f>
        <v>Mlbf/in</v>
      </c>
      <c r="V32" s="6"/>
      <c r="W32" s="72">
        <f>IF($D$2="English",W31*10^-3,W31*10^-6)</f>
        <v>25.015634771732334</v>
      </c>
      <c r="X32" s="6" t="str">
        <f>IF($D$2="English","kpsi","MPa")</f>
        <v>kpsi</v>
      </c>
      <c r="Y32" s="6"/>
      <c r="Z32" s="72">
        <f>IF($D$2="English",Z31*10^-3,Z31*10^-6)</f>
        <v>2.4504108054974494</v>
      </c>
      <c r="AA32" s="6" t="str">
        <f>IF($D$2="English","kpsi","MPa")</f>
        <v>kpsi</v>
      </c>
      <c r="AQ32" s="48">
        <v>110</v>
      </c>
      <c r="AR32" s="49">
        <v>6</v>
      </c>
      <c r="AS32" s="49" t="e">
        <f>NA()</f>
        <v>#N/A</v>
      </c>
      <c r="AT32" s="95" t="e">
        <f>NA()</f>
        <v>#N/A</v>
      </c>
      <c r="AU32" s="96"/>
      <c r="AV32" s="94">
        <v>110</v>
      </c>
      <c r="AW32" s="49">
        <v>2</v>
      </c>
      <c r="AX32" s="49">
        <v>9180</v>
      </c>
      <c r="AY32" s="98">
        <v>9080</v>
      </c>
    </row>
    <row r="33" spans="2:27" ht="15" customHeight="1" x14ac:dyDescent="0.25">
      <c r="B33" s="6" t="s">
        <v>114</v>
      </c>
      <c r="C33" s="69">
        <f>SUM(IF(C29=0,0,C29^-1),IF(C31=0,0,C31^-1))^-1</f>
        <v>3620983.0447901078</v>
      </c>
      <c r="D33" s="6" t="str">
        <f>IF($D$2="English","lbf/in","mN/m")</f>
        <v>lbf/in</v>
      </c>
      <c r="V33" s="6" t="s">
        <v>112</v>
      </c>
      <c r="W33" s="40">
        <f>W23/$C$23</f>
        <v>29916.456382727232</v>
      </c>
      <c r="X33" s="6" t="str">
        <f>IF($D$2="English","psi","Pa")</f>
        <v>psi</v>
      </c>
      <c r="Y33" s="6" t="s">
        <v>113</v>
      </c>
      <c r="Z33" s="40">
        <f>0.5*(W33+W31)</f>
        <v>27466.045577229783</v>
      </c>
      <c r="AA33" s="6" t="str">
        <f>IF($D$2="English","psi","Pa")</f>
        <v>psi</v>
      </c>
    </row>
    <row r="34" spans="2:27" ht="15" customHeight="1" x14ac:dyDescent="0.25">
      <c r="B34" s="6"/>
      <c r="C34" s="72">
        <f>IF($D$2="English",C33*10^-6,C33*10^-9)</f>
        <v>3.6209830447901075</v>
      </c>
      <c r="D34" s="6" t="str">
        <f>IF($D$2="English","Mlbf/in","MN/m")</f>
        <v>Mlbf/in</v>
      </c>
      <c r="V34" s="6"/>
      <c r="W34" s="72">
        <f>IF($D$2="English",W33*10^-3,W33*10^-6)</f>
        <v>29.916456382727233</v>
      </c>
      <c r="X34" s="6" t="str">
        <f>IF($D$2="English","kpsi","MPa")</f>
        <v>kpsi</v>
      </c>
      <c r="Y34" s="6"/>
      <c r="Z34" s="72">
        <f>IF($D$2="English",Z33*10^-3,Z33*10^-6)</f>
        <v>27.466045577229785</v>
      </c>
      <c r="AA34" s="6" t="str">
        <f>IF($D$2="English","kpsi","MPa")</f>
        <v>kpsi</v>
      </c>
    </row>
    <row r="35" spans="2:27" ht="15" customHeight="1" x14ac:dyDescent="0.25">
      <c r="V35" s="10" t="s">
        <v>115</v>
      </c>
      <c r="W35" s="10"/>
      <c r="X35" s="11"/>
    </row>
    <row r="36" spans="2:27" ht="15" customHeight="1" x14ac:dyDescent="0.25">
      <c r="V36" s="6" t="s">
        <v>116</v>
      </c>
      <c r="W36" s="105">
        <f>W16/W20</f>
        <v>1.2436424127747268</v>
      </c>
      <c r="X36" s="6"/>
    </row>
    <row r="37" spans="2:27" ht="15" customHeight="1" x14ac:dyDescent="0.25">
      <c r="U37" s="87" t="s">
        <v>117</v>
      </c>
      <c r="V37" s="6" t="s">
        <v>118</v>
      </c>
      <c r="W37" s="105">
        <f>(W5*$C$23)/(W23)</f>
        <v>2.841245597826759</v>
      </c>
      <c r="X37" s="6"/>
    </row>
    <row r="38" spans="2:27" ht="15" customHeight="1" x14ac:dyDescent="0.25">
      <c r="V38" s="6" t="s">
        <v>119</v>
      </c>
      <c r="W38" s="105">
        <f>(W11*(W7-W29))/(W7*Z31+W11*(Z33-W29))</f>
        <v>5.201911266262222</v>
      </c>
      <c r="X38" s="106" t="s">
        <v>120</v>
      </c>
      <c r="Y38"/>
    </row>
    <row r="39" spans="2:27" ht="15" customHeight="1" x14ac:dyDescent="0.25">
      <c r="V39" s="6" t="s">
        <v>121</v>
      </c>
      <c r="W39" s="105">
        <f>(W5*$C$23-Q18)/(W15*W20)</f>
        <v>12.239654896577731</v>
      </c>
      <c r="X39" s="6"/>
    </row>
    <row r="41" spans="2:27" ht="15" customHeight="1" x14ac:dyDescent="0.25">
      <c r="V41" s="10" t="s">
        <v>122</v>
      </c>
      <c r="W41" s="10"/>
      <c r="X41" s="11"/>
    </row>
    <row r="42" spans="2:27" ht="15" customHeight="1" x14ac:dyDescent="0.25">
      <c r="V42" s="6" t="s">
        <v>123</v>
      </c>
      <c r="W42" s="75">
        <f>IF($D$2="English",W43*Q18*C12,W43*Q18*(C12*10^-3))</f>
        <v>400</v>
      </c>
      <c r="X42" s="6" t="str">
        <f>IF($D$2="English","in-lbf", "Nm")</f>
        <v>in-lbf</v>
      </c>
    </row>
    <row r="43" spans="2:27" ht="15" customHeight="1" x14ac:dyDescent="0.25">
      <c r="V43" s="7" t="s">
        <v>124</v>
      </c>
      <c r="W43" s="107">
        <v>0.2</v>
      </c>
      <c r="X43" s="25"/>
      <c r="Z43"/>
    </row>
    <row r="48" spans="2:27" ht="15" customHeight="1" x14ac:dyDescent="0.25">
      <c r="S48"/>
    </row>
    <row r="150" spans="64:64" ht="15" customHeight="1" x14ac:dyDescent="0.25">
      <c r="BL150" s="4" t="s">
        <v>125</v>
      </c>
    </row>
  </sheetData>
  <mergeCells count="4">
    <mergeCell ref="AQ5:AT5"/>
    <mergeCell ref="AV5:AY5"/>
    <mergeCell ref="BA5:BE5"/>
    <mergeCell ref="BG5:BK5"/>
  </mergeCells>
  <conditionalFormatting sqref="B18 D18 F18">
    <cfRule type="expression" dxfId="9" priority="1">
      <formula>NOT($F$18)</formula>
    </cfRule>
  </conditionalFormatting>
  <conditionalFormatting sqref="C16:D16">
    <cfRule type="expression" dxfId="8" priority="8">
      <formula>$C$16&lt;&gt;$J$12</formula>
    </cfRule>
    <cfRule type="duplicateValues" dxfId="7" priority="9"/>
  </conditionalFormatting>
  <conditionalFormatting sqref="I6:N6">
    <cfRule type="expression" dxfId="6" priority="6">
      <formula>0=$J$6</formula>
    </cfRule>
  </conditionalFormatting>
  <conditionalFormatting sqref="I7:N7">
    <cfRule type="expression" dxfId="5" priority="7">
      <formula>0=$J$7</formula>
    </cfRule>
  </conditionalFormatting>
  <conditionalFormatting sqref="I8:N8">
    <cfRule type="expression" dxfId="4" priority="5">
      <formula>0=$J$8</formula>
    </cfRule>
  </conditionalFormatting>
  <conditionalFormatting sqref="I9:N9">
    <cfRule type="expression" dxfId="3" priority="4">
      <formula>0=$J$9</formula>
    </cfRule>
  </conditionalFormatting>
  <conditionalFormatting sqref="I10:N10">
    <cfRule type="expression" dxfId="2" priority="3">
      <formula>0=$J$10</formula>
    </cfRule>
  </conditionalFormatting>
  <conditionalFormatting sqref="J12:K13">
    <cfRule type="expression" dxfId="1" priority="10">
      <formula>$C$16&lt;&gt;$J$12</formula>
    </cfRule>
  </conditionalFormatting>
  <conditionalFormatting sqref="P19 R19 T19">
    <cfRule type="expression" dxfId="0" priority="2">
      <formula>NOT($T$19)</formula>
    </cfRule>
  </conditionalFormatting>
  <dataValidations count="2">
    <dataValidation type="list" allowBlank="1" showInputMessage="1" showErrorMessage="1" sqref="C13" xr:uid="{EC11C184-D419-4466-B742-6737C7B532A8}">
      <formula1>"UNC, UNF"</formula1>
    </dataValidation>
    <dataValidation type="list" allowBlank="1" showInputMessage="1" showErrorMessage="1" sqref="D2" xr:uid="{E0371AA7-995F-47E6-B34A-958BE72BA9FB}">
      <formula1>"English, Metric"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Jointed Assembly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2025-01-13T22:02:33Z</dcterms:created>
  <dcterms:modified xsi:type="dcterms:W3CDTF">2025-02-08T08:24:40Z</dcterms:modified>
  <cp:category/>
  <cp:contentStatus/>
</cp:coreProperties>
</file>