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 Lab/Lab 3 (Weeks 4&amp;5) (No Lab Week 6)/"/>
    </mc:Choice>
  </mc:AlternateContent>
  <xr:revisionPtr revIDLastSave="4826" documentId="11_0B1D56BE9CDCCE836B02CE7A5FB0D4A9BBFD1C62" xr6:coauthVersionLast="47" xr6:coauthVersionMax="47" xr10:uidLastSave="{4065A864-7627-4666-8F53-7FF736483F5C}"/>
  <bookViews>
    <workbookView xWindow="-105" yWindow="0" windowWidth="19410" windowHeight="20985" tabRatio="496" xr2:uid="{00000000-000D-0000-FFFF-FFFF00000000}"/>
  </bookViews>
  <sheets>
    <sheet name="Lab 3 Updated Jointed Assem (2)" sheetId="4" r:id="rId1"/>
    <sheet name="Lab 3 Updated Jointed Assembly" sheetId="3" r:id="rId2"/>
    <sheet name="Old Lab3 Jointed Assembl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4" l="1"/>
  <c r="U40" i="4"/>
  <c r="Q48" i="4"/>
  <c r="C17" i="4"/>
  <c r="F9" i="4"/>
  <c r="F8" i="4"/>
  <c r="F7" i="4"/>
  <c r="AB15" i="4"/>
  <c r="AB14" i="4"/>
  <c r="AB13" i="4"/>
  <c r="AC14" i="4"/>
  <c r="AC13" i="4"/>
  <c r="AF14" i="4"/>
  <c r="AF13" i="4"/>
  <c r="AB4" i="4"/>
  <c r="AB10" i="4"/>
  <c r="AB11" i="4"/>
  <c r="AB12" i="4"/>
  <c r="AB9" i="4"/>
  <c r="AB8" i="4"/>
  <c r="AB5" i="4"/>
  <c r="AB7" i="4"/>
  <c r="AB6" i="4"/>
  <c r="F9" i="3"/>
  <c r="F8" i="3"/>
  <c r="F7" i="3"/>
  <c r="Q18" i="3" l="1"/>
  <c r="R45" i="3"/>
  <c r="Q31" i="3"/>
  <c r="Q28" i="3"/>
  <c r="Q27" i="4" l="1"/>
  <c r="R29" i="4"/>
  <c r="R28" i="4"/>
  <c r="R27" i="4"/>
  <c r="R26" i="4"/>
  <c r="R38" i="3"/>
  <c r="Q36" i="3"/>
  <c r="Q44" i="3" s="1"/>
  <c r="Q45" i="3" s="1"/>
  <c r="R35" i="3"/>
  <c r="R37" i="3"/>
  <c r="R36" i="3"/>
  <c r="R22" i="4"/>
  <c r="Y37" i="4"/>
  <c r="V37" i="4"/>
  <c r="D32" i="4"/>
  <c r="Y36" i="4"/>
  <c r="V36" i="4"/>
  <c r="D31" i="4"/>
  <c r="M6" i="4" s="1"/>
  <c r="AY33" i="4"/>
  <c r="AX33" i="4"/>
  <c r="Y35" i="4"/>
  <c r="V35" i="4"/>
  <c r="D30" i="4"/>
  <c r="Y34" i="4"/>
  <c r="V34" i="4"/>
  <c r="D29" i="4"/>
  <c r="V33" i="4"/>
  <c r="R14" i="4"/>
  <c r="D28" i="4"/>
  <c r="AN30" i="4" a="1"/>
  <c r="U8" i="4" s="1"/>
  <c r="U9" i="4" s="1"/>
  <c r="V32" i="4"/>
  <c r="R13" i="4"/>
  <c r="D27" i="4"/>
  <c r="BL29" i="4"/>
  <c r="BF29" i="4"/>
  <c r="BL28" i="4"/>
  <c r="BF28" i="4"/>
  <c r="R11" i="4"/>
  <c r="Q11" i="4"/>
  <c r="C35" i="4"/>
  <c r="BL27" i="4"/>
  <c r="BF27" i="4"/>
  <c r="V28" i="4"/>
  <c r="R10" i="4"/>
  <c r="BL26" i="4"/>
  <c r="BF26" i="4"/>
  <c r="V27" i="4"/>
  <c r="BL25" i="4"/>
  <c r="BF25" i="4"/>
  <c r="R8" i="4"/>
  <c r="D25" i="4"/>
  <c r="C25" i="4"/>
  <c r="C11" i="4" s="1"/>
  <c r="B25" i="4"/>
  <c r="BL24" i="4"/>
  <c r="BF24" i="4"/>
  <c r="Y25" i="4"/>
  <c r="V25" i="4"/>
  <c r="R7" i="4"/>
  <c r="Q7" i="4"/>
  <c r="Q8" i="4" s="1"/>
  <c r="Q13" i="4" s="1"/>
  <c r="Q47" i="4" s="1"/>
  <c r="D24" i="4"/>
  <c r="BL23" i="4"/>
  <c r="BF23" i="4"/>
  <c r="AT23" i="4"/>
  <c r="Y24" i="4"/>
  <c r="V24" i="4"/>
  <c r="R6" i="4"/>
  <c r="D23" i="4"/>
  <c r="C23" i="4"/>
  <c r="C24" i="4" s="1"/>
  <c r="BL22" i="4"/>
  <c r="BF22" i="4"/>
  <c r="D22" i="4"/>
  <c r="C22" i="4"/>
  <c r="BL21" i="4"/>
  <c r="BF21" i="4"/>
  <c r="Y22" i="4"/>
  <c r="V22" i="4"/>
  <c r="D21" i="4"/>
  <c r="BL20" i="4"/>
  <c r="BF20" i="4"/>
  <c r="AT20" i="4"/>
  <c r="AI20" i="4" a="1"/>
  <c r="AI20" i="4" s="1"/>
  <c r="Y21" i="4"/>
  <c r="V21" i="4"/>
  <c r="P50" i="4"/>
  <c r="D20" i="4"/>
  <c r="BL19" i="4"/>
  <c r="BF19" i="4"/>
  <c r="R19" i="4"/>
  <c r="D19" i="4"/>
  <c r="BL18" i="4"/>
  <c r="BF18" i="4"/>
  <c r="V19" i="4"/>
  <c r="R48" i="4"/>
  <c r="K18" i="4"/>
  <c r="D18" i="4"/>
  <c r="C18" i="4"/>
  <c r="C20" i="4" s="1"/>
  <c r="BL17" i="4"/>
  <c r="BF17" i="4"/>
  <c r="V18" i="4"/>
  <c r="R47" i="4"/>
  <c r="K17" i="4"/>
  <c r="D17" i="4"/>
  <c r="J14" i="4"/>
  <c r="BL16" i="4"/>
  <c r="BF16" i="4"/>
  <c r="BL15" i="4"/>
  <c r="BF15" i="4"/>
  <c r="BD15" i="4"/>
  <c r="BC15" i="4"/>
  <c r="BB15" i="4"/>
  <c r="K15" i="4"/>
  <c r="D15" i="4"/>
  <c r="BL14" i="4"/>
  <c r="BF14" i="4"/>
  <c r="BD14" i="4"/>
  <c r="BC14" i="4"/>
  <c r="BB14" i="4"/>
  <c r="K14" i="4"/>
  <c r="BL13" i="4"/>
  <c r="BF13" i="4"/>
  <c r="BD13" i="4"/>
  <c r="BC13" i="4"/>
  <c r="BB13" i="4"/>
  <c r="V13" i="4"/>
  <c r="K13" i="4"/>
  <c r="D13" i="4"/>
  <c r="K6" i="4" s="1"/>
  <c r="BL12" i="4"/>
  <c r="BF12" i="4"/>
  <c r="BD12" i="4"/>
  <c r="BC12" i="4"/>
  <c r="BB12" i="4"/>
  <c r="V12" i="4"/>
  <c r="D12" i="4"/>
  <c r="C12" i="4"/>
  <c r="BL11" i="4"/>
  <c r="BF11" i="4"/>
  <c r="BD11" i="4"/>
  <c r="BC11" i="4"/>
  <c r="BB11" i="4"/>
  <c r="V11" i="4"/>
  <c r="K11" i="4"/>
  <c r="J11" i="4"/>
  <c r="BL10" i="4"/>
  <c r="BF10" i="4"/>
  <c r="BD10" i="4"/>
  <c r="BC10" i="4"/>
  <c r="BB10" i="4"/>
  <c r="V10" i="4"/>
  <c r="K10" i="4"/>
  <c r="BL9" i="4"/>
  <c r="BF9" i="4"/>
  <c r="BD9" i="4"/>
  <c r="BC9" i="4"/>
  <c r="BB9" i="4"/>
  <c r="V9" i="4"/>
  <c r="G9" i="4"/>
  <c r="L11" i="4"/>
  <c r="M11" i="4" s="1"/>
  <c r="N11" i="4" s="1"/>
  <c r="D9" i="4"/>
  <c r="BL8" i="4"/>
  <c r="BJ8" i="4"/>
  <c r="BI8" i="4"/>
  <c r="BH8" i="4"/>
  <c r="BF8" i="4"/>
  <c r="BD8" i="4"/>
  <c r="BC8" i="4"/>
  <c r="BB8" i="4"/>
  <c r="V8" i="4"/>
  <c r="G8" i="4"/>
  <c r="L10" i="4"/>
  <c r="D8" i="4"/>
  <c r="V7" i="4"/>
  <c r="L7" i="4"/>
  <c r="K7" i="4"/>
  <c r="J7" i="4"/>
  <c r="G7" i="4"/>
  <c r="L8" i="4"/>
  <c r="D7" i="4"/>
  <c r="V6" i="4"/>
  <c r="G6" i="4"/>
  <c r="L6" i="4" s="1"/>
  <c r="D6" i="4"/>
  <c r="J6" i="4" s="1"/>
  <c r="C17" i="3"/>
  <c r="C12" i="3"/>
  <c r="Q18" i="2"/>
  <c r="Q16" i="2"/>
  <c r="C39" i="2" s="1"/>
  <c r="C38" i="2"/>
  <c r="L11" i="3"/>
  <c r="C17" i="2"/>
  <c r="X43" i="3"/>
  <c r="AA35" i="3"/>
  <c r="X35" i="3"/>
  <c r="D35" i="3"/>
  <c r="AA34" i="3"/>
  <c r="X34" i="3"/>
  <c r="R31" i="3"/>
  <c r="D34" i="3"/>
  <c r="AT33" i="3"/>
  <c r="AS33" i="3"/>
  <c r="AA33" i="3"/>
  <c r="X33" i="3"/>
  <c r="R30" i="3"/>
  <c r="D33" i="3"/>
  <c r="AA32" i="3"/>
  <c r="X32" i="3"/>
  <c r="D32" i="3"/>
  <c r="X31" i="3"/>
  <c r="R28" i="3"/>
  <c r="D31" i="3"/>
  <c r="AI30" i="3" a="1"/>
  <c r="W8" i="3" s="1"/>
  <c r="X30" i="3"/>
  <c r="R27" i="3"/>
  <c r="D30" i="3"/>
  <c r="BG29" i="3"/>
  <c r="BA29" i="3"/>
  <c r="BG28" i="3"/>
  <c r="BA28" i="3"/>
  <c r="R25" i="3"/>
  <c r="I28" i="3"/>
  <c r="C28" i="3"/>
  <c r="BG27" i="3"/>
  <c r="BA27" i="3"/>
  <c r="X27" i="3"/>
  <c r="R24" i="3"/>
  <c r="Q24" i="3"/>
  <c r="Q25" i="3" s="1"/>
  <c r="Q30" i="3" s="1"/>
  <c r="Q17" i="3" s="1"/>
  <c r="BG26" i="3"/>
  <c r="BA26" i="3"/>
  <c r="X26" i="3"/>
  <c r="R23" i="3"/>
  <c r="BG25" i="3"/>
  <c r="BA25" i="3"/>
  <c r="D25" i="3"/>
  <c r="C25" i="3"/>
  <c r="C11" i="3" s="1"/>
  <c r="B25" i="3"/>
  <c r="BG24" i="3"/>
  <c r="BA24" i="3"/>
  <c r="AA24" i="3"/>
  <c r="X24" i="3"/>
  <c r="D24" i="3"/>
  <c r="BG23" i="3"/>
  <c r="BA23" i="3"/>
  <c r="AO23" i="3"/>
  <c r="AA23" i="3"/>
  <c r="X23" i="3"/>
  <c r="D23" i="3"/>
  <c r="C23" i="3"/>
  <c r="C24" i="3" s="1"/>
  <c r="BG22" i="3"/>
  <c r="BA22" i="3"/>
  <c r="D22" i="3"/>
  <c r="C22" i="3"/>
  <c r="BG21" i="3"/>
  <c r="BA21" i="3"/>
  <c r="AA21" i="3"/>
  <c r="X21" i="3"/>
  <c r="D21" i="3"/>
  <c r="BG20" i="3"/>
  <c r="BA20" i="3"/>
  <c r="AO20" i="3"/>
  <c r="AD20" i="3" a="1"/>
  <c r="AD20" i="3" s="1"/>
  <c r="AA20" i="3"/>
  <c r="X20" i="3"/>
  <c r="R20" i="3"/>
  <c r="D20" i="3"/>
  <c r="BG19" i="3"/>
  <c r="BA19" i="3"/>
  <c r="R19" i="3"/>
  <c r="D19" i="3"/>
  <c r="BG18" i="3"/>
  <c r="BA18" i="3"/>
  <c r="X18" i="3"/>
  <c r="R18" i="3"/>
  <c r="K18" i="3"/>
  <c r="D18" i="3"/>
  <c r="C18" i="3"/>
  <c r="C20" i="3" s="1"/>
  <c r="BG17" i="3"/>
  <c r="BA17" i="3"/>
  <c r="X17" i="3"/>
  <c r="R17" i="3"/>
  <c r="K17" i="3"/>
  <c r="D17" i="3"/>
  <c r="BG16" i="3"/>
  <c r="BA16" i="3"/>
  <c r="BG15" i="3"/>
  <c r="BA15" i="3"/>
  <c r="AY15" i="3"/>
  <c r="AX15" i="3"/>
  <c r="AW15" i="3"/>
  <c r="K15" i="3"/>
  <c r="D15" i="3"/>
  <c r="BG14" i="3"/>
  <c r="BA14" i="3"/>
  <c r="AY14" i="3"/>
  <c r="AX14" i="3"/>
  <c r="AW14" i="3"/>
  <c r="K14" i="3"/>
  <c r="BG13" i="3"/>
  <c r="BA13" i="3"/>
  <c r="AY13" i="3"/>
  <c r="AX13" i="3"/>
  <c r="AW13" i="3"/>
  <c r="X13" i="3"/>
  <c r="K13" i="3"/>
  <c r="D13" i="3"/>
  <c r="K6" i="3" s="1"/>
  <c r="BG12" i="3"/>
  <c r="BA12" i="3"/>
  <c r="AY12" i="3"/>
  <c r="AX12" i="3"/>
  <c r="AW12" i="3"/>
  <c r="X12" i="3"/>
  <c r="D12" i="3"/>
  <c r="BG11" i="3"/>
  <c r="BA11" i="3"/>
  <c r="AY11" i="3"/>
  <c r="AX11" i="3"/>
  <c r="AW11" i="3"/>
  <c r="X11" i="3"/>
  <c r="K11" i="3"/>
  <c r="J11" i="3"/>
  <c r="BG10" i="3"/>
  <c r="BA10" i="3"/>
  <c r="AY10" i="3"/>
  <c r="AX10" i="3"/>
  <c r="AW10" i="3"/>
  <c r="X10" i="3"/>
  <c r="L10" i="3"/>
  <c r="BG9" i="3"/>
  <c r="BA9" i="3"/>
  <c r="AY9" i="3"/>
  <c r="AX9" i="3"/>
  <c r="AW9" i="3"/>
  <c r="X9" i="3"/>
  <c r="G9" i="3"/>
  <c r="D9" i="3"/>
  <c r="BG8" i="3"/>
  <c r="BE8" i="3"/>
  <c r="BD8" i="3"/>
  <c r="BC8" i="3"/>
  <c r="BA8" i="3"/>
  <c r="AY8" i="3"/>
  <c r="AX8" i="3"/>
  <c r="AW8" i="3"/>
  <c r="X8" i="3"/>
  <c r="G8" i="3"/>
  <c r="D8" i="3"/>
  <c r="X7" i="3"/>
  <c r="K7" i="3"/>
  <c r="J7" i="3"/>
  <c r="G7" i="3"/>
  <c r="L8" i="3"/>
  <c r="D7" i="3"/>
  <c r="X6" i="3"/>
  <c r="M6" i="3"/>
  <c r="G6" i="3"/>
  <c r="L6" i="3" s="1"/>
  <c r="L7" i="3"/>
  <c r="D6" i="3"/>
  <c r="J6" i="3" s="1"/>
  <c r="Q14" i="4" l="1"/>
  <c r="U22" i="4" s="1"/>
  <c r="W6" i="3"/>
  <c r="U21" i="4"/>
  <c r="C27" i="4"/>
  <c r="K8" i="4"/>
  <c r="J15" i="4"/>
  <c r="J8" i="4" s="1"/>
  <c r="L9" i="4" s="1"/>
  <c r="C28" i="4"/>
  <c r="M7" i="4"/>
  <c r="N7" i="4" s="1"/>
  <c r="U12" i="4"/>
  <c r="U6" i="4"/>
  <c r="C21" i="4"/>
  <c r="C29" i="4" s="1"/>
  <c r="C30" i="4" s="1"/>
  <c r="AN30" i="4"/>
  <c r="U10" i="4"/>
  <c r="U19" i="4" s="1"/>
  <c r="Q19" i="4" s="1"/>
  <c r="W20" i="3"/>
  <c r="C30" i="3"/>
  <c r="C31" i="3" s="1"/>
  <c r="M11" i="3"/>
  <c r="N11" i="3" s="1"/>
  <c r="K10" i="3"/>
  <c r="K8" i="3"/>
  <c r="W9" i="3"/>
  <c r="C21" i="3"/>
  <c r="C32" i="3" s="1"/>
  <c r="C33" i="3" s="1"/>
  <c r="J15" i="3"/>
  <c r="J14" i="3"/>
  <c r="M7" i="3"/>
  <c r="N7" i="3" s="1"/>
  <c r="W12" i="3"/>
  <c r="W7" i="3"/>
  <c r="AI30" i="3"/>
  <c r="W10" i="3"/>
  <c r="F34" i="2"/>
  <c r="Q6" i="2"/>
  <c r="F33" i="2"/>
  <c r="G32" i="2"/>
  <c r="G31" i="2"/>
  <c r="F31" i="2"/>
  <c r="C12" i="2"/>
  <c r="F9" i="2"/>
  <c r="F8" i="2"/>
  <c r="F7" i="2"/>
  <c r="Q21" i="2"/>
  <c r="Q24" i="2"/>
  <c r="Q25" i="2" s="1"/>
  <c r="Q27" i="2"/>
  <c r="R28" i="2"/>
  <c r="R27" i="2"/>
  <c r="Q28" i="2"/>
  <c r="R25" i="2"/>
  <c r="R24" i="2"/>
  <c r="C18" i="2"/>
  <c r="D19" i="2"/>
  <c r="D40" i="2"/>
  <c r="D38" i="2"/>
  <c r="R22" i="2"/>
  <c r="R21" i="2"/>
  <c r="R18" i="2"/>
  <c r="D39" i="2"/>
  <c r="R16" i="2"/>
  <c r="R9" i="2"/>
  <c r="R8" i="2"/>
  <c r="R7" i="2"/>
  <c r="R6" i="2"/>
  <c r="D34" i="2"/>
  <c r="D33" i="2"/>
  <c r="D32" i="2"/>
  <c r="D31" i="2"/>
  <c r="D30" i="2"/>
  <c r="D29" i="2"/>
  <c r="K16" i="2"/>
  <c r="K17" i="2"/>
  <c r="J9" i="4" l="1"/>
  <c r="X21" i="4"/>
  <c r="X22" i="4"/>
  <c r="W21" i="3"/>
  <c r="M8" i="4"/>
  <c r="N8" i="4" s="1"/>
  <c r="K9" i="4"/>
  <c r="M9" i="4" s="1"/>
  <c r="N9" i="4" s="1"/>
  <c r="J10" i="4"/>
  <c r="M10" i="4" s="1"/>
  <c r="N10" i="4" s="1"/>
  <c r="Q22" i="4"/>
  <c r="U11" i="4"/>
  <c r="U13" i="4"/>
  <c r="C31" i="4"/>
  <c r="U7" i="4"/>
  <c r="W11" i="3"/>
  <c r="W18" i="3"/>
  <c r="Q19" i="3" s="1"/>
  <c r="W13" i="3"/>
  <c r="J8" i="3"/>
  <c r="J9" i="3"/>
  <c r="C34" i="3"/>
  <c r="Q22" i="2"/>
  <c r="B24" i="2"/>
  <c r="AI6" i="2"/>
  <c r="AH6" i="2"/>
  <c r="AG6" i="2"/>
  <c r="AC6" i="2"/>
  <c r="AB6" i="2"/>
  <c r="AA6" i="2"/>
  <c r="AC9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B9" i="2"/>
  <c r="AA9" i="2"/>
  <c r="AC8" i="2"/>
  <c r="AB8" i="2"/>
  <c r="AA8" i="2"/>
  <c r="AC7" i="2"/>
  <c r="AB7" i="2"/>
  <c r="AA7" i="2"/>
  <c r="X31" i="2"/>
  <c r="W31" i="2"/>
  <c r="C24" i="2"/>
  <c r="C11" i="2" s="1"/>
  <c r="C23" i="2"/>
  <c r="AK27" i="2"/>
  <c r="AE27" i="2"/>
  <c r="AK26" i="2"/>
  <c r="AE26" i="2"/>
  <c r="AK25" i="2"/>
  <c r="AE25" i="2"/>
  <c r="AK24" i="2"/>
  <c r="AE24" i="2"/>
  <c r="AK23" i="2"/>
  <c r="AE23" i="2"/>
  <c r="AK22" i="2"/>
  <c r="AE22" i="2"/>
  <c r="AK21" i="2"/>
  <c r="AE21" i="2"/>
  <c r="AK20" i="2"/>
  <c r="AE20" i="2"/>
  <c r="AK19" i="2"/>
  <c r="AE19" i="2"/>
  <c r="AK18" i="2"/>
  <c r="AE18" i="2"/>
  <c r="AK17" i="2"/>
  <c r="AE17" i="2"/>
  <c r="AK16" i="2"/>
  <c r="AE16" i="2"/>
  <c r="AK15" i="2"/>
  <c r="AE15" i="2"/>
  <c r="AK14" i="2"/>
  <c r="AE14" i="2"/>
  <c r="AK13" i="2"/>
  <c r="AE13" i="2"/>
  <c r="AK12" i="2"/>
  <c r="AE12" i="2"/>
  <c r="AK11" i="2"/>
  <c r="AE11" i="2"/>
  <c r="AK10" i="2"/>
  <c r="AE10" i="2"/>
  <c r="AK9" i="2"/>
  <c r="AE9" i="2"/>
  <c r="AK8" i="2"/>
  <c r="AE8" i="2"/>
  <c r="AK7" i="2"/>
  <c r="AE7" i="2"/>
  <c r="AK6" i="2"/>
  <c r="AE6" i="2"/>
  <c r="G9" i="2"/>
  <c r="G8" i="2"/>
  <c r="G7" i="2"/>
  <c r="G6" i="2"/>
  <c r="K13" i="2"/>
  <c r="K14" i="2"/>
  <c r="D18" i="2"/>
  <c r="K12" i="2"/>
  <c r="M5" i="2"/>
  <c r="D23" i="2"/>
  <c r="D22" i="2"/>
  <c r="D21" i="2"/>
  <c r="D20" i="2"/>
  <c r="D17" i="2"/>
  <c r="D15" i="2"/>
  <c r="D24" i="2"/>
  <c r="D13" i="2"/>
  <c r="D12" i="2"/>
  <c r="D7" i="2"/>
  <c r="D8" i="2"/>
  <c r="D9" i="2"/>
  <c r="D6" i="2"/>
  <c r="AE4" i="4" l="1"/>
  <c r="J13" i="4"/>
  <c r="K28" i="3"/>
  <c r="Z21" i="3"/>
  <c r="Z20" i="3"/>
  <c r="J17" i="4"/>
  <c r="AE6" i="4" s="1"/>
  <c r="C32" i="4"/>
  <c r="AE5" i="4" s="1"/>
  <c r="J18" i="4"/>
  <c r="AE7" i="4" s="1"/>
  <c r="U32" i="4"/>
  <c r="W43" i="3"/>
  <c r="W30" i="3"/>
  <c r="W31" i="3" s="1"/>
  <c r="C35" i="3"/>
  <c r="M8" i="3"/>
  <c r="N8" i="3" s="1"/>
  <c r="L9" i="3"/>
  <c r="K9" i="3"/>
  <c r="J10" i="3"/>
  <c r="M10" i="3" s="1"/>
  <c r="N10" i="3" s="1"/>
  <c r="L6" i="2"/>
  <c r="C20" i="2"/>
  <c r="L10" i="2"/>
  <c r="L9" i="2"/>
  <c r="L7" i="2"/>
  <c r="K6" i="2"/>
  <c r="J10" i="2"/>
  <c r="J6" i="2"/>
  <c r="C22" i="2"/>
  <c r="K10" i="2"/>
  <c r="U17" i="4" l="1"/>
  <c r="U27" i="4" s="1"/>
  <c r="U33" i="4"/>
  <c r="U25" i="4"/>
  <c r="J20" i="4"/>
  <c r="U24" i="4"/>
  <c r="U34" i="4" s="1"/>
  <c r="U35" i="4" s="1"/>
  <c r="U28" i="4"/>
  <c r="Q28" i="4" s="1"/>
  <c r="U43" i="4"/>
  <c r="AE12" i="4" s="1"/>
  <c r="M9" i="3"/>
  <c r="N9" i="3" s="1"/>
  <c r="J17" i="3" s="1"/>
  <c r="J13" i="3"/>
  <c r="K9" i="2"/>
  <c r="M6" i="2"/>
  <c r="K7" i="2"/>
  <c r="C29" i="2"/>
  <c r="C30" i="2" s="1"/>
  <c r="L5" i="2"/>
  <c r="C27" i="2"/>
  <c r="J5" i="2"/>
  <c r="K5" i="2"/>
  <c r="AE8" i="4" l="1"/>
  <c r="AE9" i="4"/>
  <c r="AA25" i="4" s="1"/>
  <c r="Q30" i="4"/>
  <c r="AE15" i="4" s="1"/>
  <c r="AE13" i="4"/>
  <c r="Q29" i="4"/>
  <c r="AE14" i="4" s="1"/>
  <c r="X24" i="4"/>
  <c r="X25" i="4"/>
  <c r="U36" i="4"/>
  <c r="U41" i="4"/>
  <c r="AE10" i="4" s="1"/>
  <c r="J18" i="3"/>
  <c r="W16" i="3"/>
  <c r="N6" i="2"/>
  <c r="C21" i="2"/>
  <c r="C31" i="2" s="1"/>
  <c r="C32" i="2" s="1"/>
  <c r="W23" i="3" l="1"/>
  <c r="W27" i="3"/>
  <c r="Q37" i="3" s="1"/>
  <c r="U37" i="4"/>
  <c r="X34" i="4"/>
  <c r="X36" i="4"/>
  <c r="X37" i="4" s="1"/>
  <c r="W26" i="3"/>
  <c r="W24" i="3"/>
  <c r="J20" i="3"/>
  <c r="W32" i="3"/>
  <c r="W33" i="3" s="1"/>
  <c r="W17" i="3"/>
  <c r="W37" i="3" s="1"/>
  <c r="W40" i="3"/>
  <c r="C33" i="2"/>
  <c r="C34" i="2" s="1"/>
  <c r="J13" i="2"/>
  <c r="J14" i="2"/>
  <c r="J7" i="2" s="1"/>
  <c r="Q40" i="3" l="1"/>
  <c r="Q38" i="3"/>
  <c r="X35" i="4"/>
  <c r="U42" i="4"/>
  <c r="AE11" i="4" s="1"/>
  <c r="Z24" i="3"/>
  <c r="W34" i="3"/>
  <c r="Z23" i="3"/>
  <c r="W38" i="3"/>
  <c r="J8" i="2"/>
  <c r="L8" i="2"/>
  <c r="K8" i="2"/>
  <c r="M7" i="2"/>
  <c r="M10" i="2"/>
  <c r="N10" i="2" s="1"/>
  <c r="W35" i="3" l="1"/>
  <c r="Z34" i="3"/>
  <c r="Z35" i="3" s="1"/>
  <c r="Z32" i="3"/>
  <c r="N7" i="2"/>
  <c r="J9" i="2"/>
  <c r="J12" i="2" s="1"/>
  <c r="M8" i="2"/>
  <c r="N8" i="2" s="1"/>
  <c r="Z33" i="3" l="1"/>
  <c r="W39" i="3"/>
  <c r="M9" i="2"/>
  <c r="N9" i="2" s="1"/>
  <c r="J16" i="2" l="1"/>
  <c r="J17" i="2" s="1"/>
  <c r="Q5" i="2" l="1"/>
  <c r="Q8" i="2" l="1"/>
  <c r="Q7" i="2"/>
  <c r="Q12" i="2" s="1"/>
  <c r="Q9" i="2"/>
  <c r="Q14" i="2" s="1"/>
  <c r="Q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  <author>Caiden Logan Bonney</author>
  </authors>
  <commentList>
    <comment ref="C17" authorId="0" shapeId="0" xr:uid="{EAB22CF2-3D87-4D2F-A947-49FC1233A29F}">
      <text>
        <r>
          <rPr>
            <b/>
            <sz val="9"/>
            <color indexed="81"/>
            <rFont val="Tahoma"/>
            <charset val="1"/>
          </rPr>
          <t>Caiden Bonney:</t>
        </r>
        <r>
          <rPr>
            <sz val="9"/>
            <color indexed="81"/>
            <rFont val="Tahoma"/>
            <charset val="1"/>
          </rPr>
          <t xml:space="preserve">
not normal equation</t>
        </r>
      </text>
    </comment>
    <comment ref="U27" authorId="1" shapeId="0" xr:uid="{8EADADA2-6659-4882-90BC-2675A89C2166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U28" authorId="1" shapeId="0" xr:uid="{84A7DF8C-D236-48BB-99BA-8E64E3C24A15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  <author>Caiden Logan Bonney</author>
  </authors>
  <commentList>
    <comment ref="C17" authorId="0" shapeId="0" xr:uid="{7034C66F-33D5-4541-926D-407E8B21AB47}">
      <text>
        <r>
          <rPr>
            <b/>
            <sz val="9"/>
            <color indexed="81"/>
            <rFont val="Tahoma"/>
            <charset val="1"/>
          </rPr>
          <t>Caiden Bonney:</t>
        </r>
        <r>
          <rPr>
            <sz val="9"/>
            <color indexed="81"/>
            <rFont val="Tahoma"/>
            <charset val="1"/>
          </rPr>
          <t xml:space="preserve">
not normal equation</t>
        </r>
      </text>
    </comment>
    <comment ref="W26" authorId="1" shapeId="0" xr:uid="{72C10B6A-84A9-4DF6-A082-09FFD6878039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W27" authorId="1" shapeId="0" xr:uid="{EB315F06-393D-4B92-A56D-53473A868E85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Logan Bonney</author>
  </authors>
  <commentList>
    <comment ref="Q8" authorId="0" shapeId="0" xr:uid="{53F81960-5C9F-41DA-8A4E-9CB23E76E33F}">
      <text>
        <r>
          <rPr>
            <b/>
            <sz val="9"/>
            <color indexed="81"/>
            <rFont val="Tahoma"/>
            <charset val="1"/>
          </rPr>
          <t>Caiden Logan Bonney:</t>
        </r>
        <r>
          <rPr>
            <sz val="9"/>
            <color indexed="81"/>
            <rFont val="Tahoma"/>
            <charset val="1"/>
          </rPr>
          <t xml:space="preserve">
should be negative b/c in compression</t>
        </r>
      </text>
    </comment>
    <comment ref="C17" authorId="0" shapeId="0" xr:uid="{6B5E9E33-4A4B-42C7-AF91-656955517EF4}">
      <text>
        <r>
          <rPr>
            <b/>
            <sz val="9"/>
            <color indexed="81"/>
            <rFont val="Tahoma"/>
            <charset val="1"/>
          </rPr>
          <t>Caiden Logan Bonney:</t>
        </r>
        <r>
          <rPr>
            <sz val="9"/>
            <color indexed="81"/>
            <rFont val="Tahoma"/>
            <charset val="1"/>
          </rPr>
          <t xml:space="preserve">
Has been adjusted to specfic problem no longer correct general formula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<sst xmlns="http://schemas.openxmlformats.org/spreadsheetml/2006/main" count="494" uniqueCount="170">
  <si>
    <t>INPUTS</t>
  </si>
  <si>
    <t>OUTPUTS</t>
  </si>
  <si>
    <t>English</t>
  </si>
  <si>
    <t>Bolt diameter, d</t>
  </si>
  <si>
    <t>Bolt Length, L</t>
  </si>
  <si>
    <r>
      <t>Fastener Stiffness, k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</si>
  <si>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Area of unthreaded portion, A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</si>
  <si>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Area of threaded portion, A</t>
    </r>
    <r>
      <rPr>
        <vertAlign val="subscript"/>
        <sz val="11"/>
        <color theme="1"/>
        <rFont val="Aptos Narrow"/>
        <family val="2"/>
        <scheme val="minor"/>
      </rPr>
      <t>t</t>
    </r>
  </si>
  <si>
    <t>Threaded into bottom member</t>
  </si>
  <si>
    <t>Threaded into nut</t>
  </si>
  <si>
    <t>Elastic Modulus</t>
  </si>
  <si>
    <t>E top washer</t>
  </si>
  <si>
    <t>E top member</t>
  </si>
  <si>
    <t>E bottom washer</t>
  </si>
  <si>
    <t>E bottom member</t>
  </si>
  <si>
    <t>Bolt Properties</t>
  </si>
  <si>
    <t>Member Properties</t>
  </si>
  <si>
    <t>Units:</t>
  </si>
  <si>
    <t>Frusta Dimensions</t>
  </si>
  <si>
    <t>Segment</t>
  </si>
  <si>
    <t>1/k</t>
  </si>
  <si>
    <r>
      <t>Threaded bolt length, L</t>
    </r>
    <r>
      <rPr>
        <vertAlign val="subscript"/>
        <sz val="11"/>
        <color theme="1"/>
        <rFont val="Aptos Narrow"/>
        <family val="2"/>
        <scheme val="minor"/>
      </rPr>
      <t>T</t>
    </r>
  </si>
  <si>
    <t>Grip length, l</t>
  </si>
  <si>
    <t>Half grip length, l/2</t>
  </si>
  <si>
    <r>
      <t>Unthreaded bolt length, l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</si>
  <si>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Threaded bolt length in grip, l</t>
    </r>
    <r>
      <rPr>
        <vertAlign val="subscript"/>
        <sz val="11"/>
        <color theme="1"/>
        <rFont val="Aptos Narrow"/>
        <family val="2"/>
        <scheme val="minor"/>
      </rPr>
      <t>t</t>
    </r>
  </si>
  <si>
    <t>.</t>
  </si>
  <si>
    <r>
      <t>Top Washer Length, t</t>
    </r>
    <r>
      <rPr>
        <vertAlign val="subscript"/>
        <sz val="11"/>
        <color theme="1"/>
        <rFont val="Aptos Narrow"/>
        <family val="2"/>
        <scheme val="minor"/>
      </rPr>
      <t>tw</t>
    </r>
  </si>
  <si>
    <t>Apex angle, α</t>
  </si>
  <si>
    <t>degrees</t>
  </si>
  <si>
    <t>Thickness check</t>
  </si>
  <si>
    <r>
      <t>Member Stiffness, k</t>
    </r>
    <r>
      <rPr>
        <vertAlign val="subscript"/>
        <sz val="11"/>
        <color theme="1"/>
        <rFont val="Aptos Narrow"/>
        <family val="2"/>
        <scheme val="minor"/>
      </rPr>
      <t>m</t>
    </r>
  </si>
  <si>
    <t>&lt;---- Note that if this option is selected also change Bottom Washer Length to 0</t>
  </si>
  <si>
    <t>Metric</t>
  </si>
  <si>
    <t>Fully Threaded</t>
  </si>
  <si>
    <r>
      <t>Unthreaded Fastener Stiffness, k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</si>
  <si>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Threaded Fastener Stiffness, k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</si>
  <si>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</si>
  <si>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Pitch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</si>
  <si>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</si>
  <si>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</si>
  <si>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UNC</t>
  </si>
  <si>
    <t>UNF</t>
  </si>
  <si>
    <t>Size Designation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</si>
  <si>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</si>
  <si>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Threads per Inch 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</si>
  <si>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</si>
  <si>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</si>
  <si>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Bolt elastic modulus, E</t>
  </si>
  <si>
    <t>Series</t>
  </si>
  <si>
    <t>Table 8-1</t>
  </si>
  <si>
    <t>Table 8-2</t>
  </si>
  <si>
    <t>Joint Compliance, C</t>
  </si>
  <si>
    <t>Bolt Loading</t>
  </si>
  <si>
    <t>Number of Bolts, N</t>
  </si>
  <si>
    <r>
      <t>External Load, P</t>
    </r>
    <r>
      <rPr>
        <vertAlign val="subscript"/>
        <sz val="11"/>
        <color theme="1"/>
        <rFont val="Aptos Narrow"/>
        <family val="2"/>
        <scheme val="minor"/>
      </rPr>
      <t>total</t>
    </r>
  </si>
  <si>
    <t>External Load per bolt/member, P</t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</si>
  <si>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</si>
  <si>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</si>
  <si>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Opening load, P</t>
    </r>
    <r>
      <rPr>
        <vertAlign val="subscript"/>
        <sz val="11"/>
        <color theme="1"/>
        <rFont val="Aptos Narrow"/>
        <family val="2"/>
        <scheme val="minor"/>
      </rPr>
      <t>o</t>
    </r>
  </si>
  <si>
    <t>Factors of Safety</t>
  </si>
  <si>
    <r>
      <t>Proof strength FoS, η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</si>
  <si>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Proof load FoS, η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</si>
  <si>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Joint opening FoS, η</t>
    </r>
    <r>
      <rPr>
        <vertAlign val="subscript"/>
        <sz val="11"/>
        <color theme="1"/>
        <rFont val="Aptos Narrow"/>
        <family val="2"/>
        <scheme val="minor"/>
      </rPr>
      <t>o</t>
    </r>
  </si>
  <si>
    <r>
      <t>Preload, F</t>
    </r>
    <r>
      <rPr>
        <vertAlign val="subscript"/>
        <sz val="11"/>
        <color theme="1"/>
        <rFont val="Aptos Narrow"/>
        <family val="2"/>
        <scheme val="minor"/>
      </rPr>
      <t>i</t>
    </r>
  </si>
  <si>
    <t>Torque, T</t>
  </si>
  <si>
    <t>Torque coefficient, K</t>
  </si>
  <si>
    <r>
      <t>Minimum Proof Strength, S</t>
    </r>
    <r>
      <rPr>
        <vertAlign val="subscript"/>
        <sz val="11"/>
        <color theme="1"/>
        <rFont val="Aptos Narrow"/>
        <family val="2"/>
        <scheme val="minor"/>
      </rPr>
      <t>p</t>
    </r>
  </si>
  <si>
    <t>Loading on Bolts</t>
  </si>
  <si>
    <t>Override Preload</t>
  </si>
  <si>
    <t>Grade No.</t>
  </si>
  <si>
    <t>from Table 8-9 through 8-11 --&gt;</t>
  </si>
  <si>
    <t>Override threaded length</t>
  </si>
  <si>
    <r>
      <t>Minimum Tensile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</si>
  <si>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Minimum 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</si>
  <si>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t>aluminum rocker carrier</t>
  </si>
  <si>
    <t>cast-iron head</t>
  </si>
  <si>
    <t>Cast Iron Block (threads start 10 mm down)</t>
  </si>
  <si>
    <r>
      <t>Yield Load, Sy</t>
    </r>
    <r>
      <rPr>
        <vertAlign val="subscript"/>
        <sz val="11"/>
        <color theme="1"/>
        <rFont val="Aptos Narrow"/>
        <family val="2"/>
        <scheme val="minor"/>
      </rPr>
      <t>L</t>
    </r>
  </si>
  <si>
    <t>Percent of yield load</t>
  </si>
  <si>
    <t>&lt;--- Worst Case Pressure multiplied by area of piston cylinder</t>
  </si>
  <si>
    <t>Internal Pressure</t>
  </si>
  <si>
    <t>Bore Diameter</t>
  </si>
  <si>
    <t>Area of Bore</t>
  </si>
  <si>
    <t>m^2</t>
  </si>
  <si>
    <t>m</t>
  </si>
  <si>
    <t>Lectures 7&amp;8 Bolt and Member Stiffness Calculations</t>
  </si>
  <si>
    <t>Lectures 9 Tensile Load Calculations</t>
  </si>
  <si>
    <t>Tables</t>
  </si>
  <si>
    <t/>
  </si>
  <si>
    <t>Table 8-17</t>
  </si>
  <si>
    <t>Table 8-11</t>
  </si>
  <si>
    <t>Minimum Strengths of the Bolt</t>
  </si>
  <si>
    <t>Property Class</t>
  </si>
  <si>
    <t>Min Size</t>
  </si>
  <si>
    <t>Max Size</t>
  </si>
  <si>
    <t>Endurance Strength (Pa)</t>
  </si>
  <si>
    <t>Proof Strength (Pa)</t>
  </si>
  <si>
    <t>Tensile Strength (Pa)</t>
  </si>
  <si>
    <t>Yield Strength (Pa)</t>
  </si>
  <si>
    <t>Material</t>
  </si>
  <si>
    <r>
      <t>Top Member Length, t</t>
    </r>
    <r>
      <rPr>
        <vertAlign val="subscript"/>
        <sz val="11"/>
        <color theme="1"/>
        <rFont val="Aptos Narrow"/>
        <family val="2"/>
        <scheme val="minor"/>
      </rPr>
      <t>tm</t>
    </r>
  </si>
  <si>
    <t>Low or medium carbon</t>
  </si>
  <si>
    <r>
      <t>Bottom Member Length, t</t>
    </r>
    <r>
      <rPr>
        <vertAlign val="subscript"/>
        <sz val="11"/>
        <color theme="1"/>
        <rFont val="Aptos Narrow"/>
        <family val="2"/>
        <scheme val="minor"/>
      </rPr>
      <t>bm</t>
    </r>
  </si>
  <si>
    <r>
      <t>Bottom Washer Length, t</t>
    </r>
    <r>
      <rPr>
        <vertAlign val="subscript"/>
        <sz val="11"/>
        <color theme="1"/>
        <rFont val="Aptos Narrow"/>
        <family val="2"/>
        <scheme val="minor"/>
      </rPr>
      <t>bw</t>
    </r>
  </si>
  <si>
    <t>Medium carbon, Q&amp;T</t>
  </si>
  <si>
    <r>
      <t>Corrected Endurance Strength, S</t>
    </r>
    <r>
      <rPr>
        <vertAlign val="subscript"/>
        <sz val="11"/>
        <color theme="1"/>
        <rFont val="Aptos Narrow"/>
        <family val="2"/>
        <scheme val="minor"/>
      </rPr>
      <t>e</t>
    </r>
  </si>
  <si>
    <t>Low-carbon martensite, Q&amp;T</t>
  </si>
  <si>
    <t>Min Size (in)</t>
  </si>
  <si>
    <t>Max Size (in)</t>
  </si>
  <si>
    <t>Endurance Strength (psi)</t>
  </si>
  <si>
    <t>Alloy, Q&amp;T</t>
  </si>
  <si>
    <t>Table 8-9</t>
  </si>
  <si>
    <t>match these when load isn't changing--&gt;</t>
  </si>
  <si>
    <r>
      <t>External Load total, P</t>
    </r>
    <r>
      <rPr>
        <vertAlign val="subscript"/>
        <sz val="11"/>
        <color theme="1"/>
        <rFont val="Aptos Narrow"/>
        <family val="2"/>
        <scheme val="minor"/>
      </rPr>
      <t>min_total</t>
    </r>
  </si>
  <si>
    <t>SAE Grade No.</t>
  </si>
  <si>
    <t>Proof Strength (psi)</t>
  </si>
  <si>
    <t>Tensile Strength (psi)</t>
  </si>
  <si>
    <t>Yield Strength (psi)</t>
  </si>
  <si>
    <r>
      <t>External Load total, P</t>
    </r>
    <r>
      <rPr>
        <vertAlign val="subscript"/>
        <sz val="11"/>
        <color theme="1"/>
        <rFont val="Aptos Narrow"/>
        <family val="2"/>
        <scheme val="minor"/>
      </rPr>
      <t>max_total</t>
    </r>
  </si>
  <si>
    <t>Filtering Table 8-17 for when one grade no. has two lines of data based on diameter</t>
  </si>
  <si>
    <r>
      <t>External Load per joint, P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</si>
  <si>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Alternating External  Load per joint, P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</si>
  <si>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External Load per joint, P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</si>
  <si>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Mean External Load per joint, P</t>
    </r>
    <r>
      <rPr>
        <vertAlign val="subscript"/>
        <sz val="11"/>
        <color theme="1"/>
        <rFont val="Aptos Narrow"/>
        <family val="2"/>
        <scheme val="minor"/>
      </rPr>
      <t>m</t>
    </r>
  </si>
  <si>
    <t>Medium carbon, cold-drawn</t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</si>
  <si>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b_min</t>
    </r>
  </si>
  <si>
    <r>
      <t>Alternating Load per bolt, 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</si>
  <si>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b_max</t>
    </r>
  </si>
  <si>
    <r>
      <t>Mean Load per bolt, F</t>
    </r>
    <r>
      <rPr>
        <vertAlign val="subscript"/>
        <sz val="11"/>
        <color theme="1"/>
        <rFont val="Aptos Narrow"/>
        <family val="2"/>
        <scheme val="minor"/>
      </rPr>
      <t>m</t>
    </r>
  </si>
  <si>
    <t>Calculations for Loading due to Pressurized Cylinder</t>
  </si>
  <si>
    <t>Medium-carbon alloy, Q&amp;T</t>
  </si>
  <si>
    <t>Max Load on the bolt may be actually refering to the max external load on the bolt</t>
  </si>
  <si>
    <t>Pressurized Cylinder diameter</t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</si>
  <si>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min</t>
    </r>
  </si>
  <si>
    <t xml:space="preserve">     &lt;---- Note that if this option is selected also</t>
  </si>
  <si>
    <t>which would be the external load per joint</t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</si>
  <si>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max</t>
    </r>
  </si>
  <si>
    <t xml:space="preserve">               change Bottom Washer Length to 0</t>
  </si>
  <si>
    <t>Pressurized Cylinder Area</t>
  </si>
  <si>
    <t>Bolt Stress</t>
  </si>
  <si>
    <t>Filtering Tables 8-9 and 8-11 for when one grade no. has two lines of data based on diameter</t>
  </si>
  <si>
    <r>
      <t>Pressure in Cyclinder, Pr</t>
    </r>
    <r>
      <rPr>
        <vertAlign val="subscript"/>
        <sz val="11"/>
        <color theme="1"/>
        <rFont val="Aptos Narrow"/>
        <family val="2"/>
        <scheme val="minor"/>
      </rPr>
      <t>min_total</t>
    </r>
  </si>
  <si>
    <r>
      <t>Initial Bolt Sress, σ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</si>
  <si>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Pressure in Cyclinder, Pr</t>
    </r>
    <r>
      <rPr>
        <vertAlign val="subscript"/>
        <sz val="11"/>
        <color theme="1"/>
        <rFont val="Aptos Narrow"/>
        <family val="2"/>
        <scheme val="minor"/>
      </rPr>
      <t>max_total</t>
    </r>
  </si>
  <si>
    <r>
      <t>Bolt Sress, σ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</si>
  <si>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Alternating Bolt Sress, σ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</si>
  <si>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Bolt Sress, σ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</si>
  <si>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Mean Bolt Sress, σ</t>
    </r>
    <r>
      <rPr>
        <vertAlign val="subscript"/>
        <sz val="11"/>
        <color theme="1"/>
        <rFont val="Aptos Narrow"/>
        <family val="2"/>
        <scheme val="minor"/>
      </rPr>
      <t>m</t>
    </r>
  </si>
  <si>
    <t>copy pasted these values in to external loads above as values</t>
  </si>
  <si>
    <t>was written as FoS against yield on practice quiz --&gt;</t>
  </si>
  <si>
    <r>
      <t>Goodman Fatigue FoS, η</t>
    </r>
    <r>
      <rPr>
        <i/>
        <vertAlign val="subscript"/>
        <sz val="11"/>
        <color theme="1"/>
        <rFont val="Aptos Narrow"/>
        <family val="2"/>
        <scheme val="minor"/>
      </rPr>
      <t>f</t>
    </r>
  </si>
  <si>
    <t>EQ (8-38)</t>
  </si>
  <si>
    <t>Torque based on Preload</t>
  </si>
  <si>
    <t>mN/m</t>
  </si>
  <si>
    <t>MN/m</t>
  </si>
  <si>
    <t>For bolt of 14 mm</t>
  </si>
  <si>
    <t>For bolt of 16 mm</t>
  </si>
  <si>
    <t>-</t>
  </si>
  <si>
    <t>gasket pressure</t>
  </si>
  <si>
    <t>gasket area Ag</t>
  </si>
  <si>
    <t>Percent above internal Pressure</t>
  </si>
  <si>
    <t>Aluminum Cam Carrier Length</t>
  </si>
  <si>
    <t>Cast Iron Head Length</t>
  </si>
  <si>
    <t>Cast Iron Block Length</t>
  </si>
  <si>
    <t>Aluminum Elastic Modulus</t>
  </si>
  <si>
    <t>Cast Iron Elastic Modulus</t>
  </si>
  <si>
    <t>Gasket Clamping Pressure</t>
  </si>
  <si>
    <t>Minimum Strengths of the Bolt from Tables 8-9, 8-11 and 8-17</t>
  </si>
  <si>
    <t>Percent of Yield Load Preload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</si>
</sst>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0"/>
    <numFmt numFmtId="165" formatCode="##0.0E+00"/>
    <numFmt numFmtId="166" formatCode="##0.00E+00"/>
    <numFmt numFmtId="167" formatCode="0.000"/>
    <numFmt numFmtId="168" formatCode="_(* #,##0_);_(* \(#,##0\);_(* &quot;-&quot;??_);_(@_)"/>
    <numFmt numFmtId="169" formatCode="##0E+00"/>
    <numFmt numFmtId="170" formatCode="##0.000E+00"/>
    <numFmt numFmtId="175" formatCode="0.0%"/>
    <numFmt numFmtId="177" formatCode="#,##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vertAlign val="subscript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59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2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67" fontId="0" fillId="3" borderId="0" xfId="0" applyNumberFormat="1" applyFill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2" fontId="0" fillId="0" borderId="6" xfId="0" applyNumberFormat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2" fontId="0" fillId="0" borderId="18" xfId="0" applyNumberFormat="1" applyBorder="1" applyAlignment="1">
      <alignment vertical="center" wrapText="1"/>
    </xf>
    <xf numFmtId="12" fontId="0" fillId="0" borderId="20" xfId="0" applyNumberFormat="1" applyBorder="1" applyAlignment="1">
      <alignment vertical="center" wrapText="1"/>
    </xf>
    <xf numFmtId="12" fontId="0" fillId="0" borderId="24" xfId="0" applyNumberFormat="1" applyBorder="1" applyAlignment="1">
      <alignment vertical="center" wrapText="1"/>
    </xf>
    <xf numFmtId="0" fontId="0" fillId="8" borderId="0" xfId="0" applyFill="1" applyAlignment="1">
      <alignment vertical="center"/>
    </xf>
    <xf numFmtId="0" fontId="0" fillId="8" borderId="23" xfId="0" applyFill="1" applyBorder="1" applyAlignment="1">
      <alignment vertical="center"/>
    </xf>
    <xf numFmtId="168" fontId="0" fillId="2" borderId="0" xfId="1" applyNumberFormat="1" applyFont="1" applyFill="1" applyAlignment="1">
      <alignment vertical="center"/>
    </xf>
    <xf numFmtId="0" fontId="0" fillId="3" borderId="0" xfId="1" applyNumberFormat="1" applyFont="1" applyFill="1" applyAlignment="1">
      <alignment vertical="center"/>
    </xf>
    <xf numFmtId="0" fontId="0" fillId="2" borderId="0" xfId="1" applyNumberFormat="1" applyFont="1" applyFill="1" applyAlignment="1">
      <alignment vertical="center"/>
    </xf>
    <xf numFmtId="167" fontId="0" fillId="2" borderId="0" xfId="0" applyNumberFormat="1" applyFill="1" applyAlignment="1">
      <alignment vertical="center"/>
    </xf>
    <xf numFmtId="169" fontId="0" fillId="2" borderId="0" xfId="0" applyNumberFormat="1" applyFill="1" applyAlignment="1">
      <alignment vertical="center"/>
    </xf>
    <xf numFmtId="9" fontId="0" fillId="2" borderId="0" xfId="2" applyFont="1" applyFill="1" applyAlignment="1">
      <alignment vertical="center"/>
    </xf>
    <xf numFmtId="0" fontId="0" fillId="0" borderId="0" xfId="0" applyAlignment="1">
      <alignment horizontal="right" vertical="center"/>
    </xf>
    <xf numFmtId="170" fontId="0" fillId="2" borderId="0" xfId="0" applyNumberFormat="1" applyFill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0" fillId="2" borderId="26" xfId="0" applyFill="1" applyBorder="1" applyAlignment="1">
      <alignment vertical="center"/>
    </xf>
    <xf numFmtId="0" fontId="1" fillId="11" borderId="2" xfId="0" applyFont="1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0" borderId="0" xfId="0" quotePrefix="1" applyAlignment="1">
      <alignment vertical="center"/>
    </xf>
    <xf numFmtId="169" fontId="0" fillId="3" borderId="0" xfId="0" applyNumberFormat="1" applyFill="1" applyAlignment="1">
      <alignment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169" fontId="0" fillId="0" borderId="28" xfId="0" applyNumberFormat="1" applyBorder="1" applyAlignment="1">
      <alignment vertical="center"/>
    </xf>
    <xf numFmtId="169" fontId="0" fillId="0" borderId="29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0" fontId="0" fillId="0" borderId="19" xfId="0" applyBorder="1" applyAlignment="1">
      <alignment vertical="center"/>
    </xf>
    <xf numFmtId="170" fontId="0" fillId="3" borderId="0" xfId="0" applyNumberFormat="1" applyFill="1" applyAlignment="1">
      <alignment vertical="center"/>
    </xf>
    <xf numFmtId="169" fontId="0" fillId="0" borderId="19" xfId="0" applyNumberFormat="1" applyBorder="1" applyAlignment="1">
      <alignment vertical="center"/>
    </xf>
    <xf numFmtId="169" fontId="0" fillId="0" borderId="7" xfId="0" applyNumberFormat="1" applyBorder="1" applyAlignment="1">
      <alignment vertical="center"/>
    </xf>
    <xf numFmtId="169" fontId="0" fillId="0" borderId="25" xfId="0" applyNumberFormat="1" applyBorder="1" applyAlignment="1">
      <alignment vertical="center"/>
    </xf>
    <xf numFmtId="0" fontId="1" fillId="8" borderId="13" xfId="0" applyFont="1" applyFill="1" applyBorder="1" applyAlignment="1">
      <alignment vertical="center"/>
    </xf>
    <xf numFmtId="170" fontId="0" fillId="0" borderId="0" xfId="0" applyNumberFormat="1" applyAlignment="1">
      <alignment vertical="center"/>
    </xf>
    <xf numFmtId="169" fontId="0" fillId="0" borderId="21" xfId="0" applyNumberFormat="1" applyBorder="1" applyAlignment="1">
      <alignment vertical="center"/>
    </xf>
    <xf numFmtId="170" fontId="0" fillId="0" borderId="24" xfId="0" applyNumberFormat="1" applyBorder="1" applyAlignment="1">
      <alignment vertical="center"/>
    </xf>
    <xf numFmtId="170" fontId="0" fillId="0" borderId="21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9" fontId="0" fillId="0" borderId="27" xfId="0" applyNumberFormat="1" applyBorder="1" applyAlignment="1">
      <alignment vertical="center"/>
    </xf>
    <xf numFmtId="0" fontId="0" fillId="0" borderId="31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169" fontId="0" fillId="0" borderId="17" xfId="0" applyNumberFormat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3" borderId="0" xfId="1" applyNumberFormat="1" applyFont="1" applyFill="1" applyAlignment="1">
      <alignment vertical="center"/>
    </xf>
    <xf numFmtId="169" fontId="0" fillId="0" borderId="26" xfId="0" applyNumberFormat="1" applyBorder="1" applyAlignment="1">
      <alignment vertical="center"/>
    </xf>
    <xf numFmtId="0" fontId="0" fillId="0" borderId="28" xfId="0" applyBorder="1" applyAlignment="1">
      <alignment vertical="center"/>
    </xf>
    <xf numFmtId="164" fontId="0" fillId="6" borderId="0" xfId="0" applyNumberFormat="1" applyFill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69" fontId="0" fillId="0" borderId="13" xfId="0" applyNumberFormat="1" applyBorder="1" applyAlignment="1">
      <alignment vertical="center"/>
    </xf>
    <xf numFmtId="169" fontId="0" fillId="0" borderId="9" xfId="0" applyNumberForma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3" xfId="0" applyBorder="1" applyAlignment="1">
      <alignment vertical="center"/>
    </xf>
    <xf numFmtId="169" fontId="0" fillId="0" borderId="33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0" fillId="12" borderId="0" xfId="0" applyFill="1" applyAlignment="1">
      <alignment vertical="center"/>
    </xf>
    <xf numFmtId="1" fontId="0" fillId="2" borderId="0" xfId="0" applyNumberForma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13" borderId="0" xfId="0" applyFill="1" applyAlignment="1">
      <alignment vertical="center"/>
    </xf>
    <xf numFmtId="169" fontId="0" fillId="0" borderId="12" xfId="0" applyNumberFormat="1" applyBorder="1" applyAlignment="1">
      <alignment vertical="center"/>
    </xf>
    <xf numFmtId="170" fontId="0" fillId="0" borderId="12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169" fontId="0" fillId="0" borderId="23" xfId="0" applyNumberFormat="1" applyBorder="1" applyAlignment="1">
      <alignment vertical="center"/>
    </xf>
    <xf numFmtId="170" fontId="0" fillId="0" borderId="23" xfId="0" applyNumberFormat="1" applyBorder="1" applyAlignment="1">
      <alignment vertical="center"/>
    </xf>
    <xf numFmtId="0" fontId="0" fillId="0" borderId="33" xfId="0" applyBorder="1" applyAlignment="1">
      <alignment vertical="center"/>
    </xf>
    <xf numFmtId="0" fontId="0" fillId="3" borderId="0" xfId="0" applyFill="1" applyAlignment="1">
      <alignment horizontal="right" vertical="center"/>
    </xf>
    <xf numFmtId="0" fontId="0" fillId="10" borderId="40" xfId="0" applyFill="1" applyBorder="1" applyAlignment="1">
      <alignment vertical="center"/>
    </xf>
    <xf numFmtId="0" fontId="0" fillId="10" borderId="41" xfId="0" applyFill="1" applyBorder="1" applyAlignment="1">
      <alignment vertical="center"/>
    </xf>
    <xf numFmtId="0" fontId="0" fillId="3" borderId="40" xfId="0" applyFill="1" applyBorder="1" applyAlignment="1">
      <alignment vertical="center"/>
    </xf>
    <xf numFmtId="0" fontId="0" fillId="3" borderId="41" xfId="0" applyFill="1" applyBorder="1" applyAlignment="1">
      <alignment vertical="center"/>
    </xf>
    <xf numFmtId="0" fontId="0" fillId="3" borderId="32" xfId="0" applyFill="1" applyBorder="1" applyAlignment="1">
      <alignment vertical="center"/>
    </xf>
    <xf numFmtId="0" fontId="0" fillId="10" borderId="32" xfId="0" applyFill="1" applyBorder="1" applyAlignment="1">
      <alignment vertical="center"/>
    </xf>
    <xf numFmtId="0" fontId="0" fillId="10" borderId="41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175" fontId="0" fillId="0" borderId="0" xfId="2" applyNumberFormat="1" applyFont="1" applyAlignment="1">
      <alignment vertical="center"/>
    </xf>
    <xf numFmtId="166" fontId="0" fillId="10" borderId="0" xfId="0" applyNumberFormat="1" applyFill="1" applyBorder="1" applyAlignment="1">
      <alignment vertical="center"/>
    </xf>
    <xf numFmtId="2" fontId="0" fillId="10" borderId="0" xfId="0" applyNumberFormat="1" applyFill="1" applyBorder="1" applyAlignment="1">
      <alignment vertical="center"/>
    </xf>
    <xf numFmtId="164" fontId="0" fillId="10" borderId="0" xfId="0" applyNumberFormat="1" applyFill="1" applyBorder="1" applyAlignment="1">
      <alignment vertical="center"/>
    </xf>
    <xf numFmtId="167" fontId="0" fillId="10" borderId="0" xfId="0" applyNumberFormat="1" applyFill="1" applyBorder="1" applyAlignment="1">
      <alignment vertical="center"/>
    </xf>
    <xf numFmtId="166" fontId="0" fillId="3" borderId="0" xfId="0" applyNumberFormat="1" applyFill="1" applyBorder="1" applyAlignment="1">
      <alignment vertical="center"/>
    </xf>
    <xf numFmtId="2" fontId="0" fillId="3" borderId="0" xfId="0" applyNumberFormat="1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7" fontId="0" fillId="3" borderId="0" xfId="0" applyNumberForma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10" fontId="0" fillId="10" borderId="23" xfId="2" applyNumberFormat="1" applyFont="1" applyFill="1" applyBorder="1" applyAlignment="1">
      <alignment vertical="center"/>
    </xf>
    <xf numFmtId="10" fontId="0" fillId="3" borderId="23" xfId="2" applyNumberFormat="1" applyFont="1" applyFill="1" applyBorder="1" applyAlignment="1">
      <alignment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10" fontId="0" fillId="3" borderId="0" xfId="2" applyNumberFormat="1" applyFont="1" applyFill="1" applyBorder="1" applyAlignment="1">
      <alignment vertical="center"/>
    </xf>
    <xf numFmtId="177" fontId="0" fillId="2" borderId="0" xfId="1" applyNumberFormat="1" applyFont="1" applyFill="1" applyAlignment="1">
      <alignment vertical="center"/>
    </xf>
    <xf numFmtId="167" fontId="0" fillId="0" borderId="0" xfId="0" applyNumberForma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28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Medium9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57</xdr:row>
      <xdr:rowOff>118164</xdr:rowOff>
    </xdr:from>
    <xdr:to>
      <xdr:col>8</xdr:col>
      <xdr:colOff>76647</xdr:colOff>
      <xdr:row>68</xdr:row>
      <xdr:rowOff>118164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9C598-D17E-4E24-B468-12C96865B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57" y="10976664"/>
          <a:ext cx="6519165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71</xdr:row>
      <xdr:rowOff>12247</xdr:rowOff>
    </xdr:from>
    <xdr:to>
      <xdr:col>8</xdr:col>
      <xdr:colOff>373173</xdr:colOff>
      <xdr:row>121</xdr:row>
      <xdr:rowOff>125186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88DE3C-E897-44F4-A900-56285C45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537747"/>
          <a:ext cx="7706742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119083</xdr:colOff>
      <xdr:row>36</xdr:row>
      <xdr:rowOff>147769</xdr:rowOff>
    </xdr:from>
    <xdr:to>
      <xdr:col>8</xdr:col>
      <xdr:colOff>602187</xdr:colOff>
      <xdr:row>54</xdr:row>
      <xdr:rowOff>79189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31B1590-5C79-4451-91B6-135485635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33" y="7005769"/>
          <a:ext cx="7541129" cy="3360420"/>
        </a:xfrm>
        <a:prstGeom prst="rect">
          <a:avLst/>
        </a:prstGeom>
      </xdr:spPr>
    </xdr:pic>
    <xdr:clientData/>
  </xdr:twoCellAnchor>
  <xdr:twoCellAnchor editAs="oneCell">
    <xdr:from>
      <xdr:col>47</xdr:col>
      <xdr:colOff>504825</xdr:colOff>
      <xdr:row>34</xdr:row>
      <xdr:rowOff>76200</xdr:rowOff>
    </xdr:from>
    <xdr:to>
      <xdr:col>54</xdr:col>
      <xdr:colOff>666752</xdr:colOff>
      <xdr:row>86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382EE6-4D4F-49E4-80F0-0DCD4F349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29375" y="6553200"/>
          <a:ext cx="707707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571500</xdr:colOff>
      <xdr:row>30</xdr:row>
      <xdr:rowOff>69273</xdr:rowOff>
    </xdr:from>
    <xdr:to>
      <xdr:col>66</xdr:col>
      <xdr:colOff>254207</xdr:colOff>
      <xdr:row>77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4B37EB-A390-4AA9-B93A-3BC9FF87D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68675" y="5784273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742084</xdr:colOff>
      <xdr:row>73</xdr:row>
      <xdr:rowOff>172316</xdr:rowOff>
    </xdr:from>
    <xdr:to>
      <xdr:col>47</xdr:col>
      <xdr:colOff>29608</xdr:colOff>
      <xdr:row>119</xdr:row>
      <xdr:rowOff>183065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3D89C4-528F-470B-85D3-F2A1918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546309" y="14078816"/>
          <a:ext cx="9507851" cy="8773749"/>
        </a:xfrm>
        <a:prstGeom prst="rect">
          <a:avLst/>
        </a:prstGeom>
      </xdr:spPr>
    </xdr:pic>
    <xdr:clientData/>
  </xdr:twoCellAnchor>
  <xdr:twoCellAnchor editAs="oneCell">
    <xdr:from>
      <xdr:col>38</xdr:col>
      <xdr:colOff>833003</xdr:colOff>
      <xdr:row>120</xdr:row>
      <xdr:rowOff>96550</xdr:rowOff>
    </xdr:from>
    <xdr:to>
      <xdr:col>46</xdr:col>
      <xdr:colOff>400791</xdr:colOff>
      <xdr:row>178</xdr:row>
      <xdr:rowOff>40934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9912AF-68C1-4EDB-9686-24B87683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637228" y="22956550"/>
          <a:ext cx="9197565" cy="10993384"/>
        </a:xfrm>
        <a:prstGeom prst="rect">
          <a:avLst/>
        </a:prstGeom>
      </xdr:spPr>
    </xdr:pic>
    <xdr:clientData/>
  </xdr:twoCellAnchor>
  <xdr:twoCellAnchor editAs="oneCell">
    <xdr:from>
      <xdr:col>38</xdr:col>
      <xdr:colOff>917430</xdr:colOff>
      <xdr:row>32</xdr:row>
      <xdr:rowOff>97414</xdr:rowOff>
    </xdr:from>
    <xdr:to>
      <xdr:col>46</xdr:col>
      <xdr:colOff>434222</xdr:colOff>
      <xdr:row>72</xdr:row>
      <xdr:rowOff>22267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3FDEC4F-6493-4D97-88A0-8E6B0BB0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21655" y="6193414"/>
          <a:ext cx="9146569" cy="7544853"/>
        </a:xfrm>
        <a:prstGeom prst="rect">
          <a:avLst/>
        </a:prstGeom>
      </xdr:spPr>
    </xdr:pic>
    <xdr:clientData/>
  </xdr:twoCellAnchor>
  <xdr:twoCellAnchor editAs="oneCell">
    <xdr:from>
      <xdr:col>33</xdr:col>
      <xdr:colOff>600891</xdr:colOff>
      <xdr:row>21</xdr:row>
      <xdr:rowOff>136546</xdr:rowOff>
    </xdr:from>
    <xdr:to>
      <xdr:col>38</xdr:col>
      <xdr:colOff>882542</xdr:colOff>
      <xdr:row>38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7FA8CE-9DBA-46ED-B6A8-8347FD3D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794891" y="4137046"/>
          <a:ext cx="5891874" cy="3149579"/>
        </a:xfrm>
        <a:prstGeom prst="rect">
          <a:avLst/>
        </a:prstGeom>
      </xdr:spPr>
    </xdr:pic>
    <xdr:clientData/>
  </xdr:twoCellAnchor>
  <xdr:twoCellAnchor editAs="oneCell">
    <xdr:from>
      <xdr:col>19</xdr:col>
      <xdr:colOff>123825</xdr:colOff>
      <xdr:row>82</xdr:row>
      <xdr:rowOff>133350</xdr:rowOff>
    </xdr:from>
    <xdr:to>
      <xdr:col>23</xdr:col>
      <xdr:colOff>696209</xdr:colOff>
      <xdr:row>87</xdr:row>
      <xdr:rowOff>28693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42CA3FD-0963-4B29-BA09-2E06A7BE5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59625" y="15754350"/>
          <a:ext cx="6335009" cy="847843"/>
        </a:xfrm>
        <a:prstGeom prst="rect">
          <a:avLst/>
        </a:prstGeom>
      </xdr:spPr>
    </xdr:pic>
    <xdr:clientData/>
  </xdr:twoCellAnchor>
  <xdr:twoCellAnchor editAs="oneCell">
    <xdr:from>
      <xdr:col>19</xdr:col>
      <xdr:colOff>264035</xdr:colOff>
      <xdr:row>88</xdr:row>
      <xdr:rowOff>19050</xdr:rowOff>
    </xdr:from>
    <xdr:to>
      <xdr:col>23</xdr:col>
      <xdr:colOff>419100</xdr:colOff>
      <xdr:row>102</xdr:row>
      <xdr:rowOff>138157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41983E-1528-4AE3-B5C3-39601E49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99835" y="16783050"/>
          <a:ext cx="5917690" cy="2786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70</xdr:row>
      <xdr:rowOff>54664</xdr:rowOff>
    </xdr:from>
    <xdr:to>
      <xdr:col>22</xdr:col>
      <xdr:colOff>2124074</xdr:colOff>
      <xdr:row>81</xdr:row>
      <xdr:rowOff>57149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8CCAD47-BECB-42E6-BD68-67D271A32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50100" y="13389664"/>
          <a:ext cx="5467349" cy="2097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57</xdr:row>
      <xdr:rowOff>11508</xdr:rowOff>
    </xdr:from>
    <xdr:to>
      <xdr:col>24</xdr:col>
      <xdr:colOff>314324</xdr:colOff>
      <xdr:row>69</xdr:row>
      <xdr:rowOff>57149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799DF1D-A8BA-4B9D-B497-C63832B7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78675" y="10870008"/>
          <a:ext cx="6715124" cy="233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57</xdr:row>
      <xdr:rowOff>118164</xdr:rowOff>
    </xdr:from>
    <xdr:to>
      <xdr:col>8</xdr:col>
      <xdr:colOff>76647</xdr:colOff>
      <xdr:row>68</xdr:row>
      <xdr:rowOff>118164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3D859-6751-4DE6-8172-45B81A35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57" y="10976664"/>
          <a:ext cx="6519165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71</xdr:row>
      <xdr:rowOff>12247</xdr:rowOff>
    </xdr:from>
    <xdr:to>
      <xdr:col>8</xdr:col>
      <xdr:colOff>373173</xdr:colOff>
      <xdr:row>121</xdr:row>
      <xdr:rowOff>125186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6F979-62B3-4DB7-9E63-6732A27B2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537747"/>
          <a:ext cx="7706742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119083</xdr:colOff>
      <xdr:row>36</xdr:row>
      <xdr:rowOff>147769</xdr:rowOff>
    </xdr:from>
    <xdr:to>
      <xdr:col>8</xdr:col>
      <xdr:colOff>602187</xdr:colOff>
      <xdr:row>54</xdr:row>
      <xdr:rowOff>79189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D70E101-D3A7-4628-A2D7-5FB372CD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33" y="7005769"/>
          <a:ext cx="7541129" cy="3360420"/>
        </a:xfrm>
        <a:prstGeom prst="rect">
          <a:avLst/>
        </a:prstGeom>
      </xdr:spPr>
    </xdr:pic>
    <xdr:clientData/>
  </xdr:twoCellAnchor>
  <xdr:twoCellAnchor editAs="oneCell">
    <xdr:from>
      <xdr:col>42</xdr:col>
      <xdr:colOff>504825</xdr:colOff>
      <xdr:row>34</xdr:row>
      <xdr:rowOff>76200</xdr:rowOff>
    </xdr:from>
    <xdr:to>
      <xdr:col>49</xdr:col>
      <xdr:colOff>666750</xdr:colOff>
      <xdr:row>86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ED80A9-523C-4C75-B103-B586AFF81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29375" y="6553200"/>
          <a:ext cx="707707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571500</xdr:colOff>
      <xdr:row>30</xdr:row>
      <xdr:rowOff>69273</xdr:rowOff>
    </xdr:from>
    <xdr:to>
      <xdr:col>61</xdr:col>
      <xdr:colOff>254207</xdr:colOff>
      <xdr:row>77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569A87-7F61-4F66-AAB8-91F7B1BB2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68675" y="5784273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742084</xdr:colOff>
      <xdr:row>73</xdr:row>
      <xdr:rowOff>172316</xdr:rowOff>
    </xdr:from>
    <xdr:to>
      <xdr:col>42</xdr:col>
      <xdr:colOff>29610</xdr:colOff>
      <xdr:row>119</xdr:row>
      <xdr:rowOff>183065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8EDA5A-81EB-48B6-BFAE-634A2D432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546309" y="14078816"/>
          <a:ext cx="9507851" cy="8773749"/>
        </a:xfrm>
        <a:prstGeom prst="rect">
          <a:avLst/>
        </a:prstGeom>
      </xdr:spPr>
    </xdr:pic>
    <xdr:clientData/>
  </xdr:twoCellAnchor>
  <xdr:twoCellAnchor editAs="oneCell">
    <xdr:from>
      <xdr:col>33</xdr:col>
      <xdr:colOff>833003</xdr:colOff>
      <xdr:row>120</xdr:row>
      <xdr:rowOff>96550</xdr:rowOff>
    </xdr:from>
    <xdr:to>
      <xdr:col>41</xdr:col>
      <xdr:colOff>400793</xdr:colOff>
      <xdr:row>178</xdr:row>
      <xdr:rowOff>40934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34DBE5-AC01-48E3-A77C-1920B93E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637228" y="22956550"/>
          <a:ext cx="9197565" cy="10993384"/>
        </a:xfrm>
        <a:prstGeom prst="rect">
          <a:avLst/>
        </a:prstGeom>
      </xdr:spPr>
    </xdr:pic>
    <xdr:clientData/>
  </xdr:twoCellAnchor>
  <xdr:twoCellAnchor editAs="oneCell">
    <xdr:from>
      <xdr:col>33</xdr:col>
      <xdr:colOff>917430</xdr:colOff>
      <xdr:row>32</xdr:row>
      <xdr:rowOff>97414</xdr:rowOff>
    </xdr:from>
    <xdr:to>
      <xdr:col>41</xdr:col>
      <xdr:colOff>434224</xdr:colOff>
      <xdr:row>72</xdr:row>
      <xdr:rowOff>22267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E0BF15-B17D-4589-88D4-4C36BE3A5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21655" y="6193414"/>
          <a:ext cx="9146569" cy="7544853"/>
        </a:xfrm>
        <a:prstGeom prst="rect">
          <a:avLst/>
        </a:prstGeom>
      </xdr:spPr>
    </xdr:pic>
    <xdr:clientData/>
  </xdr:twoCellAnchor>
  <xdr:twoCellAnchor editAs="oneCell">
    <xdr:from>
      <xdr:col>28</xdr:col>
      <xdr:colOff>600891</xdr:colOff>
      <xdr:row>21</xdr:row>
      <xdr:rowOff>136546</xdr:rowOff>
    </xdr:from>
    <xdr:to>
      <xdr:col>33</xdr:col>
      <xdr:colOff>882540</xdr:colOff>
      <xdr:row>38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A32A7C-51A1-4784-BACE-9BC13BFB6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794891" y="4137046"/>
          <a:ext cx="5891874" cy="3149579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</xdr:colOff>
      <xdr:row>73</xdr:row>
      <xdr:rowOff>0</xdr:rowOff>
    </xdr:from>
    <xdr:to>
      <xdr:col>25</xdr:col>
      <xdr:colOff>296159</xdr:colOff>
      <xdr:row>77</xdr:row>
      <xdr:rowOff>85843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8F4341A-9346-42C1-B0A0-E0495560B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92950" y="13906500"/>
          <a:ext cx="6335009" cy="847843"/>
        </a:xfrm>
        <a:prstGeom prst="rect">
          <a:avLst/>
        </a:prstGeom>
      </xdr:spPr>
    </xdr:pic>
    <xdr:clientData/>
  </xdr:twoCellAnchor>
  <xdr:twoCellAnchor editAs="oneCell">
    <xdr:from>
      <xdr:col>21</xdr:col>
      <xdr:colOff>197360</xdr:colOff>
      <xdr:row>78</xdr:row>
      <xdr:rowOff>76200</xdr:rowOff>
    </xdr:from>
    <xdr:to>
      <xdr:col>25</xdr:col>
      <xdr:colOff>19050</xdr:colOff>
      <xdr:row>93</xdr:row>
      <xdr:rowOff>4807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38DBBD8-3056-469E-BC6A-5518FE51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3160" y="14935200"/>
          <a:ext cx="5917690" cy="2786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47625</xdr:colOff>
      <xdr:row>60</xdr:row>
      <xdr:rowOff>111814</xdr:rowOff>
    </xdr:from>
    <xdr:to>
      <xdr:col>24</xdr:col>
      <xdr:colOff>1724024</xdr:colOff>
      <xdr:row>71</xdr:row>
      <xdr:rowOff>114299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6FECEF-87A5-4CE2-8C9B-21F528B6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3425" y="11541814"/>
          <a:ext cx="5467349" cy="2097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47</xdr:row>
      <xdr:rowOff>68658</xdr:rowOff>
    </xdr:from>
    <xdr:to>
      <xdr:col>25</xdr:col>
      <xdr:colOff>695324</xdr:colOff>
      <xdr:row>59</xdr:row>
      <xdr:rowOff>114299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E6F8020-CEF4-4EDF-BF4A-D913482A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022158"/>
          <a:ext cx="6715124" cy="233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629114</xdr:colOff>
      <xdr:row>62</xdr:row>
      <xdr:rowOff>145378</xdr:rowOff>
    </xdr:from>
    <xdr:to>
      <xdr:col>7</xdr:col>
      <xdr:colOff>368159</xdr:colOff>
      <xdr:row>73</xdr:row>
      <xdr:rowOff>145378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94BC41-DA15-4C17-65A4-286E4D257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914" y="11956378"/>
          <a:ext cx="7448533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328613</xdr:colOff>
      <xdr:row>76</xdr:row>
      <xdr:rowOff>39461</xdr:rowOff>
    </xdr:from>
    <xdr:to>
      <xdr:col>7</xdr:col>
      <xdr:colOff>607535</xdr:colOff>
      <xdr:row>126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586235-24FB-4FC6-82FB-CB99D24A9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613" y="14517461"/>
          <a:ext cx="8731360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132690</xdr:colOff>
      <xdr:row>41</xdr:row>
      <xdr:rowOff>174983</xdr:rowOff>
    </xdr:from>
    <xdr:to>
      <xdr:col>8</xdr:col>
      <xdr:colOff>198935</xdr:colOff>
      <xdr:row>59</xdr:row>
      <xdr:rowOff>106403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1FF51CD-E96C-9520-435A-17D36B1C4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9440" y="7985483"/>
          <a:ext cx="8522885" cy="3360420"/>
        </a:xfrm>
        <a:prstGeom prst="rect">
          <a:avLst/>
        </a:prstGeom>
      </xdr:spPr>
    </xdr:pic>
    <xdr:clientData/>
  </xdr:twoCellAnchor>
  <xdr:twoCellAnchor editAs="oneCell">
    <xdr:from>
      <xdr:col>20</xdr:col>
      <xdr:colOff>504825</xdr:colOff>
      <xdr:row>32</xdr:row>
      <xdr:rowOff>76200</xdr:rowOff>
    </xdr:from>
    <xdr:to>
      <xdr:col>28</xdr:col>
      <xdr:colOff>638176</xdr:colOff>
      <xdr:row>84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945C3E6-BB7A-0B36-8A04-0423D50D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571500</xdr:colOff>
      <xdr:row>28</xdr:row>
      <xdr:rowOff>69273</xdr:rowOff>
    </xdr:from>
    <xdr:to>
      <xdr:col>40</xdr:col>
      <xdr:colOff>225631</xdr:colOff>
      <xdr:row>75</xdr:row>
      <xdr:rowOff>69273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47AE89-1315-EC46-4772-FB5A1C0D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2636" y="5403273"/>
          <a:ext cx="9536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1008784</xdr:colOff>
      <xdr:row>71</xdr:row>
      <xdr:rowOff>134216</xdr:rowOff>
    </xdr:from>
    <xdr:to>
      <xdr:col>19</xdr:col>
      <xdr:colOff>273978</xdr:colOff>
      <xdr:row>117</xdr:row>
      <xdr:rowOff>144965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F4E56-103B-4C84-884F-ED2FAA07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8909" y="13659716"/>
          <a:ext cx="10940123" cy="8773749"/>
        </a:xfrm>
        <a:prstGeom prst="rect">
          <a:avLst/>
        </a:prstGeom>
      </xdr:spPr>
    </xdr:pic>
    <xdr:clientData/>
  </xdr:twoCellAnchor>
  <xdr:twoCellAnchor editAs="oneCell">
    <xdr:from>
      <xdr:col>8</xdr:col>
      <xdr:colOff>1175903</xdr:colOff>
      <xdr:row>118</xdr:row>
      <xdr:rowOff>58450</xdr:rowOff>
    </xdr:from>
    <xdr:to>
      <xdr:col>19</xdr:col>
      <xdr:colOff>117204</xdr:colOff>
      <xdr:row>176</xdr:row>
      <xdr:rowOff>2834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18A575-8C08-4F9C-B9D8-951A5965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96028" y="22537450"/>
          <a:ext cx="10616230" cy="10993384"/>
        </a:xfrm>
        <a:prstGeom prst="rect">
          <a:avLst/>
        </a:prstGeom>
      </xdr:spPr>
    </xdr:pic>
    <xdr:clientData/>
  </xdr:twoCellAnchor>
  <xdr:twoCellAnchor editAs="oneCell">
    <xdr:from>
      <xdr:col>8</xdr:col>
      <xdr:colOff>1165080</xdr:colOff>
      <xdr:row>31</xdr:row>
      <xdr:rowOff>145039</xdr:rowOff>
    </xdr:from>
    <xdr:to>
      <xdr:col>19</xdr:col>
      <xdr:colOff>39697</xdr:colOff>
      <xdr:row>71</xdr:row>
      <xdr:rowOff>69892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9C7982-05BF-4306-BD28-727390ED8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85205" y="6050539"/>
          <a:ext cx="10549546" cy="754485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EEF8-E8D7-4DBA-93BB-65B2D71BB713}">
  <sheetPr>
    <tabColor rgb="FF0070C0"/>
  </sheetPr>
  <dimension ref="B2:BQ151"/>
  <sheetViews>
    <sheetView tabSelected="1" topLeftCell="O46" zoomScaleNormal="100" workbookViewId="0">
      <selection activeCell="U18" sqref="U18"/>
    </sheetView>
  </sheetViews>
  <sheetFormatPr defaultColWidth="8.85546875" defaultRowHeight="15" customHeight="1" x14ac:dyDescent="0.25"/>
  <cols>
    <col min="1" max="1" width="8.85546875" style="6"/>
    <col min="2" max="2" width="30.7109375" style="6" bestFit="1" customWidth="1"/>
    <col min="3" max="3" width="13" style="6" customWidth="1"/>
    <col min="4" max="4" width="10.140625" style="6" customWidth="1"/>
    <col min="5" max="5" width="23" style="6" bestFit="1" customWidth="1"/>
    <col min="6" max="6" width="10.7109375" style="6" customWidth="1"/>
    <col min="7" max="8" width="9.140625" style="6" customWidth="1"/>
    <col min="9" max="9" width="19.28515625" style="6" bestFit="1" customWidth="1"/>
    <col min="10" max="10" width="15" style="6" bestFit="1" customWidth="1"/>
    <col min="11" max="11" width="10.140625" style="6" bestFit="1" customWidth="1"/>
    <col min="12" max="12" width="9.7109375" style="6" bestFit="1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3" style="6" customWidth="1"/>
    <col min="18" max="18" width="10.140625" style="6" customWidth="1"/>
    <col min="19" max="19" width="8.85546875" style="6"/>
    <col min="20" max="20" width="30" style="6" customWidth="1"/>
    <col min="21" max="21" width="11.7109375" style="6" customWidth="1"/>
    <col min="22" max="22" width="10.140625" style="6" customWidth="1"/>
    <col min="23" max="23" width="34.5703125" style="6" bestFit="1" customWidth="1"/>
    <col min="24" max="24" width="11.7109375" style="6" customWidth="1"/>
    <col min="25" max="26" width="10.140625" style="6" customWidth="1"/>
    <col min="27" max="27" width="26.85546875" style="6" customWidth="1"/>
    <col min="28" max="28" width="12.140625" style="6" customWidth="1"/>
    <col min="29" max="29" width="10.140625" style="6" customWidth="1"/>
    <col min="30" max="30" width="26.85546875" style="6" customWidth="1"/>
    <col min="31" max="31" width="12.140625" style="6" customWidth="1"/>
    <col min="32" max="32" width="10.140625" style="6" customWidth="1"/>
    <col min="33" max="33" width="8.85546875" style="6"/>
    <col min="34" max="34" width="21.85546875" style="6" customWidth="1"/>
    <col min="35" max="35" width="14.28515625" style="6" bestFit="1" customWidth="1"/>
    <col min="36" max="36" width="12" style="6" bestFit="1" customWidth="1"/>
    <col min="37" max="37" width="12.28515625" style="6" bestFit="1" customWidth="1"/>
    <col min="38" max="38" width="23.7109375" style="6" bestFit="1" customWidth="1"/>
    <col min="39" max="39" width="21.28515625" style="6" customWidth="1"/>
    <col min="40" max="40" width="14.28515625" style="6" bestFit="1" customWidth="1"/>
    <col min="41" max="41" width="12" style="6" bestFit="1" customWidth="1"/>
    <col min="42" max="42" width="12.28515625" style="6" bestFit="1" customWidth="1"/>
    <col min="43" max="43" width="18.85546875" style="6" bestFit="1" customWidth="1"/>
    <col min="44" max="44" width="20.5703125" style="6" bestFit="1" customWidth="1"/>
    <col min="45" max="45" width="18.5703125" style="6" bestFit="1" customWidth="1"/>
    <col min="46" max="46" width="26.5703125" style="6" bestFit="1" customWidth="1"/>
    <col min="47" max="47" width="8.85546875" style="6"/>
    <col min="48" max="48" width="16.85546875" style="6" bestFit="1" customWidth="1"/>
    <col min="49" max="49" width="7.7109375" style="6" bestFit="1" customWidth="1"/>
    <col min="50" max="51" width="22.85546875" style="6" customWidth="1"/>
    <col min="52" max="52" width="8.85546875" style="6"/>
    <col min="53" max="53" width="16.85546875" style="6" bestFit="1" customWidth="1"/>
    <col min="54" max="54" width="7.7109375" style="6" bestFit="1" customWidth="1"/>
    <col min="55" max="55" width="15.140625" style="6" customWidth="1"/>
    <col min="56" max="56" width="15.85546875" style="6" customWidth="1"/>
    <col min="57" max="57" width="8.85546875" style="6"/>
    <col min="58" max="59" width="16.85546875" style="6" bestFit="1" customWidth="1"/>
    <col min="60" max="60" width="12" style="6" bestFit="1" customWidth="1"/>
    <col min="61" max="62" width="22.85546875" style="6" customWidth="1"/>
    <col min="63" max="63" width="8.85546875" style="6"/>
    <col min="64" max="65" width="16.85546875" style="6" bestFit="1" customWidth="1"/>
    <col min="66" max="66" width="12" style="6" bestFit="1" customWidth="1"/>
    <col min="67" max="67" width="15.140625" style="6" customWidth="1"/>
    <col min="68" max="68" width="15.85546875" style="6" customWidth="1"/>
    <col min="69" max="16384" width="8.85546875" style="6"/>
  </cols>
  <sheetData>
    <row r="2" spans="2:69" ht="15" customHeight="1" thickBot="1" x14ac:dyDescent="0.3"/>
    <row r="3" spans="2:69" ht="15" customHeight="1" x14ac:dyDescent="0.25">
      <c r="B3" s="3" t="s">
        <v>0</v>
      </c>
      <c r="C3" s="4" t="s">
        <v>17</v>
      </c>
      <c r="D3" s="63" t="s">
        <v>33</v>
      </c>
      <c r="E3" s="1"/>
      <c r="F3" s="1"/>
      <c r="G3" s="1"/>
      <c r="I3" s="7" t="s">
        <v>1</v>
      </c>
      <c r="J3" s="2"/>
      <c r="K3" s="2"/>
      <c r="L3" s="2"/>
      <c r="M3" s="2"/>
      <c r="N3" s="2"/>
      <c r="P3" s="3" t="s">
        <v>0</v>
      </c>
      <c r="Q3" s="1"/>
      <c r="R3" s="1"/>
      <c r="T3" s="7" t="s">
        <v>1</v>
      </c>
      <c r="U3" s="2"/>
      <c r="V3" s="2"/>
      <c r="W3" s="2"/>
      <c r="X3" s="2"/>
      <c r="Y3" s="2"/>
      <c r="AA3" s="150" t="s">
        <v>156</v>
      </c>
      <c r="AB3" s="151"/>
      <c r="AC3" s="152"/>
      <c r="AD3" s="153" t="s">
        <v>157</v>
      </c>
      <c r="AE3" s="154"/>
      <c r="AF3" s="155"/>
      <c r="AH3" s="64" t="s">
        <v>88</v>
      </c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6" t="s">
        <v>89</v>
      </c>
    </row>
    <row r="4" spans="2:69" ht="15" customHeight="1" thickBot="1" x14ac:dyDescent="0.3">
      <c r="I4" s="1" t="s">
        <v>28</v>
      </c>
      <c r="J4" s="1">
        <v>30</v>
      </c>
      <c r="K4" s="1" t="s">
        <v>29</v>
      </c>
      <c r="AA4" s="121" t="s">
        <v>5</v>
      </c>
      <c r="AB4" s="138">
        <f>'Lab 3 Updated Jointed Assembly'!C34</f>
        <v>174471463662.77869</v>
      </c>
      <c r="AC4" s="122" t="s">
        <v>154</v>
      </c>
      <c r="AD4" s="123" t="s">
        <v>5</v>
      </c>
      <c r="AE4" s="142">
        <f>C31</f>
        <v>230506259523.91602</v>
      </c>
      <c r="AF4" s="124" t="s">
        <v>154</v>
      </c>
      <c r="AI4" s="6" t="s">
        <v>90</v>
      </c>
      <c r="AN4" s="6" t="s">
        <v>91</v>
      </c>
      <c r="AV4" s="6" t="s">
        <v>50</v>
      </c>
      <c r="BF4" s="6" t="s">
        <v>51</v>
      </c>
    </row>
    <row r="5" spans="2:69" ht="15" customHeight="1" x14ac:dyDescent="0.25">
      <c r="B5" s="8" t="s">
        <v>16</v>
      </c>
      <c r="C5" s="9"/>
      <c r="D5" s="9"/>
      <c r="E5" s="10" t="s">
        <v>10</v>
      </c>
      <c r="F5" s="9"/>
      <c r="G5" s="9"/>
      <c r="I5" s="11" t="s">
        <v>18</v>
      </c>
      <c r="J5" s="11"/>
      <c r="K5" s="12"/>
      <c r="L5" s="12"/>
      <c r="M5" s="12"/>
      <c r="N5" s="12"/>
      <c r="P5" s="8" t="s">
        <v>130</v>
      </c>
      <c r="Q5" s="8"/>
      <c r="R5" s="8"/>
      <c r="T5" s="11" t="s">
        <v>168</v>
      </c>
      <c r="U5" s="11"/>
      <c r="V5" s="12"/>
      <c r="W5" s="12"/>
      <c r="X5" s="12"/>
      <c r="Y5" s="12"/>
      <c r="AA5" s="121"/>
      <c r="AB5" s="139">
        <f>'Lab 3 Updated Jointed Assembly'!C35</f>
        <v>174.47146366277869</v>
      </c>
      <c r="AC5" s="122" t="s">
        <v>155</v>
      </c>
      <c r="AD5" s="123"/>
      <c r="AE5" s="143">
        <f>C32</f>
        <v>230.50625952391604</v>
      </c>
      <c r="AF5" s="124" t="s">
        <v>155</v>
      </c>
      <c r="AI5" s="36" t="s">
        <v>33</v>
      </c>
      <c r="AJ5" s="37"/>
      <c r="AK5" s="37"/>
      <c r="AL5" s="39"/>
      <c r="AN5" s="36" t="s">
        <v>33</v>
      </c>
      <c r="AO5" s="37"/>
      <c r="AP5" s="37"/>
      <c r="AQ5" s="38"/>
      <c r="AR5" s="38"/>
      <c r="AS5" s="37"/>
      <c r="AT5" s="39"/>
      <c r="AV5" s="36"/>
      <c r="AW5" s="37"/>
      <c r="AX5" s="37"/>
      <c r="AY5" s="37"/>
      <c r="AZ5" s="38" t="s">
        <v>33</v>
      </c>
      <c r="BA5" s="37"/>
      <c r="BB5" s="37"/>
      <c r="BC5" s="37"/>
      <c r="BD5" s="39"/>
      <c r="BF5" s="36"/>
      <c r="BG5" s="37"/>
      <c r="BH5" s="37"/>
      <c r="BI5" s="37"/>
      <c r="BJ5" s="37"/>
      <c r="BK5" s="38" t="s">
        <v>2</v>
      </c>
      <c r="BL5" s="37"/>
      <c r="BM5" s="37"/>
      <c r="BN5" s="37"/>
      <c r="BO5" s="37"/>
      <c r="BP5" s="39"/>
    </row>
    <row r="6" spans="2:69" ht="15" customHeight="1" x14ac:dyDescent="0.25">
      <c r="B6" s="1"/>
      <c r="C6" s="1"/>
      <c r="D6" s="1" t="str">
        <f>IF($D$3="English","in", "mm")</f>
        <v>mm</v>
      </c>
      <c r="E6" s="13"/>
      <c r="F6" s="22"/>
      <c r="G6" s="1" t="str">
        <f t="shared" ref="G6:G9" si="0">IF($D$3="English","psi","Pa")</f>
        <v>Pa</v>
      </c>
      <c r="I6" s="14" t="s">
        <v>19</v>
      </c>
      <c r="J6" s="15" t="str">
        <f>_xlfn.CONCAT("Thickness ", "[",D6,"]")</f>
        <v>Thickness [mm]</v>
      </c>
      <c r="K6" s="15" t="str">
        <f>_xlfn.CONCAT("D ", "[",D13,"]")</f>
        <v>D [mm]</v>
      </c>
      <c r="L6" s="15" t="str">
        <f>_xlfn.CONCAT("E ", "[",G6,"]")</f>
        <v>E [Pa]</v>
      </c>
      <c r="M6" s="15" t="str">
        <f>_xlfn.CONCAT("k ", "[",D31,"]")</f>
        <v>k [mN/m]</v>
      </c>
      <c r="N6" s="15" t="s">
        <v>20</v>
      </c>
      <c r="P6" s="1" t="s">
        <v>133</v>
      </c>
      <c r="Q6" s="108">
        <v>95</v>
      </c>
      <c r="R6" s="1" t="str">
        <f t="shared" ref="R6" si="1">IF($D$3="English","in", "mm")</f>
        <v>mm</v>
      </c>
      <c r="T6" s="2" t="s">
        <v>67</v>
      </c>
      <c r="U6" s="67">
        <f>IF(AND($C$13&gt;=$AO$30,$C$13&lt;=$AP$30),AQ30,IF(AND($C$13&gt;=$AO$31,$C$13&lt;=$AP$31),AQ31,NA()))</f>
        <v>830000000</v>
      </c>
      <c r="V6" s="2" t="str">
        <f>IF($D$3="English","psi","Pa")</f>
        <v>Pa</v>
      </c>
      <c r="AA6" s="121" t="s">
        <v>31</v>
      </c>
      <c r="AB6" s="138">
        <f>'Lab 3 Updated Jointed Assembly'!J17</f>
        <v>833740014178.03284</v>
      </c>
      <c r="AC6" s="122" t="s">
        <v>154</v>
      </c>
      <c r="AD6" s="123" t="s">
        <v>31</v>
      </c>
      <c r="AE6" s="142">
        <f>J17</f>
        <v>974404307153.21338</v>
      </c>
      <c r="AF6" s="124" t="s">
        <v>154</v>
      </c>
      <c r="AI6" s="68" t="s">
        <v>93</v>
      </c>
      <c r="AJ6" s="69" t="s">
        <v>94</v>
      </c>
      <c r="AK6" s="69" t="s">
        <v>95</v>
      </c>
      <c r="AL6" s="70" t="s">
        <v>96</v>
      </c>
      <c r="AN6" s="68" t="s">
        <v>93</v>
      </c>
      <c r="AO6" s="69" t="s">
        <v>94</v>
      </c>
      <c r="AP6" s="69" t="s">
        <v>95</v>
      </c>
      <c r="AQ6" s="69" t="s">
        <v>97</v>
      </c>
      <c r="AR6" s="69" t="s">
        <v>98</v>
      </c>
      <c r="AS6" s="69" t="s">
        <v>99</v>
      </c>
      <c r="AT6" s="70" t="s">
        <v>100</v>
      </c>
      <c r="AV6" s="131" t="s">
        <v>41</v>
      </c>
      <c r="AW6" s="132"/>
      <c r="AX6" s="132"/>
      <c r="AY6" s="132"/>
      <c r="AZ6" s="52"/>
      <c r="BA6" s="132" t="s">
        <v>42</v>
      </c>
      <c r="BB6" s="132"/>
      <c r="BC6" s="132"/>
      <c r="BD6" s="133"/>
      <c r="BF6" s="131" t="s">
        <v>41</v>
      </c>
      <c r="BG6" s="132"/>
      <c r="BH6" s="132"/>
      <c r="BI6" s="132"/>
      <c r="BJ6" s="132"/>
      <c r="BK6" s="52"/>
      <c r="BL6" s="132" t="s">
        <v>42</v>
      </c>
      <c r="BM6" s="132"/>
      <c r="BN6" s="132"/>
      <c r="BO6" s="132"/>
      <c r="BP6" s="133"/>
    </row>
    <row r="7" spans="2:69" ht="15" customHeight="1" x14ac:dyDescent="0.25">
      <c r="B7" s="1" t="s">
        <v>162</v>
      </c>
      <c r="C7" s="1">
        <v>51</v>
      </c>
      <c r="D7" s="1" t="str">
        <f t="shared" ref="D7:D9" si="2">IF($D$3="English","in", "mm")</f>
        <v>mm</v>
      </c>
      <c r="E7" s="13" t="s">
        <v>165</v>
      </c>
      <c r="F7" s="22">
        <f>68.9*10^9</f>
        <v>68900000000</v>
      </c>
      <c r="G7" s="1" t="str">
        <f t="shared" si="0"/>
        <v>Pa</v>
      </c>
      <c r="I7" s="16">
        <v>1</v>
      </c>
      <c r="J7" s="2">
        <f>C6</f>
        <v>0</v>
      </c>
      <c r="K7" s="2">
        <f>1.5*C13</f>
        <v>24</v>
      </c>
      <c r="L7" s="23">
        <f>F6</f>
        <v>0</v>
      </c>
      <c r="M7" s="23">
        <f>IF(J7=0,0,(PI()*L7*$C$13*TAN(RADIANS($J$4)))/LN(((2*J7*TAN(RADIANS($J$4))+K7-$C$13)*(K7+$C$13))/((2*J7*TAN(RADIANS($J$4))+K7+$C$13)*(K7-$C$13))))</f>
        <v>0</v>
      </c>
      <c r="N7" s="23">
        <f>IF(M7=0,0,M7^-1)</f>
        <v>0</v>
      </c>
      <c r="P7" s="1"/>
      <c r="Q7" s="2">
        <f>Q6*10^-3</f>
        <v>9.5000000000000001E-2</v>
      </c>
      <c r="R7" s="2" t="str">
        <f>IF($D$3="English","*10^3 in", "m")</f>
        <v>m</v>
      </c>
      <c r="T7" s="2"/>
      <c r="U7" s="2">
        <f>IF($D$3="English",U6*10^-3,U6*10^-6)</f>
        <v>830</v>
      </c>
      <c r="V7" s="2" t="str">
        <f>IF($D$3="English","kpsi","MPa")</f>
        <v>MPa</v>
      </c>
      <c r="AA7" s="121"/>
      <c r="AB7" s="139">
        <f>'Lab 3 Updated Jointed Assembly'!J18</f>
        <v>833.74001417803288</v>
      </c>
      <c r="AC7" s="122" t="s">
        <v>155</v>
      </c>
      <c r="AD7" s="123"/>
      <c r="AE7" s="143">
        <f>J18</f>
        <v>974.40430715321349</v>
      </c>
      <c r="AF7" s="124" t="s">
        <v>155</v>
      </c>
      <c r="AI7" s="42">
        <v>8.8000000000000007</v>
      </c>
      <c r="AJ7" s="28">
        <v>16</v>
      </c>
      <c r="AK7" s="28">
        <v>36</v>
      </c>
      <c r="AL7" s="71">
        <v>129000000</v>
      </c>
      <c r="AN7" s="42">
        <v>4.5999999999999996</v>
      </c>
      <c r="AO7" s="28">
        <v>5</v>
      </c>
      <c r="AP7" s="28">
        <v>36</v>
      </c>
      <c r="AQ7" s="72">
        <v>225000000</v>
      </c>
      <c r="AR7" s="73">
        <v>400000000</v>
      </c>
      <c r="AS7" s="72">
        <v>240000000</v>
      </c>
      <c r="AT7" s="74" t="s">
        <v>102</v>
      </c>
      <c r="AV7" s="40" t="s">
        <v>39</v>
      </c>
      <c r="AW7" s="31" t="s">
        <v>38</v>
      </c>
      <c r="AX7" s="31" t="s">
        <v>37</v>
      </c>
      <c r="AY7" s="32" t="s">
        <v>40</v>
      </c>
      <c r="AZ7" s="52"/>
      <c r="BA7" s="30" t="s">
        <v>39</v>
      </c>
      <c r="BB7" s="31" t="s">
        <v>38</v>
      </c>
      <c r="BC7" s="31" t="s">
        <v>37</v>
      </c>
      <c r="BD7" s="41" t="s">
        <v>40</v>
      </c>
      <c r="BF7" s="40" t="s">
        <v>43</v>
      </c>
      <c r="BG7" s="30" t="s">
        <v>44</v>
      </c>
      <c r="BH7" s="31" t="s">
        <v>45</v>
      </c>
      <c r="BI7" s="31" t="s">
        <v>46</v>
      </c>
      <c r="BJ7" s="32" t="s">
        <v>47</v>
      </c>
      <c r="BK7" s="52"/>
      <c r="BL7" s="30" t="s">
        <v>43</v>
      </c>
      <c r="BM7" s="30" t="s">
        <v>44</v>
      </c>
      <c r="BN7" s="31" t="s">
        <v>45</v>
      </c>
      <c r="BO7" s="31" t="s">
        <v>46</v>
      </c>
      <c r="BP7" s="41" t="s">
        <v>47</v>
      </c>
    </row>
    <row r="8" spans="2:69" ht="15" customHeight="1" x14ac:dyDescent="0.25">
      <c r="B8" s="1" t="s">
        <v>163</v>
      </c>
      <c r="C8" s="1">
        <v>95</v>
      </c>
      <c r="D8" s="1" t="str">
        <f t="shared" si="2"/>
        <v>mm</v>
      </c>
      <c r="E8" s="13" t="s">
        <v>166</v>
      </c>
      <c r="F8" s="22">
        <f>120.5*10^9</f>
        <v>120500000000</v>
      </c>
      <c r="G8" s="1" t="str">
        <f t="shared" si="0"/>
        <v>Pa</v>
      </c>
      <c r="I8" s="16">
        <v>2</v>
      </c>
      <c r="J8" s="2">
        <f>IF(C6+C7&lt;J15,C7,J15-C6)</f>
        <v>51</v>
      </c>
      <c r="K8" s="18">
        <f>K7+2*J7*TAN(RADIANS($J$4))</f>
        <v>24</v>
      </c>
      <c r="L8" s="23">
        <f>F7</f>
        <v>68900000000</v>
      </c>
      <c r="M8" s="23">
        <f>IF(J8=0,0,(PI()*L8*$C$13*TAN(RADIANS($J$4)))/LN(((2*J8*TAN(RADIANS($J$4))+K8-$C$13)*(K8+$C$13))/((2*J8*TAN(RADIANS($J$4))+K8+$C$13)*(K8-$C$13))))</f>
        <v>1641008289208.7009</v>
      </c>
      <c r="N8" s="23">
        <f t="shared" ref="N8:N11" si="3">IF(M8=0,0,M8^-1)</f>
        <v>6.0938144345523259E-13</v>
      </c>
      <c r="P8" s="2" t="s">
        <v>139</v>
      </c>
      <c r="Q8" s="2">
        <f>IF($D$3="English",PI()*(Q6^2)*0.25,PI()*(Q7^2)*0.25)</f>
        <v>7.0882184246619708E-3</v>
      </c>
      <c r="R8" s="2" t="str">
        <f>IF($D$3="English","in^2","m^2")</f>
        <v>m^2</v>
      </c>
      <c r="T8" s="2" t="s">
        <v>73</v>
      </c>
      <c r="U8" s="75">
        <f>IF(AND($C$13&gt;=$AO$30,$C$13&lt;=$AP$30),AR30,IF(AND($C$13&gt;=$AO$31,$C$13&lt;=$AP$31),AR31,NA()))</f>
        <v>1040000000</v>
      </c>
      <c r="V8" s="2" t="str">
        <f>IF($D$3="English","psi","Pa")</f>
        <v>Pa</v>
      </c>
      <c r="AA8" s="121" t="s">
        <v>52</v>
      </c>
      <c r="AB8" s="140">
        <f>'Lab 3 Updated Jointed Assembly'!W16</f>
        <v>0.1730504636154582</v>
      </c>
      <c r="AC8" s="127" t="s">
        <v>158</v>
      </c>
      <c r="AD8" s="123" t="s">
        <v>52</v>
      </c>
      <c r="AE8" s="144">
        <f>U17</f>
        <v>0.19130570010652334</v>
      </c>
      <c r="AF8" s="128" t="s">
        <v>158</v>
      </c>
      <c r="AI8" s="42">
        <v>9.8000000000000007</v>
      </c>
      <c r="AJ8" s="28">
        <v>1.6</v>
      </c>
      <c r="AK8" s="28">
        <v>16</v>
      </c>
      <c r="AL8" s="76">
        <v>140000000</v>
      </c>
      <c r="AN8" s="42">
        <v>4.8</v>
      </c>
      <c r="AO8" s="28">
        <v>1.6</v>
      </c>
      <c r="AP8" s="28">
        <v>16</v>
      </c>
      <c r="AQ8" s="77">
        <v>310000000</v>
      </c>
      <c r="AR8" s="73">
        <v>420000000</v>
      </c>
      <c r="AS8" s="77">
        <v>340000000</v>
      </c>
      <c r="AT8" s="74" t="s">
        <v>102</v>
      </c>
      <c r="AV8" s="42">
        <v>1.6</v>
      </c>
      <c r="AW8" s="28">
        <v>0.35</v>
      </c>
      <c r="AX8" s="28">
        <v>1.27</v>
      </c>
      <c r="AY8" s="29">
        <v>1.07</v>
      </c>
      <c r="AZ8" s="52"/>
      <c r="BA8" s="27">
        <v>1.6</v>
      </c>
      <c r="BB8" s="28" t="e">
        <f>NA()</f>
        <v>#N/A</v>
      </c>
      <c r="BC8" s="28" t="e">
        <f>NA()</f>
        <v>#N/A</v>
      </c>
      <c r="BD8" s="28" t="e">
        <f>NA()</f>
        <v>#N/A</v>
      </c>
      <c r="BF8" s="49">
        <f>0</f>
        <v>0</v>
      </c>
      <c r="BG8" s="27">
        <v>0.06</v>
      </c>
      <c r="BH8" s="28" t="e">
        <f>NA()</f>
        <v>#N/A</v>
      </c>
      <c r="BI8" s="28" t="e">
        <f>NA()</f>
        <v>#N/A</v>
      </c>
      <c r="BJ8" s="29" t="e">
        <f>NA()</f>
        <v>#N/A</v>
      </c>
      <c r="BK8" s="52"/>
      <c r="BL8" s="35">
        <f>0</f>
        <v>0</v>
      </c>
      <c r="BM8" s="27">
        <v>0.06</v>
      </c>
      <c r="BN8" s="28">
        <v>80</v>
      </c>
      <c r="BO8" s="28">
        <v>1.8E-3</v>
      </c>
      <c r="BP8" s="43">
        <v>1.5100000000000001E-3</v>
      </c>
    </row>
    <row r="9" spans="2:69" ht="15" customHeight="1" x14ac:dyDescent="0.25">
      <c r="B9" s="1" t="s">
        <v>164</v>
      </c>
      <c r="C9" s="1">
        <v>10</v>
      </c>
      <c r="D9" s="1" t="str">
        <f t="shared" si="2"/>
        <v>mm</v>
      </c>
      <c r="E9" s="13" t="s">
        <v>166</v>
      </c>
      <c r="F9" s="22">
        <f>120.5*10^9</f>
        <v>120500000000</v>
      </c>
      <c r="G9" s="1" t="str">
        <f t="shared" si="0"/>
        <v>Pa</v>
      </c>
      <c r="I9" s="16">
        <v>3</v>
      </c>
      <c r="J9" s="2">
        <f>IF(C6+C7&lt;J15,J15-C7-C6,C6+C7-J15)</f>
        <v>31</v>
      </c>
      <c r="K9" s="18">
        <f>IF(J7+J8&lt;J15,K8+2*J8*TAN(RADIANS($J$4)),K8+2*J8*TAN(RADIANS($J$4))-2*J9*TAN(RADIANS($J$4)))</f>
        <v>82.88972745734182</v>
      </c>
      <c r="L9" s="23">
        <f>IF(J7+J8&lt;J15,F8,F7)</f>
        <v>120500000000</v>
      </c>
      <c r="M9" s="23">
        <f>IF(J9=0,0,(PI()*L9*$C$13*TAN(RADIANS($J$4)))/LN(((2*J9*TAN(RADIANS($J$4))+K9-$C$13)*(K9+$C$13))/((2*J9*TAN(RADIANS($J$4))+K9+$C$13)*(K9-$C$13))))</f>
        <v>29217597762804.879</v>
      </c>
      <c r="N9" s="23">
        <f t="shared" si="3"/>
        <v>3.4225948625832557E-14</v>
      </c>
      <c r="T9" s="2"/>
      <c r="U9" s="2">
        <f>IF($D$3="English",U8*10^-3,U8*10^-6)</f>
        <v>1040</v>
      </c>
      <c r="V9" s="2" t="str">
        <f>IF($D$3="English","kpsi","MPa")</f>
        <v>MPa</v>
      </c>
      <c r="AA9" s="121" t="s">
        <v>63</v>
      </c>
      <c r="AB9" s="141">
        <f>'Lab 3 Updated Jointed Assembly'!W37</f>
        <v>7.3768267740796372</v>
      </c>
      <c r="AC9" s="127" t="s">
        <v>158</v>
      </c>
      <c r="AD9" s="123" t="s">
        <v>63</v>
      </c>
      <c r="AE9" s="145">
        <f>U40</f>
        <v>10.298311483886303</v>
      </c>
      <c r="AF9" s="128" t="s">
        <v>158</v>
      </c>
      <c r="AI9" s="42">
        <v>10.9</v>
      </c>
      <c r="AJ9" s="28">
        <v>5</v>
      </c>
      <c r="AK9" s="28">
        <v>36</v>
      </c>
      <c r="AL9" s="76">
        <v>162000000</v>
      </c>
      <c r="AN9" s="42">
        <v>5.8</v>
      </c>
      <c r="AO9" s="28">
        <v>5</v>
      </c>
      <c r="AP9" s="28">
        <v>24</v>
      </c>
      <c r="AQ9" s="77">
        <v>380000000</v>
      </c>
      <c r="AR9" s="73">
        <v>520000000</v>
      </c>
      <c r="AS9" s="77">
        <v>420000000</v>
      </c>
      <c r="AT9" s="74" t="s">
        <v>102</v>
      </c>
      <c r="AV9" s="42">
        <v>2</v>
      </c>
      <c r="AW9" s="28">
        <v>0.4</v>
      </c>
      <c r="AX9" s="28">
        <v>2.0699999999999998</v>
      </c>
      <c r="AY9" s="29">
        <v>1.79</v>
      </c>
      <c r="AZ9" s="52"/>
      <c r="BA9" s="27">
        <v>2</v>
      </c>
      <c r="BB9" s="28" t="e">
        <f>NA()</f>
        <v>#N/A</v>
      </c>
      <c r="BC9" s="28" t="e">
        <f>NA()</f>
        <v>#N/A</v>
      </c>
      <c r="BD9" s="28" t="e">
        <f>NA()</f>
        <v>#N/A</v>
      </c>
      <c r="BF9" s="49">
        <f>1</f>
        <v>1</v>
      </c>
      <c r="BG9" s="27">
        <v>7.2999999999999995E-2</v>
      </c>
      <c r="BH9" s="28">
        <v>64</v>
      </c>
      <c r="BI9" s="28">
        <v>2.63E-3</v>
      </c>
      <c r="BJ9" s="29">
        <v>2.1800000000000001E-3</v>
      </c>
      <c r="BK9" s="52"/>
      <c r="BL9" s="35">
        <f>1</f>
        <v>1</v>
      </c>
      <c r="BM9" s="27">
        <v>7.2999999999999995E-2</v>
      </c>
      <c r="BN9" s="28">
        <v>72</v>
      </c>
      <c r="BO9" s="28">
        <v>2.7799999999999999E-3</v>
      </c>
      <c r="BP9" s="43">
        <v>2.3700000000000001E-3</v>
      </c>
    </row>
    <row r="10" spans="2:69" ht="15" customHeight="1" thickBot="1" x14ac:dyDescent="0.3">
      <c r="I10" s="16">
        <v>4</v>
      </c>
      <c r="J10" s="2">
        <f>C17-SUM(J7:J9)-J11</f>
        <v>72</v>
      </c>
      <c r="K10" s="18">
        <f>K11+2*J11*TAN(RADIANS($J$4))</f>
        <v>35.547005383792516</v>
      </c>
      <c r="L10" s="23">
        <f>F8</f>
        <v>120500000000</v>
      </c>
      <c r="M10" s="23">
        <f>IF(J10=0,0,(PI()*L10*$C$13*TAN(RADIANS($J$4)))/LN(((2*J10*TAN(RADIANS($J$4))+K10-$C$13)*(K10+$C$13))/((2*J10*TAN(RADIANS($J$4))+K10+$C$13)*(K10-$C$13))))</f>
        <v>5007163914716.2568</v>
      </c>
      <c r="N10" s="23">
        <f t="shared" si="3"/>
        <v>1.9971385339732131E-13</v>
      </c>
      <c r="P10" s="1" t="s">
        <v>142</v>
      </c>
      <c r="Q10" s="93">
        <v>0</v>
      </c>
      <c r="R10" s="1" t="str">
        <f t="shared" ref="R10:R11" si="4">IF($D$3="English","psi","Pa")</f>
        <v>Pa</v>
      </c>
      <c r="T10" s="2" t="s">
        <v>74</v>
      </c>
      <c r="U10" s="67">
        <f>IF(AND($C$13&gt;=$AO$30,$C$13&lt;=$AP$30),AS30,IF(AND($C$13&gt;=$AO$31,$C$13&lt;=$AP$31),AS31,NA()))</f>
        <v>940000000</v>
      </c>
      <c r="V10" s="2" t="str">
        <f>IF($D$3="English","psi","Pa")</f>
        <v>Pa</v>
      </c>
      <c r="AA10" s="121" t="s">
        <v>61</v>
      </c>
      <c r="AB10" s="141">
        <f>'Lab 3 Updated Jointed Assembly'!W38</f>
        <v>1.0732770008867756</v>
      </c>
      <c r="AC10" s="127" t="s">
        <v>158</v>
      </c>
      <c r="AD10" s="123" t="s">
        <v>61</v>
      </c>
      <c r="AE10" s="145">
        <f>U41</f>
        <v>1.0789392280303933</v>
      </c>
      <c r="AF10" s="128" t="s">
        <v>158</v>
      </c>
      <c r="AI10" s="44">
        <v>12.9</v>
      </c>
      <c r="AJ10" s="45">
        <v>1.6</v>
      </c>
      <c r="AK10" s="45">
        <v>36</v>
      </c>
      <c r="AL10" s="78">
        <v>190000000</v>
      </c>
      <c r="AN10" s="42">
        <v>8.8000000000000007</v>
      </c>
      <c r="AO10" s="28">
        <v>16</v>
      </c>
      <c r="AP10" s="28">
        <v>36</v>
      </c>
      <c r="AQ10" s="77">
        <v>600000000</v>
      </c>
      <c r="AR10" s="73">
        <v>830000000</v>
      </c>
      <c r="AS10" s="77">
        <v>660000000</v>
      </c>
      <c r="AT10" s="74" t="s">
        <v>105</v>
      </c>
      <c r="AV10" s="42">
        <v>2.5</v>
      </c>
      <c r="AW10" s="28">
        <v>0.45</v>
      </c>
      <c r="AX10" s="28">
        <v>3.39</v>
      </c>
      <c r="AY10" s="29">
        <v>2.98</v>
      </c>
      <c r="AZ10" s="52"/>
      <c r="BA10" s="27">
        <v>2.5</v>
      </c>
      <c r="BB10" s="28" t="e">
        <f>NA()</f>
        <v>#N/A</v>
      </c>
      <c r="BC10" s="28" t="e">
        <f>NA()</f>
        <v>#N/A</v>
      </c>
      <c r="BD10" s="28" t="e">
        <f>NA()</f>
        <v>#N/A</v>
      </c>
      <c r="BF10" s="49">
        <f>2</f>
        <v>2</v>
      </c>
      <c r="BG10" s="27">
        <v>8.5999999999999993E-2</v>
      </c>
      <c r="BH10" s="28">
        <v>56</v>
      </c>
      <c r="BI10" s="28">
        <v>3.7000000000000002E-3</v>
      </c>
      <c r="BJ10" s="29">
        <v>3.0999999999999999E-3</v>
      </c>
      <c r="BK10" s="52"/>
      <c r="BL10" s="35">
        <f>2</f>
        <v>2</v>
      </c>
      <c r="BM10" s="27">
        <v>8.5999999999999993E-2</v>
      </c>
      <c r="BN10" s="28">
        <v>64</v>
      </c>
      <c r="BO10" s="28">
        <v>3.9399999999999999E-3</v>
      </c>
      <c r="BP10" s="43">
        <v>3.3899999999999998E-3</v>
      </c>
    </row>
    <row r="11" spans="2:69" ht="15" customHeight="1" thickBot="1" x14ac:dyDescent="0.3">
      <c r="B11" s="8" t="s">
        <v>15</v>
      </c>
      <c r="C11" s="34" t="str">
        <f>_xlfn.CONCAT(IF($D$3="English",_xlfn.CONCAT(TEXT(C13, "# ?/?"),"""-",C25,"-", C15, " ",C14),_xlfn.CONCAT("M",C13,"-", C25,"-", C15," ",C14)), " Grade ", C16)</f>
        <v>M16-2-238 UNC Grade 10.9</v>
      </c>
      <c r="D11" s="8"/>
      <c r="E11" s="8"/>
      <c r="F11" s="8"/>
      <c r="I11" s="16">
        <v>5</v>
      </c>
      <c r="J11" s="2">
        <f>C9</f>
        <v>10</v>
      </c>
      <c r="K11" s="2">
        <f>1.5*C13</f>
        <v>24</v>
      </c>
      <c r="L11" s="23">
        <f>F9</f>
        <v>120500000000</v>
      </c>
      <c r="M11" s="23">
        <f>IF(J11=0,0,(PI()*L11*$C$13*TAN(RADIANS($J$4)))/LN(((2*J11*TAN(RADIANS($J$4))+K11-$C$13)*(K11+$C$13))/((2*J11*TAN(RADIANS($J$4))+K11+$C$13)*(K11-$C$13))))</f>
        <v>5466070034352.6934</v>
      </c>
      <c r="N11" s="23">
        <f t="shared" si="3"/>
        <v>1.8294679609212556E-13</v>
      </c>
      <c r="P11" s="1" t="s">
        <v>144</v>
      </c>
      <c r="Q11" s="93">
        <f>20*10^6</f>
        <v>20000000</v>
      </c>
      <c r="R11" s="1" t="str">
        <f t="shared" si="4"/>
        <v>Pa</v>
      </c>
      <c r="T11" s="2"/>
      <c r="U11" s="2">
        <f>IF($D$3="English",U10*10^-3,U10*10^-6)</f>
        <v>940</v>
      </c>
      <c r="V11" s="2" t="str">
        <f>IF($D$3="English","kpsi","MPa")</f>
        <v>MPa</v>
      </c>
      <c r="AA11" s="121" t="s">
        <v>151</v>
      </c>
      <c r="AB11" s="141">
        <f>'Lab 3 Updated Jointed Assembly'!W39</f>
        <v>3.639075080245326</v>
      </c>
      <c r="AC11" s="127" t="s">
        <v>158</v>
      </c>
      <c r="AD11" s="123" t="s">
        <v>151</v>
      </c>
      <c r="AE11" s="145">
        <f>U42</f>
        <v>4.4940477724582362</v>
      </c>
      <c r="AF11" s="128" t="s">
        <v>158</v>
      </c>
      <c r="AN11" s="42">
        <v>9.8000000000000007</v>
      </c>
      <c r="AO11" s="28">
        <v>1.6</v>
      </c>
      <c r="AP11" s="28">
        <v>16</v>
      </c>
      <c r="AQ11" s="77">
        <v>650000000</v>
      </c>
      <c r="AR11" s="73">
        <v>900000000</v>
      </c>
      <c r="AS11" s="77">
        <v>720000000</v>
      </c>
      <c r="AT11" s="74" t="s">
        <v>105</v>
      </c>
      <c r="AV11" s="42">
        <v>3</v>
      </c>
      <c r="AW11" s="28">
        <v>0.5</v>
      </c>
      <c r="AX11" s="28">
        <v>5.03</v>
      </c>
      <c r="AY11" s="29">
        <v>4.47</v>
      </c>
      <c r="AZ11" s="52"/>
      <c r="BA11" s="27">
        <v>3</v>
      </c>
      <c r="BB11" s="28" t="e">
        <f>NA()</f>
        <v>#N/A</v>
      </c>
      <c r="BC11" s="28" t="e">
        <f>NA()</f>
        <v>#N/A</v>
      </c>
      <c r="BD11" s="28" t="e">
        <f>NA()</f>
        <v>#N/A</v>
      </c>
      <c r="BF11" s="49">
        <f>3</f>
        <v>3</v>
      </c>
      <c r="BG11" s="27">
        <v>9.9000000000000005E-2</v>
      </c>
      <c r="BH11" s="28">
        <v>48</v>
      </c>
      <c r="BI11" s="28">
        <v>4.8700000000000002E-3</v>
      </c>
      <c r="BJ11" s="29">
        <v>4.0600000000000002E-3</v>
      </c>
      <c r="BK11" s="52"/>
      <c r="BL11" s="35">
        <f>3</f>
        <v>3</v>
      </c>
      <c r="BM11" s="27">
        <v>9.9000000000000005E-2</v>
      </c>
      <c r="BN11" s="28">
        <v>56</v>
      </c>
      <c r="BO11" s="28">
        <v>5.2300000000000003E-3</v>
      </c>
      <c r="BP11" s="43">
        <v>4.5100000000000001E-3</v>
      </c>
    </row>
    <row r="12" spans="2:69" ht="15" customHeight="1" x14ac:dyDescent="0.25">
      <c r="B12" s="1" t="s">
        <v>48</v>
      </c>
      <c r="C12" s="22">
        <f>207*10^9</f>
        <v>207000000000</v>
      </c>
      <c r="D12" s="1" t="str">
        <f>IF($D$3="English","psi","Pa")</f>
        <v>Pa</v>
      </c>
      <c r="S12" s="60"/>
      <c r="T12" s="2" t="s">
        <v>106</v>
      </c>
      <c r="U12" s="67">
        <f>IF(AND($C$13&gt;=AJ$20,$C$13&lt;=AK$20),AL20,IF(AND($C$13&gt;=AJ$21,$C$13&lt;=AK$21),AL21,NA()))</f>
        <v>162000000</v>
      </c>
      <c r="V12" s="2" t="str">
        <f>IF($D$3="English","psi","Pa")</f>
        <v>Pa</v>
      </c>
      <c r="AA12" s="121" t="s">
        <v>62</v>
      </c>
      <c r="AB12" s="141">
        <f>'Lab 3 Updated Jointed Assembly'!W40</f>
        <v>3.6563906381117177</v>
      </c>
      <c r="AC12" s="127" t="s">
        <v>158</v>
      </c>
      <c r="AD12" s="123" t="s">
        <v>62</v>
      </c>
      <c r="AE12" s="145">
        <f>U43</f>
        <v>4.5154314874249204</v>
      </c>
      <c r="AF12" s="128" t="s">
        <v>158</v>
      </c>
      <c r="AI12" s="36" t="s">
        <v>2</v>
      </c>
      <c r="AJ12" s="37"/>
      <c r="AK12" s="37"/>
      <c r="AL12" s="79"/>
      <c r="AN12" s="42">
        <v>10.9</v>
      </c>
      <c r="AO12" s="28">
        <v>5</v>
      </c>
      <c r="AP12" s="28">
        <v>36</v>
      </c>
      <c r="AQ12" s="77">
        <v>830000000</v>
      </c>
      <c r="AR12" s="80">
        <v>1040000000</v>
      </c>
      <c r="AS12" s="77">
        <v>940000000</v>
      </c>
      <c r="AT12" s="74" t="s">
        <v>107</v>
      </c>
      <c r="AV12" s="42">
        <v>3.5</v>
      </c>
      <c r="AW12" s="28">
        <v>0.6</v>
      </c>
      <c r="AX12" s="28">
        <v>6.78</v>
      </c>
      <c r="AY12" s="29">
        <v>6</v>
      </c>
      <c r="AZ12" s="52"/>
      <c r="BA12" s="27">
        <v>3.5</v>
      </c>
      <c r="BB12" s="28" t="e">
        <f>NA()</f>
        <v>#N/A</v>
      </c>
      <c r="BC12" s="28" t="e">
        <f>NA()</f>
        <v>#N/A</v>
      </c>
      <c r="BD12" s="28" t="e">
        <f>NA()</f>
        <v>#N/A</v>
      </c>
      <c r="BF12" s="49">
        <f>4</f>
        <v>4</v>
      </c>
      <c r="BG12" s="27">
        <v>0.112</v>
      </c>
      <c r="BH12" s="28">
        <v>40</v>
      </c>
      <c r="BI12" s="28">
        <v>6.0400000000000002E-3</v>
      </c>
      <c r="BJ12" s="29">
        <v>4.96E-3</v>
      </c>
      <c r="BK12" s="52"/>
      <c r="BL12" s="35">
        <f>4</f>
        <v>4</v>
      </c>
      <c r="BM12" s="27">
        <v>0.112</v>
      </c>
      <c r="BN12" s="28">
        <v>48</v>
      </c>
      <c r="BO12" s="28">
        <v>6.6100000000000004E-3</v>
      </c>
      <c r="BP12" s="43">
        <v>5.6600000000000001E-3</v>
      </c>
    </row>
    <row r="13" spans="2:69" ht="15" customHeight="1" thickBot="1" x14ac:dyDescent="0.3">
      <c r="B13" s="1" t="s">
        <v>3</v>
      </c>
      <c r="C13" s="17">
        <v>16</v>
      </c>
      <c r="D13" s="1" t="str">
        <f t="shared" ref="D13" si="5">IF($D$3="English","in", "mm")</f>
        <v>mm</v>
      </c>
      <c r="I13" s="25" t="s">
        <v>30</v>
      </c>
      <c r="J13" s="25">
        <f>SUM(J7:J11)</f>
        <v>164</v>
      </c>
      <c r="K13" s="25" t="str">
        <f>IF($D$3="English","in", "mm")</f>
        <v>mm</v>
      </c>
      <c r="P13" s="2" t="s">
        <v>114</v>
      </c>
      <c r="Q13" s="94">
        <f>Q10*$Q$8</f>
        <v>0</v>
      </c>
      <c r="R13" s="2" t="str">
        <f>IF($D$3="English","lbf", "N")</f>
        <v>N</v>
      </c>
      <c r="T13" s="2"/>
      <c r="U13" s="2">
        <f>IF($D$3="English",U12*10^-3,U12*10^-6)</f>
        <v>162</v>
      </c>
      <c r="V13" s="2" t="str">
        <f>IF($D$3="English","kpsi","MPa")</f>
        <v>MPa</v>
      </c>
      <c r="AA13" s="121" t="s">
        <v>159</v>
      </c>
      <c r="AB13" s="138">
        <f>'Lab 3 Updated Jointed Assembly'!Q37</f>
        <v>20048776.748331424</v>
      </c>
      <c r="AC13" s="122" t="str">
        <f t="shared" ref="AC13" si="6">IF($D$3="English","psi","Pa")</f>
        <v>Pa</v>
      </c>
      <c r="AD13" s="123" t="s">
        <v>159</v>
      </c>
      <c r="AE13" s="142">
        <f>Q28</f>
        <v>28588589.233639173</v>
      </c>
      <c r="AF13" s="124" t="str">
        <f t="shared" ref="AF13" si="7">IF($D$3="English","psi","Pa")</f>
        <v>Pa</v>
      </c>
      <c r="AI13" s="68" t="s">
        <v>93</v>
      </c>
      <c r="AJ13" s="69" t="s">
        <v>108</v>
      </c>
      <c r="AK13" s="69" t="s">
        <v>109</v>
      </c>
      <c r="AL13" s="70" t="s">
        <v>110</v>
      </c>
      <c r="AN13" s="44">
        <v>12.9</v>
      </c>
      <c r="AO13" s="45">
        <v>1.6</v>
      </c>
      <c r="AP13" s="45">
        <v>36</v>
      </c>
      <c r="AQ13" s="81">
        <v>970000000</v>
      </c>
      <c r="AR13" s="82">
        <v>1220000000</v>
      </c>
      <c r="AS13" s="83">
        <v>1100000000</v>
      </c>
      <c r="AT13" s="84" t="s">
        <v>111</v>
      </c>
      <c r="AV13" s="42">
        <v>4</v>
      </c>
      <c r="AW13" s="28">
        <v>0.7</v>
      </c>
      <c r="AX13" s="28">
        <v>8.7799999999999994</v>
      </c>
      <c r="AY13" s="29">
        <v>7.75</v>
      </c>
      <c r="AZ13" s="52"/>
      <c r="BA13" s="27">
        <v>4</v>
      </c>
      <c r="BB13" s="28" t="e">
        <f>NA()</f>
        <v>#N/A</v>
      </c>
      <c r="BC13" s="28" t="e">
        <f>NA()</f>
        <v>#N/A</v>
      </c>
      <c r="BD13" s="28" t="e">
        <f>NA()</f>
        <v>#N/A</v>
      </c>
      <c r="BF13" s="49">
        <f>5</f>
        <v>5</v>
      </c>
      <c r="BG13" s="27">
        <v>0.125</v>
      </c>
      <c r="BH13" s="28">
        <v>40</v>
      </c>
      <c r="BI13" s="28">
        <v>7.9600000000000001E-3</v>
      </c>
      <c r="BJ13" s="29">
        <v>6.7200000000000003E-3</v>
      </c>
      <c r="BK13" s="52"/>
      <c r="BL13" s="35">
        <f>5</f>
        <v>5</v>
      </c>
      <c r="BM13" s="27">
        <v>0.125</v>
      </c>
      <c r="BN13" s="28">
        <v>44</v>
      </c>
      <c r="BO13" s="28">
        <v>8.8000000000000005E-3</v>
      </c>
      <c r="BP13" s="43">
        <v>7.1599999999999997E-3</v>
      </c>
    </row>
    <row r="14" spans="2:69" ht="15" customHeight="1" x14ac:dyDescent="0.25">
      <c r="B14" s="1" t="s">
        <v>49</v>
      </c>
      <c r="C14" s="33" t="s">
        <v>41</v>
      </c>
      <c r="D14" s="1"/>
      <c r="I14" s="25" t="s">
        <v>22</v>
      </c>
      <c r="J14" s="25">
        <f>C17</f>
        <v>164</v>
      </c>
      <c r="K14" s="25" t="str">
        <f>IF($D$3="English","in", "mm")</f>
        <v>mm</v>
      </c>
      <c r="P14" s="2" t="s">
        <v>119</v>
      </c>
      <c r="Q14" s="94">
        <f>Q11*$Q$8</f>
        <v>141764.36849323942</v>
      </c>
      <c r="R14" s="2" t="str">
        <f>IF($D$3="English","lbf", "N")</f>
        <v>N</v>
      </c>
      <c r="AA14" s="121"/>
      <c r="AB14" s="139">
        <f>'Lab 3 Updated Jointed Assembly'!Q38</f>
        <v>20.048776748331424</v>
      </c>
      <c r="AC14" s="122" t="str">
        <f>IF($D$3="English","kpsi","MPa")</f>
        <v>MPa</v>
      </c>
      <c r="AD14" s="123"/>
      <c r="AE14" s="143">
        <f>Q29</f>
        <v>28.588589233639173</v>
      </c>
      <c r="AF14" s="124" t="str">
        <f>IF($D$3="English","kpsi","MPa")</f>
        <v>MPa</v>
      </c>
      <c r="AI14" s="85">
        <v>5</v>
      </c>
      <c r="AJ14" s="86">
        <v>0.125</v>
      </c>
      <c r="AK14" s="86">
        <v>1</v>
      </c>
      <c r="AL14" s="71">
        <v>18600</v>
      </c>
      <c r="AV14" s="42">
        <v>5</v>
      </c>
      <c r="AW14" s="28">
        <v>0.8</v>
      </c>
      <c r="AX14" s="28">
        <v>14.2</v>
      </c>
      <c r="AY14" s="29">
        <v>12.7</v>
      </c>
      <c r="AZ14" s="52"/>
      <c r="BA14" s="27">
        <v>5</v>
      </c>
      <c r="BB14" s="28" t="e">
        <f>NA()</f>
        <v>#N/A</v>
      </c>
      <c r="BC14" s="28" t="e">
        <f>NA()</f>
        <v>#N/A</v>
      </c>
      <c r="BD14" s="28" t="e">
        <f>NA()</f>
        <v>#N/A</v>
      </c>
      <c r="BF14" s="49">
        <f>6</f>
        <v>6</v>
      </c>
      <c r="BG14" s="27">
        <v>0.13800000000000001</v>
      </c>
      <c r="BH14" s="28">
        <v>32</v>
      </c>
      <c r="BI14" s="28">
        <v>9.0900000000000009E-3</v>
      </c>
      <c r="BJ14" s="29">
        <v>7.45E-3</v>
      </c>
      <c r="BK14" s="52"/>
      <c r="BL14" s="35">
        <f>6</f>
        <v>6</v>
      </c>
      <c r="BM14" s="27">
        <v>0.13800000000000001</v>
      </c>
      <c r="BN14" s="28">
        <v>40</v>
      </c>
      <c r="BO14" s="28">
        <v>1.0149999999999999E-2</v>
      </c>
      <c r="BP14" s="43">
        <v>8.7399999999999995E-3</v>
      </c>
    </row>
    <row r="15" spans="2:69" ht="15" customHeight="1" thickBot="1" x14ac:dyDescent="0.3">
      <c r="B15" s="1" t="s">
        <v>4</v>
      </c>
      <c r="C15" s="1">
        <v>238</v>
      </c>
      <c r="D15" s="1" t="str">
        <f t="shared" ref="D15" si="8">IF($D$3="English","in", "mm")</f>
        <v>mm</v>
      </c>
      <c r="I15" s="25" t="s">
        <v>23</v>
      </c>
      <c r="J15" s="25">
        <f>C17/2</f>
        <v>82</v>
      </c>
      <c r="K15" s="25" t="str">
        <f t="shared" ref="K15" si="9">IF($D$3="English","in", "mm")</f>
        <v>mm</v>
      </c>
      <c r="AA15" s="126" t="s">
        <v>161</v>
      </c>
      <c r="AB15" s="148">
        <f>'Lab 3 Updated Jointed Assembly'!Q40</f>
        <v>2.4388374165711926E-3</v>
      </c>
      <c r="AC15" s="129" t="s">
        <v>158</v>
      </c>
      <c r="AD15" s="125" t="s">
        <v>161</v>
      </c>
      <c r="AE15" s="149">
        <f>Q30</f>
        <v>0.42942946168195867</v>
      </c>
      <c r="AF15" s="130" t="s">
        <v>158</v>
      </c>
      <c r="AI15" s="87">
        <v>5</v>
      </c>
      <c r="AJ15" s="88">
        <v>1.125</v>
      </c>
      <c r="AK15" s="88">
        <v>1.5</v>
      </c>
      <c r="AL15" s="89">
        <v>16300</v>
      </c>
      <c r="AN15" s="6" t="s">
        <v>112</v>
      </c>
      <c r="AV15" s="42">
        <v>6</v>
      </c>
      <c r="AW15" s="28">
        <v>1</v>
      </c>
      <c r="AX15" s="28">
        <v>20.100000000000001</v>
      </c>
      <c r="AY15" s="29">
        <v>17.899999999999999</v>
      </c>
      <c r="AZ15" s="52"/>
      <c r="BA15" s="27">
        <v>6</v>
      </c>
      <c r="BB15" s="28" t="e">
        <f>NA()</f>
        <v>#N/A</v>
      </c>
      <c r="BC15" s="28" t="e">
        <f>NA()</f>
        <v>#N/A</v>
      </c>
      <c r="BD15" s="28" t="e">
        <f>NA()</f>
        <v>#N/A</v>
      </c>
      <c r="BF15" s="49">
        <f>8</f>
        <v>8</v>
      </c>
      <c r="BG15" s="27">
        <v>0.16400000000000001</v>
      </c>
      <c r="BH15" s="28">
        <v>32</v>
      </c>
      <c r="BI15" s="28">
        <v>1.4E-2</v>
      </c>
      <c r="BJ15" s="29">
        <v>1.196E-2</v>
      </c>
      <c r="BK15" s="52"/>
      <c r="BL15" s="35">
        <f>8</f>
        <v>8</v>
      </c>
      <c r="BM15" s="27">
        <v>0.16400000000000001</v>
      </c>
      <c r="BN15" s="28">
        <v>36</v>
      </c>
      <c r="BO15" s="28">
        <v>1.474E-2</v>
      </c>
      <c r="BP15" s="43">
        <v>1.285E-2</v>
      </c>
    </row>
    <row r="16" spans="2:69" ht="15" customHeight="1" x14ac:dyDescent="0.25">
      <c r="B16" s="1" t="s">
        <v>70</v>
      </c>
      <c r="C16" s="1">
        <v>10.9</v>
      </c>
      <c r="D16" s="1"/>
      <c r="P16" s="8" t="s">
        <v>68</v>
      </c>
      <c r="Q16" s="8"/>
      <c r="R16" s="8"/>
      <c r="S16" s="60"/>
      <c r="T16" s="11" t="s">
        <v>53</v>
      </c>
      <c r="U16" s="11"/>
      <c r="V16" s="12"/>
      <c r="W16" s="12"/>
      <c r="X16" s="12"/>
      <c r="Y16" s="12"/>
      <c r="AI16" s="90">
        <v>7</v>
      </c>
      <c r="AJ16" s="91">
        <v>0.25</v>
      </c>
      <c r="AK16" s="91">
        <v>1.5</v>
      </c>
      <c r="AL16" s="92">
        <v>20600</v>
      </c>
      <c r="AN16" s="36" t="s">
        <v>2</v>
      </c>
      <c r="AO16" s="37"/>
      <c r="AP16" s="37"/>
      <c r="AQ16" s="38"/>
      <c r="AR16" s="38"/>
      <c r="AS16" s="37"/>
      <c r="AT16" s="79"/>
      <c r="AV16" s="42">
        <v>8</v>
      </c>
      <c r="AW16" s="28">
        <v>1.25</v>
      </c>
      <c r="AX16" s="28">
        <v>36.6</v>
      </c>
      <c r="AY16" s="29">
        <v>32.799999999999997</v>
      </c>
      <c r="AZ16" s="52"/>
      <c r="BA16" s="27">
        <v>8</v>
      </c>
      <c r="BB16" s="28">
        <v>1</v>
      </c>
      <c r="BC16" s="28">
        <v>39.200000000000003</v>
      </c>
      <c r="BD16" s="43">
        <v>36</v>
      </c>
      <c r="BF16" s="49">
        <f>10</f>
        <v>10</v>
      </c>
      <c r="BG16" s="27">
        <v>0.19</v>
      </c>
      <c r="BH16" s="28">
        <v>24</v>
      </c>
      <c r="BI16" s="28">
        <v>1.7500000000000002E-2</v>
      </c>
      <c r="BJ16" s="29">
        <v>1.4500000000000001E-2</v>
      </c>
      <c r="BK16" s="52"/>
      <c r="BL16" s="35">
        <f>10</f>
        <v>10</v>
      </c>
      <c r="BM16" s="27">
        <v>0.19</v>
      </c>
      <c r="BN16" s="28">
        <v>32</v>
      </c>
      <c r="BO16" s="28">
        <v>0.02</v>
      </c>
      <c r="BP16" s="43">
        <v>1.7500000000000002E-2</v>
      </c>
    </row>
    <row r="17" spans="2:68" ht="15" customHeight="1" thickBot="1" x14ac:dyDescent="0.3">
      <c r="B17" s="2" t="s">
        <v>22</v>
      </c>
      <c r="C17" s="2">
        <f>SUM(C7:C9)+C13/2</f>
        <v>164</v>
      </c>
      <c r="D17" s="2" t="str">
        <f>IF($D$3="English","in", "mm")</f>
        <v>mm</v>
      </c>
      <c r="I17" s="2" t="s">
        <v>31</v>
      </c>
      <c r="J17" s="24">
        <f>SUM(N7:N11)^-1</f>
        <v>974404307153.21338</v>
      </c>
      <c r="K17" s="2" t="str">
        <f>IF($D$3="English","lbf/in","mN/m")</f>
        <v>mN/m</v>
      </c>
      <c r="P17" s="1" t="s">
        <v>54</v>
      </c>
      <c r="Q17" s="1">
        <v>10</v>
      </c>
      <c r="R17" s="1"/>
      <c r="T17" s="2" t="s">
        <v>52</v>
      </c>
      <c r="U17" s="18">
        <f>C31/(C31+J17)</f>
        <v>0.19130570010652334</v>
      </c>
      <c r="V17" s="23"/>
      <c r="AI17" s="44">
        <v>8</v>
      </c>
      <c r="AJ17" s="45">
        <v>0.25</v>
      </c>
      <c r="AK17" s="45">
        <v>1.5</v>
      </c>
      <c r="AL17" s="78">
        <v>23200</v>
      </c>
      <c r="AN17" s="68" t="s">
        <v>115</v>
      </c>
      <c r="AO17" s="69" t="s">
        <v>108</v>
      </c>
      <c r="AP17" s="69" t="s">
        <v>109</v>
      </c>
      <c r="AQ17" s="69" t="s">
        <v>116</v>
      </c>
      <c r="AR17" s="69" t="s">
        <v>117</v>
      </c>
      <c r="AS17" s="69" t="s">
        <v>118</v>
      </c>
      <c r="AT17" s="70" t="s">
        <v>100</v>
      </c>
      <c r="AV17" s="42">
        <v>10</v>
      </c>
      <c r="AW17" s="28">
        <v>1.5</v>
      </c>
      <c r="AX17" s="28">
        <v>58</v>
      </c>
      <c r="AY17" s="29">
        <v>52.3</v>
      </c>
      <c r="AZ17" s="52"/>
      <c r="BA17" s="27">
        <v>10</v>
      </c>
      <c r="BB17" s="28">
        <v>1.25</v>
      </c>
      <c r="BC17" s="28">
        <v>61.2</v>
      </c>
      <c r="BD17" s="43">
        <v>56.3</v>
      </c>
      <c r="BF17" s="49">
        <f>12</f>
        <v>12</v>
      </c>
      <c r="BG17" s="27">
        <v>0.216</v>
      </c>
      <c r="BH17" s="28">
        <v>24</v>
      </c>
      <c r="BI17" s="28">
        <v>2.4199999999999999E-2</v>
      </c>
      <c r="BJ17" s="29">
        <v>2.06E-2</v>
      </c>
      <c r="BK17" s="52"/>
      <c r="BL17" s="35">
        <f>12</f>
        <v>12</v>
      </c>
      <c r="BM17" s="27">
        <v>0.216</v>
      </c>
      <c r="BN17" s="28">
        <v>28</v>
      </c>
      <c r="BO17" s="28">
        <v>2.58E-2</v>
      </c>
      <c r="BP17" s="43">
        <v>2.2599999999999999E-2</v>
      </c>
    </row>
    <row r="18" spans="2:68" ht="15" customHeight="1" x14ac:dyDescent="0.25">
      <c r="B18" s="2" t="s">
        <v>21</v>
      </c>
      <c r="C18" s="2">
        <f>IF(F19,C19,IF(F18,C15,IF($D$3="English",IF(C15&lt;=6, 2*C13+0.25, 2*C13+0.5),IF(AND(C15&lt;=125,C13&lt;=48),2*C13+6,IF(C15&lt;=200,2*C13+12,2*C13+25)))))</f>
        <v>133</v>
      </c>
      <c r="D18" s="2" t="str">
        <f t="shared" ref="D18:D19" si="10">IF($D$3="English","in", "mm")</f>
        <v>mm</v>
      </c>
      <c r="E18" s="1" t="s">
        <v>34</v>
      </c>
      <c r="F18" s="20" t="b">
        <v>0</v>
      </c>
      <c r="I18" s="2"/>
      <c r="J18" s="19">
        <f>IF($D$3="English",J17*10^-6,J17*10^-9)</f>
        <v>974.40430715321349</v>
      </c>
      <c r="K18" s="2" t="str">
        <f>IF($D$3="English","Mlbf/in","MN/m")</f>
        <v>MN/m</v>
      </c>
      <c r="P18" s="1" t="s">
        <v>169</v>
      </c>
      <c r="Q18" s="59">
        <v>0.8</v>
      </c>
      <c r="R18" s="1"/>
      <c r="T18" s="2" t="s">
        <v>59</v>
      </c>
      <c r="U18" s="94">
        <f>Q19/(1-U17)</f>
        <v>145993.36240598172</v>
      </c>
      <c r="V18" s="2" t="str">
        <f t="shared" ref="P18:Y50" si="11">IF($D$3="English","lbf", "N")</f>
        <v>N</v>
      </c>
      <c r="AN18" s="42">
        <v>1</v>
      </c>
      <c r="AO18" s="28">
        <v>0.25</v>
      </c>
      <c r="AP18" s="28">
        <v>1.5</v>
      </c>
      <c r="AQ18" s="95">
        <v>33000</v>
      </c>
      <c r="AR18" s="95">
        <v>60000</v>
      </c>
      <c r="AS18" s="95">
        <v>36000</v>
      </c>
      <c r="AT18" s="74" t="s">
        <v>102</v>
      </c>
      <c r="AV18" s="42">
        <v>12</v>
      </c>
      <c r="AW18" s="28">
        <v>1.75</v>
      </c>
      <c r="AX18" s="28">
        <v>84.3</v>
      </c>
      <c r="AY18" s="29">
        <v>76.3</v>
      </c>
      <c r="AZ18" s="52"/>
      <c r="BA18" s="27">
        <v>12</v>
      </c>
      <c r="BB18" s="28">
        <v>1.25</v>
      </c>
      <c r="BC18" s="28">
        <v>92.1</v>
      </c>
      <c r="BD18" s="43">
        <v>86</v>
      </c>
      <c r="BF18" s="49">
        <f>1/4</f>
        <v>0.25</v>
      </c>
      <c r="BG18" s="27">
        <v>0.25</v>
      </c>
      <c r="BH18" s="28">
        <v>20</v>
      </c>
      <c r="BI18" s="28">
        <v>3.1800000000000002E-2</v>
      </c>
      <c r="BJ18" s="29">
        <v>2.69E-2</v>
      </c>
      <c r="BK18" s="52"/>
      <c r="BL18" s="35">
        <f>1/4</f>
        <v>0.25</v>
      </c>
      <c r="BM18" s="27">
        <v>0.25</v>
      </c>
      <c r="BN18" s="28">
        <v>28</v>
      </c>
      <c r="BO18" s="28">
        <v>3.6400000000000002E-2</v>
      </c>
      <c r="BP18" s="43">
        <v>3.2599999999999997E-2</v>
      </c>
    </row>
    <row r="19" spans="2:68" ht="15" customHeight="1" thickBot="1" x14ac:dyDescent="0.3">
      <c r="B19" s="1"/>
      <c r="C19" s="1">
        <v>133</v>
      </c>
      <c r="D19" s="1" t="str">
        <f t="shared" si="10"/>
        <v>mm</v>
      </c>
      <c r="E19" s="1" t="s">
        <v>72</v>
      </c>
      <c r="F19" s="20" t="b">
        <v>1</v>
      </c>
      <c r="P19" s="1" t="s">
        <v>64</v>
      </c>
      <c r="Q19" s="94">
        <f>IF(R50,O50,U19*Q18)</f>
        <v>118064</v>
      </c>
      <c r="R19" s="2" t="str">
        <f t="shared" si="11"/>
        <v>N</v>
      </c>
      <c r="T19" s="2" t="s">
        <v>78</v>
      </c>
      <c r="U19" s="94">
        <f>IF($D$3="English",U10*$C$24,U10*$C$24)</f>
        <v>147580</v>
      </c>
      <c r="V19" s="2" t="str">
        <f t="shared" si="11"/>
        <v>N</v>
      </c>
      <c r="AI19" s="6" t="s">
        <v>120</v>
      </c>
      <c r="AN19" s="85">
        <v>2</v>
      </c>
      <c r="AO19" s="86">
        <v>0.25</v>
      </c>
      <c r="AP19" s="86">
        <v>0.75</v>
      </c>
      <c r="AQ19" s="77">
        <v>55000</v>
      </c>
      <c r="AR19" s="77">
        <v>74000</v>
      </c>
      <c r="AS19" s="77">
        <v>57000</v>
      </c>
      <c r="AT19" s="96" t="s">
        <v>102</v>
      </c>
      <c r="AV19" s="42">
        <v>14</v>
      </c>
      <c r="AW19" s="28">
        <v>2</v>
      </c>
      <c r="AX19" s="28">
        <v>115</v>
      </c>
      <c r="AY19" s="29">
        <v>104</v>
      </c>
      <c r="AZ19" s="52"/>
      <c r="BA19" s="27">
        <v>14</v>
      </c>
      <c r="BB19" s="28">
        <v>1.5</v>
      </c>
      <c r="BC19" s="28">
        <v>125</v>
      </c>
      <c r="BD19" s="43">
        <v>116</v>
      </c>
      <c r="BF19" s="49">
        <f>5/16</f>
        <v>0.3125</v>
      </c>
      <c r="BG19" s="27">
        <v>0.3125</v>
      </c>
      <c r="BH19" s="28">
        <v>18</v>
      </c>
      <c r="BI19" s="28">
        <v>5.2400000000000002E-2</v>
      </c>
      <c r="BJ19" s="29">
        <v>4.5400000000000003E-2</v>
      </c>
      <c r="BK19" s="52"/>
      <c r="BL19" s="35">
        <f>5/16</f>
        <v>0.3125</v>
      </c>
      <c r="BM19" s="27">
        <v>0.3125</v>
      </c>
      <c r="BN19" s="28">
        <v>24</v>
      </c>
      <c r="BO19" s="28">
        <v>5.8000000000000003E-2</v>
      </c>
      <c r="BP19" s="43">
        <v>5.2400000000000002E-2</v>
      </c>
    </row>
    <row r="20" spans="2:68" ht="15" customHeight="1" x14ac:dyDescent="0.25">
      <c r="B20" s="2" t="s">
        <v>24</v>
      </c>
      <c r="C20" s="2">
        <f>C15-C18</f>
        <v>105</v>
      </c>
      <c r="D20" s="2" t="str">
        <f>IF($D$3="English","in", "mm")</f>
        <v>mm</v>
      </c>
      <c r="I20" s="25" t="s">
        <v>52</v>
      </c>
      <c r="J20" s="97">
        <f>U17</f>
        <v>0.19130570010652334</v>
      </c>
      <c r="AI20" s="98" cm="1">
        <f t="array" ref="AI20:AL20">IF($D$3="English",_xlfn._xlws.FILTER(AI14:AL17,AI14:AI17=C16,AI18:AL19=NA()), _xlfn._xlws.FILTER(AI7:AL10,AI7:AI10=C16,AI18:AL19=NA()))</f>
        <v>10.9</v>
      </c>
      <c r="AJ20" s="99">
        <v>5</v>
      </c>
      <c r="AK20" s="99">
        <v>36</v>
      </c>
      <c r="AL20" s="100">
        <v>162000000</v>
      </c>
      <c r="AN20" s="87">
        <v>2</v>
      </c>
      <c r="AO20" s="88">
        <v>0.875</v>
      </c>
      <c r="AP20" s="88">
        <v>1.5</v>
      </c>
      <c r="AQ20" s="101">
        <v>33000</v>
      </c>
      <c r="AR20" s="101">
        <v>60000</v>
      </c>
      <c r="AS20" s="101">
        <v>36000</v>
      </c>
      <c r="AT20" s="102" t="e">
        <f>NA()</f>
        <v>#N/A</v>
      </c>
      <c r="AV20" s="42">
        <v>16</v>
      </c>
      <c r="AW20" s="28">
        <v>2</v>
      </c>
      <c r="AX20" s="28">
        <v>157</v>
      </c>
      <c r="AY20" s="29">
        <v>144</v>
      </c>
      <c r="AZ20" s="52"/>
      <c r="BA20" s="27">
        <v>16</v>
      </c>
      <c r="BB20" s="28">
        <v>1.5</v>
      </c>
      <c r="BC20" s="28">
        <v>167</v>
      </c>
      <c r="BD20" s="43">
        <v>157</v>
      </c>
      <c r="BF20" s="49">
        <f>3/8</f>
        <v>0.375</v>
      </c>
      <c r="BG20" s="27">
        <v>0.375</v>
      </c>
      <c r="BH20" s="28">
        <v>16</v>
      </c>
      <c r="BI20" s="28">
        <v>7.7499999999999999E-2</v>
      </c>
      <c r="BJ20" s="29">
        <v>6.7799999999999999E-2</v>
      </c>
      <c r="BK20" s="52"/>
      <c r="BL20" s="35">
        <f>3/8</f>
        <v>0.375</v>
      </c>
      <c r="BM20" s="27">
        <v>0.375</v>
      </c>
      <c r="BN20" s="28">
        <v>24</v>
      </c>
      <c r="BO20" s="28">
        <v>8.7800000000000003E-2</v>
      </c>
      <c r="BP20" s="43">
        <v>8.09E-2</v>
      </c>
    </row>
    <row r="21" spans="2:68" ht="15" customHeight="1" thickBot="1" x14ac:dyDescent="0.3">
      <c r="B21" s="2" t="s">
        <v>25</v>
      </c>
      <c r="C21" s="2">
        <f>C17-C20</f>
        <v>59</v>
      </c>
      <c r="D21" s="2" t="str">
        <f>IF($D$3="English","in", "mm")</f>
        <v>mm</v>
      </c>
      <c r="P21" s="11" t="s">
        <v>153</v>
      </c>
      <c r="Q21" s="11"/>
      <c r="R21" s="12"/>
      <c r="T21" s="2" t="s">
        <v>121</v>
      </c>
      <c r="U21" s="94">
        <f>Q47/Q17</f>
        <v>0</v>
      </c>
      <c r="V21" s="2" t="str">
        <f>IF($D$3="English","lbf", "N")</f>
        <v>N</v>
      </c>
      <c r="W21" s="2" t="s">
        <v>122</v>
      </c>
      <c r="X21" s="94">
        <f>0.5*(U22-U21)</f>
        <v>7088.2184246619709</v>
      </c>
      <c r="Y21" s="2" t="str">
        <f t="shared" si="11"/>
        <v>N</v>
      </c>
      <c r="AI21" s="103"/>
      <c r="AJ21" s="104"/>
      <c r="AK21" s="104"/>
      <c r="AL21" s="105"/>
      <c r="AN21" s="42">
        <v>4</v>
      </c>
      <c r="AO21" s="28">
        <v>0.25</v>
      </c>
      <c r="AP21" s="28">
        <v>1.5</v>
      </c>
      <c r="AQ21" s="95">
        <v>65000</v>
      </c>
      <c r="AR21" s="95">
        <v>115000</v>
      </c>
      <c r="AS21" s="95">
        <v>100000</v>
      </c>
      <c r="AT21" s="74" t="s">
        <v>125</v>
      </c>
      <c r="AV21" s="42">
        <v>20</v>
      </c>
      <c r="AW21" s="28">
        <v>2.5</v>
      </c>
      <c r="AX21" s="28">
        <v>245</v>
      </c>
      <c r="AY21" s="29">
        <v>225</v>
      </c>
      <c r="AZ21" s="52"/>
      <c r="BA21" s="27">
        <v>20</v>
      </c>
      <c r="BB21" s="28">
        <v>1.5</v>
      </c>
      <c r="BC21" s="28">
        <v>272</v>
      </c>
      <c r="BD21" s="43">
        <v>259</v>
      </c>
      <c r="BF21" s="49">
        <f>7/16</f>
        <v>0.4375</v>
      </c>
      <c r="BG21" s="27">
        <v>0.4375</v>
      </c>
      <c r="BH21" s="28">
        <v>14</v>
      </c>
      <c r="BI21" s="28">
        <v>0.10630000000000001</v>
      </c>
      <c r="BJ21" s="29">
        <v>9.3299999999999994E-2</v>
      </c>
      <c r="BK21" s="52"/>
      <c r="BL21" s="35">
        <f>7/16</f>
        <v>0.4375</v>
      </c>
      <c r="BM21" s="27">
        <v>0.4375</v>
      </c>
      <c r="BN21" s="28">
        <v>20</v>
      </c>
      <c r="BO21" s="28">
        <v>0.1187</v>
      </c>
      <c r="BP21" s="43">
        <v>0.109</v>
      </c>
    </row>
    <row r="22" spans="2:68" ht="15" customHeight="1" x14ac:dyDescent="0.25">
      <c r="B22" s="2" t="s">
        <v>6</v>
      </c>
      <c r="C22" s="18">
        <f>(PI()*(C13^2))/4</f>
        <v>201.06192982974676</v>
      </c>
      <c r="D22" s="2" t="str">
        <f>IF($D$3="English","in^2","mm^2")</f>
        <v>mm^2</v>
      </c>
      <c r="P22" s="2" t="s">
        <v>65</v>
      </c>
      <c r="Q22" s="55">
        <f>IF($D$3="English",Q23*Q19*C13,Q23*Q19*(C13*10^-3))</f>
        <v>377.80480000000006</v>
      </c>
      <c r="R22" s="2" t="str">
        <f>IF($D$3="English","in-lbf", "Nm")</f>
        <v>Nm</v>
      </c>
      <c r="T22" s="2" t="s">
        <v>123</v>
      </c>
      <c r="U22" s="94">
        <f>Q48/Q17</f>
        <v>14176.436849323942</v>
      </c>
      <c r="V22" s="2" t="str">
        <f>IF($D$3="English","lbf", "N")</f>
        <v>N</v>
      </c>
      <c r="W22" s="2" t="s">
        <v>124</v>
      </c>
      <c r="X22" s="94">
        <f>0.5*(U22+U21)</f>
        <v>7088.2184246619709</v>
      </c>
      <c r="Y22" s="2" t="str">
        <f t="shared" si="11"/>
        <v>N</v>
      </c>
      <c r="AN22" s="85">
        <v>5</v>
      </c>
      <c r="AO22" s="86">
        <v>0.25</v>
      </c>
      <c r="AP22" s="86">
        <v>1</v>
      </c>
      <c r="AQ22" s="77">
        <v>85000</v>
      </c>
      <c r="AR22" s="77">
        <v>120000</v>
      </c>
      <c r="AS22" s="77">
        <v>92000</v>
      </c>
      <c r="AT22" s="96" t="s">
        <v>105</v>
      </c>
      <c r="AV22" s="42">
        <v>24</v>
      </c>
      <c r="AW22" s="28">
        <v>3</v>
      </c>
      <c r="AX22" s="28">
        <v>353</v>
      </c>
      <c r="AY22" s="29">
        <v>324</v>
      </c>
      <c r="AZ22" s="52"/>
      <c r="BA22" s="27">
        <v>24</v>
      </c>
      <c r="BB22" s="28">
        <v>2</v>
      </c>
      <c r="BC22" s="28">
        <v>384</v>
      </c>
      <c r="BD22" s="43">
        <v>365</v>
      </c>
      <c r="BF22" s="49">
        <f>1/2</f>
        <v>0.5</v>
      </c>
      <c r="BG22" s="27">
        <v>0.5</v>
      </c>
      <c r="BH22" s="28">
        <v>13</v>
      </c>
      <c r="BI22" s="28">
        <v>0.1419</v>
      </c>
      <c r="BJ22" s="29">
        <v>0.12570000000000001</v>
      </c>
      <c r="BK22" s="52"/>
      <c r="BL22" s="35">
        <f>1/2</f>
        <v>0.5</v>
      </c>
      <c r="BM22" s="27">
        <v>0.5</v>
      </c>
      <c r="BN22" s="28">
        <v>20</v>
      </c>
      <c r="BO22" s="28">
        <v>0.15989999999999999</v>
      </c>
      <c r="BP22" s="43">
        <v>0.14860000000000001</v>
      </c>
    </row>
    <row r="23" spans="2:68" ht="15" customHeight="1" x14ac:dyDescent="0.25">
      <c r="B23" s="2" t="s">
        <v>7</v>
      </c>
      <c r="C23" s="2">
        <f>IF($D$3="English",IF($C$14="UNC",VLOOKUP($C$13,$BG$8:$BJ$29,3,FALSE),VLOOKUP($C$13,$BM$8:$BP$29,3,FALSE)), IF($C$14="UNC",VLOOKUP($C$13,$AV$8:$AY$33,3,FALSE),VLOOKUP($C$13,$BA$8:$BD$33,3,FALSE)))</f>
        <v>157</v>
      </c>
      <c r="D23" s="2" t="str">
        <f>IF($D$3="English","in^2","mm^2")</f>
        <v>mm^2</v>
      </c>
      <c r="P23" s="1" t="s">
        <v>66</v>
      </c>
      <c r="Q23" s="57">
        <v>0.2</v>
      </c>
      <c r="R23" s="22"/>
      <c r="AN23" s="87">
        <v>5</v>
      </c>
      <c r="AO23" s="88">
        <v>1.125</v>
      </c>
      <c r="AP23" s="88">
        <v>1.5</v>
      </c>
      <c r="AQ23" s="101">
        <v>74000</v>
      </c>
      <c r="AR23" s="101">
        <v>105000</v>
      </c>
      <c r="AS23" s="101">
        <v>81000</v>
      </c>
      <c r="AT23" s="102" t="e">
        <f>NA()</f>
        <v>#N/A</v>
      </c>
      <c r="AV23" s="42">
        <v>30</v>
      </c>
      <c r="AW23" s="28">
        <v>3.5</v>
      </c>
      <c r="AX23" s="28">
        <v>561</v>
      </c>
      <c r="AY23" s="29">
        <v>519</v>
      </c>
      <c r="AZ23" s="52"/>
      <c r="BA23" s="27">
        <v>30</v>
      </c>
      <c r="BB23" s="28">
        <v>2</v>
      </c>
      <c r="BC23" s="28">
        <v>621</v>
      </c>
      <c r="BD23" s="43">
        <v>596</v>
      </c>
      <c r="BF23" s="49">
        <f>9/16</f>
        <v>0.5625</v>
      </c>
      <c r="BG23" s="27">
        <v>0.5625</v>
      </c>
      <c r="BH23" s="28">
        <v>12</v>
      </c>
      <c r="BI23" s="28">
        <v>0.182</v>
      </c>
      <c r="BJ23" s="29">
        <v>0.16200000000000001</v>
      </c>
      <c r="BK23" s="52"/>
      <c r="BL23" s="35">
        <f>9/16</f>
        <v>0.5625</v>
      </c>
      <c r="BM23" s="27">
        <v>0.5625</v>
      </c>
      <c r="BN23" s="28">
        <v>18</v>
      </c>
      <c r="BO23" s="28">
        <v>0.20300000000000001</v>
      </c>
      <c r="BP23" s="43">
        <v>0.189</v>
      </c>
    </row>
    <row r="24" spans="2:68" ht="15" customHeight="1" x14ac:dyDescent="0.25">
      <c r="B24" s="2"/>
      <c r="C24" s="67">
        <f>IF($D$3="English",C23,C23*10^-6)</f>
        <v>1.5699999999999999E-4</v>
      </c>
      <c r="D24" s="2" t="str">
        <f>IF($D$3="English","in^2","m^2")</f>
        <v>m^2</v>
      </c>
      <c r="T24" s="2" t="s">
        <v>126</v>
      </c>
      <c r="U24" s="94">
        <f>$U$17*U21+$Q$19</f>
        <v>118064</v>
      </c>
      <c r="V24" s="2" t="str">
        <f t="shared" si="11"/>
        <v>N</v>
      </c>
      <c r="W24" s="2" t="s">
        <v>127</v>
      </c>
      <c r="X24" s="94">
        <f>0.5*(U25-U24)</f>
        <v>1356.0165882379151</v>
      </c>
      <c r="Y24" s="2" t="str">
        <f t="shared" si="11"/>
        <v>N</v>
      </c>
      <c r="AN24" s="90">
        <v>5.2</v>
      </c>
      <c r="AO24" s="91">
        <v>0.25</v>
      </c>
      <c r="AP24" s="91">
        <v>1</v>
      </c>
      <c r="AQ24" s="95">
        <v>85000</v>
      </c>
      <c r="AR24" s="95">
        <v>120000</v>
      </c>
      <c r="AS24" s="95">
        <v>92000</v>
      </c>
      <c r="AT24" s="106" t="s">
        <v>107</v>
      </c>
      <c r="AV24" s="42">
        <v>36</v>
      </c>
      <c r="AW24" s="28">
        <v>4</v>
      </c>
      <c r="AX24" s="28">
        <v>817</v>
      </c>
      <c r="AY24" s="29">
        <v>759</v>
      </c>
      <c r="AZ24" s="52"/>
      <c r="BA24" s="27">
        <v>36</v>
      </c>
      <c r="BB24" s="28">
        <v>2</v>
      </c>
      <c r="BC24" s="28">
        <v>915</v>
      </c>
      <c r="BD24" s="43">
        <v>884</v>
      </c>
      <c r="BF24" s="49">
        <f>5/8</f>
        <v>0.625</v>
      </c>
      <c r="BG24" s="27">
        <v>0.625</v>
      </c>
      <c r="BH24" s="28">
        <v>11</v>
      </c>
      <c r="BI24" s="28">
        <v>0.22600000000000001</v>
      </c>
      <c r="BJ24" s="29">
        <v>0.20200000000000001</v>
      </c>
      <c r="BK24" s="52"/>
      <c r="BL24" s="35">
        <f>5/8</f>
        <v>0.625</v>
      </c>
      <c r="BM24" s="27">
        <v>0.625</v>
      </c>
      <c r="BN24" s="28">
        <v>18</v>
      </c>
      <c r="BO24" s="28">
        <v>0.25600000000000001</v>
      </c>
      <c r="BP24" s="43">
        <v>0.24</v>
      </c>
    </row>
    <row r="25" spans="2:68" ht="15" customHeight="1" x14ac:dyDescent="0.25">
      <c r="B25" s="2" t="str">
        <f>IF($D$3="English","Bolt threads per inch, p","Bolt pitch, p")</f>
        <v>Bolt pitch, p</v>
      </c>
      <c r="C25" s="2">
        <f>IF($D$3="English",IF($C$14="UNC",VLOOKUP($C$13,$BG$8:$BJ$29,2,FALSE),VLOOKUP($C$13,$BM$8:$BP$29,2,FALSE)), IF($C$14="UNC",VLOOKUP($C$13,$AV$8:$AY$33,2,FALSE),VLOOKUP($C$13,$BA$8:$BD$33,2,FALSE)))</f>
        <v>2</v>
      </c>
      <c r="D25" s="2" t="str">
        <f>IF($D$3="English","threads/in","mm")</f>
        <v>mm</v>
      </c>
      <c r="P25" s="11" t="s">
        <v>167</v>
      </c>
      <c r="Q25" s="11"/>
      <c r="R25" s="12"/>
      <c r="T25" s="2" t="s">
        <v>128</v>
      </c>
      <c r="U25" s="94">
        <f>$U$17*U22+$Q$19</f>
        <v>120776.03317647583</v>
      </c>
      <c r="V25" s="2" t="str">
        <f t="shared" si="11"/>
        <v>N</v>
      </c>
      <c r="W25" s="2" t="s">
        <v>129</v>
      </c>
      <c r="X25" s="94">
        <f>0.5*(U25+U24)</f>
        <v>119420.01658823792</v>
      </c>
      <c r="Y25" s="2" t="str">
        <f t="shared" si="11"/>
        <v>N</v>
      </c>
      <c r="AA25" s="158">
        <f>AE9-AB9</f>
        <v>2.9214847098066663</v>
      </c>
      <c r="AN25" s="90">
        <v>7</v>
      </c>
      <c r="AO25" s="91">
        <v>0.25</v>
      </c>
      <c r="AP25" s="91">
        <v>1.5</v>
      </c>
      <c r="AQ25" s="95">
        <v>105000</v>
      </c>
      <c r="AR25" s="95">
        <v>133000</v>
      </c>
      <c r="AS25" s="95">
        <v>115000</v>
      </c>
      <c r="AT25" s="106" t="s">
        <v>131</v>
      </c>
      <c r="AV25" s="42">
        <v>42</v>
      </c>
      <c r="AW25" s="28">
        <v>4.5</v>
      </c>
      <c r="AX25" s="28">
        <v>1120</v>
      </c>
      <c r="AY25" s="29">
        <v>1050</v>
      </c>
      <c r="AZ25" s="52"/>
      <c r="BA25" s="27">
        <v>42</v>
      </c>
      <c r="BB25" s="28">
        <v>2</v>
      </c>
      <c r="BC25" s="28">
        <v>1260</v>
      </c>
      <c r="BD25" s="43">
        <v>1230</v>
      </c>
      <c r="BF25" s="49">
        <f>3/4</f>
        <v>0.75</v>
      </c>
      <c r="BG25" s="27">
        <v>0.75</v>
      </c>
      <c r="BH25" s="28">
        <v>10</v>
      </c>
      <c r="BI25" s="28">
        <v>0.33400000000000002</v>
      </c>
      <c r="BJ25" s="29">
        <v>0.30199999999999999</v>
      </c>
      <c r="BK25" s="52"/>
      <c r="BL25" s="35">
        <f>3/4</f>
        <v>0.75</v>
      </c>
      <c r="BM25" s="27">
        <v>0.75</v>
      </c>
      <c r="BN25" s="28">
        <v>16</v>
      </c>
      <c r="BO25" s="28">
        <v>0.373</v>
      </c>
      <c r="BP25" s="43">
        <v>0.35099999999999998</v>
      </c>
    </row>
    <row r="26" spans="2:68" ht="15" customHeight="1" x14ac:dyDescent="0.25">
      <c r="P26" s="1" t="s">
        <v>160</v>
      </c>
      <c r="Q26" s="157">
        <v>37287.463000000003</v>
      </c>
      <c r="R26" s="1" t="str">
        <f>IF($D$3="English","in^2","mm^2")</f>
        <v>mm^2</v>
      </c>
      <c r="AN26" s="90">
        <v>8</v>
      </c>
      <c r="AO26" s="91">
        <v>0.25</v>
      </c>
      <c r="AP26" s="91">
        <v>1.5</v>
      </c>
      <c r="AQ26" s="95">
        <v>120000</v>
      </c>
      <c r="AR26" s="95">
        <v>150000</v>
      </c>
      <c r="AS26" s="95">
        <v>130000</v>
      </c>
      <c r="AT26" s="106" t="s">
        <v>131</v>
      </c>
      <c r="AV26" s="42">
        <v>48</v>
      </c>
      <c r="AW26" s="28">
        <v>5</v>
      </c>
      <c r="AX26" s="28">
        <v>1470</v>
      </c>
      <c r="AY26" s="29">
        <v>1380</v>
      </c>
      <c r="AZ26" s="52"/>
      <c r="BA26" s="27">
        <v>48</v>
      </c>
      <c r="BB26" s="28">
        <v>2</v>
      </c>
      <c r="BC26" s="28">
        <v>1670</v>
      </c>
      <c r="BD26" s="43">
        <v>1630</v>
      </c>
      <c r="BF26" s="49">
        <f>7/8</f>
        <v>0.875</v>
      </c>
      <c r="BG26" s="27">
        <v>0.875</v>
      </c>
      <c r="BH26" s="28">
        <v>9</v>
      </c>
      <c r="BI26" s="28">
        <v>0.46200000000000002</v>
      </c>
      <c r="BJ26" s="29">
        <v>0.41899999999999998</v>
      </c>
      <c r="BK26" s="52"/>
      <c r="BL26" s="35">
        <f>7/8</f>
        <v>0.875</v>
      </c>
      <c r="BM26" s="27">
        <v>0.875</v>
      </c>
      <c r="BN26" s="28">
        <v>14</v>
      </c>
      <c r="BO26" s="28">
        <v>0.50900000000000001</v>
      </c>
      <c r="BP26" s="43">
        <v>0.48</v>
      </c>
    </row>
    <row r="27" spans="2:68" ht="15" customHeight="1" thickBot="1" x14ac:dyDescent="0.3">
      <c r="B27" s="2" t="s">
        <v>35</v>
      </c>
      <c r="C27" s="24">
        <f>IF(C20=0,0,(C22*C12)/C20)</f>
        <v>396379233092.92932</v>
      </c>
      <c r="D27" s="2" t="str">
        <f>IF($D$3="English","lbf/in","mN/m")</f>
        <v>mN/m</v>
      </c>
      <c r="P27" s="1"/>
      <c r="Q27" s="1">
        <f>Q26*10^-6</f>
        <v>3.7287463E-2</v>
      </c>
      <c r="R27" s="1" t="str">
        <f>IF($D$3="English","in^2","m^2")</f>
        <v>m^2</v>
      </c>
      <c r="T27" s="2" t="s">
        <v>134</v>
      </c>
      <c r="U27" s="94">
        <f>(1-$U$17)*U21-$Q$19</f>
        <v>-118064</v>
      </c>
      <c r="V27" s="2" t="str">
        <f t="shared" si="11"/>
        <v>N</v>
      </c>
      <c r="AN27" s="110">
        <v>8.1999999999999993</v>
      </c>
      <c r="AO27" s="111">
        <v>0.25</v>
      </c>
      <c r="AP27" s="111">
        <v>1</v>
      </c>
      <c r="AQ27" s="81">
        <v>120000</v>
      </c>
      <c r="AR27" s="81">
        <v>150000</v>
      </c>
      <c r="AS27" s="81">
        <v>130000</v>
      </c>
      <c r="AT27" s="112" t="s">
        <v>107</v>
      </c>
      <c r="AV27" s="42">
        <v>56</v>
      </c>
      <c r="AW27" s="28">
        <v>5.5</v>
      </c>
      <c r="AX27" s="28">
        <v>2030</v>
      </c>
      <c r="AY27" s="29">
        <v>1910</v>
      </c>
      <c r="AZ27" s="52"/>
      <c r="BA27" s="27">
        <v>56</v>
      </c>
      <c r="BB27" s="28">
        <v>2</v>
      </c>
      <c r="BC27" s="28">
        <v>2300</v>
      </c>
      <c r="BD27" s="43">
        <v>2250</v>
      </c>
      <c r="BF27" s="49">
        <f>1</f>
        <v>1</v>
      </c>
      <c r="BG27" s="27">
        <v>1</v>
      </c>
      <c r="BH27" s="28">
        <v>8</v>
      </c>
      <c r="BI27" s="28">
        <v>0.60599999999999998</v>
      </c>
      <c r="BJ27" s="29">
        <v>0.55100000000000005</v>
      </c>
      <c r="BK27" s="52"/>
      <c r="BL27" s="35">
        <f>1</f>
        <v>1</v>
      </c>
      <c r="BM27" s="27">
        <v>1</v>
      </c>
      <c r="BN27" s="28">
        <v>12</v>
      </c>
      <c r="BO27" s="28">
        <v>0.66300000000000003</v>
      </c>
      <c r="BP27" s="43">
        <v>0.625</v>
      </c>
    </row>
    <row r="28" spans="2:68" ht="15" customHeight="1" x14ac:dyDescent="0.25">
      <c r="B28" s="2"/>
      <c r="C28" s="19">
        <f>IF($D$3="English",C27*10^-6,C27*10^-9)</f>
        <v>396.37923309292933</v>
      </c>
      <c r="D28" s="2" t="str">
        <f>IF($D$3="English","Mlbf/in","MN/m")</f>
        <v>MN/m</v>
      </c>
      <c r="P28" s="146" t="s">
        <v>159</v>
      </c>
      <c r="Q28" s="75">
        <f>-U28/(Q27/Q17)</f>
        <v>28588589.233639173</v>
      </c>
      <c r="R28" s="146" t="str">
        <f t="shared" ref="R28" si="12">IF($D$3="English","psi","Pa")</f>
        <v>Pa</v>
      </c>
      <c r="S28" s="60"/>
      <c r="T28" s="2" t="s">
        <v>137</v>
      </c>
      <c r="U28" s="94">
        <f>(1-$U$17)*U22-$Q$19</f>
        <v>-106599.5963271519</v>
      </c>
      <c r="V28" s="2" t="str">
        <f t="shared" si="11"/>
        <v>N</v>
      </c>
      <c r="AV28" s="42">
        <v>64</v>
      </c>
      <c r="AW28" s="28">
        <v>6</v>
      </c>
      <c r="AX28" s="28">
        <v>2680</v>
      </c>
      <c r="AY28" s="29">
        <v>2520</v>
      </c>
      <c r="AZ28" s="52"/>
      <c r="BA28" s="27">
        <v>64</v>
      </c>
      <c r="BB28" s="28">
        <v>2</v>
      </c>
      <c r="BC28" s="28">
        <v>3030</v>
      </c>
      <c r="BD28" s="43">
        <v>2980</v>
      </c>
      <c r="BF28" s="49">
        <f>1.25</f>
        <v>1.25</v>
      </c>
      <c r="BG28" s="27">
        <v>1.25</v>
      </c>
      <c r="BH28" s="28">
        <v>7</v>
      </c>
      <c r="BI28" s="28">
        <v>0.96899999999999997</v>
      </c>
      <c r="BJ28" s="29">
        <v>0.89</v>
      </c>
      <c r="BK28" s="52"/>
      <c r="BL28" s="35">
        <f>1.25</f>
        <v>1.25</v>
      </c>
      <c r="BM28" s="27">
        <v>1.25</v>
      </c>
      <c r="BN28" s="28">
        <v>12</v>
      </c>
      <c r="BO28" s="28">
        <v>1.073</v>
      </c>
      <c r="BP28" s="43">
        <v>1.024</v>
      </c>
    </row>
    <row r="29" spans="2:68" ht="15" customHeight="1" thickBot="1" x14ac:dyDescent="0.3">
      <c r="B29" s="2" t="s">
        <v>36</v>
      </c>
      <c r="C29" s="24">
        <f>IF(C21=0,0,(C23*C12)/C21)</f>
        <v>550830508474.57629</v>
      </c>
      <c r="D29" s="2" t="str">
        <f>IF($D$3="English","lbf/in","mN/m")</f>
        <v>mN/m</v>
      </c>
      <c r="P29" s="146"/>
      <c r="Q29" s="143">
        <f>IF($D$3="English",Q28*10^-3,Q28*10^-6)</f>
        <v>28.588589233639173</v>
      </c>
      <c r="R29" s="146" t="str">
        <f>IF($D$3="English","kpsi","MPa")</f>
        <v>MPa</v>
      </c>
      <c r="AN29" s="104" t="s">
        <v>141</v>
      </c>
      <c r="AO29" s="104"/>
      <c r="AP29" s="104"/>
      <c r="AQ29" s="104"/>
      <c r="AR29" s="104"/>
      <c r="AS29" s="104"/>
      <c r="AT29" s="104"/>
      <c r="AV29" s="42">
        <v>72</v>
      </c>
      <c r="AW29" s="28">
        <v>6</v>
      </c>
      <c r="AX29" s="28">
        <v>3460</v>
      </c>
      <c r="AY29" s="29">
        <v>3280</v>
      </c>
      <c r="AZ29" s="52"/>
      <c r="BA29" s="27">
        <v>72</v>
      </c>
      <c r="BB29" s="28">
        <v>2</v>
      </c>
      <c r="BC29" s="28">
        <v>3860</v>
      </c>
      <c r="BD29" s="43">
        <v>3800</v>
      </c>
      <c r="BF29" s="50">
        <f>1.5</f>
        <v>1.5</v>
      </c>
      <c r="BG29" s="47">
        <v>1.5</v>
      </c>
      <c r="BH29" s="45">
        <v>6</v>
      </c>
      <c r="BI29" s="45">
        <v>1.405</v>
      </c>
      <c r="BJ29" s="46">
        <v>1.294</v>
      </c>
      <c r="BK29" s="53"/>
      <c r="BL29" s="51">
        <f>1.5</f>
        <v>1.5</v>
      </c>
      <c r="BM29" s="47">
        <v>1.5</v>
      </c>
      <c r="BN29" s="45">
        <v>12</v>
      </c>
      <c r="BO29" s="45">
        <v>1.581</v>
      </c>
      <c r="BP29" s="48">
        <v>1.5209999999999999</v>
      </c>
    </row>
    <row r="30" spans="2:68" ht="15" customHeight="1" x14ac:dyDescent="0.25">
      <c r="B30" s="2"/>
      <c r="C30" s="19">
        <f>IF($D$3="English",C29*10^-6,C29*10^-9)</f>
        <v>550.83050847457628</v>
      </c>
      <c r="D30" s="2" t="str">
        <f>IF($D$3="English","Mlbf/in","MN/m")</f>
        <v>MN/m</v>
      </c>
      <c r="P30" s="146" t="s">
        <v>161</v>
      </c>
      <c r="Q30" s="156">
        <f>(Q28-Q11)/Q11</f>
        <v>0.42942946168195867</v>
      </c>
      <c r="R30" s="147" t="s">
        <v>158</v>
      </c>
      <c r="AN30" s="98" cm="1">
        <f t="array" ref="AN30:AT30">IF($D$3="English",_xlfn._xlws.FILTER(AN18:AT27,AN18:AN27=C16,AN28:AT29=NA()), _xlfn._xlws.FILTER(AN7:AT13,AN7:AN13=C16,AN28:AT29=NA()))</f>
        <v>10.9</v>
      </c>
      <c r="AO30" s="99">
        <v>5</v>
      </c>
      <c r="AP30" s="99">
        <v>36</v>
      </c>
      <c r="AQ30" s="114">
        <v>830000000</v>
      </c>
      <c r="AR30" s="115">
        <v>1040000000</v>
      </c>
      <c r="AS30" s="115">
        <v>940000000</v>
      </c>
      <c r="AT30" s="116" t="str">
        <v>Low-carbon martensite, Q&amp;T</v>
      </c>
      <c r="AV30" s="42">
        <v>80</v>
      </c>
      <c r="AW30" s="28">
        <v>6</v>
      </c>
      <c r="AX30" s="28">
        <v>4340</v>
      </c>
      <c r="AY30" s="29">
        <v>4140</v>
      </c>
      <c r="AZ30" s="52"/>
      <c r="BA30" s="27">
        <v>80</v>
      </c>
      <c r="BB30" s="28">
        <v>1.5</v>
      </c>
      <c r="BC30" s="28">
        <v>4850</v>
      </c>
      <c r="BD30" s="43">
        <v>4800</v>
      </c>
    </row>
    <row r="31" spans="2:68" ht="15" customHeight="1" thickBot="1" x14ac:dyDescent="0.3">
      <c r="B31" s="2" t="s">
        <v>5</v>
      </c>
      <c r="C31" s="24">
        <f>SUM(IF(C27=0,0,C27^-1),IF(C29=0,0,C29^-1))^-1</f>
        <v>230506259523.91602</v>
      </c>
      <c r="D31" s="2" t="str">
        <f>IF($D$3="English","lbf/in","mN/m")</f>
        <v>mN/m</v>
      </c>
      <c r="T31" s="11" t="s">
        <v>140</v>
      </c>
      <c r="U31" s="11"/>
      <c r="V31" s="12"/>
      <c r="W31" s="12"/>
      <c r="X31" s="12"/>
      <c r="Y31" s="12"/>
      <c r="AN31" s="103"/>
      <c r="AO31" s="104"/>
      <c r="AP31" s="104"/>
      <c r="AQ31" s="117"/>
      <c r="AR31" s="118"/>
      <c r="AS31" s="118"/>
      <c r="AT31" s="119"/>
      <c r="AV31" s="42">
        <v>90</v>
      </c>
      <c r="AW31" s="28">
        <v>6</v>
      </c>
      <c r="AX31" s="28">
        <v>5590</v>
      </c>
      <c r="AY31" s="29">
        <v>5360</v>
      </c>
      <c r="AZ31" s="52"/>
      <c r="BA31" s="27">
        <v>90</v>
      </c>
      <c r="BB31" s="28">
        <v>2</v>
      </c>
      <c r="BC31" s="28">
        <v>6100</v>
      </c>
      <c r="BD31" s="43">
        <v>6020</v>
      </c>
    </row>
    <row r="32" spans="2:68" ht="15" customHeight="1" x14ac:dyDescent="0.25">
      <c r="B32" s="2"/>
      <c r="C32" s="19">
        <f>IF($D$3="English",C31*10^-6,C31*10^-9)</f>
        <v>230.50625952391604</v>
      </c>
      <c r="D32" s="2" t="str">
        <f>IF($D$3="English","Mlbf/in","MN/m")</f>
        <v>MN/m</v>
      </c>
      <c r="T32" s="2" t="s">
        <v>143</v>
      </c>
      <c r="U32" s="75">
        <f>Q19/$C$24</f>
        <v>752000000</v>
      </c>
      <c r="V32" s="2" t="str">
        <f>IF($D$3="English","psi","Pa")</f>
        <v>Pa</v>
      </c>
      <c r="AV32" s="42">
        <v>100</v>
      </c>
      <c r="AW32" s="28">
        <v>6</v>
      </c>
      <c r="AX32" s="28">
        <v>6990</v>
      </c>
      <c r="AY32" s="29">
        <v>6740</v>
      </c>
      <c r="AZ32" s="52"/>
      <c r="BA32" s="27">
        <v>100</v>
      </c>
      <c r="BB32" s="28">
        <v>2</v>
      </c>
      <c r="BC32" s="28">
        <v>7560</v>
      </c>
      <c r="BD32" s="43">
        <v>7470</v>
      </c>
    </row>
    <row r="33" spans="2:56" ht="15" customHeight="1" thickBot="1" x14ac:dyDescent="0.3">
      <c r="T33" s="2"/>
      <c r="U33" s="19">
        <f>IF($D$3="English",U32*10^-3,U32*10^-6)</f>
        <v>752</v>
      </c>
      <c r="V33" s="2" t="str">
        <f>IF($D$3="English","kpsi","MPa")</f>
        <v>MPa</v>
      </c>
      <c r="AV33" s="44">
        <v>110</v>
      </c>
      <c r="AW33" s="45">
        <v>6</v>
      </c>
      <c r="AX33" s="45" t="e">
        <f>NA()</f>
        <v>#N/A</v>
      </c>
      <c r="AY33" s="46" t="e">
        <f>NA()</f>
        <v>#N/A</v>
      </c>
      <c r="AZ33" s="53"/>
      <c r="BA33" s="47">
        <v>110</v>
      </c>
      <c r="BB33" s="45">
        <v>2</v>
      </c>
      <c r="BC33" s="45">
        <v>9180</v>
      </c>
      <c r="BD33" s="48">
        <v>9080</v>
      </c>
    </row>
    <row r="34" spans="2:56" ht="15" customHeight="1" x14ac:dyDescent="0.25">
      <c r="B34" s="1" t="s">
        <v>8</v>
      </c>
      <c r="C34" s="20" t="b">
        <v>0</v>
      </c>
      <c r="D34" s="109" t="s">
        <v>135</v>
      </c>
      <c r="E34" s="62"/>
      <c r="F34" s="62"/>
      <c r="T34" s="2" t="s">
        <v>145</v>
      </c>
      <c r="U34" s="75">
        <f>U24/$C$24</f>
        <v>752000000</v>
      </c>
      <c r="V34" s="2" t="str">
        <f>IF($D$3="English","psi","Pa")</f>
        <v>Pa</v>
      </c>
      <c r="W34" s="2" t="s">
        <v>146</v>
      </c>
      <c r="X34" s="75">
        <f>0.5*(U36-U34)</f>
        <v>8637048.3327255845</v>
      </c>
      <c r="Y34" s="2" t="str">
        <f>IF($D$3="English","psi","Pa")</f>
        <v>Pa</v>
      </c>
    </row>
    <row r="35" spans="2:56" ht="15" customHeight="1" x14ac:dyDescent="0.25">
      <c r="B35" s="1" t="s">
        <v>9</v>
      </c>
      <c r="C35" s="21" t="b">
        <f>NOT(C34)</f>
        <v>1</v>
      </c>
      <c r="D35" s="109" t="s">
        <v>138</v>
      </c>
      <c r="E35" s="62"/>
      <c r="F35" s="62"/>
      <c r="T35" s="2"/>
      <c r="U35" s="19">
        <f>IF($D$3="English",U34*10^-3,U34*10^-6)</f>
        <v>752</v>
      </c>
      <c r="V35" s="2" t="str">
        <f>IF($D$3="English","kpsi","MPa")</f>
        <v>MPa</v>
      </c>
      <c r="W35" s="2"/>
      <c r="X35" s="19">
        <f>IF($D$3="English",X34*10^-3,X34*10^-6)</f>
        <v>8.637048332725584</v>
      </c>
      <c r="Y35" s="2" t="str">
        <f>IF($D$3="English","kpsi","MPa")</f>
        <v>MPa</v>
      </c>
    </row>
    <row r="36" spans="2:56" ht="15" customHeight="1" x14ac:dyDescent="0.25">
      <c r="T36" s="2" t="s">
        <v>147</v>
      </c>
      <c r="U36" s="75">
        <f>U25/$C$24</f>
        <v>769274096.66545117</v>
      </c>
      <c r="V36" s="2" t="str">
        <f>IF($D$3="English","psi","Pa")</f>
        <v>Pa</v>
      </c>
      <c r="W36" s="2" t="s">
        <v>148</v>
      </c>
      <c r="X36" s="75">
        <f>0.5*(U36+U34)</f>
        <v>760637048.33272552</v>
      </c>
      <c r="Y36" s="2" t="str">
        <f>IF($D$3="English","psi","Pa")</f>
        <v>Pa</v>
      </c>
    </row>
    <row r="37" spans="2:56" ht="15" customHeight="1" x14ac:dyDescent="0.25">
      <c r="T37" s="2"/>
      <c r="U37" s="19">
        <f>IF($D$3="English",U36*10^-3,U36*10^-6)</f>
        <v>769.27409666545111</v>
      </c>
      <c r="V37" s="2" t="str">
        <f>IF($D$3="English","kpsi","MPa")</f>
        <v>MPa</v>
      </c>
      <c r="W37" s="2"/>
      <c r="X37" s="19">
        <f>IF($D$3="English",X36*10^-3,X36*10^-6)</f>
        <v>760.6370483327255</v>
      </c>
      <c r="Y37" s="2" t="str">
        <f>IF($D$3="English","kpsi","MPa")</f>
        <v>MPa</v>
      </c>
    </row>
    <row r="39" spans="2:56" ht="15" customHeight="1" x14ac:dyDescent="0.25">
      <c r="T39" s="11" t="s">
        <v>60</v>
      </c>
      <c r="U39" s="11"/>
    </row>
    <row r="40" spans="2:56" ht="15" customHeight="1" x14ac:dyDescent="0.25">
      <c r="T40" s="2" t="s">
        <v>63</v>
      </c>
      <c r="U40" s="26">
        <f>U18/U22</f>
        <v>10.298311483886303</v>
      </c>
    </row>
    <row r="41" spans="2:56" ht="15" customHeight="1" x14ac:dyDescent="0.25">
      <c r="T41" s="2" t="s">
        <v>61</v>
      </c>
      <c r="U41" s="26">
        <f>(U6*$C$24)/(U25)</f>
        <v>1.0789392280303933</v>
      </c>
    </row>
    <row r="42" spans="2:56" ht="15" customHeight="1" x14ac:dyDescent="0.25">
      <c r="T42" s="2" t="s">
        <v>151</v>
      </c>
      <c r="U42" s="26">
        <f>(U12*(U8-U32))/(U8*X34+U12*(X36-U32))</f>
        <v>4.4940477724582362</v>
      </c>
    </row>
    <row r="43" spans="2:56" ht="15" customHeight="1" x14ac:dyDescent="0.25">
      <c r="T43" s="2" t="s">
        <v>62</v>
      </c>
      <c r="U43" s="26">
        <f>(U6*$C$24-Q19)/(U17*U22)</f>
        <v>4.5154314874249204</v>
      </c>
    </row>
    <row r="47" spans="2:56" ht="15" customHeight="1" x14ac:dyDescent="0.25">
      <c r="P47" s="1" t="s">
        <v>114</v>
      </c>
      <c r="Q47" s="93">
        <f>Q13</f>
        <v>0</v>
      </c>
      <c r="R47" s="1" t="str">
        <f>IF($D$3="English","lbf", "N")</f>
        <v>N</v>
      </c>
    </row>
    <row r="48" spans="2:56" ht="15" customHeight="1" x14ac:dyDescent="0.25">
      <c r="P48" s="1" t="s">
        <v>119</v>
      </c>
      <c r="Q48" s="93">
        <f>Q14</f>
        <v>141764.36849323942</v>
      </c>
      <c r="R48" s="1" t="str">
        <f>IF($D$3="English","lbf", "N")</f>
        <v>N</v>
      </c>
    </row>
    <row r="50" spans="14:18" ht="15" customHeight="1" x14ac:dyDescent="0.25">
      <c r="N50" s="1"/>
      <c r="O50" s="56"/>
      <c r="P50" s="1" t="str">
        <f t="shared" si="11"/>
        <v>N</v>
      </c>
      <c r="Q50" s="1" t="s">
        <v>69</v>
      </c>
      <c r="R50" s="20" t="b">
        <v>0</v>
      </c>
    </row>
    <row r="151" spans="69:69" ht="15" customHeight="1" x14ac:dyDescent="0.25">
      <c r="BQ151" s="6" t="s">
        <v>26</v>
      </c>
    </row>
  </sheetData>
  <mergeCells count="6">
    <mergeCell ref="AV6:AY6"/>
    <mergeCell ref="BA6:BD6"/>
    <mergeCell ref="BF6:BJ6"/>
    <mergeCell ref="BL6:BP6"/>
    <mergeCell ref="AA3:AC3"/>
    <mergeCell ref="AD3:AF3"/>
  </mergeCells>
  <conditionalFormatting sqref="B19 D19 F19">
    <cfRule type="expression" dxfId="27" priority="1">
      <formula>NOT($F$19)</formula>
    </cfRule>
  </conditionalFormatting>
  <conditionalFormatting sqref="C17:D17">
    <cfRule type="expression" dxfId="26" priority="8">
      <formula>$C$17&lt;&gt;$J$13</formula>
    </cfRule>
    <cfRule type="duplicateValues" dxfId="25" priority="9"/>
  </conditionalFormatting>
  <conditionalFormatting sqref="I7:N7">
    <cfRule type="expression" dxfId="24" priority="6">
      <formula>0=$J$7</formula>
    </cfRule>
  </conditionalFormatting>
  <conditionalFormatting sqref="I8:N8">
    <cfRule type="expression" dxfId="23" priority="7">
      <formula>0=$J$8</formula>
    </cfRule>
  </conditionalFormatting>
  <conditionalFormatting sqref="I9:N9">
    <cfRule type="expression" dxfId="22" priority="5">
      <formula>0=$J$9</formula>
    </cfRule>
  </conditionalFormatting>
  <conditionalFormatting sqref="I10:N10">
    <cfRule type="expression" dxfId="21" priority="4">
      <formula>0=$J$10</formula>
    </cfRule>
  </conditionalFormatting>
  <conditionalFormatting sqref="I11:N11">
    <cfRule type="expression" dxfId="20" priority="3">
      <formula>0=$J$11</formula>
    </cfRule>
  </conditionalFormatting>
  <conditionalFormatting sqref="J13:K14">
    <cfRule type="expression" dxfId="19" priority="10">
      <formula>$C$17&lt;&gt;$J$13</formula>
    </cfRule>
  </conditionalFormatting>
  <conditionalFormatting sqref="N50 P50 R50">
    <cfRule type="expression" dxfId="18" priority="2">
      <formula>NOT($R$50)</formula>
    </cfRule>
  </conditionalFormatting>
  <dataValidations count="2">
    <dataValidation type="list" allowBlank="1" showInputMessage="1" showErrorMessage="1" sqref="C14" xr:uid="{EFEB9F67-4F0D-4121-874A-194CDC96A630}">
      <formula1>"UNC, UNF"</formula1>
    </dataValidation>
    <dataValidation type="list" allowBlank="1" showInputMessage="1" showErrorMessage="1" sqref="D3" xr:uid="{87B1BEB0-9C25-41FC-85A6-A4E13428C396}">
      <formula1>"English, Metric"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8A81-AA87-4B88-8677-FEA01C1376B7}">
  <sheetPr>
    <tabColor rgb="FF0070C0"/>
  </sheetPr>
  <dimension ref="B2:BL151"/>
  <sheetViews>
    <sheetView topLeftCell="B1" zoomScaleNormal="100" workbookViewId="0">
      <selection activeCell="F7" sqref="F7:F9"/>
    </sheetView>
  </sheetViews>
  <sheetFormatPr defaultColWidth="8.85546875" defaultRowHeight="15" customHeight="1" x14ac:dyDescent="0.25"/>
  <cols>
    <col min="1" max="1" width="8.85546875" style="6"/>
    <col min="2" max="2" width="30.7109375" style="6" bestFit="1" customWidth="1"/>
    <col min="3" max="3" width="13" style="6" customWidth="1"/>
    <col min="4" max="4" width="10.140625" style="6" customWidth="1"/>
    <col min="5" max="5" width="23" style="6" bestFit="1" customWidth="1"/>
    <col min="6" max="6" width="10.7109375" style="6" customWidth="1"/>
    <col min="7" max="8" width="9.140625" style="6" customWidth="1"/>
    <col min="9" max="9" width="19.28515625" style="6" bestFit="1" customWidth="1"/>
    <col min="10" max="10" width="15" style="6" bestFit="1" customWidth="1"/>
    <col min="11" max="11" width="10.140625" style="6" bestFit="1" customWidth="1"/>
    <col min="12" max="12" width="9.7109375" style="6" bestFit="1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3" style="6" customWidth="1"/>
    <col min="18" max="18" width="10.140625" style="6" customWidth="1"/>
    <col min="19" max="19" width="21.85546875" style="6" bestFit="1" customWidth="1"/>
    <col min="20" max="20" width="10.7109375" style="6" customWidth="1"/>
    <col min="21" max="21" width="8.85546875" style="6"/>
    <col min="22" max="22" width="30.28515625" style="6" bestFit="1" customWidth="1"/>
    <col min="23" max="23" width="16.42578125" style="6" bestFit="1" customWidth="1"/>
    <col min="24" max="24" width="10.140625" style="6" bestFit="1" customWidth="1"/>
    <col min="25" max="25" width="34.5703125" style="6" bestFit="1" customWidth="1"/>
    <col min="26" max="26" width="16.42578125" style="6" bestFit="1" customWidth="1"/>
    <col min="27" max="27" width="10.140625" style="6" customWidth="1"/>
    <col min="28" max="28" width="8.85546875" style="6"/>
    <col min="29" max="29" width="21.85546875" style="6" customWidth="1"/>
    <col min="30" max="30" width="14.28515625" style="6" bestFit="1" customWidth="1"/>
    <col min="31" max="31" width="12" style="6" bestFit="1" customWidth="1"/>
    <col min="32" max="32" width="12.28515625" style="6" bestFit="1" customWidth="1"/>
    <col min="33" max="33" width="23.7109375" style="6" bestFit="1" customWidth="1"/>
    <col min="34" max="34" width="21.28515625" style="6" customWidth="1"/>
    <col min="35" max="35" width="14.28515625" style="6" bestFit="1" customWidth="1"/>
    <col min="36" max="36" width="12" style="6" bestFit="1" customWidth="1"/>
    <col min="37" max="37" width="12.28515625" style="6" bestFit="1" customWidth="1"/>
    <col min="38" max="38" width="18.85546875" style="6" bestFit="1" customWidth="1"/>
    <col min="39" max="39" width="20.5703125" style="6" bestFit="1" customWidth="1"/>
    <col min="40" max="40" width="18.5703125" style="6" bestFit="1" customWidth="1"/>
    <col min="41" max="41" width="26.5703125" style="6" bestFit="1" customWidth="1"/>
    <col min="42" max="42" width="8.85546875" style="6"/>
    <col min="43" max="43" width="16.85546875" style="6" bestFit="1" customWidth="1"/>
    <col min="44" max="44" width="7.7109375" style="6" bestFit="1" customWidth="1"/>
    <col min="45" max="46" width="22.85546875" style="6" customWidth="1"/>
    <col min="47" max="47" width="8.85546875" style="6"/>
    <col min="48" max="48" width="16.85546875" style="6" bestFit="1" customWidth="1"/>
    <col min="49" max="49" width="7.7109375" style="6" bestFit="1" customWidth="1"/>
    <col min="50" max="50" width="15.140625" style="6" customWidth="1"/>
    <col min="51" max="51" width="15.85546875" style="6" customWidth="1"/>
    <col min="52" max="52" width="8.85546875" style="6"/>
    <col min="53" max="54" width="16.85546875" style="6" bestFit="1" customWidth="1"/>
    <col min="55" max="55" width="12" style="6" bestFit="1" customWidth="1"/>
    <col min="56" max="57" width="22.85546875" style="6" customWidth="1"/>
    <col min="58" max="58" width="8.85546875" style="6"/>
    <col min="59" max="60" width="16.85546875" style="6" bestFit="1" customWidth="1"/>
    <col min="61" max="61" width="12" style="6" bestFit="1" customWidth="1"/>
    <col min="62" max="62" width="15.140625" style="6" customWidth="1"/>
    <col min="63" max="63" width="15.85546875" style="6" customWidth="1"/>
    <col min="64" max="16384" width="8.85546875" style="6"/>
  </cols>
  <sheetData>
    <row r="2" spans="2:64" ht="15" customHeight="1" x14ac:dyDescent="0.25">
      <c r="B2" s="134" t="s">
        <v>86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P2" s="135" t="s">
        <v>87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</row>
    <row r="3" spans="2:64" ht="15" customHeight="1" x14ac:dyDescent="0.25">
      <c r="B3" s="3" t="s">
        <v>0</v>
      </c>
      <c r="C3" s="4" t="s">
        <v>17</v>
      </c>
      <c r="D3" s="63" t="s">
        <v>33</v>
      </c>
      <c r="E3" s="1"/>
      <c r="F3" s="1"/>
      <c r="G3" s="1"/>
      <c r="I3" s="7" t="s">
        <v>1</v>
      </c>
      <c r="J3" s="2"/>
      <c r="K3" s="2"/>
      <c r="L3" s="2"/>
      <c r="M3" s="2"/>
      <c r="N3" s="2"/>
      <c r="P3" s="3" t="s">
        <v>0</v>
      </c>
      <c r="Q3" s="1"/>
      <c r="R3" s="1"/>
      <c r="S3" s="1"/>
      <c r="T3" s="1"/>
      <c r="V3" s="7" t="s">
        <v>1</v>
      </c>
      <c r="W3" s="2"/>
      <c r="X3" s="2"/>
      <c r="Y3" s="2"/>
      <c r="Z3" s="2"/>
      <c r="AA3" s="2"/>
      <c r="AC3" s="64" t="s">
        <v>88</v>
      </c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6" t="s">
        <v>89</v>
      </c>
    </row>
    <row r="4" spans="2:64" ht="15" customHeight="1" thickBot="1" x14ac:dyDescent="0.3">
      <c r="I4" s="1" t="s">
        <v>28</v>
      </c>
      <c r="J4" s="1">
        <v>30</v>
      </c>
      <c r="K4" s="1" t="s">
        <v>29</v>
      </c>
      <c r="AD4" s="6" t="s">
        <v>90</v>
      </c>
      <c r="AI4" s="6" t="s">
        <v>91</v>
      </c>
      <c r="AQ4" s="6" t="s">
        <v>50</v>
      </c>
      <c r="BA4" s="6" t="s">
        <v>51</v>
      </c>
    </row>
    <row r="5" spans="2:64" ht="15" customHeight="1" x14ac:dyDescent="0.25">
      <c r="B5" s="8" t="s">
        <v>16</v>
      </c>
      <c r="C5" s="9"/>
      <c r="D5" s="9"/>
      <c r="E5" s="10" t="s">
        <v>10</v>
      </c>
      <c r="F5" s="9"/>
      <c r="G5" s="9"/>
      <c r="I5" s="11" t="s">
        <v>18</v>
      </c>
      <c r="J5" s="11"/>
      <c r="K5" s="12"/>
      <c r="L5" s="12"/>
      <c r="M5" s="12"/>
      <c r="N5" s="12"/>
      <c r="V5" s="11" t="s">
        <v>92</v>
      </c>
      <c r="W5" s="11"/>
      <c r="X5" s="12"/>
      <c r="AD5" s="36" t="s">
        <v>33</v>
      </c>
      <c r="AE5" s="37"/>
      <c r="AF5" s="37"/>
      <c r="AG5" s="39"/>
      <c r="AI5" s="36" t="s">
        <v>33</v>
      </c>
      <c r="AJ5" s="37"/>
      <c r="AK5" s="37"/>
      <c r="AL5" s="38"/>
      <c r="AM5" s="38"/>
      <c r="AN5" s="37"/>
      <c r="AO5" s="39"/>
      <c r="AQ5" s="36"/>
      <c r="AR5" s="37"/>
      <c r="AS5" s="37"/>
      <c r="AT5" s="37"/>
      <c r="AU5" s="38" t="s">
        <v>33</v>
      </c>
      <c r="AV5" s="37"/>
      <c r="AW5" s="37"/>
      <c r="AX5" s="37"/>
      <c r="AY5" s="39"/>
      <c r="BA5" s="36"/>
      <c r="BB5" s="37"/>
      <c r="BC5" s="37"/>
      <c r="BD5" s="37"/>
      <c r="BE5" s="37"/>
      <c r="BF5" s="38" t="s">
        <v>2</v>
      </c>
      <c r="BG5" s="37"/>
      <c r="BH5" s="37"/>
      <c r="BI5" s="37"/>
      <c r="BJ5" s="37"/>
      <c r="BK5" s="39"/>
    </row>
    <row r="6" spans="2:64" ht="15" customHeight="1" x14ac:dyDescent="0.25">
      <c r="B6" s="1" t="s">
        <v>27</v>
      </c>
      <c r="C6" s="1"/>
      <c r="D6" s="1" t="str">
        <f>IF($D$3="English","in", "mm")</f>
        <v>mm</v>
      </c>
      <c r="E6" s="13" t="s">
        <v>11</v>
      </c>
      <c r="F6" s="22"/>
      <c r="G6" s="1" t="str">
        <f t="shared" ref="G6:G9" si="0">IF($D$3="English","psi","Pa")</f>
        <v>Pa</v>
      </c>
      <c r="I6" s="14" t="s">
        <v>19</v>
      </c>
      <c r="J6" s="15" t="str">
        <f>_xlfn.CONCAT("Thickness ", "[",D6,"]")</f>
        <v>Thickness [mm]</v>
      </c>
      <c r="K6" s="15" t="str">
        <f>_xlfn.CONCAT("D ", "[",D13,"]")</f>
        <v>D [mm]</v>
      </c>
      <c r="L6" s="15" t="str">
        <f>_xlfn.CONCAT("E ", "[",G6,"]")</f>
        <v>E [Pa]</v>
      </c>
      <c r="M6" s="15" t="str">
        <f>_xlfn.CONCAT("k ", "[",D34,"]")</f>
        <v>k [mN/m]</v>
      </c>
      <c r="N6" s="15" t="s">
        <v>20</v>
      </c>
      <c r="V6" s="2" t="s">
        <v>67</v>
      </c>
      <c r="W6" s="67">
        <f>IF(AND($C$13&gt;=$AJ$30,$C$13&lt;=$AK$30),AL30,IF(AND($C$13&gt;=$AJ$31,$C$13&lt;=$AK$31),AL31,NA()))</f>
        <v>830000000</v>
      </c>
      <c r="X6" s="2" t="str">
        <f>IF($D$3="English","psi","Pa")</f>
        <v>Pa</v>
      </c>
      <c r="AD6" s="68" t="s">
        <v>93</v>
      </c>
      <c r="AE6" s="69" t="s">
        <v>94</v>
      </c>
      <c r="AF6" s="69" t="s">
        <v>95</v>
      </c>
      <c r="AG6" s="70" t="s">
        <v>96</v>
      </c>
      <c r="AI6" s="68" t="s">
        <v>93</v>
      </c>
      <c r="AJ6" s="69" t="s">
        <v>94</v>
      </c>
      <c r="AK6" s="69" t="s">
        <v>95</v>
      </c>
      <c r="AL6" s="69" t="s">
        <v>97</v>
      </c>
      <c r="AM6" s="69" t="s">
        <v>98</v>
      </c>
      <c r="AN6" s="69" t="s">
        <v>99</v>
      </c>
      <c r="AO6" s="70" t="s">
        <v>100</v>
      </c>
      <c r="AQ6" s="131" t="s">
        <v>41</v>
      </c>
      <c r="AR6" s="132"/>
      <c r="AS6" s="132"/>
      <c r="AT6" s="132"/>
      <c r="AU6" s="52"/>
      <c r="AV6" s="132" t="s">
        <v>42</v>
      </c>
      <c r="AW6" s="132"/>
      <c r="AX6" s="132"/>
      <c r="AY6" s="133"/>
      <c r="BA6" s="131" t="s">
        <v>41</v>
      </c>
      <c r="BB6" s="132"/>
      <c r="BC6" s="132"/>
      <c r="BD6" s="132"/>
      <c r="BE6" s="132"/>
      <c r="BF6" s="52"/>
      <c r="BG6" s="132" t="s">
        <v>42</v>
      </c>
      <c r="BH6" s="132"/>
      <c r="BI6" s="132"/>
      <c r="BJ6" s="132"/>
      <c r="BK6" s="133"/>
    </row>
    <row r="7" spans="2:64" ht="15" customHeight="1" x14ac:dyDescent="0.25">
      <c r="B7" s="1" t="s">
        <v>101</v>
      </c>
      <c r="C7" s="1">
        <v>51</v>
      </c>
      <c r="D7" s="1" t="str">
        <f t="shared" ref="D7:D9" si="1">IF($D$3="English","in", "mm")</f>
        <v>mm</v>
      </c>
      <c r="E7" s="13" t="s">
        <v>12</v>
      </c>
      <c r="F7" s="22">
        <f>68.9*10^9</f>
        <v>68900000000</v>
      </c>
      <c r="G7" s="1" t="str">
        <f t="shared" si="0"/>
        <v>Pa</v>
      </c>
      <c r="I7" s="16">
        <v>1</v>
      </c>
      <c r="J7" s="2">
        <f>C6</f>
        <v>0</v>
      </c>
      <c r="K7" s="2">
        <f>1.5*C13</f>
        <v>21</v>
      </c>
      <c r="L7" s="23">
        <f>F6</f>
        <v>0</v>
      </c>
      <c r="M7" s="23">
        <f>IF(J7=0,0,(PI()*L7*$C$13*TAN(RADIANS($J$4)))/LN(((2*J7*TAN(RADIANS($J$4))+K7-$C$13)*(K7+$C$13))/((2*J7*TAN(RADIANS($J$4))+K7+$C$13)*(K7-$C$13))))</f>
        <v>0</v>
      </c>
      <c r="N7" s="23">
        <f>IF(M7=0,0,M7^-1)</f>
        <v>0</v>
      </c>
      <c r="V7" s="2"/>
      <c r="W7" s="2">
        <f>IF($D$3="English",W6*10^-3,W6*10^-6)</f>
        <v>830</v>
      </c>
      <c r="X7" s="2" t="str">
        <f>IF($D$3="English","kpsi","MPa")</f>
        <v>MPa</v>
      </c>
      <c r="AD7" s="42">
        <v>8.8000000000000007</v>
      </c>
      <c r="AE7" s="28">
        <v>16</v>
      </c>
      <c r="AF7" s="28">
        <v>36</v>
      </c>
      <c r="AG7" s="71">
        <v>129000000</v>
      </c>
      <c r="AI7" s="42">
        <v>4.5999999999999996</v>
      </c>
      <c r="AJ7" s="28">
        <v>5</v>
      </c>
      <c r="AK7" s="28">
        <v>36</v>
      </c>
      <c r="AL7" s="72">
        <v>225000000</v>
      </c>
      <c r="AM7" s="73">
        <v>400000000</v>
      </c>
      <c r="AN7" s="72">
        <v>240000000</v>
      </c>
      <c r="AO7" s="74" t="s">
        <v>102</v>
      </c>
      <c r="AQ7" s="40" t="s">
        <v>39</v>
      </c>
      <c r="AR7" s="31" t="s">
        <v>38</v>
      </c>
      <c r="AS7" s="31" t="s">
        <v>37</v>
      </c>
      <c r="AT7" s="32" t="s">
        <v>40</v>
      </c>
      <c r="AU7" s="52"/>
      <c r="AV7" s="30" t="s">
        <v>39</v>
      </c>
      <c r="AW7" s="31" t="s">
        <v>38</v>
      </c>
      <c r="AX7" s="31" t="s">
        <v>37</v>
      </c>
      <c r="AY7" s="41" t="s">
        <v>40</v>
      </c>
      <c r="BA7" s="40" t="s">
        <v>43</v>
      </c>
      <c r="BB7" s="30" t="s">
        <v>44</v>
      </c>
      <c r="BC7" s="31" t="s">
        <v>45</v>
      </c>
      <c r="BD7" s="31" t="s">
        <v>46</v>
      </c>
      <c r="BE7" s="32" t="s">
        <v>47</v>
      </c>
      <c r="BF7" s="52"/>
      <c r="BG7" s="30" t="s">
        <v>43</v>
      </c>
      <c r="BH7" s="30" t="s">
        <v>44</v>
      </c>
      <c r="BI7" s="31" t="s">
        <v>45</v>
      </c>
      <c r="BJ7" s="31" t="s">
        <v>46</v>
      </c>
      <c r="BK7" s="41" t="s">
        <v>47</v>
      </c>
    </row>
    <row r="8" spans="2:64" ht="15" customHeight="1" x14ac:dyDescent="0.25">
      <c r="B8" s="1" t="s">
        <v>103</v>
      </c>
      <c r="C8" s="1">
        <v>95</v>
      </c>
      <c r="D8" s="1" t="str">
        <f t="shared" si="1"/>
        <v>mm</v>
      </c>
      <c r="E8" s="13" t="s">
        <v>14</v>
      </c>
      <c r="F8" s="22">
        <f>120.5*10^9</f>
        <v>120500000000</v>
      </c>
      <c r="G8" s="1" t="str">
        <f t="shared" si="0"/>
        <v>Pa</v>
      </c>
      <c r="I8" s="16">
        <v>2</v>
      </c>
      <c r="J8" s="2">
        <f>IF(C6+C7&lt;J15,C7,J15-C6)</f>
        <v>51</v>
      </c>
      <c r="K8" s="18">
        <f>K7+2*J7*TAN(RADIANS($J$4))</f>
        <v>21</v>
      </c>
      <c r="L8" s="23">
        <f>F7</f>
        <v>68900000000</v>
      </c>
      <c r="M8" s="23">
        <f>IF(J8=0,0,(PI()*L8*$C$13*TAN(RADIANS($J$4)))/LN(((2*J8*TAN(RADIANS($J$4))+K8-$C$13)*(K8+$C$13))/((2*J8*TAN(RADIANS($J$4))+K8+$C$13)*(K8-$C$13))))</f>
        <v>1393763715552.6968</v>
      </c>
      <c r="N8" s="23">
        <f t="shared" ref="N8:N11" si="2">IF(M8=0,0,M8^-1)</f>
        <v>7.1748172867554542E-13</v>
      </c>
      <c r="V8" s="2" t="s">
        <v>73</v>
      </c>
      <c r="W8" s="75">
        <f>IF(AND($C$13&gt;=$AJ$30,$C$13&lt;=$AK$30),AM30,IF(AND($C$13&gt;=$AJ$31,$C$13&lt;=$AK$31),AM31,NA()))</f>
        <v>1040000000</v>
      </c>
      <c r="X8" s="2" t="str">
        <f>IF($D$3="English","psi","Pa")</f>
        <v>Pa</v>
      </c>
      <c r="AD8" s="42">
        <v>9.8000000000000007</v>
      </c>
      <c r="AE8" s="28">
        <v>1.6</v>
      </c>
      <c r="AF8" s="28">
        <v>16</v>
      </c>
      <c r="AG8" s="76">
        <v>140000000</v>
      </c>
      <c r="AI8" s="42">
        <v>4.8</v>
      </c>
      <c r="AJ8" s="28">
        <v>1.6</v>
      </c>
      <c r="AK8" s="28">
        <v>16</v>
      </c>
      <c r="AL8" s="77">
        <v>310000000</v>
      </c>
      <c r="AM8" s="73">
        <v>420000000</v>
      </c>
      <c r="AN8" s="77">
        <v>340000000</v>
      </c>
      <c r="AO8" s="74" t="s">
        <v>102</v>
      </c>
      <c r="AQ8" s="42">
        <v>1.6</v>
      </c>
      <c r="AR8" s="28">
        <v>0.35</v>
      </c>
      <c r="AS8" s="28">
        <v>1.27</v>
      </c>
      <c r="AT8" s="29">
        <v>1.07</v>
      </c>
      <c r="AU8" s="52"/>
      <c r="AV8" s="27">
        <v>1.6</v>
      </c>
      <c r="AW8" s="28" t="e">
        <f>NA()</f>
        <v>#N/A</v>
      </c>
      <c r="AX8" s="28" t="e">
        <f>NA()</f>
        <v>#N/A</v>
      </c>
      <c r="AY8" s="28" t="e">
        <f>NA()</f>
        <v>#N/A</v>
      </c>
      <c r="BA8" s="49">
        <f>0</f>
        <v>0</v>
      </c>
      <c r="BB8" s="27">
        <v>0.06</v>
      </c>
      <c r="BC8" s="28" t="e">
        <f>NA()</f>
        <v>#N/A</v>
      </c>
      <c r="BD8" s="28" t="e">
        <f>NA()</f>
        <v>#N/A</v>
      </c>
      <c r="BE8" s="29" t="e">
        <f>NA()</f>
        <v>#N/A</v>
      </c>
      <c r="BF8" s="52"/>
      <c r="BG8" s="35">
        <f>0</f>
        <v>0</v>
      </c>
      <c r="BH8" s="27">
        <v>0.06</v>
      </c>
      <c r="BI8" s="28">
        <v>80</v>
      </c>
      <c r="BJ8" s="28">
        <v>1.8E-3</v>
      </c>
      <c r="BK8" s="43">
        <v>1.5100000000000001E-3</v>
      </c>
    </row>
    <row r="9" spans="2:64" ht="15" customHeight="1" x14ac:dyDescent="0.25">
      <c r="B9" s="1" t="s">
        <v>104</v>
      </c>
      <c r="C9" s="1">
        <v>10</v>
      </c>
      <c r="D9" s="1" t="str">
        <f t="shared" si="1"/>
        <v>mm</v>
      </c>
      <c r="E9" s="13" t="s">
        <v>13</v>
      </c>
      <c r="F9" s="22">
        <f>120.5*10^9</f>
        <v>120500000000</v>
      </c>
      <c r="G9" s="1" t="str">
        <f t="shared" si="0"/>
        <v>Pa</v>
      </c>
      <c r="I9" s="16">
        <v>3</v>
      </c>
      <c r="J9" s="2">
        <f>IF(C6+C7&lt;J15,J15-C7-C6,C6+C7-J15)</f>
        <v>30.5</v>
      </c>
      <c r="K9" s="18">
        <f>IF(J7+J8&lt;J15,K8+2*J8*TAN(RADIANS($J$4)),K8+2*J8*TAN(RADIANS($J$4))-2*J9*TAN(RADIANS($J$4)))</f>
        <v>79.88972745734182</v>
      </c>
      <c r="L9" s="23">
        <f>IF(J7+J8&lt;J15,F8,F7)</f>
        <v>120500000000</v>
      </c>
      <c r="M9" s="23">
        <f>IF(J9=0,0,(PI()*L9*$C$13*TAN(RADIANS($J$4)))/LN(((2*J9*TAN(RADIANS($J$4))+K9-$C$13)*(K9+$C$13))/((2*J9*TAN(RADIANS($J$4))+K9+$C$13)*(K9-$C$13))))</f>
        <v>27898595320503.094</v>
      </c>
      <c r="N9" s="23">
        <f t="shared" si="2"/>
        <v>3.5844098547323102E-14</v>
      </c>
      <c r="V9" s="2"/>
      <c r="W9" s="2">
        <f>IF($D$3="English",W8*10^-3,W8*10^-6)</f>
        <v>1040</v>
      </c>
      <c r="X9" s="2" t="str">
        <f>IF($D$3="English","kpsi","MPa")</f>
        <v>MPa</v>
      </c>
      <c r="AD9" s="42">
        <v>10.9</v>
      </c>
      <c r="AE9" s="28">
        <v>5</v>
      </c>
      <c r="AF9" s="28">
        <v>36</v>
      </c>
      <c r="AG9" s="76">
        <v>162000000</v>
      </c>
      <c r="AI9" s="42">
        <v>5.8</v>
      </c>
      <c r="AJ9" s="28">
        <v>5</v>
      </c>
      <c r="AK9" s="28">
        <v>24</v>
      </c>
      <c r="AL9" s="77">
        <v>380000000</v>
      </c>
      <c r="AM9" s="73">
        <v>520000000</v>
      </c>
      <c r="AN9" s="77">
        <v>420000000</v>
      </c>
      <c r="AO9" s="74" t="s">
        <v>102</v>
      </c>
      <c r="AQ9" s="42">
        <v>2</v>
      </c>
      <c r="AR9" s="28">
        <v>0.4</v>
      </c>
      <c r="AS9" s="28">
        <v>2.0699999999999998</v>
      </c>
      <c r="AT9" s="29">
        <v>1.79</v>
      </c>
      <c r="AU9" s="52"/>
      <c r="AV9" s="27">
        <v>2</v>
      </c>
      <c r="AW9" s="28" t="e">
        <f>NA()</f>
        <v>#N/A</v>
      </c>
      <c r="AX9" s="28" t="e">
        <f>NA()</f>
        <v>#N/A</v>
      </c>
      <c r="AY9" s="28" t="e">
        <f>NA()</f>
        <v>#N/A</v>
      </c>
      <c r="BA9" s="49">
        <f>1</f>
        <v>1</v>
      </c>
      <c r="BB9" s="27">
        <v>7.2999999999999995E-2</v>
      </c>
      <c r="BC9" s="28">
        <v>64</v>
      </c>
      <c r="BD9" s="28">
        <v>2.63E-3</v>
      </c>
      <c r="BE9" s="29">
        <v>2.1800000000000001E-3</v>
      </c>
      <c r="BF9" s="52"/>
      <c r="BG9" s="35">
        <f>1</f>
        <v>1</v>
      </c>
      <c r="BH9" s="27">
        <v>7.2999999999999995E-2</v>
      </c>
      <c r="BI9" s="28">
        <v>72</v>
      </c>
      <c r="BJ9" s="28">
        <v>2.7799999999999999E-3</v>
      </c>
      <c r="BK9" s="43">
        <v>2.3700000000000001E-3</v>
      </c>
    </row>
    <row r="10" spans="2:64" ht="15" customHeight="1" thickBot="1" x14ac:dyDescent="0.3">
      <c r="I10" s="16">
        <v>4</v>
      </c>
      <c r="J10" s="2">
        <f>C17-SUM(J7:J9)-J11</f>
        <v>71.5</v>
      </c>
      <c r="K10" s="18">
        <f>K11+2*J11*TAN(RADIANS($J$4))</f>
        <v>32.547005383792516</v>
      </c>
      <c r="L10" s="23">
        <f>F8</f>
        <v>120500000000</v>
      </c>
      <c r="M10" s="23">
        <f>IF(J10=0,0,(PI()*L10*$C$13*TAN(RADIANS($J$4)))/LN(((2*J10*TAN(RADIANS($J$4))+K10-$C$13)*(K10+$C$13))/((2*J10*TAN(RADIANS($J$4))+K10+$C$13)*(K10-$C$13))))</f>
        <v>4528495404542.5811</v>
      </c>
      <c r="N10" s="23">
        <f t="shared" si="2"/>
        <v>2.2082389638662095E-13</v>
      </c>
      <c r="V10" s="2" t="s">
        <v>74</v>
      </c>
      <c r="W10" s="67">
        <f>IF(AND($C$13&gt;=$AJ$30,$C$13&lt;=$AK$30),AN30,IF(AND($C$13&gt;=$AJ$31,$C$13&lt;=$AK$31),AN31,NA()))</f>
        <v>940000000</v>
      </c>
      <c r="X10" s="2" t="str">
        <f>IF($D$3="English","psi","Pa")</f>
        <v>Pa</v>
      </c>
      <c r="AD10" s="44">
        <v>12.9</v>
      </c>
      <c r="AE10" s="45">
        <v>1.6</v>
      </c>
      <c r="AF10" s="45">
        <v>36</v>
      </c>
      <c r="AG10" s="78">
        <v>190000000</v>
      </c>
      <c r="AI10" s="42">
        <v>8.8000000000000007</v>
      </c>
      <c r="AJ10" s="28">
        <v>16</v>
      </c>
      <c r="AK10" s="28">
        <v>36</v>
      </c>
      <c r="AL10" s="77">
        <v>600000000</v>
      </c>
      <c r="AM10" s="73">
        <v>830000000</v>
      </c>
      <c r="AN10" s="77">
        <v>660000000</v>
      </c>
      <c r="AO10" s="74" t="s">
        <v>105</v>
      </c>
      <c r="AQ10" s="42">
        <v>2.5</v>
      </c>
      <c r="AR10" s="28">
        <v>0.45</v>
      </c>
      <c r="AS10" s="28">
        <v>3.39</v>
      </c>
      <c r="AT10" s="29">
        <v>2.98</v>
      </c>
      <c r="AU10" s="52"/>
      <c r="AV10" s="27">
        <v>2.5</v>
      </c>
      <c r="AW10" s="28" t="e">
        <f>NA()</f>
        <v>#N/A</v>
      </c>
      <c r="AX10" s="28" t="e">
        <f>NA()</f>
        <v>#N/A</v>
      </c>
      <c r="AY10" s="28" t="e">
        <f>NA()</f>
        <v>#N/A</v>
      </c>
      <c r="BA10" s="49">
        <f>2</f>
        <v>2</v>
      </c>
      <c r="BB10" s="27">
        <v>8.5999999999999993E-2</v>
      </c>
      <c r="BC10" s="28">
        <v>56</v>
      </c>
      <c r="BD10" s="28">
        <v>3.7000000000000002E-3</v>
      </c>
      <c r="BE10" s="29">
        <v>3.0999999999999999E-3</v>
      </c>
      <c r="BF10" s="52"/>
      <c r="BG10" s="35">
        <f>2</f>
        <v>2</v>
      </c>
      <c r="BH10" s="27">
        <v>8.5999999999999993E-2</v>
      </c>
      <c r="BI10" s="28">
        <v>64</v>
      </c>
      <c r="BJ10" s="28">
        <v>3.9399999999999999E-3</v>
      </c>
      <c r="BK10" s="43">
        <v>3.3899999999999998E-3</v>
      </c>
    </row>
    <row r="11" spans="2:64" ht="15" customHeight="1" thickBot="1" x14ac:dyDescent="0.3">
      <c r="B11" s="8" t="s">
        <v>15</v>
      </c>
      <c r="C11" s="34" t="str">
        <f>_xlfn.CONCAT(IF($D$3="English",_xlfn.CONCAT(TEXT(C13, "# ?/?"),"""-",C25,"-", C15, " ",C14),_xlfn.CONCAT("M",C13,"-", C25,"-", C15," ",C14)), " Grade ", C16)</f>
        <v>M14-2-238 UNC Grade 10.9</v>
      </c>
      <c r="D11" s="8"/>
      <c r="E11" s="8"/>
      <c r="F11" s="8"/>
      <c r="I11" s="16">
        <v>5</v>
      </c>
      <c r="J11" s="2">
        <f>C9</f>
        <v>10</v>
      </c>
      <c r="K11" s="2">
        <f>1.5*C13</f>
        <v>21</v>
      </c>
      <c r="L11" s="23">
        <f>F9</f>
        <v>120500000000</v>
      </c>
      <c r="M11" s="23">
        <f>IF(J11=0,0,(PI()*L11*$C$13*TAN(RADIANS($J$4)))/LN(((2*J11*TAN(RADIANS($J$4))+K11-$C$13)*(K11+$C$13))/((2*J11*TAN(RADIANS($J$4))+K11+$C$13)*(K11-$C$13))))</f>
        <v>4439217184775.0635</v>
      </c>
      <c r="N11" s="23">
        <f t="shared" si="2"/>
        <v>2.252649416274663E-13</v>
      </c>
      <c r="V11" s="2"/>
      <c r="W11" s="2">
        <f>IF($D$3="English",W10*10^-3,W10*10^-6)</f>
        <v>940</v>
      </c>
      <c r="X11" s="2" t="str">
        <f>IF($D$3="English","kpsi","MPa")</f>
        <v>MPa</v>
      </c>
      <c r="AI11" s="42">
        <v>9.8000000000000007</v>
      </c>
      <c r="AJ11" s="28">
        <v>1.6</v>
      </c>
      <c r="AK11" s="28">
        <v>16</v>
      </c>
      <c r="AL11" s="77">
        <v>650000000</v>
      </c>
      <c r="AM11" s="73">
        <v>900000000</v>
      </c>
      <c r="AN11" s="77">
        <v>720000000</v>
      </c>
      <c r="AO11" s="74" t="s">
        <v>105</v>
      </c>
      <c r="AQ11" s="42">
        <v>3</v>
      </c>
      <c r="AR11" s="28">
        <v>0.5</v>
      </c>
      <c r="AS11" s="28">
        <v>5.03</v>
      </c>
      <c r="AT11" s="29">
        <v>4.47</v>
      </c>
      <c r="AU11" s="52"/>
      <c r="AV11" s="27">
        <v>3</v>
      </c>
      <c r="AW11" s="28" t="e">
        <f>NA()</f>
        <v>#N/A</v>
      </c>
      <c r="AX11" s="28" t="e">
        <f>NA()</f>
        <v>#N/A</v>
      </c>
      <c r="AY11" s="28" t="e">
        <f>NA()</f>
        <v>#N/A</v>
      </c>
      <c r="BA11" s="49">
        <f>3</f>
        <v>3</v>
      </c>
      <c r="BB11" s="27">
        <v>9.9000000000000005E-2</v>
      </c>
      <c r="BC11" s="28">
        <v>48</v>
      </c>
      <c r="BD11" s="28">
        <v>4.8700000000000002E-3</v>
      </c>
      <c r="BE11" s="29">
        <v>4.0600000000000002E-3</v>
      </c>
      <c r="BF11" s="52"/>
      <c r="BG11" s="35">
        <f>3</f>
        <v>3</v>
      </c>
      <c r="BH11" s="27">
        <v>9.9000000000000005E-2</v>
      </c>
      <c r="BI11" s="28">
        <v>56</v>
      </c>
      <c r="BJ11" s="28">
        <v>5.2300000000000003E-3</v>
      </c>
      <c r="BK11" s="43">
        <v>4.5100000000000001E-3</v>
      </c>
    </row>
    <row r="12" spans="2:64" ht="15" customHeight="1" x14ac:dyDescent="0.25">
      <c r="B12" s="1" t="s">
        <v>48</v>
      </c>
      <c r="C12" s="22">
        <f>207*10^9</f>
        <v>207000000000</v>
      </c>
      <c r="D12" s="1" t="str">
        <f>IF($D$3="English","psi","Pa")</f>
        <v>Pa</v>
      </c>
      <c r="V12" s="2" t="s">
        <v>106</v>
      </c>
      <c r="W12" s="67">
        <f>IF(AND($C$13&gt;=AE$20,$C$13&lt;=AF$20),AG20,IF(AND($C$13&gt;=AE$21,$C$13&lt;=AF$21),AG21,NA()))</f>
        <v>162000000</v>
      </c>
      <c r="X12" s="2" t="str">
        <f>IF($D$3="English","psi","Pa")</f>
        <v>Pa</v>
      </c>
      <c r="AD12" s="36" t="s">
        <v>2</v>
      </c>
      <c r="AE12" s="37"/>
      <c r="AF12" s="37"/>
      <c r="AG12" s="79"/>
      <c r="AI12" s="42">
        <v>10.9</v>
      </c>
      <c r="AJ12" s="28">
        <v>5</v>
      </c>
      <c r="AK12" s="28">
        <v>36</v>
      </c>
      <c r="AL12" s="77">
        <v>830000000</v>
      </c>
      <c r="AM12" s="80">
        <v>1040000000</v>
      </c>
      <c r="AN12" s="77">
        <v>940000000</v>
      </c>
      <c r="AO12" s="74" t="s">
        <v>107</v>
      </c>
      <c r="AQ12" s="42">
        <v>3.5</v>
      </c>
      <c r="AR12" s="28">
        <v>0.6</v>
      </c>
      <c r="AS12" s="28">
        <v>6.78</v>
      </c>
      <c r="AT12" s="29">
        <v>6</v>
      </c>
      <c r="AU12" s="52"/>
      <c r="AV12" s="27">
        <v>3.5</v>
      </c>
      <c r="AW12" s="28" t="e">
        <f>NA()</f>
        <v>#N/A</v>
      </c>
      <c r="AX12" s="28" t="e">
        <f>NA()</f>
        <v>#N/A</v>
      </c>
      <c r="AY12" s="28" t="e">
        <f>NA()</f>
        <v>#N/A</v>
      </c>
      <c r="BA12" s="49">
        <f>4</f>
        <v>4</v>
      </c>
      <c r="BB12" s="27">
        <v>0.112</v>
      </c>
      <c r="BC12" s="28">
        <v>40</v>
      </c>
      <c r="BD12" s="28">
        <v>6.0400000000000002E-3</v>
      </c>
      <c r="BE12" s="29">
        <v>4.96E-3</v>
      </c>
      <c r="BF12" s="52"/>
      <c r="BG12" s="35">
        <f>4</f>
        <v>4</v>
      </c>
      <c r="BH12" s="27">
        <v>0.112</v>
      </c>
      <c r="BI12" s="28">
        <v>48</v>
      </c>
      <c r="BJ12" s="28">
        <v>6.6100000000000004E-3</v>
      </c>
      <c r="BK12" s="43">
        <v>5.6600000000000001E-3</v>
      </c>
    </row>
    <row r="13" spans="2:64" ht="15" customHeight="1" thickBot="1" x14ac:dyDescent="0.3">
      <c r="B13" s="1" t="s">
        <v>3</v>
      </c>
      <c r="C13" s="17">
        <v>14</v>
      </c>
      <c r="D13" s="1" t="str">
        <f t="shared" ref="D13" si="3">IF($D$3="English","in", "mm")</f>
        <v>mm</v>
      </c>
      <c r="I13" s="25" t="s">
        <v>30</v>
      </c>
      <c r="J13" s="25">
        <f>SUM(J7:J11)</f>
        <v>163</v>
      </c>
      <c r="K13" s="25" t="str">
        <f>IF($D$3="English","in", "mm")</f>
        <v>mm</v>
      </c>
      <c r="V13" s="2"/>
      <c r="W13" s="2">
        <f>IF($D$3="English",W12*10^-3,W12*10^-6)</f>
        <v>162</v>
      </c>
      <c r="X13" s="2" t="str">
        <f>IF($D$3="English","kpsi","MPa")</f>
        <v>MPa</v>
      </c>
      <c r="AD13" s="68" t="s">
        <v>93</v>
      </c>
      <c r="AE13" s="69" t="s">
        <v>108</v>
      </c>
      <c r="AF13" s="69" t="s">
        <v>109</v>
      </c>
      <c r="AG13" s="70" t="s">
        <v>110</v>
      </c>
      <c r="AI13" s="44">
        <v>12.9</v>
      </c>
      <c r="AJ13" s="45">
        <v>1.6</v>
      </c>
      <c r="AK13" s="45">
        <v>36</v>
      </c>
      <c r="AL13" s="81">
        <v>970000000</v>
      </c>
      <c r="AM13" s="82">
        <v>1220000000</v>
      </c>
      <c r="AN13" s="83">
        <v>1100000000</v>
      </c>
      <c r="AO13" s="84" t="s">
        <v>111</v>
      </c>
      <c r="AQ13" s="42">
        <v>4</v>
      </c>
      <c r="AR13" s="28">
        <v>0.7</v>
      </c>
      <c r="AS13" s="28">
        <v>8.7799999999999994</v>
      </c>
      <c r="AT13" s="29">
        <v>7.75</v>
      </c>
      <c r="AU13" s="52"/>
      <c r="AV13" s="27">
        <v>4</v>
      </c>
      <c r="AW13" s="28" t="e">
        <f>NA()</f>
        <v>#N/A</v>
      </c>
      <c r="AX13" s="28" t="e">
        <f>NA()</f>
        <v>#N/A</v>
      </c>
      <c r="AY13" s="28" t="e">
        <f>NA()</f>
        <v>#N/A</v>
      </c>
      <c r="BA13" s="49">
        <f>5</f>
        <v>5</v>
      </c>
      <c r="BB13" s="27">
        <v>0.125</v>
      </c>
      <c r="BC13" s="28">
        <v>40</v>
      </c>
      <c r="BD13" s="28">
        <v>7.9600000000000001E-3</v>
      </c>
      <c r="BE13" s="29">
        <v>6.7200000000000003E-3</v>
      </c>
      <c r="BF13" s="52"/>
      <c r="BG13" s="35">
        <f>5</f>
        <v>5</v>
      </c>
      <c r="BH13" s="27">
        <v>0.125</v>
      </c>
      <c r="BI13" s="28">
        <v>44</v>
      </c>
      <c r="BJ13" s="28">
        <v>8.8000000000000005E-3</v>
      </c>
      <c r="BK13" s="43">
        <v>7.1599999999999997E-3</v>
      </c>
    </row>
    <row r="14" spans="2:64" ht="15" customHeight="1" x14ac:dyDescent="0.25">
      <c r="B14" s="1" t="s">
        <v>49</v>
      </c>
      <c r="C14" s="33" t="s">
        <v>41</v>
      </c>
      <c r="D14" s="1"/>
      <c r="I14" s="25" t="s">
        <v>22</v>
      </c>
      <c r="J14" s="25">
        <f>C17</f>
        <v>163</v>
      </c>
      <c r="K14" s="25" t="str">
        <f>IF($D$3="English","in", "mm")</f>
        <v>mm</v>
      </c>
      <c r="AD14" s="85">
        <v>5</v>
      </c>
      <c r="AE14" s="86">
        <v>0.125</v>
      </c>
      <c r="AF14" s="86">
        <v>1</v>
      </c>
      <c r="AG14" s="71">
        <v>18600</v>
      </c>
      <c r="AQ14" s="42">
        <v>5</v>
      </c>
      <c r="AR14" s="28">
        <v>0.8</v>
      </c>
      <c r="AS14" s="28">
        <v>14.2</v>
      </c>
      <c r="AT14" s="29">
        <v>12.7</v>
      </c>
      <c r="AU14" s="52"/>
      <c r="AV14" s="27">
        <v>5</v>
      </c>
      <c r="AW14" s="28" t="e">
        <f>NA()</f>
        <v>#N/A</v>
      </c>
      <c r="AX14" s="28" t="e">
        <f>NA()</f>
        <v>#N/A</v>
      </c>
      <c r="AY14" s="28" t="e">
        <f>NA()</f>
        <v>#N/A</v>
      </c>
      <c r="BA14" s="49">
        <f>6</f>
        <v>6</v>
      </c>
      <c r="BB14" s="27">
        <v>0.13800000000000001</v>
      </c>
      <c r="BC14" s="28">
        <v>32</v>
      </c>
      <c r="BD14" s="28">
        <v>9.0900000000000009E-3</v>
      </c>
      <c r="BE14" s="29">
        <v>7.45E-3</v>
      </c>
      <c r="BF14" s="52"/>
      <c r="BG14" s="35">
        <f>6</f>
        <v>6</v>
      </c>
      <c r="BH14" s="27">
        <v>0.13800000000000001</v>
      </c>
      <c r="BI14" s="28">
        <v>40</v>
      </c>
      <c r="BJ14" s="28">
        <v>1.0149999999999999E-2</v>
      </c>
      <c r="BK14" s="43">
        <v>8.7399999999999995E-3</v>
      </c>
    </row>
    <row r="15" spans="2:64" ht="15" customHeight="1" thickBot="1" x14ac:dyDescent="0.3">
      <c r="B15" s="1" t="s">
        <v>4</v>
      </c>
      <c r="C15" s="1">
        <v>238</v>
      </c>
      <c r="D15" s="1" t="str">
        <f t="shared" ref="D15" si="4">IF($D$3="English","in", "mm")</f>
        <v>mm</v>
      </c>
      <c r="I15" s="25" t="s">
        <v>23</v>
      </c>
      <c r="J15" s="25">
        <f>C17/2</f>
        <v>81.5</v>
      </c>
      <c r="K15" s="25" t="str">
        <f t="shared" ref="K15" si="5">IF($D$3="English","in", "mm")</f>
        <v>mm</v>
      </c>
      <c r="P15" s="8" t="s">
        <v>68</v>
      </c>
      <c r="Q15" s="8"/>
      <c r="R15" s="8"/>
      <c r="S15" s="8"/>
      <c r="T15" s="8"/>
      <c r="V15" s="11" t="s">
        <v>53</v>
      </c>
      <c r="W15" s="11"/>
      <c r="X15" s="12"/>
      <c r="Y15" s="12"/>
      <c r="Z15" s="12"/>
      <c r="AA15" s="12"/>
      <c r="AD15" s="87">
        <v>5</v>
      </c>
      <c r="AE15" s="88">
        <v>1.125</v>
      </c>
      <c r="AF15" s="88">
        <v>1.5</v>
      </c>
      <c r="AG15" s="89">
        <v>16300</v>
      </c>
      <c r="AI15" s="6" t="s">
        <v>112</v>
      </c>
      <c r="AQ15" s="42">
        <v>6</v>
      </c>
      <c r="AR15" s="28">
        <v>1</v>
      </c>
      <c r="AS15" s="28">
        <v>20.100000000000001</v>
      </c>
      <c r="AT15" s="29">
        <v>17.899999999999999</v>
      </c>
      <c r="AU15" s="52"/>
      <c r="AV15" s="27">
        <v>6</v>
      </c>
      <c r="AW15" s="28" t="e">
        <f>NA()</f>
        <v>#N/A</v>
      </c>
      <c r="AX15" s="28" t="e">
        <f>NA()</f>
        <v>#N/A</v>
      </c>
      <c r="AY15" s="28" t="e">
        <f>NA()</f>
        <v>#N/A</v>
      </c>
      <c r="BA15" s="49">
        <f>8</f>
        <v>8</v>
      </c>
      <c r="BB15" s="27">
        <v>0.16400000000000001</v>
      </c>
      <c r="BC15" s="28">
        <v>32</v>
      </c>
      <c r="BD15" s="28">
        <v>1.4E-2</v>
      </c>
      <c r="BE15" s="29">
        <v>1.196E-2</v>
      </c>
      <c r="BF15" s="52"/>
      <c r="BG15" s="35">
        <f>8</f>
        <v>8</v>
      </c>
      <c r="BH15" s="27">
        <v>0.16400000000000001</v>
      </c>
      <c r="BI15" s="28">
        <v>36</v>
      </c>
      <c r="BJ15" s="28">
        <v>1.474E-2</v>
      </c>
      <c r="BK15" s="43">
        <v>1.285E-2</v>
      </c>
    </row>
    <row r="16" spans="2:64" ht="15" customHeight="1" x14ac:dyDescent="0.25">
      <c r="B16" s="1" t="s">
        <v>70</v>
      </c>
      <c r="C16" s="1">
        <v>10.9</v>
      </c>
      <c r="D16" s="1"/>
      <c r="P16" s="1" t="s">
        <v>54</v>
      </c>
      <c r="Q16" s="1">
        <v>10</v>
      </c>
      <c r="R16" s="1"/>
      <c r="V16" s="2" t="s">
        <v>52</v>
      </c>
      <c r="W16" s="18">
        <f>C34/(C34+J17)</f>
        <v>0.1730504636154582</v>
      </c>
      <c r="X16" s="23"/>
      <c r="AD16" s="90">
        <v>7</v>
      </c>
      <c r="AE16" s="91">
        <v>0.25</v>
      </c>
      <c r="AF16" s="91">
        <v>1.5</v>
      </c>
      <c r="AG16" s="92">
        <v>20600</v>
      </c>
      <c r="AI16" s="36" t="s">
        <v>2</v>
      </c>
      <c r="AJ16" s="37"/>
      <c r="AK16" s="37"/>
      <c r="AL16" s="38"/>
      <c r="AM16" s="38"/>
      <c r="AN16" s="37"/>
      <c r="AO16" s="79"/>
      <c r="AQ16" s="42">
        <v>8</v>
      </c>
      <c r="AR16" s="28">
        <v>1.25</v>
      </c>
      <c r="AS16" s="28">
        <v>36.6</v>
      </c>
      <c r="AT16" s="29">
        <v>32.799999999999997</v>
      </c>
      <c r="AU16" s="52"/>
      <c r="AV16" s="27">
        <v>8</v>
      </c>
      <c r="AW16" s="28">
        <v>1</v>
      </c>
      <c r="AX16" s="28">
        <v>39.200000000000003</v>
      </c>
      <c r="AY16" s="43">
        <v>36</v>
      </c>
      <c r="BA16" s="49">
        <f>10</f>
        <v>10</v>
      </c>
      <c r="BB16" s="27">
        <v>0.19</v>
      </c>
      <c r="BC16" s="28">
        <v>24</v>
      </c>
      <c r="BD16" s="28">
        <v>1.7500000000000002E-2</v>
      </c>
      <c r="BE16" s="29">
        <v>1.4500000000000001E-2</v>
      </c>
      <c r="BF16" s="52"/>
      <c r="BG16" s="35">
        <f>10</f>
        <v>10</v>
      </c>
      <c r="BH16" s="27">
        <v>0.19</v>
      </c>
      <c r="BI16" s="28">
        <v>32</v>
      </c>
      <c r="BJ16" s="28">
        <v>0.02</v>
      </c>
      <c r="BK16" s="43">
        <v>1.7500000000000002E-2</v>
      </c>
    </row>
    <row r="17" spans="2:63" ht="15" customHeight="1" thickBot="1" x14ac:dyDescent="0.3">
      <c r="B17" s="2" t="s">
        <v>22</v>
      </c>
      <c r="C17" s="2">
        <f>SUM(C7:C9)+C13/2</f>
        <v>163</v>
      </c>
      <c r="D17" s="2" t="str">
        <f>IF($D$3="English","in", "mm")</f>
        <v>mm</v>
      </c>
      <c r="I17" s="2" t="s">
        <v>31</v>
      </c>
      <c r="J17" s="24">
        <f>SUM(N7:N11)^-1</f>
        <v>833740014178.03284</v>
      </c>
      <c r="K17" s="2" t="str">
        <f>IF($D$3="English","lbf/in","mN/m")</f>
        <v>mN/m</v>
      </c>
      <c r="O17" s="60" t="s">
        <v>113</v>
      </c>
      <c r="P17" s="1" t="s">
        <v>114</v>
      </c>
      <c r="Q17" s="93">
        <f>Q30</f>
        <v>0</v>
      </c>
      <c r="R17" s="1" t="str">
        <f>IF($D$3="English","lbf", "N")</f>
        <v>N</v>
      </c>
      <c r="V17" s="2" t="s">
        <v>59</v>
      </c>
      <c r="W17" s="94">
        <f>Q19/(1-W16)</f>
        <v>104577.11891114202</v>
      </c>
      <c r="X17" s="2" t="str">
        <f t="shared" ref="R17:AA27" si="6">IF($D$3="English","lbf", "N")</f>
        <v>N</v>
      </c>
      <c r="AD17" s="44">
        <v>8</v>
      </c>
      <c r="AE17" s="45">
        <v>0.25</v>
      </c>
      <c r="AF17" s="45">
        <v>1.5</v>
      </c>
      <c r="AG17" s="78">
        <v>23200</v>
      </c>
      <c r="AI17" s="68" t="s">
        <v>115</v>
      </c>
      <c r="AJ17" s="69" t="s">
        <v>108</v>
      </c>
      <c r="AK17" s="69" t="s">
        <v>109</v>
      </c>
      <c r="AL17" s="69" t="s">
        <v>116</v>
      </c>
      <c r="AM17" s="69" t="s">
        <v>117</v>
      </c>
      <c r="AN17" s="69" t="s">
        <v>118</v>
      </c>
      <c r="AO17" s="70" t="s">
        <v>100</v>
      </c>
      <c r="AQ17" s="42">
        <v>10</v>
      </c>
      <c r="AR17" s="28">
        <v>1.5</v>
      </c>
      <c r="AS17" s="28">
        <v>58</v>
      </c>
      <c r="AT17" s="29">
        <v>52.3</v>
      </c>
      <c r="AU17" s="52"/>
      <c r="AV17" s="27">
        <v>10</v>
      </c>
      <c r="AW17" s="28">
        <v>1.25</v>
      </c>
      <c r="AX17" s="28">
        <v>61.2</v>
      </c>
      <c r="AY17" s="43">
        <v>56.3</v>
      </c>
      <c r="BA17" s="49">
        <f>12</f>
        <v>12</v>
      </c>
      <c r="BB17" s="27">
        <v>0.216</v>
      </c>
      <c r="BC17" s="28">
        <v>24</v>
      </c>
      <c r="BD17" s="28">
        <v>2.4199999999999999E-2</v>
      </c>
      <c r="BE17" s="29">
        <v>2.06E-2</v>
      </c>
      <c r="BF17" s="52"/>
      <c r="BG17" s="35">
        <f>12</f>
        <v>12</v>
      </c>
      <c r="BH17" s="27">
        <v>0.216</v>
      </c>
      <c r="BI17" s="28">
        <v>28</v>
      </c>
      <c r="BJ17" s="28">
        <v>2.58E-2</v>
      </c>
      <c r="BK17" s="43">
        <v>2.2599999999999999E-2</v>
      </c>
    </row>
    <row r="18" spans="2:63" ht="15" customHeight="1" x14ac:dyDescent="0.25">
      <c r="B18" s="2" t="s">
        <v>21</v>
      </c>
      <c r="C18" s="2">
        <f>IF(F19,C19,IF(F18,C15,IF($D$3="English",IF(C15&lt;=6, 2*C13+0.25, 2*C13+0.5),IF(AND(C15&lt;=125,C13&lt;=48),2*C13+6,IF(C15&lt;=200,2*C13+12,2*C13+25)))))</f>
        <v>133</v>
      </c>
      <c r="D18" s="2" t="str">
        <f t="shared" ref="D18:D19" si="7">IF($D$3="English","in", "mm")</f>
        <v>mm</v>
      </c>
      <c r="E18" s="1" t="s">
        <v>34</v>
      </c>
      <c r="F18" s="20" t="b">
        <v>0</v>
      </c>
      <c r="I18" s="2"/>
      <c r="J18" s="19">
        <f>IF($D$3="English",J17*10^-6,J17*10^-9)</f>
        <v>833.74001417803288</v>
      </c>
      <c r="K18" s="2" t="str">
        <f>IF($D$3="English","Mlbf/in","MN/m")</f>
        <v>MN/m</v>
      </c>
      <c r="O18" s="60" t="s">
        <v>113</v>
      </c>
      <c r="P18" s="1" t="s">
        <v>119</v>
      </c>
      <c r="Q18" s="93">
        <f>Q31</f>
        <v>141764.36849323942</v>
      </c>
      <c r="R18" s="1" t="str">
        <f>IF($D$3="English","lbf", "N")</f>
        <v>N</v>
      </c>
      <c r="V18" s="2" t="s">
        <v>78</v>
      </c>
      <c r="W18" s="94">
        <f>IF($D$3="English",W10*$C$24,W10*$C$24)</f>
        <v>108099.99999999999</v>
      </c>
      <c r="X18" s="2" t="str">
        <f t="shared" si="6"/>
        <v>N</v>
      </c>
      <c r="AI18" s="42">
        <v>1</v>
      </c>
      <c r="AJ18" s="28">
        <v>0.25</v>
      </c>
      <c r="AK18" s="28">
        <v>1.5</v>
      </c>
      <c r="AL18" s="95">
        <v>33000</v>
      </c>
      <c r="AM18" s="95">
        <v>60000</v>
      </c>
      <c r="AN18" s="95">
        <v>36000</v>
      </c>
      <c r="AO18" s="74" t="s">
        <v>102</v>
      </c>
      <c r="AQ18" s="42">
        <v>12</v>
      </c>
      <c r="AR18" s="28">
        <v>1.75</v>
      </c>
      <c r="AS18" s="28">
        <v>84.3</v>
      </c>
      <c r="AT18" s="29">
        <v>76.3</v>
      </c>
      <c r="AU18" s="52"/>
      <c r="AV18" s="27">
        <v>12</v>
      </c>
      <c r="AW18" s="28">
        <v>1.25</v>
      </c>
      <c r="AX18" s="28">
        <v>92.1</v>
      </c>
      <c r="AY18" s="43">
        <v>86</v>
      </c>
      <c r="BA18" s="49">
        <f>1/4</f>
        <v>0.25</v>
      </c>
      <c r="BB18" s="27">
        <v>0.25</v>
      </c>
      <c r="BC18" s="28">
        <v>20</v>
      </c>
      <c r="BD18" s="28">
        <v>3.1800000000000002E-2</v>
      </c>
      <c r="BE18" s="29">
        <v>2.69E-2</v>
      </c>
      <c r="BF18" s="52"/>
      <c r="BG18" s="35">
        <f>1/4</f>
        <v>0.25</v>
      </c>
      <c r="BH18" s="27">
        <v>0.25</v>
      </c>
      <c r="BI18" s="28">
        <v>28</v>
      </c>
      <c r="BJ18" s="28">
        <v>3.6400000000000002E-2</v>
      </c>
      <c r="BK18" s="43">
        <v>3.2599999999999997E-2</v>
      </c>
    </row>
    <row r="19" spans="2:63" ht="15" customHeight="1" thickBot="1" x14ac:dyDescent="0.3">
      <c r="B19" s="1"/>
      <c r="C19" s="1">
        <v>133</v>
      </c>
      <c r="D19" s="1" t="str">
        <f t="shared" si="7"/>
        <v>mm</v>
      </c>
      <c r="E19" s="1" t="s">
        <v>72</v>
      </c>
      <c r="F19" s="20" t="b">
        <v>1</v>
      </c>
      <c r="P19" s="1" t="s">
        <v>64</v>
      </c>
      <c r="Q19" s="55">
        <f>IF(T20,Q20,W18*T19)</f>
        <v>86480</v>
      </c>
      <c r="R19" s="2" t="str">
        <f t="shared" si="6"/>
        <v>N</v>
      </c>
      <c r="S19" s="1" t="s">
        <v>79</v>
      </c>
      <c r="T19" s="59">
        <v>0.8</v>
      </c>
      <c r="AD19" s="6" t="s">
        <v>120</v>
      </c>
      <c r="AI19" s="85">
        <v>2</v>
      </c>
      <c r="AJ19" s="86">
        <v>0.25</v>
      </c>
      <c r="AK19" s="86">
        <v>0.75</v>
      </c>
      <c r="AL19" s="77">
        <v>55000</v>
      </c>
      <c r="AM19" s="77">
        <v>74000</v>
      </c>
      <c r="AN19" s="77">
        <v>57000</v>
      </c>
      <c r="AO19" s="96" t="s">
        <v>102</v>
      </c>
      <c r="AQ19" s="42">
        <v>14</v>
      </c>
      <c r="AR19" s="28">
        <v>2</v>
      </c>
      <c r="AS19" s="28">
        <v>115</v>
      </c>
      <c r="AT19" s="29">
        <v>104</v>
      </c>
      <c r="AU19" s="52"/>
      <c r="AV19" s="27">
        <v>14</v>
      </c>
      <c r="AW19" s="28">
        <v>1.5</v>
      </c>
      <c r="AX19" s="28">
        <v>125</v>
      </c>
      <c r="AY19" s="43">
        <v>116</v>
      </c>
      <c r="BA19" s="49">
        <f>5/16</f>
        <v>0.3125</v>
      </c>
      <c r="BB19" s="27">
        <v>0.3125</v>
      </c>
      <c r="BC19" s="28">
        <v>18</v>
      </c>
      <c r="BD19" s="28">
        <v>5.2400000000000002E-2</v>
      </c>
      <c r="BE19" s="29">
        <v>4.5400000000000003E-2</v>
      </c>
      <c r="BF19" s="52"/>
      <c r="BG19" s="35">
        <f>5/16</f>
        <v>0.3125</v>
      </c>
      <c r="BH19" s="27">
        <v>0.3125</v>
      </c>
      <c r="BI19" s="28">
        <v>24</v>
      </c>
      <c r="BJ19" s="28">
        <v>5.8000000000000003E-2</v>
      </c>
      <c r="BK19" s="43">
        <v>5.2400000000000002E-2</v>
      </c>
    </row>
    <row r="20" spans="2:63" ht="15" customHeight="1" x14ac:dyDescent="0.25">
      <c r="B20" s="2" t="s">
        <v>24</v>
      </c>
      <c r="C20" s="2">
        <f>C15-C18</f>
        <v>105</v>
      </c>
      <c r="D20" s="2" t="str">
        <f>IF($D$3="English","in", "mm")</f>
        <v>mm</v>
      </c>
      <c r="I20" s="25" t="s">
        <v>52</v>
      </c>
      <c r="J20" s="97">
        <f>W16</f>
        <v>0.1730504636154582</v>
      </c>
      <c r="P20" s="1"/>
      <c r="Q20" s="56"/>
      <c r="R20" s="1" t="str">
        <f t="shared" si="6"/>
        <v>N</v>
      </c>
      <c r="S20" s="1" t="s">
        <v>69</v>
      </c>
      <c r="T20" s="20" t="b">
        <v>0</v>
      </c>
      <c r="V20" s="2" t="s">
        <v>121</v>
      </c>
      <c r="W20" s="94">
        <f>Q17/Q16</f>
        <v>0</v>
      </c>
      <c r="X20" s="2" t="str">
        <f>IF($D$3="English","lbf", "N")</f>
        <v>N</v>
      </c>
      <c r="Y20" s="2" t="s">
        <v>122</v>
      </c>
      <c r="Z20" s="94">
        <f>0.5*(W21-W20)</f>
        <v>7088.2184246619709</v>
      </c>
      <c r="AA20" s="2" t="str">
        <f t="shared" si="6"/>
        <v>N</v>
      </c>
      <c r="AD20" s="98" cm="1">
        <f t="array" ref="AD20:AG20">IF($D$3="English",_xlfn._xlws.FILTER(AD14:AG17,AD14:AD17=C16,AD18:AG19=NA()), _xlfn._xlws.FILTER(AD7:AG10,AD7:AD10=C16,AD18:AG19=NA()))</f>
        <v>10.9</v>
      </c>
      <c r="AE20" s="99">
        <v>5</v>
      </c>
      <c r="AF20" s="99">
        <v>36</v>
      </c>
      <c r="AG20" s="100">
        <v>162000000</v>
      </c>
      <c r="AI20" s="87">
        <v>2</v>
      </c>
      <c r="AJ20" s="88">
        <v>0.875</v>
      </c>
      <c r="AK20" s="88">
        <v>1.5</v>
      </c>
      <c r="AL20" s="101">
        <v>33000</v>
      </c>
      <c r="AM20" s="101">
        <v>60000</v>
      </c>
      <c r="AN20" s="101">
        <v>36000</v>
      </c>
      <c r="AO20" s="102" t="e">
        <f>NA()</f>
        <v>#N/A</v>
      </c>
      <c r="AQ20" s="42">
        <v>16</v>
      </c>
      <c r="AR20" s="28">
        <v>2</v>
      </c>
      <c r="AS20" s="28">
        <v>157</v>
      </c>
      <c r="AT20" s="29">
        <v>144</v>
      </c>
      <c r="AU20" s="52"/>
      <c r="AV20" s="27">
        <v>16</v>
      </c>
      <c r="AW20" s="28">
        <v>1.5</v>
      </c>
      <c r="AX20" s="28">
        <v>167</v>
      </c>
      <c r="AY20" s="43">
        <v>157</v>
      </c>
      <c r="BA20" s="49">
        <f>3/8</f>
        <v>0.375</v>
      </c>
      <c r="BB20" s="27">
        <v>0.375</v>
      </c>
      <c r="BC20" s="28">
        <v>16</v>
      </c>
      <c r="BD20" s="28">
        <v>7.7499999999999999E-2</v>
      </c>
      <c r="BE20" s="29">
        <v>6.7799999999999999E-2</v>
      </c>
      <c r="BF20" s="52"/>
      <c r="BG20" s="35">
        <f>3/8</f>
        <v>0.375</v>
      </c>
      <c r="BH20" s="27">
        <v>0.375</v>
      </c>
      <c r="BI20" s="28">
        <v>24</v>
      </c>
      <c r="BJ20" s="28">
        <v>8.7800000000000003E-2</v>
      </c>
      <c r="BK20" s="43">
        <v>8.09E-2</v>
      </c>
    </row>
    <row r="21" spans="2:63" ht="15" customHeight="1" thickBot="1" x14ac:dyDescent="0.3">
      <c r="B21" s="2" t="s">
        <v>25</v>
      </c>
      <c r="C21" s="2">
        <f>C17-C20</f>
        <v>58</v>
      </c>
      <c r="D21" s="2" t="str">
        <f>IF($D$3="English","in", "mm")</f>
        <v>mm</v>
      </c>
      <c r="V21" s="2" t="s">
        <v>123</v>
      </c>
      <c r="W21" s="94">
        <f>Q18/Q16</f>
        <v>14176.436849323942</v>
      </c>
      <c r="X21" s="2" t="str">
        <f>IF($D$3="English","lbf", "N")</f>
        <v>N</v>
      </c>
      <c r="Y21" s="2" t="s">
        <v>124</v>
      </c>
      <c r="Z21" s="94">
        <f>0.5*(W21+W20)</f>
        <v>7088.2184246619709</v>
      </c>
      <c r="AA21" s="2" t="str">
        <f t="shared" si="6"/>
        <v>N</v>
      </c>
      <c r="AD21" s="103"/>
      <c r="AE21" s="104"/>
      <c r="AF21" s="104"/>
      <c r="AG21" s="105"/>
      <c r="AI21" s="42">
        <v>4</v>
      </c>
      <c r="AJ21" s="28">
        <v>0.25</v>
      </c>
      <c r="AK21" s="28">
        <v>1.5</v>
      </c>
      <c r="AL21" s="95">
        <v>65000</v>
      </c>
      <c r="AM21" s="95">
        <v>115000</v>
      </c>
      <c r="AN21" s="95">
        <v>100000</v>
      </c>
      <c r="AO21" s="74" t="s">
        <v>125</v>
      </c>
      <c r="AQ21" s="42">
        <v>20</v>
      </c>
      <c r="AR21" s="28">
        <v>2.5</v>
      </c>
      <c r="AS21" s="28">
        <v>245</v>
      </c>
      <c r="AT21" s="29">
        <v>225</v>
      </c>
      <c r="AU21" s="52"/>
      <c r="AV21" s="27">
        <v>20</v>
      </c>
      <c r="AW21" s="28">
        <v>1.5</v>
      </c>
      <c r="AX21" s="28">
        <v>272</v>
      </c>
      <c r="AY21" s="43">
        <v>259</v>
      </c>
      <c r="BA21" s="49">
        <f>7/16</f>
        <v>0.4375</v>
      </c>
      <c r="BB21" s="27">
        <v>0.4375</v>
      </c>
      <c r="BC21" s="28">
        <v>14</v>
      </c>
      <c r="BD21" s="28">
        <v>0.10630000000000001</v>
      </c>
      <c r="BE21" s="29">
        <v>9.3299999999999994E-2</v>
      </c>
      <c r="BF21" s="52"/>
      <c r="BG21" s="35">
        <f>7/16</f>
        <v>0.4375</v>
      </c>
      <c r="BH21" s="27">
        <v>0.4375</v>
      </c>
      <c r="BI21" s="28">
        <v>20</v>
      </c>
      <c r="BJ21" s="28">
        <v>0.1187</v>
      </c>
      <c r="BK21" s="43">
        <v>0.109</v>
      </c>
    </row>
    <row r="22" spans="2:63" ht="15" customHeight="1" x14ac:dyDescent="0.25">
      <c r="B22" s="2" t="s">
        <v>6</v>
      </c>
      <c r="C22" s="18">
        <f>(PI()*(C13^2))/4</f>
        <v>153.93804002589985</v>
      </c>
      <c r="D22" s="2" t="str">
        <f>IF($D$3="English","in^2","mm^2")</f>
        <v>mm^2</v>
      </c>
      <c r="P22" s="8" t="s">
        <v>130</v>
      </c>
      <c r="Q22" s="8"/>
      <c r="R22" s="8"/>
      <c r="U22" s="60"/>
      <c r="AI22" s="85">
        <v>5</v>
      </c>
      <c r="AJ22" s="86">
        <v>0.25</v>
      </c>
      <c r="AK22" s="86">
        <v>1</v>
      </c>
      <c r="AL22" s="77">
        <v>85000</v>
      </c>
      <c r="AM22" s="77">
        <v>120000</v>
      </c>
      <c r="AN22" s="77">
        <v>92000</v>
      </c>
      <c r="AO22" s="96" t="s">
        <v>105</v>
      </c>
      <c r="AQ22" s="42">
        <v>24</v>
      </c>
      <c r="AR22" s="28">
        <v>3</v>
      </c>
      <c r="AS22" s="28">
        <v>353</v>
      </c>
      <c r="AT22" s="29">
        <v>324</v>
      </c>
      <c r="AU22" s="52"/>
      <c r="AV22" s="27">
        <v>24</v>
      </c>
      <c r="AW22" s="28">
        <v>2</v>
      </c>
      <c r="AX22" s="28">
        <v>384</v>
      </c>
      <c r="AY22" s="43">
        <v>365</v>
      </c>
      <c r="BA22" s="49">
        <f>1/2</f>
        <v>0.5</v>
      </c>
      <c r="BB22" s="27">
        <v>0.5</v>
      </c>
      <c r="BC22" s="28">
        <v>13</v>
      </c>
      <c r="BD22" s="28">
        <v>0.1419</v>
      </c>
      <c r="BE22" s="29">
        <v>0.12570000000000001</v>
      </c>
      <c r="BF22" s="52"/>
      <c r="BG22" s="35">
        <f>1/2</f>
        <v>0.5</v>
      </c>
      <c r="BH22" s="27">
        <v>0.5</v>
      </c>
      <c r="BI22" s="28">
        <v>20</v>
      </c>
      <c r="BJ22" s="28">
        <v>0.15989999999999999</v>
      </c>
      <c r="BK22" s="43">
        <v>0.14860000000000001</v>
      </c>
    </row>
    <row r="23" spans="2:63" ht="15" customHeight="1" x14ac:dyDescent="0.25">
      <c r="B23" s="2" t="s">
        <v>7</v>
      </c>
      <c r="C23" s="2">
        <f>IF($D$3="English",IF($C$14="UNC",VLOOKUP($C$13,$BB$8:$BE$29,3,FALSE),VLOOKUP($C$13,$BH$8:$BK$29,3,FALSE)), IF($C$14="UNC",VLOOKUP($C$13,$AQ$8:$AT$33,3,FALSE),VLOOKUP($C$13,$AV$8:$AY$33,3,FALSE)))</f>
        <v>115</v>
      </c>
      <c r="D23" s="2" t="str">
        <f>IF($D$3="English","in^2","mm^2")</f>
        <v>mm^2</v>
      </c>
      <c r="P23" s="1" t="s">
        <v>133</v>
      </c>
      <c r="Q23" s="108">
        <v>95</v>
      </c>
      <c r="R23" s="1" t="str">
        <f t="shared" ref="R23" si="8">IF($D$3="English","in", "mm")</f>
        <v>mm</v>
      </c>
      <c r="V23" s="2" t="s">
        <v>126</v>
      </c>
      <c r="W23" s="94">
        <f>$W$16*W20+$Q$19</f>
        <v>86480</v>
      </c>
      <c r="X23" s="2" t="str">
        <f t="shared" si="6"/>
        <v>N</v>
      </c>
      <c r="Y23" s="2" t="s">
        <v>127</v>
      </c>
      <c r="Z23" s="94">
        <f>0.5*(W24-W23)</f>
        <v>1226.6194845953869</v>
      </c>
      <c r="AA23" s="2" t="str">
        <f t="shared" si="6"/>
        <v>N</v>
      </c>
      <c r="AI23" s="87">
        <v>5</v>
      </c>
      <c r="AJ23" s="88">
        <v>1.125</v>
      </c>
      <c r="AK23" s="88">
        <v>1.5</v>
      </c>
      <c r="AL23" s="101">
        <v>74000</v>
      </c>
      <c r="AM23" s="101">
        <v>105000</v>
      </c>
      <c r="AN23" s="101">
        <v>81000</v>
      </c>
      <c r="AO23" s="102" t="e">
        <f>NA()</f>
        <v>#N/A</v>
      </c>
      <c r="AQ23" s="42">
        <v>30</v>
      </c>
      <c r="AR23" s="28">
        <v>3.5</v>
      </c>
      <c r="AS23" s="28">
        <v>561</v>
      </c>
      <c r="AT23" s="29">
        <v>519</v>
      </c>
      <c r="AU23" s="52"/>
      <c r="AV23" s="27">
        <v>30</v>
      </c>
      <c r="AW23" s="28">
        <v>2</v>
      </c>
      <c r="AX23" s="28">
        <v>621</v>
      </c>
      <c r="AY23" s="43">
        <v>596</v>
      </c>
      <c r="BA23" s="49">
        <f>9/16</f>
        <v>0.5625</v>
      </c>
      <c r="BB23" s="27">
        <v>0.5625</v>
      </c>
      <c r="BC23" s="28">
        <v>12</v>
      </c>
      <c r="BD23" s="28">
        <v>0.182</v>
      </c>
      <c r="BE23" s="29">
        <v>0.16200000000000001</v>
      </c>
      <c r="BF23" s="52"/>
      <c r="BG23" s="35">
        <f>9/16</f>
        <v>0.5625</v>
      </c>
      <c r="BH23" s="27">
        <v>0.5625</v>
      </c>
      <c r="BI23" s="28">
        <v>18</v>
      </c>
      <c r="BJ23" s="28">
        <v>0.20300000000000001</v>
      </c>
      <c r="BK23" s="43">
        <v>0.189</v>
      </c>
    </row>
    <row r="24" spans="2:63" ht="15" customHeight="1" x14ac:dyDescent="0.25">
      <c r="B24" s="2"/>
      <c r="C24" s="67">
        <f>IF($D$3="English",C23,C23*10^-6)</f>
        <v>1.1499999999999999E-4</v>
      </c>
      <c r="D24" s="2" t="str">
        <f>IF($D$3="English","in^2","m^2")</f>
        <v>m^2</v>
      </c>
      <c r="P24" s="1"/>
      <c r="Q24" s="2">
        <f>Q23*10^-3</f>
        <v>9.5000000000000001E-2</v>
      </c>
      <c r="R24" s="2" t="str">
        <f>IF($D$3="English","*10^3 in", "m")</f>
        <v>m</v>
      </c>
      <c r="V24" s="2" t="s">
        <v>128</v>
      </c>
      <c r="W24" s="94">
        <f>$W$16*W21+$Q$19</f>
        <v>88933.238969190774</v>
      </c>
      <c r="X24" s="2" t="str">
        <f t="shared" si="6"/>
        <v>N</v>
      </c>
      <c r="Y24" s="2" t="s">
        <v>129</v>
      </c>
      <c r="Z24" s="94">
        <f>0.5*(W24+W23)</f>
        <v>87706.619484595387</v>
      </c>
      <c r="AA24" s="2" t="str">
        <f t="shared" si="6"/>
        <v>N</v>
      </c>
      <c r="AI24" s="90">
        <v>5.2</v>
      </c>
      <c r="AJ24" s="91">
        <v>0.25</v>
      </c>
      <c r="AK24" s="91">
        <v>1</v>
      </c>
      <c r="AL24" s="95">
        <v>85000</v>
      </c>
      <c r="AM24" s="95">
        <v>120000</v>
      </c>
      <c r="AN24" s="95">
        <v>92000</v>
      </c>
      <c r="AO24" s="106" t="s">
        <v>107</v>
      </c>
      <c r="AQ24" s="42">
        <v>36</v>
      </c>
      <c r="AR24" s="28">
        <v>4</v>
      </c>
      <c r="AS24" s="28">
        <v>817</v>
      </c>
      <c r="AT24" s="29">
        <v>759</v>
      </c>
      <c r="AU24" s="52"/>
      <c r="AV24" s="27">
        <v>36</v>
      </c>
      <c r="AW24" s="28">
        <v>2</v>
      </c>
      <c r="AX24" s="28">
        <v>915</v>
      </c>
      <c r="AY24" s="43">
        <v>884</v>
      </c>
      <c r="BA24" s="49">
        <f>5/8</f>
        <v>0.625</v>
      </c>
      <c r="BB24" s="27">
        <v>0.625</v>
      </c>
      <c r="BC24" s="28">
        <v>11</v>
      </c>
      <c r="BD24" s="28">
        <v>0.22600000000000001</v>
      </c>
      <c r="BE24" s="29">
        <v>0.20200000000000001</v>
      </c>
      <c r="BF24" s="52"/>
      <c r="BG24" s="35">
        <f>5/8</f>
        <v>0.625</v>
      </c>
      <c r="BH24" s="27">
        <v>0.625</v>
      </c>
      <c r="BI24" s="28">
        <v>18</v>
      </c>
      <c r="BJ24" s="28">
        <v>0.25600000000000001</v>
      </c>
      <c r="BK24" s="43">
        <v>0.24</v>
      </c>
    </row>
    <row r="25" spans="2:63" ht="15" customHeight="1" x14ac:dyDescent="0.25">
      <c r="B25" s="2" t="str">
        <f>IF($D$3="English","Bolt threads per inch, p","Bolt pitch, p")</f>
        <v>Bolt pitch, p</v>
      </c>
      <c r="C25" s="2">
        <f>IF($D$3="English",IF($C$14="UNC",VLOOKUP($C$13,$BB$8:$BE$29,2,FALSE),VLOOKUP($C$13,$BH$8:$BK$29,2,FALSE)), IF($C$14="UNC",VLOOKUP($C$13,$AQ$8:$AT$33,2,FALSE),VLOOKUP($C$13,$AV$8:$AY$33,2,FALSE)))</f>
        <v>2</v>
      </c>
      <c r="D25" s="2" t="str">
        <f>IF($D$3="English","threads/in","mm")</f>
        <v>mm</v>
      </c>
      <c r="P25" s="2" t="s">
        <v>139</v>
      </c>
      <c r="Q25" s="2">
        <f>IF($D$3="English",PI()*(Q23^2)*0.25,PI()*(Q24^2)*0.25)</f>
        <v>7.0882184246619708E-3</v>
      </c>
      <c r="R25" s="2" t="str">
        <f>IF($D$3="English","in^2","m^2")</f>
        <v>m^2</v>
      </c>
      <c r="AI25" s="90">
        <v>7</v>
      </c>
      <c r="AJ25" s="91">
        <v>0.25</v>
      </c>
      <c r="AK25" s="91">
        <v>1.5</v>
      </c>
      <c r="AL25" s="95">
        <v>105000</v>
      </c>
      <c r="AM25" s="95">
        <v>133000</v>
      </c>
      <c r="AN25" s="95">
        <v>115000</v>
      </c>
      <c r="AO25" s="106" t="s">
        <v>131</v>
      </c>
      <c r="AQ25" s="42">
        <v>42</v>
      </c>
      <c r="AR25" s="28">
        <v>4.5</v>
      </c>
      <c r="AS25" s="28">
        <v>1120</v>
      </c>
      <c r="AT25" s="29">
        <v>1050</v>
      </c>
      <c r="AU25" s="52"/>
      <c r="AV25" s="27">
        <v>42</v>
      </c>
      <c r="AW25" s="28">
        <v>2</v>
      </c>
      <c r="AX25" s="28">
        <v>1260</v>
      </c>
      <c r="AY25" s="43">
        <v>1230</v>
      </c>
      <c r="BA25" s="49">
        <f>3/4</f>
        <v>0.75</v>
      </c>
      <c r="BB25" s="27">
        <v>0.75</v>
      </c>
      <c r="BC25" s="28">
        <v>10</v>
      </c>
      <c r="BD25" s="28">
        <v>0.33400000000000002</v>
      </c>
      <c r="BE25" s="29">
        <v>0.30199999999999999</v>
      </c>
      <c r="BF25" s="52"/>
      <c r="BG25" s="35">
        <f>3/4</f>
        <v>0.75</v>
      </c>
      <c r="BH25" s="27">
        <v>0.75</v>
      </c>
      <c r="BI25" s="28">
        <v>16</v>
      </c>
      <c r="BJ25" s="28">
        <v>0.373</v>
      </c>
      <c r="BK25" s="43">
        <v>0.35099999999999998</v>
      </c>
    </row>
    <row r="26" spans="2:63" ht="15" customHeight="1" x14ac:dyDescent="0.25">
      <c r="I26" s="107" t="s">
        <v>132</v>
      </c>
      <c r="J26" s="107"/>
      <c r="K26" s="107"/>
      <c r="L26" s="107"/>
      <c r="M26" s="107"/>
      <c r="U26" s="60"/>
      <c r="V26" s="2" t="s">
        <v>134</v>
      </c>
      <c r="W26" s="94">
        <f>(1-$W$16)*W20-$Q$19</f>
        <v>-86480</v>
      </c>
      <c r="X26" s="2" t="str">
        <f t="shared" si="6"/>
        <v>N</v>
      </c>
      <c r="AI26" s="90">
        <v>8</v>
      </c>
      <c r="AJ26" s="91">
        <v>0.25</v>
      </c>
      <c r="AK26" s="91">
        <v>1.5</v>
      </c>
      <c r="AL26" s="95">
        <v>120000</v>
      </c>
      <c r="AM26" s="95">
        <v>150000</v>
      </c>
      <c r="AN26" s="95">
        <v>130000</v>
      </c>
      <c r="AO26" s="106" t="s">
        <v>131</v>
      </c>
      <c r="AQ26" s="42">
        <v>48</v>
      </c>
      <c r="AR26" s="28">
        <v>5</v>
      </c>
      <c r="AS26" s="28">
        <v>1470</v>
      </c>
      <c r="AT26" s="29">
        <v>1380</v>
      </c>
      <c r="AU26" s="52"/>
      <c r="AV26" s="27">
        <v>48</v>
      </c>
      <c r="AW26" s="28">
        <v>2</v>
      </c>
      <c r="AX26" s="28">
        <v>1670</v>
      </c>
      <c r="AY26" s="43">
        <v>1630</v>
      </c>
      <c r="BA26" s="49">
        <f>7/8</f>
        <v>0.875</v>
      </c>
      <c r="BB26" s="27">
        <v>0.875</v>
      </c>
      <c r="BC26" s="28">
        <v>9</v>
      </c>
      <c r="BD26" s="28">
        <v>0.46200000000000002</v>
      </c>
      <c r="BE26" s="29">
        <v>0.41899999999999998</v>
      </c>
      <c r="BF26" s="52"/>
      <c r="BG26" s="35">
        <f>7/8</f>
        <v>0.875</v>
      </c>
      <c r="BH26" s="27">
        <v>0.875</v>
      </c>
      <c r="BI26" s="28">
        <v>14</v>
      </c>
      <c r="BJ26" s="28">
        <v>0.50900000000000001</v>
      </c>
      <c r="BK26" s="43">
        <v>0.48</v>
      </c>
    </row>
    <row r="27" spans="2:63" ht="15" customHeight="1" thickBot="1" x14ac:dyDescent="0.3">
      <c r="B27" s="1" t="s">
        <v>8</v>
      </c>
      <c r="C27" s="20" t="b">
        <v>0</v>
      </c>
      <c r="D27" s="109" t="s">
        <v>135</v>
      </c>
      <c r="E27" s="62"/>
      <c r="F27" s="62"/>
      <c r="I27" s="107" t="s">
        <v>136</v>
      </c>
      <c r="J27" s="107"/>
      <c r="K27" s="107"/>
      <c r="L27" s="107"/>
      <c r="M27" s="107"/>
      <c r="P27" s="1" t="s">
        <v>142</v>
      </c>
      <c r="Q27" s="93">
        <v>0</v>
      </c>
      <c r="R27" s="1" t="str">
        <f t="shared" ref="R27:R28" si="9">IF($D$3="English","psi","Pa")</f>
        <v>Pa</v>
      </c>
      <c r="V27" s="2" t="s">
        <v>137</v>
      </c>
      <c r="W27" s="94">
        <f>(1-$W$16)*W21-$Q$19</f>
        <v>-74756.802119866828</v>
      </c>
      <c r="X27" s="2" t="str">
        <f t="shared" si="6"/>
        <v>N</v>
      </c>
      <c r="AI27" s="110">
        <v>8.1999999999999993</v>
      </c>
      <c r="AJ27" s="111">
        <v>0.25</v>
      </c>
      <c r="AK27" s="111">
        <v>1</v>
      </c>
      <c r="AL27" s="81">
        <v>120000</v>
      </c>
      <c r="AM27" s="81">
        <v>150000</v>
      </c>
      <c r="AN27" s="81">
        <v>130000</v>
      </c>
      <c r="AO27" s="112" t="s">
        <v>107</v>
      </c>
      <c r="AQ27" s="42">
        <v>56</v>
      </c>
      <c r="AR27" s="28">
        <v>5.5</v>
      </c>
      <c r="AS27" s="28">
        <v>2030</v>
      </c>
      <c r="AT27" s="29">
        <v>1910</v>
      </c>
      <c r="AU27" s="52"/>
      <c r="AV27" s="27">
        <v>56</v>
      </c>
      <c r="AW27" s="28">
        <v>2</v>
      </c>
      <c r="AX27" s="28">
        <v>2300</v>
      </c>
      <c r="AY27" s="43">
        <v>2250</v>
      </c>
      <c r="BA27" s="49">
        <f>1</f>
        <v>1</v>
      </c>
      <c r="BB27" s="27">
        <v>1</v>
      </c>
      <c r="BC27" s="28">
        <v>8</v>
      </c>
      <c r="BD27" s="28">
        <v>0.60599999999999998</v>
      </c>
      <c r="BE27" s="29">
        <v>0.55100000000000005</v>
      </c>
      <c r="BF27" s="52"/>
      <c r="BG27" s="35">
        <f>1</f>
        <v>1</v>
      </c>
      <c r="BH27" s="27">
        <v>1</v>
      </c>
      <c r="BI27" s="28">
        <v>12</v>
      </c>
      <c r="BJ27" s="28">
        <v>0.66300000000000003</v>
      </c>
      <c r="BK27" s="43">
        <v>0.625</v>
      </c>
    </row>
    <row r="28" spans="2:63" ht="15" customHeight="1" x14ac:dyDescent="0.25">
      <c r="B28" s="1" t="s">
        <v>9</v>
      </c>
      <c r="C28" s="21" t="b">
        <f>NOT(C27)</f>
        <v>1</v>
      </c>
      <c r="D28" s="109" t="s">
        <v>138</v>
      </c>
      <c r="E28" s="62"/>
      <c r="F28" s="62"/>
      <c r="I28" s="113" t="str">
        <f>V21</f>
        <v>External Load per joint, Pmax</v>
      </c>
      <c r="J28" s="113"/>
      <c r="K28" s="113">
        <f>W21</f>
        <v>14176.436849323942</v>
      </c>
      <c r="P28" s="1" t="s">
        <v>144</v>
      </c>
      <c r="Q28" s="93">
        <f>20*10^6</f>
        <v>20000000</v>
      </c>
      <c r="R28" s="1" t="str">
        <f t="shared" si="9"/>
        <v>Pa</v>
      </c>
      <c r="AQ28" s="42">
        <v>64</v>
      </c>
      <c r="AR28" s="28">
        <v>6</v>
      </c>
      <c r="AS28" s="28">
        <v>2680</v>
      </c>
      <c r="AT28" s="29">
        <v>2520</v>
      </c>
      <c r="AU28" s="52"/>
      <c r="AV28" s="27">
        <v>64</v>
      </c>
      <c r="AW28" s="28">
        <v>2</v>
      </c>
      <c r="AX28" s="28">
        <v>3030</v>
      </c>
      <c r="AY28" s="43">
        <v>2980</v>
      </c>
      <c r="BA28" s="49">
        <f>1.25</f>
        <v>1.25</v>
      </c>
      <c r="BB28" s="27">
        <v>1.25</v>
      </c>
      <c r="BC28" s="28">
        <v>7</v>
      </c>
      <c r="BD28" s="28">
        <v>0.96899999999999997</v>
      </c>
      <c r="BE28" s="29">
        <v>0.89</v>
      </c>
      <c r="BF28" s="52"/>
      <c r="BG28" s="35">
        <f>1.25</f>
        <v>1.25</v>
      </c>
      <c r="BH28" s="27">
        <v>1.25</v>
      </c>
      <c r="BI28" s="28">
        <v>12</v>
      </c>
      <c r="BJ28" s="28">
        <v>1.073</v>
      </c>
      <c r="BK28" s="43">
        <v>1.024</v>
      </c>
    </row>
    <row r="29" spans="2:63" ht="15" customHeight="1" thickBot="1" x14ac:dyDescent="0.3">
      <c r="V29" s="11" t="s">
        <v>140</v>
      </c>
      <c r="W29" s="11"/>
      <c r="X29" s="12"/>
      <c r="Y29" s="12"/>
      <c r="Z29" s="12"/>
      <c r="AA29" s="12"/>
      <c r="AI29" s="104" t="s">
        <v>141</v>
      </c>
      <c r="AJ29" s="104"/>
      <c r="AK29" s="104"/>
      <c r="AL29" s="104"/>
      <c r="AM29" s="104"/>
      <c r="AN29" s="104"/>
      <c r="AO29" s="104"/>
      <c r="AQ29" s="42">
        <v>72</v>
      </c>
      <c r="AR29" s="28">
        <v>6</v>
      </c>
      <c r="AS29" s="28">
        <v>3460</v>
      </c>
      <c r="AT29" s="29">
        <v>3280</v>
      </c>
      <c r="AU29" s="52"/>
      <c r="AV29" s="27">
        <v>72</v>
      </c>
      <c r="AW29" s="28">
        <v>2</v>
      </c>
      <c r="AX29" s="28">
        <v>3860</v>
      </c>
      <c r="AY29" s="43">
        <v>3800</v>
      </c>
      <c r="BA29" s="50">
        <f>1.5</f>
        <v>1.5</v>
      </c>
      <c r="BB29" s="47">
        <v>1.5</v>
      </c>
      <c r="BC29" s="45">
        <v>6</v>
      </c>
      <c r="BD29" s="45">
        <v>1.405</v>
      </c>
      <c r="BE29" s="46">
        <v>1.294</v>
      </c>
      <c r="BF29" s="53"/>
      <c r="BG29" s="51">
        <f>1.5</f>
        <v>1.5</v>
      </c>
      <c r="BH29" s="47">
        <v>1.5</v>
      </c>
      <c r="BI29" s="45">
        <v>12</v>
      </c>
      <c r="BJ29" s="45">
        <v>1.581</v>
      </c>
      <c r="BK29" s="48">
        <v>1.5209999999999999</v>
      </c>
    </row>
    <row r="30" spans="2:63" ht="15" customHeight="1" x14ac:dyDescent="0.25">
      <c r="B30" s="2" t="s">
        <v>35</v>
      </c>
      <c r="C30" s="24">
        <f>IF(C20=0,0,(C22*C12)/C20)</f>
        <v>303477850336.77399</v>
      </c>
      <c r="D30" s="2" t="str">
        <f>IF($D$3="English","lbf/in","mN/m")</f>
        <v>mN/m</v>
      </c>
      <c r="P30" s="2" t="s">
        <v>114</v>
      </c>
      <c r="Q30" s="94">
        <f>Q27*$Q$25</f>
        <v>0</v>
      </c>
      <c r="R30" s="2" t="str">
        <f>IF($D$3="English","lbf", "N")</f>
        <v>N</v>
      </c>
      <c r="V30" s="2" t="s">
        <v>143</v>
      </c>
      <c r="W30" s="75">
        <f>Q19/$C$24</f>
        <v>752000000.00000012</v>
      </c>
      <c r="X30" s="2" t="str">
        <f>IF($D$3="English","psi","Pa")</f>
        <v>Pa</v>
      </c>
      <c r="AI30" s="98" cm="1">
        <f t="array" ref="AI30:AO30">IF($D$3="English",_xlfn._xlws.FILTER(AI18:AO27,AI18:AI27=C16,AI28:AO29=NA()), _xlfn._xlws.FILTER(AI7:AO13,AI7:AI13=C16,AI28:AO29=NA()))</f>
        <v>10.9</v>
      </c>
      <c r="AJ30" s="99">
        <v>5</v>
      </c>
      <c r="AK30" s="99">
        <v>36</v>
      </c>
      <c r="AL30" s="114">
        <v>830000000</v>
      </c>
      <c r="AM30" s="115">
        <v>1040000000</v>
      </c>
      <c r="AN30" s="115">
        <v>940000000</v>
      </c>
      <c r="AO30" s="116" t="str">
        <v>Low-carbon martensite, Q&amp;T</v>
      </c>
      <c r="AQ30" s="42">
        <v>80</v>
      </c>
      <c r="AR30" s="28">
        <v>6</v>
      </c>
      <c r="AS30" s="28">
        <v>4340</v>
      </c>
      <c r="AT30" s="29">
        <v>4140</v>
      </c>
      <c r="AU30" s="52"/>
      <c r="AV30" s="27">
        <v>80</v>
      </c>
      <c r="AW30" s="28">
        <v>1.5</v>
      </c>
      <c r="AX30" s="28">
        <v>4850</v>
      </c>
      <c r="AY30" s="43">
        <v>4800</v>
      </c>
    </row>
    <row r="31" spans="2:63" ht="15" customHeight="1" thickBot="1" x14ac:dyDescent="0.3">
      <c r="B31" s="2"/>
      <c r="C31" s="19">
        <f>IF($D$3="English",C30*10^-6,C30*10^-9)</f>
        <v>303.477850336774</v>
      </c>
      <c r="D31" s="2" t="str">
        <f>IF($D$3="English","Mlbf/in","MN/m")</f>
        <v>MN/m</v>
      </c>
      <c r="P31" s="2" t="s">
        <v>119</v>
      </c>
      <c r="Q31" s="94">
        <f>Q28*$Q$25</f>
        <v>141764.36849323942</v>
      </c>
      <c r="R31" s="2" t="str">
        <f>IF($D$3="English","lbf", "N")</f>
        <v>N</v>
      </c>
      <c r="V31" s="2"/>
      <c r="W31" s="19">
        <f>IF($D$3="English",W30*10^-3,W30*10^-6)</f>
        <v>752.00000000000011</v>
      </c>
      <c r="X31" s="2" t="str">
        <f>IF($D$3="English","kpsi","MPa")</f>
        <v>MPa</v>
      </c>
      <c r="AI31" s="103"/>
      <c r="AJ31" s="104"/>
      <c r="AK31" s="104"/>
      <c r="AL31" s="117"/>
      <c r="AM31" s="118"/>
      <c r="AN31" s="118"/>
      <c r="AO31" s="119"/>
      <c r="AQ31" s="42">
        <v>90</v>
      </c>
      <c r="AR31" s="28">
        <v>6</v>
      </c>
      <c r="AS31" s="28">
        <v>5590</v>
      </c>
      <c r="AT31" s="29">
        <v>5360</v>
      </c>
      <c r="AU31" s="52"/>
      <c r="AV31" s="27">
        <v>90</v>
      </c>
      <c r="AW31" s="28">
        <v>2</v>
      </c>
      <c r="AX31" s="28">
        <v>6100</v>
      </c>
      <c r="AY31" s="43">
        <v>6020</v>
      </c>
    </row>
    <row r="32" spans="2:63" ht="15" customHeight="1" x14ac:dyDescent="0.25">
      <c r="B32" s="2" t="s">
        <v>36</v>
      </c>
      <c r="C32" s="24">
        <f>IF(C21=0,0,(C23*C12)/C21)</f>
        <v>410431034482.75861</v>
      </c>
      <c r="D32" s="2" t="str">
        <f>IF($D$3="English","lbf/in","mN/m")</f>
        <v>mN/m</v>
      </c>
      <c r="P32" s="6" t="s">
        <v>149</v>
      </c>
      <c r="V32" s="2" t="s">
        <v>145</v>
      </c>
      <c r="W32" s="75">
        <f>W23/$C$24</f>
        <v>752000000.00000012</v>
      </c>
      <c r="X32" s="2" t="str">
        <f>IF($D$3="English","psi","Pa")</f>
        <v>Pa</v>
      </c>
      <c r="Y32" s="2" t="s">
        <v>146</v>
      </c>
      <c r="Z32" s="75">
        <f>0.5*(W34-W32)</f>
        <v>10666256.387785971</v>
      </c>
      <c r="AA32" s="2" t="str">
        <f>IF($D$3="English","psi","Pa")</f>
        <v>Pa</v>
      </c>
      <c r="AQ32" s="42">
        <v>100</v>
      </c>
      <c r="AR32" s="28">
        <v>6</v>
      </c>
      <c r="AS32" s="28">
        <v>6990</v>
      </c>
      <c r="AT32" s="29">
        <v>6740</v>
      </c>
      <c r="AU32" s="52"/>
      <c r="AV32" s="27">
        <v>100</v>
      </c>
      <c r="AW32" s="28">
        <v>2</v>
      </c>
      <c r="AX32" s="28">
        <v>7560</v>
      </c>
      <c r="AY32" s="43">
        <v>7470</v>
      </c>
    </row>
    <row r="33" spans="2:51" ht="15" customHeight="1" thickBot="1" x14ac:dyDescent="0.3">
      <c r="B33" s="2"/>
      <c r="C33" s="19">
        <f>IF($D$3="English",C32*10^-6,C32*10^-9)</f>
        <v>410.43103448275861</v>
      </c>
      <c r="D33" s="2" t="str">
        <f>IF($D$3="English","Mlbf/in","MN/m")</f>
        <v>MN/m</v>
      </c>
      <c r="V33" s="2"/>
      <c r="W33" s="19">
        <f>IF($D$3="English",W32*10^-3,W32*10^-6)</f>
        <v>752.00000000000011</v>
      </c>
      <c r="X33" s="2" t="str">
        <f>IF($D$3="English","kpsi","MPa")</f>
        <v>MPa</v>
      </c>
      <c r="Y33" s="2"/>
      <c r="Z33" s="19">
        <f>IF($D$3="English",Z32*10^-3,Z32*10^-6)</f>
        <v>10.666256387785971</v>
      </c>
      <c r="AA33" s="2" t="str">
        <f>IF($D$3="English","kpsi","MPa")</f>
        <v>MPa</v>
      </c>
      <c r="AQ33" s="44">
        <v>110</v>
      </c>
      <c r="AR33" s="45">
        <v>6</v>
      </c>
      <c r="AS33" s="45" t="e">
        <f>NA()</f>
        <v>#N/A</v>
      </c>
      <c r="AT33" s="46" t="e">
        <f>NA()</f>
        <v>#N/A</v>
      </c>
      <c r="AU33" s="53"/>
      <c r="AV33" s="47">
        <v>110</v>
      </c>
      <c r="AW33" s="45">
        <v>2</v>
      </c>
      <c r="AX33" s="45">
        <v>9180</v>
      </c>
      <c r="AY33" s="48">
        <v>9080</v>
      </c>
    </row>
    <row r="34" spans="2:51" ht="15" customHeight="1" x14ac:dyDescent="0.25">
      <c r="B34" s="2" t="s">
        <v>5</v>
      </c>
      <c r="C34" s="24">
        <f>SUM(IF(C30=0,0,C30^-1),IF(C32=0,0,C32^-1))^-1</f>
        <v>174471463662.77869</v>
      </c>
      <c r="D34" s="2" t="str">
        <f>IF($D$3="English","lbf/in","mN/m")</f>
        <v>mN/m</v>
      </c>
      <c r="V34" s="2" t="s">
        <v>147</v>
      </c>
      <c r="W34" s="75">
        <f>W24/$C$24</f>
        <v>773332512.77557206</v>
      </c>
      <c r="X34" s="2" t="str">
        <f>IF($D$3="English","psi","Pa")</f>
        <v>Pa</v>
      </c>
      <c r="Y34" s="2" t="s">
        <v>148</v>
      </c>
      <c r="Z34" s="75">
        <f>0.5*(W34+W32)</f>
        <v>762666256.38778615</v>
      </c>
      <c r="AA34" s="2" t="str">
        <f>IF($D$3="English","psi","Pa")</f>
        <v>Pa</v>
      </c>
    </row>
    <row r="35" spans="2:51" ht="15" customHeight="1" x14ac:dyDescent="0.25">
      <c r="B35" s="2"/>
      <c r="C35" s="19">
        <f>IF($D$3="English",C34*10^-6,C34*10^-9)</f>
        <v>174.47146366277869</v>
      </c>
      <c r="D35" s="2" t="str">
        <f>IF($D$3="English","Mlbf/in","MN/m")</f>
        <v>MN/m</v>
      </c>
      <c r="P35" s="1" t="s">
        <v>160</v>
      </c>
      <c r="Q35" s="1">
        <v>37287.463000000003</v>
      </c>
      <c r="R35" s="1" t="str">
        <f>IF($D$3="English","in^2","mm^2")</f>
        <v>mm^2</v>
      </c>
      <c r="V35" s="2"/>
      <c r="W35" s="19">
        <f>IF($D$3="English",W34*10^-3,W34*10^-6)</f>
        <v>773.33251277557201</v>
      </c>
      <c r="X35" s="2" t="str">
        <f>IF($D$3="English","kpsi","MPa")</f>
        <v>MPa</v>
      </c>
      <c r="Y35" s="2"/>
      <c r="Z35" s="19">
        <f>IF($D$3="English",Z34*10^-3,Z34*10^-6)</f>
        <v>762.66625638778612</v>
      </c>
      <c r="AA35" s="2" t="str">
        <f>IF($D$3="English","kpsi","MPa")</f>
        <v>MPa</v>
      </c>
    </row>
    <row r="36" spans="2:51" ht="15" customHeight="1" x14ac:dyDescent="0.25">
      <c r="P36" s="1"/>
      <c r="Q36" s="1">
        <f>Q35*10^-6</f>
        <v>3.7287463E-2</v>
      </c>
      <c r="R36" s="1" t="str">
        <f>IF($D$3="English","in^2","m^2")</f>
        <v>m^2</v>
      </c>
      <c r="V36" s="11" t="s">
        <v>60</v>
      </c>
      <c r="W36" s="11"/>
      <c r="X36" s="12"/>
    </row>
    <row r="37" spans="2:51" ht="15" customHeight="1" x14ac:dyDescent="0.25">
      <c r="P37" s="2" t="s">
        <v>159</v>
      </c>
      <c r="Q37" s="2">
        <f>-W27/(Q36/Q16)</f>
        <v>20048776.748331424</v>
      </c>
      <c r="R37" s="2" t="str">
        <f t="shared" ref="R37" si="10">IF($D$3="English","psi","Pa")</f>
        <v>Pa</v>
      </c>
      <c r="V37" s="2" t="s">
        <v>63</v>
      </c>
      <c r="W37" s="26">
        <f>W17/W21</f>
        <v>7.3768267740796372</v>
      </c>
      <c r="X37" s="2"/>
    </row>
    <row r="38" spans="2:51" ht="15" customHeight="1" x14ac:dyDescent="0.25">
      <c r="P38" s="2"/>
      <c r="Q38" s="19">
        <f>IF($D$3="English",Q37*10^-3,Q37*10^-6)</f>
        <v>20.048776748331424</v>
      </c>
      <c r="R38" s="2" t="str">
        <f>IF($D$3="English","kpsi","MPa")</f>
        <v>MPa</v>
      </c>
      <c r="U38" s="60" t="s">
        <v>150</v>
      </c>
      <c r="V38" s="2" t="s">
        <v>61</v>
      </c>
      <c r="W38" s="26">
        <f>(W6*$C$24)/(W24)</f>
        <v>1.0732770008867756</v>
      </c>
      <c r="X38" s="2"/>
    </row>
    <row r="39" spans="2:51" ht="15" customHeight="1" x14ac:dyDescent="0.25">
      <c r="V39" s="2" t="s">
        <v>151</v>
      </c>
      <c r="W39" s="26">
        <f>(W12*(W8-W30))/(W8*Z32+W12*(Z34-W30))</f>
        <v>3.639075080245326</v>
      </c>
      <c r="X39" s="120" t="s">
        <v>152</v>
      </c>
    </row>
    <row r="40" spans="2:51" ht="15" customHeight="1" x14ac:dyDescent="0.25">
      <c r="Q40" s="137">
        <f>(Q37-Q28)/Q28</f>
        <v>2.4388374165711926E-3</v>
      </c>
      <c r="V40" s="2" t="s">
        <v>62</v>
      </c>
      <c r="W40" s="26">
        <f>(W6*$C$24-Q19)/(W16*W21)</f>
        <v>3.6563906381117177</v>
      </c>
      <c r="X40" s="2"/>
    </row>
    <row r="42" spans="2:51" ht="15" customHeight="1" x14ac:dyDescent="0.25">
      <c r="V42" s="11" t="s">
        <v>153</v>
      </c>
      <c r="W42" s="11"/>
      <c r="X42" s="12"/>
    </row>
    <row r="43" spans="2:51" ht="15" customHeight="1" x14ac:dyDescent="0.25">
      <c r="V43" s="2" t="s">
        <v>65</v>
      </c>
      <c r="W43" s="55">
        <f>IF($D$3="English",W44*Q19*C13,W44*Q19*(C13*10^-3))</f>
        <v>242.14400000000001</v>
      </c>
      <c r="X43" s="2" t="str">
        <f>IF($D$3="English","in-lbf", "Nm")</f>
        <v>Nm</v>
      </c>
    </row>
    <row r="44" spans="2:51" ht="15" customHeight="1" x14ac:dyDescent="0.25">
      <c r="Q44" s="6">
        <f>(Q16*Q19 - Q31)/(Q36/Q16)</f>
        <v>193908507.93650419</v>
      </c>
      <c r="V44" s="1" t="s">
        <v>66</v>
      </c>
      <c r="W44" s="57">
        <v>0.2</v>
      </c>
      <c r="X44" s="22"/>
    </row>
    <row r="45" spans="2:51" ht="15" customHeight="1" x14ac:dyDescent="0.25">
      <c r="Q45" s="19">
        <f>IF($D$3="English",Q44*10^-3,Q44*10^-6)</f>
        <v>193.90850793650418</v>
      </c>
      <c r="R45" s="2" t="str">
        <f>IF($D$3="English","kpsi","MPa")</f>
        <v>MPa</v>
      </c>
    </row>
    <row r="49" spans="19:19" ht="15" customHeight="1" x14ac:dyDescent="0.25">
      <c r="S49"/>
    </row>
    <row r="151" spans="64:64" ht="15" customHeight="1" x14ac:dyDescent="0.25">
      <c r="BL151" s="6" t="s">
        <v>26</v>
      </c>
    </row>
  </sheetData>
  <mergeCells count="6">
    <mergeCell ref="BG6:BK6"/>
    <mergeCell ref="B2:N2"/>
    <mergeCell ref="P2:AA2"/>
    <mergeCell ref="AQ6:AT6"/>
    <mergeCell ref="AV6:AY6"/>
    <mergeCell ref="BA6:BE6"/>
  </mergeCells>
  <conditionalFormatting sqref="B19 D19 F19">
    <cfRule type="expression" dxfId="17" priority="1">
      <formula>NOT($F$19)</formula>
    </cfRule>
  </conditionalFormatting>
  <conditionalFormatting sqref="C17:D17">
    <cfRule type="expression" dxfId="16" priority="8">
      <formula>$C$17&lt;&gt;$J$13</formula>
    </cfRule>
    <cfRule type="duplicateValues" dxfId="15" priority="9"/>
  </conditionalFormatting>
  <conditionalFormatting sqref="I7:N7">
    <cfRule type="expression" dxfId="14" priority="6">
      <formula>0=$J$7</formula>
    </cfRule>
  </conditionalFormatting>
  <conditionalFormatting sqref="I8:N8">
    <cfRule type="expression" dxfId="13" priority="7">
      <formula>0=$J$8</formula>
    </cfRule>
  </conditionalFormatting>
  <conditionalFormatting sqref="I9:N9">
    <cfRule type="expression" dxfId="12" priority="5">
      <formula>0=$J$9</formula>
    </cfRule>
  </conditionalFormatting>
  <conditionalFormatting sqref="I10:N10">
    <cfRule type="expression" dxfId="11" priority="4">
      <formula>0=$J$10</formula>
    </cfRule>
  </conditionalFormatting>
  <conditionalFormatting sqref="I11:N11">
    <cfRule type="expression" dxfId="10" priority="3">
      <formula>0=$J$11</formula>
    </cfRule>
  </conditionalFormatting>
  <conditionalFormatting sqref="J13:K14">
    <cfRule type="expression" dxfId="9" priority="10">
      <formula>$C$17&lt;&gt;$J$13</formula>
    </cfRule>
  </conditionalFormatting>
  <conditionalFormatting sqref="P20 R20 T20">
    <cfRule type="expression" dxfId="8" priority="2">
      <formula>NOT($T$20)</formula>
    </cfRule>
  </conditionalFormatting>
  <dataValidations disablePrompts="1" count="2">
    <dataValidation type="list" allowBlank="1" showInputMessage="1" showErrorMessage="1" sqref="D3" xr:uid="{9C80A1E3-C2D0-474E-9237-7802789797C7}">
      <formula1>"English, Metric"</formula1>
    </dataValidation>
    <dataValidation type="list" allowBlank="1" showInputMessage="1" showErrorMessage="1" sqref="C14" xr:uid="{9DDA1C98-B29A-4E19-BE9C-30A067673016}">
      <formula1>"UNC, UNF"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2B78-6474-452A-AE1C-75BFF1E08805}">
  <dimension ref="B2:AP150"/>
  <sheetViews>
    <sheetView zoomScale="85" zoomScaleNormal="85" workbookViewId="0">
      <selection activeCell="I16" sqref="I16"/>
    </sheetView>
  </sheetViews>
  <sheetFormatPr defaultColWidth="8.85546875" defaultRowHeight="15" customHeight="1" x14ac:dyDescent="0.25"/>
  <cols>
    <col min="1" max="1" width="8.85546875" style="6"/>
    <col min="2" max="2" width="37.140625" style="6" bestFit="1" customWidth="1"/>
    <col min="3" max="3" width="13" style="6" customWidth="1"/>
    <col min="4" max="4" width="10.140625" style="6" customWidth="1"/>
    <col min="5" max="5" width="21.8554687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10.28515625" style="6" customWidth="1"/>
    <col min="13" max="13" width="11" style="6" bestFit="1" customWidth="1"/>
    <col min="14" max="14" width="12" style="6" bestFit="1" customWidth="1"/>
    <col min="15" max="15" width="8.85546875" style="6"/>
    <col min="16" max="16" width="30.7109375" style="6" bestFit="1" customWidth="1"/>
    <col min="17" max="17" width="17.5703125" style="6" bestFit="1" customWidth="1"/>
    <col min="18" max="18" width="10.140625" style="6" bestFit="1" customWidth="1"/>
    <col min="19" max="20" width="8.85546875" style="6"/>
    <col min="21" max="21" width="16.85546875" style="6" bestFit="1" customWidth="1"/>
    <col min="22" max="22" width="7.5703125" style="6" bestFit="1" customWidth="1"/>
    <col min="23" max="23" width="15.140625" style="6" customWidth="1"/>
    <col min="24" max="24" width="15.85546875" style="6" customWidth="1"/>
    <col min="25" max="25" width="8.85546875" style="6" bestFit="1"/>
    <col min="26" max="26" width="16.85546875" style="6" bestFit="1" customWidth="1"/>
    <col min="27" max="27" width="7.5703125" style="6" bestFit="1" customWidth="1"/>
    <col min="28" max="28" width="15.140625" style="6" customWidth="1"/>
    <col min="29" max="29" width="15.85546875" style="6" customWidth="1"/>
    <col min="30" max="30" width="9.140625" style="6"/>
    <col min="31" max="32" width="16.85546875" style="6" bestFit="1" customWidth="1"/>
    <col min="33" max="33" width="12" style="6" bestFit="1" customWidth="1"/>
    <col min="34" max="34" width="15.140625" style="6" customWidth="1"/>
    <col min="35" max="35" width="15.85546875" style="6" customWidth="1"/>
    <col min="36" max="36" width="8.85546875" style="6" bestFit="1"/>
    <col min="37" max="38" width="16.85546875" style="6" bestFit="1" customWidth="1"/>
    <col min="39" max="39" width="12" style="6" bestFit="1" customWidth="1"/>
    <col min="40" max="40" width="15.140625" style="6" customWidth="1"/>
    <col min="41" max="41" width="15.85546875" style="6" customWidth="1"/>
    <col min="42" max="16384" width="8.85546875" style="6"/>
  </cols>
  <sheetData>
    <row r="2" spans="2:41" ht="15" customHeight="1" thickBot="1" x14ac:dyDescent="0.3">
      <c r="B2" s="3" t="s">
        <v>0</v>
      </c>
      <c r="C2" s="4" t="s">
        <v>17</v>
      </c>
      <c r="D2" s="5" t="s">
        <v>33</v>
      </c>
      <c r="I2" s="7" t="s">
        <v>1</v>
      </c>
      <c r="J2" s="2"/>
      <c r="K2" s="2"/>
      <c r="L2" s="2"/>
      <c r="M2" s="2"/>
      <c r="N2" s="2"/>
      <c r="O2" s="2"/>
      <c r="P2" s="2"/>
      <c r="Q2" s="2"/>
      <c r="R2" s="2"/>
      <c r="U2" s="6" t="s">
        <v>50</v>
      </c>
      <c r="AE2" s="6" t="s">
        <v>51</v>
      </c>
    </row>
    <row r="3" spans="2:41" ht="15" customHeight="1" x14ac:dyDescent="0.25">
      <c r="U3" s="36"/>
      <c r="V3" s="37"/>
      <c r="W3" s="37"/>
      <c r="X3" s="37"/>
      <c r="Y3" s="38" t="s">
        <v>33</v>
      </c>
      <c r="Z3" s="37"/>
      <c r="AA3" s="37"/>
      <c r="AB3" s="37"/>
      <c r="AC3" s="39"/>
      <c r="AE3" s="36"/>
      <c r="AF3" s="37"/>
      <c r="AG3" s="37"/>
      <c r="AH3" s="37"/>
      <c r="AI3" s="37"/>
      <c r="AJ3" s="38" t="s">
        <v>2</v>
      </c>
      <c r="AK3" s="37"/>
      <c r="AL3" s="37"/>
      <c r="AM3" s="37"/>
      <c r="AN3" s="37"/>
      <c r="AO3" s="39"/>
    </row>
    <row r="4" spans="2:41" ht="15" customHeight="1" x14ac:dyDescent="0.25">
      <c r="B4" s="8" t="s">
        <v>16</v>
      </c>
      <c r="C4" s="9"/>
      <c r="D4" s="9"/>
      <c r="I4" s="11" t="s">
        <v>18</v>
      </c>
      <c r="J4" s="11"/>
      <c r="K4" s="12"/>
      <c r="L4" s="12"/>
      <c r="M4" s="12"/>
      <c r="N4" s="12"/>
      <c r="P4" s="11" t="s">
        <v>53</v>
      </c>
      <c r="Q4" s="11"/>
      <c r="R4" s="12"/>
      <c r="U4" s="131" t="s">
        <v>41</v>
      </c>
      <c r="V4" s="132"/>
      <c r="W4" s="132"/>
      <c r="X4" s="132"/>
      <c r="Y4" s="52"/>
      <c r="Z4" s="132" t="s">
        <v>42</v>
      </c>
      <c r="AA4" s="132"/>
      <c r="AB4" s="132"/>
      <c r="AC4" s="133"/>
      <c r="AE4" s="131" t="s">
        <v>41</v>
      </c>
      <c r="AF4" s="132"/>
      <c r="AG4" s="132"/>
      <c r="AH4" s="132"/>
      <c r="AI4" s="132"/>
      <c r="AJ4" s="52"/>
      <c r="AK4" s="132" t="s">
        <v>42</v>
      </c>
      <c r="AL4" s="132"/>
      <c r="AM4" s="132"/>
      <c r="AN4" s="132"/>
      <c r="AO4" s="133"/>
    </row>
    <row r="5" spans="2:41" ht="15" customHeight="1" x14ac:dyDescent="0.25">
      <c r="B5" s="1" t="s">
        <v>28</v>
      </c>
      <c r="C5" s="1">
        <v>30</v>
      </c>
      <c r="D5" s="1" t="s">
        <v>29</v>
      </c>
      <c r="E5" s="10" t="s">
        <v>10</v>
      </c>
      <c r="F5" s="9"/>
      <c r="G5" s="9"/>
      <c r="I5" s="14" t="s">
        <v>19</v>
      </c>
      <c r="J5" s="15" t="str">
        <f>_xlfn.CONCAT("Thickness ", "[",D6,"]")</f>
        <v>Thickness [mm]</v>
      </c>
      <c r="K5" s="15" t="str">
        <f>_xlfn.CONCAT("D ", "[",D13,"]")</f>
        <v>D [mm]</v>
      </c>
      <c r="L5" s="15" t="str">
        <f>_xlfn.CONCAT("E ", "[",G6,"]")</f>
        <v>E [Pa]</v>
      </c>
      <c r="M5" s="15" t="str">
        <f>_xlfn.CONCAT("k ", "[",D33,"]")</f>
        <v>k [mN/m]</v>
      </c>
      <c r="N5" s="15" t="s">
        <v>20</v>
      </c>
      <c r="P5" s="2" t="s">
        <v>52</v>
      </c>
      <c r="Q5" s="26">
        <f>C33/(C33+J16)</f>
        <v>0.18220360503771976</v>
      </c>
      <c r="R5" s="23"/>
      <c r="U5" s="40" t="s">
        <v>39</v>
      </c>
      <c r="V5" s="31" t="s">
        <v>38</v>
      </c>
      <c r="W5" s="31" t="s">
        <v>37</v>
      </c>
      <c r="X5" s="32" t="s">
        <v>40</v>
      </c>
      <c r="Y5" s="52"/>
      <c r="Z5" s="30" t="s">
        <v>39</v>
      </c>
      <c r="AA5" s="31" t="s">
        <v>38</v>
      </c>
      <c r="AB5" s="31" t="s">
        <v>37</v>
      </c>
      <c r="AC5" s="41" t="s">
        <v>40</v>
      </c>
      <c r="AE5" s="40" t="s">
        <v>43</v>
      </c>
      <c r="AF5" s="30" t="s">
        <v>44</v>
      </c>
      <c r="AG5" s="31" t="s">
        <v>45</v>
      </c>
      <c r="AH5" s="31" t="s">
        <v>46</v>
      </c>
      <c r="AI5" s="32" t="s">
        <v>47</v>
      </c>
      <c r="AJ5" s="52"/>
      <c r="AK5" s="30" t="s">
        <v>43</v>
      </c>
      <c r="AL5" s="30" t="s">
        <v>44</v>
      </c>
      <c r="AM5" s="31" t="s">
        <v>45</v>
      </c>
      <c r="AN5" s="31" t="s">
        <v>46</v>
      </c>
      <c r="AO5" s="41" t="s">
        <v>47</v>
      </c>
    </row>
    <row r="6" spans="2:41" ht="15" customHeight="1" x14ac:dyDescent="0.25">
      <c r="B6" s="1" t="s">
        <v>27</v>
      </c>
      <c r="C6" s="1"/>
      <c r="D6" s="1" t="str">
        <f>IF($D$2="English","in", "mm")</f>
        <v>mm</v>
      </c>
      <c r="E6" s="13" t="s">
        <v>11</v>
      </c>
      <c r="F6" s="22"/>
      <c r="G6" s="1" t="str">
        <f t="shared" ref="G6:G9" si="0">IF($D$2="English","psi","Pa")</f>
        <v>Pa</v>
      </c>
      <c r="I6" s="16">
        <v>1</v>
      </c>
      <c r="J6" s="2">
        <f>C6</f>
        <v>0</v>
      </c>
      <c r="K6" s="2">
        <f>1.5*C13</f>
        <v>21</v>
      </c>
      <c r="L6" s="23">
        <f>F6</f>
        <v>0</v>
      </c>
      <c r="M6" s="23">
        <f>IF(J6=0,0,(PI()*L6*$C$13*TAN(RADIANS($C$5)))/LN(((2*J6*TAN(RADIANS($C$5))+K6-$C$13)*(K6+$C$13))/((2*J6*TAN(RADIANS($C$5))+K6+$C$13)*(K6-$C$13))))</f>
        <v>0</v>
      </c>
      <c r="N6" s="23">
        <f>IF(M6=0,0,M6^-1)</f>
        <v>0</v>
      </c>
      <c r="P6" s="2" t="s">
        <v>56</v>
      </c>
      <c r="Q6" s="2">
        <f>C38/C37</f>
        <v>35441.092123309856</v>
      </c>
      <c r="R6" s="2" t="str">
        <f>IF($D$2="English","lbf", "N")</f>
        <v>N</v>
      </c>
      <c r="U6" s="42">
        <v>1.6</v>
      </c>
      <c r="V6" s="28">
        <v>0.35</v>
      </c>
      <c r="W6" s="28">
        <v>1.27</v>
      </c>
      <c r="X6" s="29">
        <v>1.07</v>
      </c>
      <c r="Y6" s="52"/>
      <c r="Z6" s="27">
        <v>1.6</v>
      </c>
      <c r="AA6" s="28" t="e">
        <f>NA()</f>
        <v>#N/A</v>
      </c>
      <c r="AB6" s="28" t="e">
        <f>NA()</f>
        <v>#N/A</v>
      </c>
      <c r="AC6" s="43" t="e">
        <f>NA()</f>
        <v>#N/A</v>
      </c>
      <c r="AE6" s="49">
        <f>0</f>
        <v>0</v>
      </c>
      <c r="AF6" s="27">
        <v>0.06</v>
      </c>
      <c r="AG6" s="28" t="e">
        <f>NA()</f>
        <v>#N/A</v>
      </c>
      <c r="AH6" s="28" t="e">
        <f>NA()</f>
        <v>#N/A</v>
      </c>
      <c r="AI6" s="29" t="e">
        <f>NA()</f>
        <v>#N/A</v>
      </c>
      <c r="AJ6" s="52"/>
      <c r="AK6" s="35">
        <f>0</f>
        <v>0</v>
      </c>
      <c r="AL6" s="27">
        <v>0.06</v>
      </c>
      <c r="AM6" s="28">
        <v>80</v>
      </c>
      <c r="AN6" s="28">
        <v>1.8E-3</v>
      </c>
      <c r="AO6" s="43">
        <v>1.5100000000000001E-3</v>
      </c>
    </row>
    <row r="7" spans="2:41" ht="15" customHeight="1" x14ac:dyDescent="0.25">
      <c r="B7" s="1" t="s">
        <v>75</v>
      </c>
      <c r="C7" s="1">
        <v>51</v>
      </c>
      <c r="D7" s="1" t="str">
        <f t="shared" ref="D7:D9" si="1">IF($D$2="English","in", "mm")</f>
        <v>mm</v>
      </c>
      <c r="E7" s="13" t="s">
        <v>12</v>
      </c>
      <c r="F7" s="22">
        <f>71*10^9</f>
        <v>71000000000</v>
      </c>
      <c r="G7" s="1" t="str">
        <f t="shared" si="0"/>
        <v>Pa</v>
      </c>
      <c r="I7" s="16">
        <v>2</v>
      </c>
      <c r="J7" s="2">
        <f>IF(C6+C7&lt;J14,C7,J14-C6)</f>
        <v>51</v>
      </c>
      <c r="K7" s="18">
        <f>K6+2*J6*TAN(RADIANS($C$5))</f>
        <v>21</v>
      </c>
      <c r="L7" s="23">
        <f>F7</f>
        <v>71000000000</v>
      </c>
      <c r="M7" s="23">
        <f>IF(J7=0,0,(PI()*L7*$C$13*TAN(RADIANS($C$5)))/LN(((2*J7*TAN(RADIANS($C$5))+K7-$C$13)*(K7+$C$13))/((2*J7*TAN(RADIANS($C$5))+K7+$C$13)*(K7-$C$13))))</f>
        <v>1436244177129.7749</v>
      </c>
      <c r="N7" s="23">
        <f t="shared" ref="N7:N10" si="2">IF(M7=0,0,M7^-1)</f>
        <v>6.9626043810908549E-13</v>
      </c>
      <c r="P7" s="2" t="s">
        <v>57</v>
      </c>
      <c r="Q7" s="2">
        <f>Q5*Q6+C39</f>
        <v>92937.494751340986</v>
      </c>
      <c r="R7" s="2" t="str">
        <f t="shared" ref="R7:R9" si="3">IF($D$2="English","lbf", "N")</f>
        <v>N</v>
      </c>
      <c r="U7" s="42">
        <v>2</v>
      </c>
      <c r="V7" s="28">
        <v>0.4</v>
      </c>
      <c r="W7" s="28">
        <v>2.0699999999999998</v>
      </c>
      <c r="X7" s="29">
        <v>1.79</v>
      </c>
      <c r="Y7" s="52"/>
      <c r="Z7" s="27">
        <v>2</v>
      </c>
      <c r="AA7" s="28" t="e">
        <f>NA()</f>
        <v>#N/A</v>
      </c>
      <c r="AB7" s="28" t="e">
        <f>NA()</f>
        <v>#N/A</v>
      </c>
      <c r="AC7" s="43" t="e">
        <f>NA()</f>
        <v>#N/A</v>
      </c>
      <c r="AE7" s="49">
        <f>1</f>
        <v>1</v>
      </c>
      <c r="AF7" s="27">
        <v>7.2999999999999995E-2</v>
      </c>
      <c r="AG7" s="28">
        <v>64</v>
      </c>
      <c r="AH7" s="28">
        <v>2.63E-3</v>
      </c>
      <c r="AI7" s="29">
        <v>2.1800000000000001E-3</v>
      </c>
      <c r="AJ7" s="52"/>
      <c r="AK7" s="35">
        <f>1</f>
        <v>1</v>
      </c>
      <c r="AL7" s="27">
        <v>7.2999999999999995E-2</v>
      </c>
      <c r="AM7" s="28">
        <v>72</v>
      </c>
      <c r="AN7" s="28">
        <v>2.7799999999999999E-3</v>
      </c>
      <c r="AO7" s="43">
        <v>2.3700000000000001E-3</v>
      </c>
    </row>
    <row r="8" spans="2:41" ht="15" customHeight="1" x14ac:dyDescent="0.25">
      <c r="B8" s="1" t="s">
        <v>76</v>
      </c>
      <c r="C8" s="1">
        <v>95</v>
      </c>
      <c r="D8" s="1" t="str">
        <f t="shared" si="1"/>
        <v>mm</v>
      </c>
      <c r="E8" s="13" t="s">
        <v>14</v>
      </c>
      <c r="F8" s="22">
        <f>100*10^9</f>
        <v>100000000000</v>
      </c>
      <c r="G8" s="1" t="str">
        <f t="shared" si="0"/>
        <v>Pa</v>
      </c>
      <c r="I8" s="16">
        <v>3</v>
      </c>
      <c r="J8" s="2">
        <f>IF(C6+C7&lt;J14,J14-C7-C6,C6+C7-J14)</f>
        <v>30.5</v>
      </c>
      <c r="K8" s="18">
        <f>IF(J6+J7&lt;J14,K7+2*J7*TAN(RADIANS($C$5)),K7+2*J7*TAN(RADIANS($C$5))-2*J8*TAN(RADIANS($C$5)))</f>
        <v>79.88972745734182</v>
      </c>
      <c r="L8" s="23">
        <f>IF(J6+J7&lt;J14,F8,F7)</f>
        <v>100000000000</v>
      </c>
      <c r="M8" s="23">
        <f>IF(J8=0,0,(PI()*L8*$C$13*TAN(RADIANS($C$5)))/LN(((2*J8*TAN(RADIANS($C$5))+K8-$C$13)*(K8+$C$13))/((2*J8*TAN(RADIANS($C$5))+K8+$C$13)*(K8-$C$13))))</f>
        <v>23152361261828.289</v>
      </c>
      <c r="N8" s="23">
        <f t="shared" si="2"/>
        <v>4.3192138749524347E-14</v>
      </c>
      <c r="P8" s="2" t="s">
        <v>58</v>
      </c>
      <c r="Q8" s="2">
        <f>(1-Q5)*Q6-C39</f>
        <v>-57496.402628031137</v>
      </c>
      <c r="R8" s="2" t="str">
        <f t="shared" si="3"/>
        <v>N</v>
      </c>
      <c r="U8" s="42">
        <v>2.5</v>
      </c>
      <c r="V8" s="28">
        <v>0.45</v>
      </c>
      <c r="W8" s="28">
        <v>3.39</v>
      </c>
      <c r="X8" s="29">
        <v>2.98</v>
      </c>
      <c r="Y8" s="52"/>
      <c r="Z8" s="27">
        <v>2.5</v>
      </c>
      <c r="AA8" s="28" t="e">
        <f>NA()</f>
        <v>#N/A</v>
      </c>
      <c r="AB8" s="28" t="e">
        <f>NA()</f>
        <v>#N/A</v>
      </c>
      <c r="AC8" s="43" t="e">
        <f>NA()</f>
        <v>#N/A</v>
      </c>
      <c r="AE8" s="49">
        <f>2</f>
        <v>2</v>
      </c>
      <c r="AF8" s="27">
        <v>8.5999999999999993E-2</v>
      </c>
      <c r="AG8" s="28">
        <v>56</v>
      </c>
      <c r="AH8" s="28">
        <v>3.7000000000000002E-3</v>
      </c>
      <c r="AI8" s="29">
        <v>3.0999999999999999E-3</v>
      </c>
      <c r="AJ8" s="52"/>
      <c r="AK8" s="35">
        <f>2</f>
        <v>2</v>
      </c>
      <c r="AL8" s="27">
        <v>8.5999999999999993E-2</v>
      </c>
      <c r="AM8" s="28">
        <v>64</v>
      </c>
      <c r="AN8" s="28">
        <v>3.9399999999999999E-3</v>
      </c>
      <c r="AO8" s="43">
        <v>3.3899999999999998E-3</v>
      </c>
    </row>
    <row r="9" spans="2:41" ht="15" customHeight="1" x14ac:dyDescent="0.25">
      <c r="B9" s="1" t="s">
        <v>77</v>
      </c>
      <c r="C9" s="1">
        <v>10</v>
      </c>
      <c r="D9" s="1" t="str">
        <f t="shared" si="1"/>
        <v>mm</v>
      </c>
      <c r="E9" s="13" t="s">
        <v>13</v>
      </c>
      <c r="F9" s="22">
        <f>100*10^9</f>
        <v>100000000000</v>
      </c>
      <c r="G9" s="1" t="str">
        <f t="shared" si="0"/>
        <v>Pa</v>
      </c>
      <c r="I9" s="16">
        <v>4</v>
      </c>
      <c r="J9" s="2">
        <f>C17-SUM(J6:J8)-J10</f>
        <v>71.5</v>
      </c>
      <c r="K9" s="18">
        <f>K10+2*J10*TAN(RADIANS($C$5))</f>
        <v>32.547005383792516</v>
      </c>
      <c r="L9" s="23">
        <f>F8</f>
        <v>100000000000</v>
      </c>
      <c r="M9" s="23">
        <f>IF(J9=0,0,(PI()*L9*$C$13*TAN(RADIANS($C$5)))/LN(((2*J9*TAN(RADIANS($C$5))+K9-$C$13)*(K9+$C$13))/((2*J9*TAN(RADIANS($C$5))+K9+$C$13)*(K9-$C$13))))</f>
        <v>3758087472649.4438</v>
      </c>
      <c r="N9" s="23">
        <f t="shared" si="2"/>
        <v>2.6609279514587832E-13</v>
      </c>
      <c r="P9" s="2" t="s">
        <v>59</v>
      </c>
      <c r="Q9" s="2">
        <f>C39/(1-Q5)</f>
        <v>105747.59259483992</v>
      </c>
      <c r="R9" s="2" t="str">
        <f t="shared" si="3"/>
        <v>N</v>
      </c>
      <c r="U9" s="42">
        <v>3</v>
      </c>
      <c r="V9" s="28">
        <v>0.5</v>
      </c>
      <c r="W9" s="28">
        <v>5.03</v>
      </c>
      <c r="X9" s="29">
        <v>4.47</v>
      </c>
      <c r="Y9" s="52"/>
      <c r="Z9" s="27">
        <v>3</v>
      </c>
      <c r="AA9" s="28" t="e">
        <f>NA()</f>
        <v>#N/A</v>
      </c>
      <c r="AB9" s="28" t="e">
        <f>NA()</f>
        <v>#N/A</v>
      </c>
      <c r="AC9" s="43" t="e">
        <f>NA()</f>
        <v>#N/A</v>
      </c>
      <c r="AE9" s="49">
        <f>3</f>
        <v>3</v>
      </c>
      <c r="AF9" s="27">
        <v>9.9000000000000005E-2</v>
      </c>
      <c r="AG9" s="28">
        <v>48</v>
      </c>
      <c r="AH9" s="28">
        <v>4.8700000000000002E-3</v>
      </c>
      <c r="AI9" s="29">
        <v>4.0600000000000002E-3</v>
      </c>
      <c r="AJ9" s="52"/>
      <c r="AK9" s="35">
        <f>3</f>
        <v>3</v>
      </c>
      <c r="AL9" s="27">
        <v>9.9000000000000005E-2</v>
      </c>
      <c r="AM9" s="28">
        <v>56</v>
      </c>
      <c r="AN9" s="28">
        <v>5.2300000000000003E-3</v>
      </c>
      <c r="AO9" s="43">
        <v>4.5100000000000001E-3</v>
      </c>
    </row>
    <row r="10" spans="2:41" ht="15" customHeight="1" x14ac:dyDescent="0.25">
      <c r="I10" s="16">
        <v>5</v>
      </c>
      <c r="J10" s="2">
        <f>C9</f>
        <v>10</v>
      </c>
      <c r="K10" s="2">
        <f>1.5*C13</f>
        <v>21</v>
      </c>
      <c r="L10" s="23">
        <f>F9</f>
        <v>100000000000</v>
      </c>
      <c r="M10" s="23">
        <f>IF(J10=0,0,(PI()*L10*$C$13*TAN(RADIANS($C$5)))/LN(((2*J10*TAN(RADIANS($C$5))+K10-$C$13)*(K10+$C$13))/((2*J10*TAN(RADIANS($C$5))+K10+$C$13)*(K10-$C$13))))</f>
        <v>3683997663713.7456</v>
      </c>
      <c r="N10" s="23">
        <f t="shared" si="2"/>
        <v>2.714442546610969E-13</v>
      </c>
      <c r="U10" s="42">
        <v>3.5</v>
      </c>
      <c r="V10" s="28">
        <v>0.6</v>
      </c>
      <c r="W10" s="28">
        <v>6.78</v>
      </c>
      <c r="X10" s="29">
        <v>6</v>
      </c>
      <c r="Y10" s="52"/>
      <c r="Z10" s="27">
        <v>3.5</v>
      </c>
      <c r="AA10" s="28" t="e">
        <f>NA()</f>
        <v>#N/A</v>
      </c>
      <c r="AB10" s="28" t="e">
        <f>NA()</f>
        <v>#N/A</v>
      </c>
      <c r="AC10" s="43" t="e">
        <f>NA()</f>
        <v>#N/A</v>
      </c>
      <c r="AE10" s="49">
        <f>4</f>
        <v>4</v>
      </c>
      <c r="AF10" s="27">
        <v>0.112</v>
      </c>
      <c r="AG10" s="28">
        <v>40</v>
      </c>
      <c r="AH10" s="28">
        <v>6.0400000000000002E-3</v>
      </c>
      <c r="AI10" s="29">
        <v>4.96E-3</v>
      </c>
      <c r="AJ10" s="52"/>
      <c r="AK10" s="35">
        <f>4</f>
        <v>4</v>
      </c>
      <c r="AL10" s="27">
        <v>0.112</v>
      </c>
      <c r="AM10" s="28">
        <v>48</v>
      </c>
      <c r="AN10" s="28">
        <v>6.6100000000000004E-3</v>
      </c>
      <c r="AO10" s="43">
        <v>5.6600000000000001E-3</v>
      </c>
    </row>
    <row r="11" spans="2:41" ht="15" customHeight="1" x14ac:dyDescent="0.25">
      <c r="B11" s="8" t="s">
        <v>15</v>
      </c>
      <c r="C11" s="34" t="str">
        <f>_xlfn.CONCAT(IF($D$2="English",_xlfn.CONCAT(TEXT(C13, "# ?/?"),"""-",C24,"-", C15, " ",C14),_xlfn.CONCAT("M",C13,"-", C24,"-", C15," ",C14)), " Grade ", C16)</f>
        <v>M14-2-238 UNC Grade 10.9</v>
      </c>
      <c r="D11" s="8"/>
      <c r="P11" s="11" t="s">
        <v>60</v>
      </c>
      <c r="Q11" s="11"/>
      <c r="R11" s="12"/>
      <c r="U11" s="42">
        <v>4</v>
      </c>
      <c r="V11" s="28">
        <v>0.7</v>
      </c>
      <c r="W11" s="28">
        <v>8.7799999999999994</v>
      </c>
      <c r="X11" s="29">
        <v>7.75</v>
      </c>
      <c r="Y11" s="52"/>
      <c r="Z11" s="27">
        <v>4</v>
      </c>
      <c r="AA11" s="28" t="e">
        <f>NA()</f>
        <v>#N/A</v>
      </c>
      <c r="AB11" s="28" t="e">
        <f>NA()</f>
        <v>#N/A</v>
      </c>
      <c r="AC11" s="43" t="e">
        <f>NA()</f>
        <v>#N/A</v>
      </c>
      <c r="AE11" s="49">
        <f>5</f>
        <v>5</v>
      </c>
      <c r="AF11" s="27">
        <v>0.125</v>
      </c>
      <c r="AG11" s="28">
        <v>40</v>
      </c>
      <c r="AH11" s="28">
        <v>7.9600000000000001E-3</v>
      </c>
      <c r="AI11" s="29">
        <v>6.7200000000000003E-3</v>
      </c>
      <c r="AJ11" s="52"/>
      <c r="AK11" s="35">
        <f>5</f>
        <v>5</v>
      </c>
      <c r="AL11" s="27">
        <v>0.125</v>
      </c>
      <c r="AM11" s="28">
        <v>44</v>
      </c>
      <c r="AN11" s="28">
        <v>8.8000000000000005E-3</v>
      </c>
      <c r="AO11" s="43">
        <v>7.1599999999999997E-3</v>
      </c>
    </row>
    <row r="12" spans="2:41" ht="15" customHeight="1" x14ac:dyDescent="0.25">
      <c r="B12" s="1" t="s">
        <v>48</v>
      </c>
      <c r="C12" s="22">
        <f>207*10^9</f>
        <v>207000000000</v>
      </c>
      <c r="D12" s="1" t="str">
        <f>IF($D$2="English","psi","Pa")</f>
        <v>Pa</v>
      </c>
      <c r="I12" s="25" t="s">
        <v>30</v>
      </c>
      <c r="J12" s="25">
        <f>SUM(J6:J10)</f>
        <v>163</v>
      </c>
      <c r="K12" s="25" t="str">
        <f>IF($D$2="English","in", "mm")</f>
        <v>mm</v>
      </c>
      <c r="P12" s="2" t="s">
        <v>61</v>
      </c>
      <c r="Q12" s="26">
        <f>(Q21*C23)/(Q7)</f>
        <v>1027034.3552446873</v>
      </c>
      <c r="R12" s="2"/>
      <c r="U12" s="42">
        <v>5</v>
      </c>
      <c r="V12" s="28">
        <v>0.8</v>
      </c>
      <c r="W12" s="28">
        <v>14.2</v>
      </c>
      <c r="X12" s="29">
        <v>12.7</v>
      </c>
      <c r="Y12" s="52"/>
      <c r="Z12" s="27">
        <v>5</v>
      </c>
      <c r="AA12" s="28" t="e">
        <f>NA()</f>
        <v>#N/A</v>
      </c>
      <c r="AB12" s="28" t="e">
        <f>NA()</f>
        <v>#N/A</v>
      </c>
      <c r="AC12" s="43" t="e">
        <f>NA()</f>
        <v>#N/A</v>
      </c>
      <c r="AE12" s="49">
        <f>6</f>
        <v>6</v>
      </c>
      <c r="AF12" s="27">
        <v>0.13800000000000001</v>
      </c>
      <c r="AG12" s="28">
        <v>32</v>
      </c>
      <c r="AH12" s="28">
        <v>9.0900000000000009E-3</v>
      </c>
      <c r="AI12" s="29">
        <v>7.45E-3</v>
      </c>
      <c r="AJ12" s="52"/>
      <c r="AK12" s="35">
        <f>6</f>
        <v>6</v>
      </c>
      <c r="AL12" s="27">
        <v>0.13800000000000001</v>
      </c>
      <c r="AM12" s="28">
        <v>40</v>
      </c>
      <c r="AN12" s="28">
        <v>1.0149999999999999E-2</v>
      </c>
      <c r="AO12" s="43">
        <v>8.7399999999999995E-3</v>
      </c>
    </row>
    <row r="13" spans="2:41" ht="15" customHeight="1" x14ac:dyDescent="0.25">
      <c r="B13" s="1" t="s">
        <v>3</v>
      </c>
      <c r="C13" s="17">
        <v>14</v>
      </c>
      <c r="D13" s="1" t="str">
        <f t="shared" ref="D13" si="4">IF($D$2="English","in", "mm")</f>
        <v>mm</v>
      </c>
      <c r="I13" s="25" t="s">
        <v>22</v>
      </c>
      <c r="J13" s="25">
        <f>C17</f>
        <v>163</v>
      </c>
      <c r="K13" s="25" t="str">
        <f>IF($D$2="English","in", "mm")</f>
        <v>mm</v>
      </c>
      <c r="P13" s="2" t="s">
        <v>62</v>
      </c>
      <c r="Q13" s="26">
        <f>(Q21*C23-C39)/(Q5*Q6)</f>
        <v>14781260.720371237</v>
      </c>
      <c r="R13" s="2"/>
      <c r="U13" s="42">
        <v>6</v>
      </c>
      <c r="V13" s="28">
        <v>1</v>
      </c>
      <c r="W13" s="28">
        <v>20.100000000000001</v>
      </c>
      <c r="X13" s="29">
        <v>17.899999999999999</v>
      </c>
      <c r="Y13" s="52"/>
      <c r="Z13" s="27">
        <v>6</v>
      </c>
      <c r="AA13" s="28" t="e">
        <f>NA()</f>
        <v>#N/A</v>
      </c>
      <c r="AB13" s="28" t="e">
        <f>NA()</f>
        <v>#N/A</v>
      </c>
      <c r="AC13" s="43" t="e">
        <f>NA()</f>
        <v>#N/A</v>
      </c>
      <c r="AE13" s="49">
        <f>8</f>
        <v>8</v>
      </c>
      <c r="AF13" s="27">
        <v>0.16400000000000001</v>
      </c>
      <c r="AG13" s="28">
        <v>32</v>
      </c>
      <c r="AH13" s="28">
        <v>1.4E-2</v>
      </c>
      <c r="AI13" s="29">
        <v>1.196E-2</v>
      </c>
      <c r="AJ13" s="52"/>
      <c r="AK13" s="35">
        <f>8</f>
        <v>8</v>
      </c>
      <c r="AL13" s="27">
        <v>0.16400000000000001</v>
      </c>
      <c r="AM13" s="28">
        <v>36</v>
      </c>
      <c r="AN13" s="28">
        <v>1.474E-2</v>
      </c>
      <c r="AO13" s="43">
        <v>1.285E-2</v>
      </c>
    </row>
    <row r="14" spans="2:41" ht="15" customHeight="1" x14ac:dyDescent="0.25">
      <c r="B14" s="1" t="s">
        <v>49</v>
      </c>
      <c r="C14" s="33" t="s">
        <v>41</v>
      </c>
      <c r="D14" s="1"/>
      <c r="I14" s="25" t="s">
        <v>23</v>
      </c>
      <c r="J14" s="25">
        <f>C17/2</f>
        <v>81.5</v>
      </c>
      <c r="K14" s="25" t="str">
        <f t="shared" ref="K14" si="5">IF($D$2="English","in", "mm")</f>
        <v>mm</v>
      </c>
      <c r="P14" s="2" t="s">
        <v>63</v>
      </c>
      <c r="Q14" s="26">
        <f>Q9/Q6</f>
        <v>2.9837566017128738</v>
      </c>
      <c r="R14" s="2"/>
      <c r="U14" s="42">
        <v>8</v>
      </c>
      <c r="V14" s="28">
        <v>1.25</v>
      </c>
      <c r="W14" s="28">
        <v>36.6</v>
      </c>
      <c r="X14" s="29">
        <v>32.799999999999997</v>
      </c>
      <c r="Y14" s="52"/>
      <c r="Z14" s="27">
        <v>8</v>
      </c>
      <c r="AA14" s="28">
        <v>1</v>
      </c>
      <c r="AB14" s="28">
        <v>39.200000000000003</v>
      </c>
      <c r="AC14" s="43">
        <v>36</v>
      </c>
      <c r="AE14" s="49">
        <f>10</f>
        <v>10</v>
      </c>
      <c r="AF14" s="27">
        <v>0.19</v>
      </c>
      <c r="AG14" s="28">
        <v>24</v>
      </c>
      <c r="AH14" s="28">
        <v>1.7500000000000002E-2</v>
      </c>
      <c r="AI14" s="29">
        <v>1.4500000000000001E-2</v>
      </c>
      <c r="AJ14" s="52"/>
      <c r="AK14" s="35">
        <f>10</f>
        <v>10</v>
      </c>
      <c r="AL14" s="27">
        <v>0.19</v>
      </c>
      <c r="AM14" s="28">
        <v>32</v>
      </c>
      <c r="AN14" s="28">
        <v>0.02</v>
      </c>
      <c r="AO14" s="43">
        <v>1.7500000000000002E-2</v>
      </c>
    </row>
    <row r="15" spans="2:41" ht="15" customHeight="1" x14ac:dyDescent="0.25">
      <c r="B15" s="1" t="s">
        <v>4</v>
      </c>
      <c r="C15" s="1">
        <v>238</v>
      </c>
      <c r="D15" s="1" t="str">
        <f t="shared" ref="D15" si="6">IF($D$2="English","in", "mm")</f>
        <v>mm</v>
      </c>
      <c r="U15" s="42">
        <v>10</v>
      </c>
      <c r="V15" s="28">
        <v>1.5</v>
      </c>
      <c r="W15" s="28">
        <v>58</v>
      </c>
      <c r="X15" s="29">
        <v>52.3</v>
      </c>
      <c r="Y15" s="52"/>
      <c r="Z15" s="27">
        <v>10</v>
      </c>
      <c r="AA15" s="28">
        <v>1.25</v>
      </c>
      <c r="AB15" s="28">
        <v>61.2</v>
      </c>
      <c r="AC15" s="43">
        <v>56.3</v>
      </c>
      <c r="AE15" s="49">
        <f>12</f>
        <v>12</v>
      </c>
      <c r="AF15" s="27">
        <v>0.216</v>
      </c>
      <c r="AG15" s="28">
        <v>24</v>
      </c>
      <c r="AH15" s="28">
        <v>2.4199999999999999E-2</v>
      </c>
      <c r="AI15" s="29">
        <v>2.06E-2</v>
      </c>
      <c r="AJ15" s="52"/>
      <c r="AK15" s="35">
        <f>12</f>
        <v>12</v>
      </c>
      <c r="AL15" s="27">
        <v>0.216</v>
      </c>
      <c r="AM15" s="28">
        <v>28</v>
      </c>
      <c r="AN15" s="28">
        <v>2.58E-2</v>
      </c>
      <c r="AO15" s="43">
        <v>2.2599999999999999E-2</v>
      </c>
    </row>
    <row r="16" spans="2:41" ht="15" customHeight="1" x14ac:dyDescent="0.25">
      <c r="B16" s="1" t="s">
        <v>70</v>
      </c>
      <c r="C16" s="1">
        <v>10.9</v>
      </c>
      <c r="D16" s="1"/>
      <c r="I16" s="2" t="s">
        <v>31</v>
      </c>
      <c r="J16" s="24">
        <f>SUM(N6:N10)^-1</f>
        <v>783091717519.39185</v>
      </c>
      <c r="K16" s="2" t="str">
        <f>IF($D$2="English","lbf/in","mN/m")</f>
        <v>mN/m</v>
      </c>
      <c r="P16" s="2" t="s">
        <v>78</v>
      </c>
      <c r="Q16" s="55">
        <f>IF($D$2="English",Q27*C23,Q27*C23*10^-6)</f>
        <v>108100</v>
      </c>
      <c r="R16" s="2" t="str">
        <f t="shared" ref="D16:R40" si="7">IF($D$2="English","lbf", "N")</f>
        <v>N</v>
      </c>
      <c r="U16" s="42">
        <v>12</v>
      </c>
      <c r="V16" s="28">
        <v>1.75</v>
      </c>
      <c r="W16" s="28">
        <v>84.3</v>
      </c>
      <c r="X16" s="29">
        <v>76.3</v>
      </c>
      <c r="Y16" s="52"/>
      <c r="Z16" s="27">
        <v>12</v>
      </c>
      <c r="AA16" s="28">
        <v>1.25</v>
      </c>
      <c r="AB16" s="28">
        <v>92.1</v>
      </c>
      <c r="AC16" s="43">
        <v>86</v>
      </c>
      <c r="AE16" s="49">
        <f>1/4</f>
        <v>0.25</v>
      </c>
      <c r="AF16" s="27">
        <v>0.25</v>
      </c>
      <c r="AG16" s="28">
        <v>20</v>
      </c>
      <c r="AH16" s="28">
        <v>3.1800000000000002E-2</v>
      </c>
      <c r="AI16" s="29">
        <v>2.69E-2</v>
      </c>
      <c r="AJ16" s="52"/>
      <c r="AK16" s="35">
        <f>1/4</f>
        <v>0.25</v>
      </c>
      <c r="AL16" s="27">
        <v>0.25</v>
      </c>
      <c r="AM16" s="28">
        <v>28</v>
      </c>
      <c r="AN16" s="28">
        <v>3.6400000000000002E-2</v>
      </c>
      <c r="AO16" s="43">
        <v>3.2599999999999997E-2</v>
      </c>
    </row>
    <row r="17" spans="2:41" ht="15" customHeight="1" x14ac:dyDescent="0.25">
      <c r="B17" s="2" t="s">
        <v>22</v>
      </c>
      <c r="C17" s="2">
        <f>SUM(C6:C8)+C9+C13/2</f>
        <v>163</v>
      </c>
      <c r="D17" s="2" t="str">
        <f>IF($D$2="English","in", "mm")</f>
        <v>mm</v>
      </c>
      <c r="I17" s="2"/>
      <c r="J17" s="19">
        <f>IF($D$2="English",J16*10^-6,J16*10^-9)</f>
        <v>783.09171751939186</v>
      </c>
      <c r="K17" s="2" t="str">
        <f>IF($D$2="English","Mlbf/in","MN/m")</f>
        <v>MN/m</v>
      </c>
      <c r="U17" s="42">
        <v>14</v>
      </c>
      <c r="V17" s="28">
        <v>2</v>
      </c>
      <c r="W17" s="28">
        <v>115</v>
      </c>
      <c r="X17" s="29">
        <v>104</v>
      </c>
      <c r="Y17" s="52"/>
      <c r="Z17" s="27">
        <v>14</v>
      </c>
      <c r="AA17" s="28">
        <v>1.5</v>
      </c>
      <c r="AB17" s="28">
        <v>125</v>
      </c>
      <c r="AC17" s="43">
        <v>116</v>
      </c>
      <c r="AE17" s="49">
        <f>5/16</f>
        <v>0.3125</v>
      </c>
      <c r="AF17" s="27">
        <v>0.3125</v>
      </c>
      <c r="AG17" s="28">
        <v>18</v>
      </c>
      <c r="AH17" s="28">
        <v>5.2400000000000002E-2</v>
      </c>
      <c r="AI17" s="29">
        <v>4.5400000000000003E-2</v>
      </c>
      <c r="AJ17" s="52"/>
      <c r="AK17" s="35">
        <f>5/16</f>
        <v>0.3125</v>
      </c>
      <c r="AL17" s="27">
        <v>0.3125</v>
      </c>
      <c r="AM17" s="28">
        <v>24</v>
      </c>
      <c r="AN17" s="28">
        <v>5.8000000000000003E-2</v>
      </c>
      <c r="AO17" s="43">
        <v>5.2400000000000002E-2</v>
      </c>
    </row>
    <row r="18" spans="2:41" ht="15" customHeight="1" x14ac:dyDescent="0.25">
      <c r="B18" s="2" t="s">
        <v>21</v>
      </c>
      <c r="C18" s="2">
        <f>IF(F19,C19,IF(F18,C15,IF($D$2="English",IF(C15&lt;=6, 2*C13+0.25, 2*C13+0.5),IF(AND(C15&lt;=125,C13&lt;=48),2*C13+6,IF(C15&lt;=200,2*C13+12,2*C13+25)))))</f>
        <v>133</v>
      </c>
      <c r="D18" s="2" t="str">
        <f t="shared" ref="D18:D19" si="8">IF($D$2="English","in", "mm")</f>
        <v>mm</v>
      </c>
      <c r="E18" s="1" t="s">
        <v>34</v>
      </c>
      <c r="F18" s="20" t="b">
        <v>0</v>
      </c>
      <c r="P18" s="1" t="s">
        <v>65</v>
      </c>
      <c r="Q18" s="56">
        <f>Q19*C39*(C13*10^-3)</f>
        <v>242.14400000000001</v>
      </c>
      <c r="R18" s="1" t="str">
        <f>IF($D$2="English","in-lbf", "Nm")</f>
        <v>Nm</v>
      </c>
      <c r="U18" s="42">
        <v>16</v>
      </c>
      <c r="V18" s="28">
        <v>2</v>
      </c>
      <c r="W18" s="28">
        <v>157</v>
      </c>
      <c r="X18" s="29">
        <v>144</v>
      </c>
      <c r="Y18" s="52"/>
      <c r="Z18" s="27">
        <v>16</v>
      </c>
      <c r="AA18" s="28">
        <v>1.5</v>
      </c>
      <c r="AB18" s="28">
        <v>167</v>
      </c>
      <c r="AC18" s="43">
        <v>157</v>
      </c>
      <c r="AE18" s="49">
        <f>3/8</f>
        <v>0.375</v>
      </c>
      <c r="AF18" s="27">
        <v>0.375</v>
      </c>
      <c r="AG18" s="28">
        <v>16</v>
      </c>
      <c r="AH18" s="28">
        <v>7.7499999999999999E-2</v>
      </c>
      <c r="AI18" s="29">
        <v>6.7799999999999999E-2</v>
      </c>
      <c r="AJ18" s="52"/>
      <c r="AK18" s="35">
        <f>3/8</f>
        <v>0.375</v>
      </c>
      <c r="AL18" s="27">
        <v>0.375</v>
      </c>
      <c r="AM18" s="28">
        <v>24</v>
      </c>
      <c r="AN18" s="28">
        <v>8.7800000000000003E-2</v>
      </c>
      <c r="AO18" s="43">
        <v>8.09E-2</v>
      </c>
    </row>
    <row r="19" spans="2:41" ht="15" customHeight="1" x14ac:dyDescent="0.25">
      <c r="B19" s="1"/>
      <c r="C19" s="1">
        <v>133</v>
      </c>
      <c r="D19" s="1" t="str">
        <f t="shared" si="8"/>
        <v>mm</v>
      </c>
      <c r="E19" s="1" t="s">
        <v>72</v>
      </c>
      <c r="F19" s="20" t="b">
        <v>1</v>
      </c>
      <c r="P19" s="1" t="s">
        <v>66</v>
      </c>
      <c r="Q19" s="57">
        <v>0.2</v>
      </c>
      <c r="R19" s="22"/>
      <c r="U19" s="42">
        <v>20</v>
      </c>
      <c r="V19" s="28">
        <v>2.5</v>
      </c>
      <c r="W19" s="28">
        <v>245</v>
      </c>
      <c r="X19" s="29">
        <v>225</v>
      </c>
      <c r="Y19" s="52"/>
      <c r="Z19" s="27">
        <v>20</v>
      </c>
      <c r="AA19" s="28">
        <v>1.5</v>
      </c>
      <c r="AB19" s="28">
        <v>272</v>
      </c>
      <c r="AC19" s="43">
        <v>259</v>
      </c>
      <c r="AE19" s="49">
        <f>7/16</f>
        <v>0.4375</v>
      </c>
      <c r="AF19" s="27">
        <v>0.4375</v>
      </c>
      <c r="AG19" s="28">
        <v>14</v>
      </c>
      <c r="AH19" s="28">
        <v>0.10630000000000001</v>
      </c>
      <c r="AI19" s="29">
        <v>9.3299999999999994E-2</v>
      </c>
      <c r="AJ19" s="52"/>
      <c r="AK19" s="35">
        <f>7/16</f>
        <v>0.4375</v>
      </c>
      <c r="AL19" s="27">
        <v>0.4375</v>
      </c>
      <c r="AM19" s="28">
        <v>20</v>
      </c>
      <c r="AN19" s="28">
        <v>0.1187</v>
      </c>
      <c r="AO19" s="43">
        <v>0.109</v>
      </c>
    </row>
    <row r="20" spans="2:41" ht="15" customHeight="1" x14ac:dyDescent="0.25">
      <c r="B20" s="2" t="s">
        <v>24</v>
      </c>
      <c r="C20" s="2">
        <f>C15-C18</f>
        <v>105</v>
      </c>
      <c r="D20" s="2" t="str">
        <f>IF($D$2="English","in", "mm")</f>
        <v>mm</v>
      </c>
      <c r="U20" s="42">
        <v>24</v>
      </c>
      <c r="V20" s="28">
        <v>3</v>
      </c>
      <c r="W20" s="28">
        <v>353</v>
      </c>
      <c r="X20" s="29">
        <v>324</v>
      </c>
      <c r="Y20" s="52"/>
      <c r="Z20" s="27">
        <v>24</v>
      </c>
      <c r="AA20" s="28">
        <v>2</v>
      </c>
      <c r="AB20" s="28">
        <v>384</v>
      </c>
      <c r="AC20" s="43">
        <v>365</v>
      </c>
      <c r="AE20" s="49">
        <f>1/2</f>
        <v>0.5</v>
      </c>
      <c r="AF20" s="27">
        <v>0.5</v>
      </c>
      <c r="AG20" s="28">
        <v>13</v>
      </c>
      <c r="AH20" s="28">
        <v>0.1419</v>
      </c>
      <c r="AI20" s="29">
        <v>0.12570000000000001</v>
      </c>
      <c r="AJ20" s="52"/>
      <c r="AK20" s="35">
        <f>1/2</f>
        <v>0.5</v>
      </c>
      <c r="AL20" s="27">
        <v>0.5</v>
      </c>
      <c r="AM20" s="28">
        <v>20</v>
      </c>
      <c r="AN20" s="28">
        <v>0.15989999999999999</v>
      </c>
      <c r="AO20" s="43">
        <v>0.14860000000000001</v>
      </c>
    </row>
    <row r="21" spans="2:41" ht="15" customHeight="1" x14ac:dyDescent="0.25">
      <c r="B21" s="2" t="s">
        <v>25</v>
      </c>
      <c r="C21" s="2">
        <f>C17-C20</f>
        <v>58</v>
      </c>
      <c r="D21" s="2" t="str">
        <f>IF($D$2="English","in", "mm")</f>
        <v>mm</v>
      </c>
      <c r="O21" s="60" t="s">
        <v>71</v>
      </c>
      <c r="P21" s="2" t="s">
        <v>67</v>
      </c>
      <c r="Q21" s="58">
        <f>830*10^6</f>
        <v>830000000</v>
      </c>
      <c r="R21" s="2" t="str">
        <f>IF($D$2="English","psi","Pa")</f>
        <v>Pa</v>
      </c>
      <c r="U21" s="42">
        <v>30</v>
      </c>
      <c r="V21" s="28">
        <v>3.5</v>
      </c>
      <c r="W21" s="28">
        <v>561</v>
      </c>
      <c r="X21" s="29">
        <v>519</v>
      </c>
      <c r="Y21" s="52"/>
      <c r="Z21" s="27">
        <v>30</v>
      </c>
      <c r="AA21" s="28">
        <v>2</v>
      </c>
      <c r="AB21" s="28">
        <v>621</v>
      </c>
      <c r="AC21" s="43">
        <v>596</v>
      </c>
      <c r="AE21" s="49">
        <f>9/16</f>
        <v>0.5625</v>
      </c>
      <c r="AF21" s="27">
        <v>0.5625</v>
      </c>
      <c r="AG21" s="28">
        <v>12</v>
      </c>
      <c r="AH21" s="28">
        <v>0.182</v>
      </c>
      <c r="AI21" s="29">
        <v>0.16200000000000001</v>
      </c>
      <c r="AJ21" s="52"/>
      <c r="AK21" s="35">
        <f>9/16</f>
        <v>0.5625</v>
      </c>
      <c r="AL21" s="27">
        <v>0.5625</v>
      </c>
      <c r="AM21" s="28">
        <v>18</v>
      </c>
      <c r="AN21" s="28">
        <v>0.20300000000000001</v>
      </c>
      <c r="AO21" s="43">
        <v>0.189</v>
      </c>
    </row>
    <row r="22" spans="2:41" ht="15" customHeight="1" x14ac:dyDescent="0.25">
      <c r="B22" s="2" t="s">
        <v>6</v>
      </c>
      <c r="C22" s="18">
        <f>(PI()*(C13^2))/4</f>
        <v>153.93804002589985</v>
      </c>
      <c r="D22" s="2" t="str">
        <f>IF($D$2="English","in^2","mm^2")</f>
        <v>mm^2</v>
      </c>
      <c r="P22" s="2"/>
      <c r="Q22" s="2">
        <f>IF($D$2="English",Q21*10^-3,Q21*10^-6)</f>
        <v>830</v>
      </c>
      <c r="R22" s="2" t="str">
        <f>IF($D$2="English","kpsi","MPa")</f>
        <v>MPa</v>
      </c>
      <c r="U22" s="42">
        <v>36</v>
      </c>
      <c r="V22" s="28">
        <v>4</v>
      </c>
      <c r="W22" s="28">
        <v>817</v>
      </c>
      <c r="X22" s="29">
        <v>759</v>
      </c>
      <c r="Y22" s="52"/>
      <c r="Z22" s="27">
        <v>36</v>
      </c>
      <c r="AA22" s="28">
        <v>2</v>
      </c>
      <c r="AB22" s="28">
        <v>915</v>
      </c>
      <c r="AC22" s="43">
        <v>884</v>
      </c>
      <c r="AE22" s="49">
        <f>5/8</f>
        <v>0.625</v>
      </c>
      <c r="AF22" s="27">
        <v>0.625</v>
      </c>
      <c r="AG22" s="28">
        <v>11</v>
      </c>
      <c r="AH22" s="28">
        <v>0.22600000000000001</v>
      </c>
      <c r="AI22" s="29">
        <v>0.20200000000000001</v>
      </c>
      <c r="AJ22" s="52"/>
      <c r="AK22" s="35">
        <f>5/8</f>
        <v>0.625</v>
      </c>
      <c r="AL22" s="27">
        <v>0.625</v>
      </c>
      <c r="AM22" s="28">
        <v>18</v>
      </c>
      <c r="AN22" s="28">
        <v>0.25600000000000001</v>
      </c>
      <c r="AO22" s="43">
        <v>0.24</v>
      </c>
    </row>
    <row r="23" spans="2:41" ht="15" customHeight="1" x14ac:dyDescent="0.25">
      <c r="B23" s="2" t="s">
        <v>7</v>
      </c>
      <c r="C23" s="2">
        <f>IF($D$2="English",IF($C$14="UNC",VLOOKUP($C$13,$AF$6:$AI$27,3,FALSE),VLOOKUP($C$13,$AL$6:$AO$27,3,FALSE)), IF($C$14="UNC",VLOOKUP($C$13,$U$6:$X$31,3,FALSE),VLOOKUP($C$13,$Z$6:$AC$31,3,FALSE)))</f>
        <v>115</v>
      </c>
      <c r="D23" s="2" t="str">
        <f>IF($D$2="English","in^2","mm^2")</f>
        <v>mm^2</v>
      </c>
      <c r="U23" s="42">
        <v>42</v>
      </c>
      <c r="V23" s="28">
        <v>4.5</v>
      </c>
      <c r="W23" s="28">
        <v>1120</v>
      </c>
      <c r="X23" s="29">
        <v>1050</v>
      </c>
      <c r="Y23" s="52"/>
      <c r="Z23" s="27">
        <v>42</v>
      </c>
      <c r="AA23" s="28">
        <v>2</v>
      </c>
      <c r="AB23" s="28">
        <v>1260</v>
      </c>
      <c r="AC23" s="43">
        <v>1230</v>
      </c>
      <c r="AE23" s="49">
        <f>3/4</f>
        <v>0.75</v>
      </c>
      <c r="AF23" s="27">
        <v>0.75</v>
      </c>
      <c r="AG23" s="28">
        <v>10</v>
      </c>
      <c r="AH23" s="28">
        <v>0.33400000000000002</v>
      </c>
      <c r="AI23" s="29">
        <v>0.30199999999999999</v>
      </c>
      <c r="AJ23" s="52"/>
      <c r="AK23" s="35">
        <f>3/4</f>
        <v>0.75</v>
      </c>
      <c r="AL23" s="27">
        <v>0.75</v>
      </c>
      <c r="AM23" s="28">
        <v>16</v>
      </c>
      <c r="AN23" s="28">
        <v>0.373</v>
      </c>
      <c r="AO23" s="43">
        <v>0.35099999999999998</v>
      </c>
    </row>
    <row r="24" spans="2:41" ht="15" customHeight="1" x14ac:dyDescent="0.25">
      <c r="B24" s="2" t="str">
        <f>IF($D$2="English","Bolt threads per inch, p","Bolt pitch, p")</f>
        <v>Bolt pitch, p</v>
      </c>
      <c r="C24" s="2">
        <f>IF($D$2="English",IF($C$14="UNC",VLOOKUP($C$13,$AF$6:$AI$27,2,FALSE),VLOOKUP($C$13,$AL$6:$AO$27,2,FALSE)), IF($C$14="UNC",VLOOKUP($C$13,$U$6:$X$31,2,FALSE),VLOOKUP($C$13,$Z$6:$AC$31,2,FALSE)))</f>
        <v>2</v>
      </c>
      <c r="D24" s="2" t="str">
        <f>IF($D$2="English","threads/in","mm")</f>
        <v>mm</v>
      </c>
      <c r="P24" s="2" t="s">
        <v>73</v>
      </c>
      <c r="Q24" s="61">
        <f>1040*10^6</f>
        <v>1040000000</v>
      </c>
      <c r="R24" s="2" t="str">
        <f>IF($D$2="English","psi","Pa")</f>
        <v>Pa</v>
      </c>
      <c r="U24" s="42">
        <v>48</v>
      </c>
      <c r="V24" s="28">
        <v>5</v>
      </c>
      <c r="W24" s="28">
        <v>1470</v>
      </c>
      <c r="X24" s="29">
        <v>1380</v>
      </c>
      <c r="Y24" s="52"/>
      <c r="Z24" s="27">
        <v>48</v>
      </c>
      <c r="AA24" s="28">
        <v>2</v>
      </c>
      <c r="AB24" s="28">
        <v>1670</v>
      </c>
      <c r="AC24" s="43">
        <v>1630</v>
      </c>
      <c r="AE24" s="49">
        <f>7/8</f>
        <v>0.875</v>
      </c>
      <c r="AF24" s="27">
        <v>0.875</v>
      </c>
      <c r="AG24" s="28">
        <v>9</v>
      </c>
      <c r="AH24" s="28">
        <v>0.46200000000000002</v>
      </c>
      <c r="AI24" s="29">
        <v>0.41899999999999998</v>
      </c>
      <c r="AJ24" s="52"/>
      <c r="AK24" s="35">
        <f>7/8</f>
        <v>0.875</v>
      </c>
      <c r="AL24" s="27">
        <v>0.875</v>
      </c>
      <c r="AM24" s="28">
        <v>14</v>
      </c>
      <c r="AN24" s="28">
        <v>0.50900000000000001</v>
      </c>
      <c r="AO24" s="43">
        <v>0.48</v>
      </c>
    </row>
    <row r="25" spans="2:41" ht="15" customHeight="1" x14ac:dyDescent="0.25">
      <c r="P25" s="2"/>
      <c r="Q25" s="2">
        <f>IF($D$2="English",Q24*10^-3,Q24*10^-6)</f>
        <v>1040</v>
      </c>
      <c r="R25" s="2" t="str">
        <f>IF($D$2="English","kpsi","MPa")</f>
        <v>MPa</v>
      </c>
      <c r="U25" s="42">
        <v>56</v>
      </c>
      <c r="V25" s="28">
        <v>5.5</v>
      </c>
      <c r="W25" s="28">
        <v>2030</v>
      </c>
      <c r="X25" s="29">
        <v>1910</v>
      </c>
      <c r="Y25" s="52"/>
      <c r="Z25" s="27">
        <v>56</v>
      </c>
      <c r="AA25" s="28">
        <v>2</v>
      </c>
      <c r="AB25" s="28">
        <v>2300</v>
      </c>
      <c r="AC25" s="43">
        <v>2250</v>
      </c>
      <c r="AE25" s="49">
        <f>1</f>
        <v>1</v>
      </c>
      <c r="AF25" s="27">
        <v>1</v>
      </c>
      <c r="AG25" s="28">
        <v>8</v>
      </c>
      <c r="AH25" s="28">
        <v>0.60599999999999998</v>
      </c>
      <c r="AI25" s="29">
        <v>0.55100000000000005</v>
      </c>
      <c r="AJ25" s="52"/>
      <c r="AK25" s="35">
        <f>1</f>
        <v>1</v>
      </c>
      <c r="AL25" s="27">
        <v>1</v>
      </c>
      <c r="AM25" s="28">
        <v>12</v>
      </c>
      <c r="AN25" s="28">
        <v>0.66300000000000003</v>
      </c>
      <c r="AO25" s="43">
        <v>0.625</v>
      </c>
    </row>
    <row r="26" spans="2:41" ht="15" customHeight="1" x14ac:dyDescent="0.25">
      <c r="B26" s="1" t="s">
        <v>8</v>
      </c>
      <c r="C26" s="20" t="b">
        <v>1</v>
      </c>
      <c r="D26" s="136" t="s">
        <v>32</v>
      </c>
      <c r="E26" s="136"/>
      <c r="F26" s="136"/>
      <c r="U26" s="42">
        <v>64</v>
      </c>
      <c r="V26" s="28">
        <v>6</v>
      </c>
      <c r="W26" s="28">
        <v>2680</v>
      </c>
      <c r="X26" s="29">
        <v>2520</v>
      </c>
      <c r="Y26" s="52"/>
      <c r="Z26" s="27">
        <v>64</v>
      </c>
      <c r="AA26" s="28">
        <v>2</v>
      </c>
      <c r="AB26" s="28">
        <v>3030</v>
      </c>
      <c r="AC26" s="43">
        <v>2980</v>
      </c>
      <c r="AE26" s="49">
        <f>1.25</f>
        <v>1.25</v>
      </c>
      <c r="AF26" s="27">
        <v>1.25</v>
      </c>
      <c r="AG26" s="28">
        <v>7</v>
      </c>
      <c r="AH26" s="28">
        <v>0.96899999999999997</v>
      </c>
      <c r="AI26" s="29">
        <v>0.89</v>
      </c>
      <c r="AJ26" s="52"/>
      <c r="AK26" s="35">
        <f>1.25</f>
        <v>1.25</v>
      </c>
      <c r="AL26" s="27">
        <v>1.25</v>
      </c>
      <c r="AM26" s="28">
        <v>12</v>
      </c>
      <c r="AN26" s="28">
        <v>1.073</v>
      </c>
      <c r="AO26" s="43">
        <v>1.024</v>
      </c>
    </row>
    <row r="27" spans="2:41" ht="15" customHeight="1" thickBot="1" x14ac:dyDescent="0.3">
      <c r="B27" s="1" t="s">
        <v>9</v>
      </c>
      <c r="C27" s="21" t="b">
        <f>NOT(C26)</f>
        <v>0</v>
      </c>
      <c r="D27" s="136"/>
      <c r="E27" s="136"/>
      <c r="F27" s="136"/>
      <c r="P27" s="2" t="s">
        <v>74</v>
      </c>
      <c r="Q27" s="58">
        <f>940*10^6</f>
        <v>940000000</v>
      </c>
      <c r="R27" s="2" t="str">
        <f>IF($D$2="English","psi","Pa")</f>
        <v>Pa</v>
      </c>
      <c r="U27" s="42">
        <v>72</v>
      </c>
      <c r="V27" s="28">
        <v>6</v>
      </c>
      <c r="W27" s="28">
        <v>3460</v>
      </c>
      <c r="X27" s="29">
        <v>3280</v>
      </c>
      <c r="Y27" s="52"/>
      <c r="Z27" s="27">
        <v>72</v>
      </c>
      <c r="AA27" s="28">
        <v>2</v>
      </c>
      <c r="AB27" s="28">
        <v>3860</v>
      </c>
      <c r="AC27" s="43">
        <v>3800</v>
      </c>
      <c r="AE27" s="50">
        <f>1.5</f>
        <v>1.5</v>
      </c>
      <c r="AF27" s="47">
        <v>1.5</v>
      </c>
      <c r="AG27" s="45">
        <v>6</v>
      </c>
      <c r="AH27" s="45">
        <v>1.405</v>
      </c>
      <c r="AI27" s="46">
        <v>1.294</v>
      </c>
      <c r="AJ27" s="53"/>
      <c r="AK27" s="51">
        <f>1.5</f>
        <v>1.5</v>
      </c>
      <c r="AL27" s="47">
        <v>1.5</v>
      </c>
      <c r="AM27" s="45">
        <v>12</v>
      </c>
      <c r="AN27" s="45">
        <v>1.581</v>
      </c>
      <c r="AO27" s="48">
        <v>1.5209999999999999</v>
      </c>
    </row>
    <row r="28" spans="2:41" ht="15" customHeight="1" x14ac:dyDescent="0.25">
      <c r="P28" s="2"/>
      <c r="Q28" s="2">
        <f>IF($D$2="English",Q27*10^-3,Q27*10^-6)</f>
        <v>940</v>
      </c>
      <c r="R28" s="2" t="str">
        <f>IF($D$2="English","kpsi","MPa")</f>
        <v>MPa</v>
      </c>
      <c r="U28" s="42">
        <v>80</v>
      </c>
      <c r="V28" s="28">
        <v>6</v>
      </c>
      <c r="W28" s="28">
        <v>4340</v>
      </c>
      <c r="X28" s="29">
        <v>4140</v>
      </c>
      <c r="Y28" s="52"/>
      <c r="Z28" s="27">
        <v>80</v>
      </c>
      <c r="AA28" s="28">
        <v>1.5</v>
      </c>
      <c r="AB28" s="28">
        <v>4850</v>
      </c>
      <c r="AC28" s="43">
        <v>4800</v>
      </c>
    </row>
    <row r="29" spans="2:41" ht="15" customHeight="1" x14ac:dyDescent="0.25">
      <c r="B29" s="2" t="s">
        <v>35</v>
      </c>
      <c r="C29" s="24">
        <f>IF(C20=0,0,(C22*C12)/C20)</f>
        <v>303477850336.77399</v>
      </c>
      <c r="D29" s="2" t="str">
        <f>IF($D$2="English","lbf/in","mN/m")</f>
        <v>mN/m</v>
      </c>
      <c r="U29" s="42">
        <v>90</v>
      </c>
      <c r="V29" s="28">
        <v>6</v>
      </c>
      <c r="W29" s="28">
        <v>5590</v>
      </c>
      <c r="X29" s="29">
        <v>5360</v>
      </c>
      <c r="Y29" s="52"/>
      <c r="Z29" s="27">
        <v>90</v>
      </c>
      <c r="AA29" s="28">
        <v>2</v>
      </c>
      <c r="AB29" s="28">
        <v>6100</v>
      </c>
      <c r="AC29" s="43">
        <v>6020</v>
      </c>
    </row>
    <row r="30" spans="2:41" ht="15" customHeight="1" x14ac:dyDescent="0.25">
      <c r="B30" s="2"/>
      <c r="C30" s="19">
        <f>IF($D$2="English",C29*10^-6,C29*10^-9)</f>
        <v>303.477850336774</v>
      </c>
      <c r="D30" s="2" t="str">
        <f>IF($D$2="English","Mlbf/in","MN/m")</f>
        <v>MN/m</v>
      </c>
      <c r="U30" s="42">
        <v>100</v>
      </c>
      <c r="V30" s="28">
        <v>6</v>
      </c>
      <c r="W30" s="28">
        <v>6990</v>
      </c>
      <c r="X30" s="29">
        <v>6740</v>
      </c>
      <c r="Y30" s="52"/>
      <c r="Z30" s="27">
        <v>100</v>
      </c>
      <c r="AA30" s="28">
        <v>2</v>
      </c>
      <c r="AB30" s="28">
        <v>7560</v>
      </c>
      <c r="AC30" s="43">
        <v>7470</v>
      </c>
    </row>
    <row r="31" spans="2:41" ht="15" customHeight="1" thickBot="1" x14ac:dyDescent="0.3">
      <c r="B31" s="2" t="s">
        <v>36</v>
      </c>
      <c r="C31" s="24">
        <f>IF(C21=0,0,(C23*C12)/C21)</f>
        <v>410431034482.75861</v>
      </c>
      <c r="D31" s="2" t="str">
        <f>IF($D$2="English","lbf/in","mN/m")</f>
        <v>mN/m</v>
      </c>
      <c r="E31" s="1" t="s">
        <v>81</v>
      </c>
      <c r="F31" s="1">
        <f>20*10^6</f>
        <v>20000000</v>
      </c>
      <c r="G31" s="1" t="str">
        <f>IF($D$2="English","psi","Pa")</f>
        <v>Pa</v>
      </c>
      <c r="U31" s="44">
        <v>110</v>
      </c>
      <c r="V31" s="45">
        <v>6</v>
      </c>
      <c r="W31" s="45" t="e">
        <f>NA()</f>
        <v>#N/A</v>
      </c>
      <c r="X31" s="46" t="e">
        <f>NA()</f>
        <v>#N/A</v>
      </c>
      <c r="Y31" s="53"/>
      <c r="Z31" s="47">
        <v>110</v>
      </c>
      <c r="AA31" s="45">
        <v>2</v>
      </c>
      <c r="AB31" s="45">
        <v>9180</v>
      </c>
      <c r="AC31" s="48">
        <v>9080</v>
      </c>
    </row>
    <row r="32" spans="2:41" ht="15" customHeight="1" x14ac:dyDescent="0.25">
      <c r="B32" s="2"/>
      <c r="C32" s="19">
        <f>IF($D$2="English",C31*10^-6,C31*10^-9)</f>
        <v>410.43103448275861</v>
      </c>
      <c r="D32" s="2" t="str">
        <f>IF($D$2="English","Mlbf/in","MN/m")</f>
        <v>MN/m</v>
      </c>
      <c r="E32" s="1" t="s">
        <v>82</v>
      </c>
      <c r="F32" s="1">
        <v>95</v>
      </c>
      <c r="G32" s="1" t="str">
        <f t="shared" ref="G32" si="9">IF($D$2="English","in", "mm")</f>
        <v>mm</v>
      </c>
    </row>
    <row r="33" spans="2:7" ht="15" customHeight="1" x14ac:dyDescent="0.25">
      <c r="B33" s="2" t="s">
        <v>5</v>
      </c>
      <c r="C33" s="24">
        <f>SUM(IF(C29=0,0,C29^-1),IF(C31=0,0,C31^-1))^-1</f>
        <v>174471463662.77869</v>
      </c>
      <c r="D33" s="2" t="str">
        <f>IF($D$2="English","lbf/in","mN/m")</f>
        <v>mN/m</v>
      </c>
      <c r="E33" s="1"/>
      <c r="F33" s="1">
        <f>F32*10^-3</f>
        <v>9.5000000000000001E-2</v>
      </c>
      <c r="G33" s="1" t="s">
        <v>85</v>
      </c>
    </row>
    <row r="34" spans="2:7" ht="15" customHeight="1" x14ac:dyDescent="0.25">
      <c r="B34" s="2"/>
      <c r="C34" s="19">
        <f>IF($D$2="English",C33*10^-6,C33*10^-9)</f>
        <v>174.47146366277869</v>
      </c>
      <c r="D34" s="2" t="str">
        <f>IF($D$2="English","Mlbf/in","MN/m")</f>
        <v>MN/m</v>
      </c>
      <c r="E34" s="1" t="s">
        <v>83</v>
      </c>
      <c r="F34" s="1">
        <f>PI()*(F33^2)*0.25</f>
        <v>7.0882184246619708E-3</v>
      </c>
      <c r="G34" s="1" t="s">
        <v>84</v>
      </c>
    </row>
    <row r="36" spans="2:7" ht="15" customHeight="1" x14ac:dyDescent="0.25">
      <c r="B36" s="8" t="s">
        <v>68</v>
      </c>
      <c r="C36" s="8"/>
      <c r="D36" s="8"/>
    </row>
    <row r="37" spans="2:7" ht="15" customHeight="1" x14ac:dyDescent="0.25">
      <c r="B37" s="1" t="s">
        <v>54</v>
      </c>
      <c r="C37" s="1">
        <v>4</v>
      </c>
      <c r="D37" s="1"/>
    </row>
    <row r="38" spans="2:7" ht="15" customHeight="1" x14ac:dyDescent="0.25">
      <c r="B38" s="1" t="s">
        <v>55</v>
      </c>
      <c r="C38" s="54">
        <f>(F31)*F34</f>
        <v>141764.36849323942</v>
      </c>
      <c r="D38" s="1" t="str">
        <f>IF($D$2="English","lbf", "N")</f>
        <v>N</v>
      </c>
      <c r="E38" s="6" t="s">
        <v>80</v>
      </c>
    </row>
    <row r="39" spans="2:7" ht="15" customHeight="1" x14ac:dyDescent="0.25">
      <c r="B39" s="1" t="s">
        <v>64</v>
      </c>
      <c r="C39" s="55">
        <f>IF(F40,C40,Q16*F39)</f>
        <v>86480</v>
      </c>
      <c r="D39" s="2" t="str">
        <f t="shared" si="7"/>
        <v>N</v>
      </c>
      <c r="E39" s="1" t="s">
        <v>79</v>
      </c>
      <c r="F39" s="59">
        <v>0.8</v>
      </c>
    </row>
    <row r="40" spans="2:7" ht="15" customHeight="1" x14ac:dyDescent="0.25">
      <c r="B40" s="1"/>
      <c r="C40" s="56"/>
      <c r="D40" s="1" t="str">
        <f t="shared" si="7"/>
        <v>N</v>
      </c>
      <c r="E40" s="1" t="s">
        <v>69</v>
      </c>
      <c r="F40" s="20" t="b">
        <v>0</v>
      </c>
    </row>
    <row r="150" spans="42:42" ht="15" customHeight="1" x14ac:dyDescent="0.25">
      <c r="AP150" s="6" t="s">
        <v>26</v>
      </c>
    </row>
  </sheetData>
  <mergeCells count="5">
    <mergeCell ref="U4:X4"/>
    <mergeCell ref="Z4:AC4"/>
    <mergeCell ref="AE4:AI4"/>
    <mergeCell ref="AK4:AO4"/>
    <mergeCell ref="D26:F27"/>
  </mergeCells>
  <conditionalFormatting sqref="C17:D17">
    <cfRule type="expression" dxfId="7" priority="27">
      <formula>$C$17&lt;&gt;$J$12</formula>
    </cfRule>
    <cfRule type="duplicateValues" dxfId="6" priority="28"/>
  </conditionalFormatting>
  <conditionalFormatting sqref="I6:N6">
    <cfRule type="expression" dxfId="5" priority="19">
      <formula>0=$J$6</formula>
    </cfRule>
  </conditionalFormatting>
  <conditionalFormatting sqref="I7:N7">
    <cfRule type="expression" dxfId="4" priority="20">
      <formula>0=$J$7</formula>
    </cfRule>
  </conditionalFormatting>
  <conditionalFormatting sqref="I8:N8">
    <cfRule type="expression" dxfId="3" priority="18">
      <formula>0=$J$8</formula>
    </cfRule>
  </conditionalFormatting>
  <conditionalFormatting sqref="I9:N9">
    <cfRule type="expression" dxfId="2" priority="17">
      <formula>0=$J$9</formula>
    </cfRule>
  </conditionalFormatting>
  <conditionalFormatting sqref="I10:N10">
    <cfRule type="expression" dxfId="1" priority="16">
      <formula>0=$J$10</formula>
    </cfRule>
  </conditionalFormatting>
  <conditionalFormatting sqref="J12:K13">
    <cfRule type="expression" dxfId="0" priority="32">
      <formula>$C$17&lt;&gt;$J$12</formula>
    </cfRule>
  </conditionalFormatting>
  <dataValidations disablePrompts="1" count="2">
    <dataValidation type="list" allowBlank="1" showInputMessage="1" showErrorMessage="1" sqref="D2" xr:uid="{8F7EF575-DF86-4040-B02E-0F08928C6D08}">
      <formula1>"English, Metric"</formula1>
    </dataValidation>
    <dataValidation type="list" allowBlank="1" showInputMessage="1" showErrorMessage="1" sqref="C14" xr:uid="{D7C41092-65D0-1644-BE15-79203DBCE3DE}">
      <formula1>"UNC, UNF"</formula1>
    </dataValidation>
  </dataValidations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3 Updated Jointed Assem (2)</vt:lpstr>
      <vt:lpstr>Lab 3 Updated Jointed Assembly</vt:lpstr>
      <vt:lpstr>Old Lab3 Jointed Assembly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2025-01-13T08:32:02Z</dcterms:created>
  <dcterms:modified xsi:type="dcterms:W3CDTF">2025-02-14T08:02:10Z</dcterms:modified>
  <cp:category/>
  <cp:contentStatus/>
</cp:coreProperties>
</file>