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/"/>
    </mc:Choice>
  </mc:AlternateContent>
  <xr:revisionPtr revIDLastSave="1133" documentId="11_0B1D56BE9CDCCE836B02CE7A5FB0D4A9BBFD1C62" xr6:coauthVersionLast="47" xr6:coauthVersionMax="47" xr10:uidLastSave="{FDB19F02-0ADE-44DF-BA50-688922750A71}"/>
  <bookViews>
    <workbookView minimized="1" xWindow="30" yWindow="780" windowWidth="38370" windowHeight="19455" xr2:uid="{00000000-000D-0000-FFFF-FFFF00000000}"/>
  </bookViews>
  <sheets>
    <sheet name="Shear Loading Bolted Joints" sheetId="7" r:id="rId1"/>
    <sheet name="Quiz on Spreadsheet 5 Q1" sheetId="4" r:id="rId2"/>
    <sheet name="Quiz on Spreadsheet 5 Q2" sheetId="5" r:id="rId3"/>
    <sheet name="Quiz on Spreadsheet 5 Q3" sheetId="6" r:id="rId4"/>
    <sheet name="Trial Problems Q1" sheetId="9" r:id="rId5"/>
    <sheet name="Trial Problems Q2" sheetId="10" r:id="rId6"/>
    <sheet name="Trial Problems Q3" sheetId="11" r:id="rId7"/>
    <sheet name="Trial Problems Q4" sheetId="12" r:id="rId8"/>
    <sheet name="Bolt Shear Problem 3 bolts Q1" sheetId="1" r:id="rId9"/>
    <sheet name="Bolt Shear Problem 3 bolts Q2" sheetId="2" r:id="rId10"/>
    <sheet name="Bolt Shear Problem 3 bolts Q3" sheetId="3" r:id="rId11"/>
    <sheet name="Lecture 12 Video" sheetId="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7" l="1"/>
  <c r="L10" i="7" s="1"/>
  <c r="M5" i="12"/>
  <c r="N22" i="12"/>
  <c r="N21" i="12"/>
  <c r="E8" i="12"/>
  <c r="F12" i="12" s="1"/>
  <c r="G7" i="12"/>
  <c r="N6" i="12"/>
  <c r="M6" i="12"/>
  <c r="G6" i="12"/>
  <c r="G5" i="12"/>
  <c r="G4" i="12"/>
  <c r="M36" i="11"/>
  <c r="M35" i="11"/>
  <c r="M34" i="11"/>
  <c r="F28" i="11"/>
  <c r="F27" i="11"/>
  <c r="I24" i="11"/>
  <c r="N22" i="11"/>
  <c r="N21" i="11"/>
  <c r="J17" i="11"/>
  <c r="J16" i="11"/>
  <c r="E8" i="11"/>
  <c r="F12" i="11" s="1"/>
  <c r="G7" i="11"/>
  <c r="N6" i="11"/>
  <c r="M6" i="11"/>
  <c r="G6" i="11"/>
  <c r="G5" i="11"/>
  <c r="G4" i="11"/>
  <c r="N22" i="10"/>
  <c r="N21" i="10"/>
  <c r="E8" i="10"/>
  <c r="F12" i="10" s="1"/>
  <c r="G7" i="10"/>
  <c r="N6" i="10"/>
  <c r="G6" i="10"/>
  <c r="G5" i="10"/>
  <c r="G4" i="10"/>
  <c r="C6" i="9"/>
  <c r="D7" i="9"/>
  <c r="D6" i="9"/>
  <c r="C5" i="9"/>
  <c r="M5" i="9"/>
  <c r="G8" i="12" l="1"/>
  <c r="C12" i="12" s="1" a="1"/>
  <c r="C12" i="12" s="1"/>
  <c r="J17" i="12" s="1"/>
  <c r="F11" i="12"/>
  <c r="L16" i="11"/>
  <c r="P16" i="11" s="1"/>
  <c r="G8" i="11"/>
  <c r="F11" i="11"/>
  <c r="C12" i="11" a="1"/>
  <c r="C12" i="11" s="1"/>
  <c r="C11" i="11" a="1"/>
  <c r="C11" i="11" s="1"/>
  <c r="C11" i="10" a="1"/>
  <c r="C11" i="10" s="1"/>
  <c r="J14" i="10" s="1"/>
  <c r="M6" i="10"/>
  <c r="G8" i="10"/>
  <c r="C12" i="10" a="1"/>
  <c r="C12" i="10" s="1"/>
  <c r="F11" i="10"/>
  <c r="C11" i="12" l="1" a="1"/>
  <c r="C11" i="12" s="1"/>
  <c r="J16" i="12" s="1"/>
  <c r="L16" i="12" s="1"/>
  <c r="P16" i="12" s="1"/>
  <c r="J12" i="12"/>
  <c r="J14" i="12"/>
  <c r="Q4" i="12"/>
  <c r="J13" i="12"/>
  <c r="J15" i="12"/>
  <c r="J11" i="12"/>
  <c r="J12" i="11"/>
  <c r="J10" i="11"/>
  <c r="J14" i="11"/>
  <c r="Q4" i="11"/>
  <c r="J15" i="11"/>
  <c r="J13" i="11"/>
  <c r="J11" i="11"/>
  <c r="J13" i="10"/>
  <c r="J11" i="10"/>
  <c r="J17" i="10"/>
  <c r="J16" i="10"/>
  <c r="L16" i="10" s="1"/>
  <c r="P16" i="10" s="1"/>
  <c r="J12" i="10"/>
  <c r="L12" i="10" s="1"/>
  <c r="P12" i="10" s="1"/>
  <c r="J10" i="10"/>
  <c r="L10" i="10" s="1"/>
  <c r="P10" i="10" s="1"/>
  <c r="Q4" i="10"/>
  <c r="J15" i="10"/>
  <c r="L14" i="10" s="1"/>
  <c r="P14" i="10" s="1"/>
  <c r="J10" i="12" l="1"/>
  <c r="L10" i="12"/>
  <c r="P10" i="12" s="1"/>
  <c r="L14" i="12"/>
  <c r="P14" i="12" s="1"/>
  <c r="L12" i="12"/>
  <c r="P12" i="12" s="1"/>
  <c r="L10" i="11"/>
  <c r="P10" i="11" s="1"/>
  <c r="L14" i="11"/>
  <c r="P14" i="11" s="1"/>
  <c r="L12" i="11"/>
  <c r="P12" i="11" s="1"/>
  <c r="P18" i="10"/>
  <c r="F16" i="10" s="1"/>
  <c r="P18" i="12" l="1"/>
  <c r="P18" i="11"/>
  <c r="F23" i="10"/>
  <c r="F24" i="10"/>
  <c r="F17" i="10"/>
  <c r="F18" i="10"/>
  <c r="F15" i="10"/>
  <c r="F15" i="12" l="1"/>
  <c r="F18" i="12"/>
  <c r="F16" i="12"/>
  <c r="F17" i="12"/>
  <c r="F15" i="11"/>
  <c r="F18" i="11"/>
  <c r="F16" i="11"/>
  <c r="F17" i="11"/>
  <c r="F27" i="10"/>
  <c r="F28" i="10"/>
  <c r="F22" i="10"/>
  <c r="F21" i="10"/>
  <c r="I21" i="10" s="1"/>
  <c r="F26" i="10"/>
  <c r="F25" i="10"/>
  <c r="I22" i="10"/>
  <c r="F28" i="12" l="1"/>
  <c r="F27" i="12"/>
  <c r="I24" i="12" s="1"/>
  <c r="F26" i="12"/>
  <c r="F25" i="12"/>
  <c r="F23" i="12"/>
  <c r="F24" i="12"/>
  <c r="F21" i="12"/>
  <c r="F22" i="12"/>
  <c r="F26" i="11"/>
  <c r="F25" i="11"/>
  <c r="I23" i="11" s="1"/>
  <c r="F23" i="11"/>
  <c r="F24" i="11"/>
  <c r="F22" i="11"/>
  <c r="F21" i="11"/>
  <c r="I21" i="11" s="1"/>
  <c r="I23" i="10"/>
  <c r="M33" i="10" s="1"/>
  <c r="M30" i="10"/>
  <c r="M28" i="10"/>
  <c r="M29" i="10"/>
  <c r="M32" i="10"/>
  <c r="M27" i="10"/>
  <c r="M25" i="10"/>
  <c r="M26" i="10"/>
  <c r="I24" i="10"/>
  <c r="M36" i="12" l="1"/>
  <c r="M35" i="12"/>
  <c r="M34" i="12"/>
  <c r="I23" i="12"/>
  <c r="I22" i="12"/>
  <c r="M30" i="12" s="1"/>
  <c r="I21" i="12"/>
  <c r="M33" i="12"/>
  <c r="M31" i="12"/>
  <c r="M32" i="12"/>
  <c r="I22" i="11"/>
  <c r="M28" i="11" s="1"/>
  <c r="M30" i="11"/>
  <c r="M29" i="11"/>
  <c r="M27" i="11"/>
  <c r="M25" i="11"/>
  <c r="M26" i="11"/>
  <c r="M33" i="11"/>
  <c r="M31" i="11"/>
  <c r="M32" i="11"/>
  <c r="M31" i="10"/>
  <c r="M36" i="10"/>
  <c r="M34" i="10"/>
  <c r="M35" i="10"/>
  <c r="M29" i="12" l="1"/>
  <c r="M28" i="12"/>
  <c r="M27" i="12"/>
  <c r="M25" i="12"/>
  <c r="M26" i="12"/>
  <c r="N22" i="9" l="1"/>
  <c r="N21" i="9"/>
  <c r="E8" i="9"/>
  <c r="F11" i="9" s="1"/>
  <c r="G7" i="9"/>
  <c r="N6" i="9"/>
  <c r="M6" i="9"/>
  <c r="G6" i="9"/>
  <c r="G5" i="9"/>
  <c r="G4" i="9"/>
  <c r="M36" i="8"/>
  <c r="M35" i="8"/>
  <c r="M34" i="8"/>
  <c r="F28" i="8"/>
  <c r="F27" i="8"/>
  <c r="I24" i="8"/>
  <c r="N22" i="8"/>
  <c r="N21" i="8"/>
  <c r="J17" i="8"/>
  <c r="L16" i="8"/>
  <c r="P16" i="8" s="1"/>
  <c r="J16" i="8"/>
  <c r="E8" i="8"/>
  <c r="F11" i="8" s="1"/>
  <c r="G7" i="8"/>
  <c r="N6" i="8"/>
  <c r="M6" i="8"/>
  <c r="G6" i="8"/>
  <c r="G5" i="8"/>
  <c r="G4" i="8"/>
  <c r="G8" i="8" s="1"/>
  <c r="M36" i="7"/>
  <c r="M35" i="7"/>
  <c r="M34" i="7"/>
  <c r="F28" i="7"/>
  <c r="F27" i="7"/>
  <c r="I24" i="7"/>
  <c r="N22" i="7"/>
  <c r="N21" i="7"/>
  <c r="J17" i="7"/>
  <c r="J16" i="7"/>
  <c r="L16" i="7" s="1"/>
  <c r="P16" i="7" s="1"/>
  <c r="E8" i="7"/>
  <c r="F12" i="7" s="1"/>
  <c r="G7" i="7"/>
  <c r="N6" i="7"/>
  <c r="G6" i="7"/>
  <c r="M6" i="7"/>
  <c r="G5" i="7"/>
  <c r="G4" i="7"/>
  <c r="G8" i="7" s="1"/>
  <c r="I41" i="4"/>
  <c r="H41" i="4"/>
  <c r="I40" i="4"/>
  <c r="H40" i="4"/>
  <c r="I39" i="4"/>
  <c r="H39" i="4"/>
  <c r="I38" i="4"/>
  <c r="H38" i="4"/>
  <c r="I35" i="4"/>
  <c r="H35" i="4"/>
  <c r="I32" i="4"/>
  <c r="H32" i="4"/>
  <c r="I31" i="4"/>
  <c r="H31" i="4"/>
  <c r="I31" i="5"/>
  <c r="H41" i="6"/>
  <c r="H40" i="6"/>
  <c r="H39" i="6"/>
  <c r="H38" i="6"/>
  <c r="H35" i="6"/>
  <c r="H32" i="6"/>
  <c r="H31" i="6"/>
  <c r="N22" i="6"/>
  <c r="N21" i="6"/>
  <c r="E8" i="6"/>
  <c r="F12" i="6" s="1"/>
  <c r="G7" i="6"/>
  <c r="N6" i="6"/>
  <c r="G6" i="6"/>
  <c r="M6" i="6"/>
  <c r="G5" i="6"/>
  <c r="G4" i="6"/>
  <c r="M5" i="5"/>
  <c r="H35" i="5"/>
  <c r="H32" i="5"/>
  <c r="H31" i="5"/>
  <c r="H41" i="5"/>
  <c r="H40" i="5"/>
  <c r="H39" i="5"/>
  <c r="H38" i="5"/>
  <c r="N22" i="5"/>
  <c r="N21" i="5"/>
  <c r="E8" i="5"/>
  <c r="F12" i="5" s="1"/>
  <c r="G7" i="5"/>
  <c r="N6" i="5"/>
  <c r="G6" i="5"/>
  <c r="M6" i="5"/>
  <c r="G5" i="5"/>
  <c r="G4" i="5"/>
  <c r="M5" i="4"/>
  <c r="D6" i="4"/>
  <c r="D5" i="4"/>
  <c r="C12" i="9" l="1" a="1"/>
  <c r="C12" i="9" s="1"/>
  <c r="J17" i="9" s="1"/>
  <c r="F12" i="9"/>
  <c r="G8" i="9"/>
  <c r="C11" i="9" a="1"/>
  <c r="C11" i="9" s="1"/>
  <c r="J16" i="9" s="1"/>
  <c r="F12" i="8"/>
  <c r="C12" i="8" a="1"/>
  <c r="C12" i="8" s="1"/>
  <c r="C11" i="8" a="1"/>
  <c r="C11" i="8" s="1"/>
  <c r="C11" i="7" a="1"/>
  <c r="C11" i="7" s="1"/>
  <c r="C12" i="7" a="1"/>
  <c r="C12" i="7" s="1"/>
  <c r="F11" i="7"/>
  <c r="G8" i="6"/>
  <c r="F11" i="6"/>
  <c r="C11" i="6" a="1"/>
  <c r="C11" i="6" s="1"/>
  <c r="C12" i="6" a="1"/>
  <c r="C12" i="6" s="1"/>
  <c r="G8" i="5"/>
  <c r="F11" i="5"/>
  <c r="C11" i="5" a="1"/>
  <c r="C11" i="5" s="1"/>
  <c r="J16" i="5" s="1"/>
  <c r="L16" i="5" s="1"/>
  <c r="P16" i="5" s="1"/>
  <c r="C12" i="5" a="1"/>
  <c r="C12" i="5" s="1"/>
  <c r="J17" i="5" s="1"/>
  <c r="L16" i="9" l="1"/>
  <c r="P16" i="9" s="1"/>
  <c r="J15" i="9"/>
  <c r="J13" i="9"/>
  <c r="J11" i="9"/>
  <c r="Q4" i="9"/>
  <c r="J12" i="9"/>
  <c r="J10" i="9"/>
  <c r="J14" i="9"/>
  <c r="Q4" i="8"/>
  <c r="J10" i="8"/>
  <c r="J12" i="8"/>
  <c r="L12" i="8" s="1"/>
  <c r="P12" i="8" s="1"/>
  <c r="J14" i="8"/>
  <c r="J13" i="8"/>
  <c r="J15" i="8"/>
  <c r="J11" i="8"/>
  <c r="J11" i="7"/>
  <c r="J15" i="7"/>
  <c r="J13" i="7"/>
  <c r="J14" i="7"/>
  <c r="P10" i="7"/>
  <c r="Q4" i="7"/>
  <c r="J12" i="7"/>
  <c r="L12" i="7" s="1"/>
  <c r="P12" i="7" s="1"/>
  <c r="J13" i="6"/>
  <c r="J11" i="6"/>
  <c r="J15" i="6"/>
  <c r="J17" i="6"/>
  <c r="I32" i="6"/>
  <c r="Q4" i="6"/>
  <c r="J10" i="6"/>
  <c r="L10" i="6" s="1"/>
  <c r="P10" i="6" s="1"/>
  <c r="J14" i="6"/>
  <c r="J16" i="6"/>
  <c r="L16" i="6" s="1"/>
  <c r="P16" i="6" s="1"/>
  <c r="J12" i="6"/>
  <c r="L12" i="6" s="1"/>
  <c r="P12" i="6" s="1"/>
  <c r="I31" i="6"/>
  <c r="I32" i="5"/>
  <c r="J13" i="5"/>
  <c r="J11" i="5"/>
  <c r="J15" i="5"/>
  <c r="Q4" i="5"/>
  <c r="J10" i="5"/>
  <c r="L10" i="5" s="1"/>
  <c r="P10" i="5" s="1"/>
  <c r="J14" i="5"/>
  <c r="L14" i="5" s="1"/>
  <c r="P14" i="5" s="1"/>
  <c r="J12" i="5"/>
  <c r="L12" i="5" s="1"/>
  <c r="P12" i="5" s="1"/>
  <c r="L14" i="9" l="1"/>
  <c r="P14" i="9" s="1"/>
  <c r="L10" i="9"/>
  <c r="P10" i="9" s="1"/>
  <c r="L12" i="9"/>
  <c r="P12" i="9" s="1"/>
  <c r="L14" i="8"/>
  <c r="P14" i="8" s="1"/>
  <c r="L10" i="8"/>
  <c r="P10" i="8" s="1"/>
  <c r="P18" i="8" s="1"/>
  <c r="F17" i="8" s="1"/>
  <c r="F15" i="8"/>
  <c r="F18" i="8"/>
  <c r="L14" i="7"/>
  <c r="P14" i="7" s="1"/>
  <c r="P18" i="7"/>
  <c r="F15" i="7" s="1"/>
  <c r="L14" i="6"/>
  <c r="P14" i="6" s="1"/>
  <c r="P18" i="6" s="1"/>
  <c r="F16" i="6" s="1"/>
  <c r="I35" i="6"/>
  <c r="P18" i="5"/>
  <c r="F17" i="5" s="1"/>
  <c r="I35" i="5"/>
  <c r="F18" i="5"/>
  <c r="F16" i="5"/>
  <c r="F15" i="5"/>
  <c r="F16" i="7" l="1"/>
  <c r="F17" i="7"/>
  <c r="F18" i="7"/>
  <c r="P18" i="9"/>
  <c r="F15" i="9" s="1"/>
  <c r="F25" i="8"/>
  <c r="I23" i="8" s="1"/>
  <c r="F26" i="8"/>
  <c r="F22" i="8"/>
  <c r="F21" i="8"/>
  <c r="I21" i="8" s="1"/>
  <c r="F16" i="8"/>
  <c r="F23" i="7"/>
  <c r="F24" i="7"/>
  <c r="F25" i="7"/>
  <c r="F26" i="7"/>
  <c r="F21" i="7"/>
  <c r="F22" i="7"/>
  <c r="F23" i="6"/>
  <c r="F24" i="6"/>
  <c r="F15" i="6"/>
  <c r="F17" i="6"/>
  <c r="F18" i="6"/>
  <c r="F28" i="5"/>
  <c r="F27" i="5"/>
  <c r="I24" i="5" s="1"/>
  <c r="F22" i="5"/>
  <c r="F21" i="5"/>
  <c r="F23" i="5"/>
  <c r="F24" i="5"/>
  <c r="F25" i="5"/>
  <c r="F26" i="5"/>
  <c r="F22" i="9" l="1"/>
  <c r="F21" i="9"/>
  <c r="I21" i="9" s="1"/>
  <c r="F16" i="9"/>
  <c r="F18" i="9"/>
  <c r="F17" i="9"/>
  <c r="M25" i="8"/>
  <c r="M27" i="8"/>
  <c r="M26" i="8"/>
  <c r="F24" i="8"/>
  <c r="F23" i="8"/>
  <c r="I22" i="8" s="1"/>
  <c r="M33" i="8"/>
  <c r="M31" i="8"/>
  <c r="M32" i="8"/>
  <c r="I23" i="7"/>
  <c r="I22" i="7"/>
  <c r="I21" i="7"/>
  <c r="M29" i="7"/>
  <c r="M30" i="7"/>
  <c r="M28" i="7"/>
  <c r="F27" i="6"/>
  <c r="F28" i="6"/>
  <c r="F25" i="6"/>
  <c r="F26" i="6"/>
  <c r="F22" i="6"/>
  <c r="F21" i="6"/>
  <c r="I22" i="6"/>
  <c r="I21" i="5"/>
  <c r="M27" i="5" s="1"/>
  <c r="I41" i="5"/>
  <c r="M34" i="5"/>
  <c r="M36" i="5"/>
  <c r="M35" i="5"/>
  <c r="I23" i="5"/>
  <c r="I40" i="5" s="1"/>
  <c r="I22" i="5"/>
  <c r="M28" i="5" s="1"/>
  <c r="M32" i="5"/>
  <c r="M31" i="5"/>
  <c r="F26" i="9" l="1"/>
  <c r="F25" i="9"/>
  <c r="I23" i="9" s="1"/>
  <c r="F27" i="9"/>
  <c r="F28" i="9"/>
  <c r="F23" i="9"/>
  <c r="F24" i="9"/>
  <c r="M27" i="9"/>
  <c r="M25" i="9"/>
  <c r="M26" i="9"/>
  <c r="M28" i="8"/>
  <c r="M30" i="8"/>
  <c r="M29" i="8"/>
  <c r="M32" i="7"/>
  <c r="M33" i="7"/>
  <c r="M31" i="7"/>
  <c r="M25" i="7"/>
  <c r="M27" i="7"/>
  <c r="M26" i="7"/>
  <c r="I21" i="6"/>
  <c r="M29" i="6"/>
  <c r="M28" i="6"/>
  <c r="I39" i="6"/>
  <c r="M30" i="6"/>
  <c r="I38" i="6"/>
  <c r="M27" i="6"/>
  <c r="M25" i="6"/>
  <c r="M26" i="6"/>
  <c r="I23" i="6"/>
  <c r="I24" i="6"/>
  <c r="M33" i="5"/>
  <c r="I38" i="5"/>
  <c r="M26" i="5"/>
  <c r="M25" i="5"/>
  <c r="M29" i="5"/>
  <c r="M30" i="5"/>
  <c r="I39" i="5"/>
  <c r="M31" i="9" l="1"/>
  <c r="M32" i="9"/>
  <c r="M33" i="9"/>
  <c r="I22" i="9"/>
  <c r="I24" i="9"/>
  <c r="I41" i="6"/>
  <c r="M36" i="6"/>
  <c r="M35" i="6"/>
  <c r="M34" i="6"/>
  <c r="I40" i="6"/>
  <c r="M31" i="6"/>
  <c r="M33" i="6"/>
  <c r="M32" i="6"/>
  <c r="M30" i="9" l="1"/>
  <c r="M28" i="9"/>
  <c r="M29" i="9"/>
  <c r="M35" i="9"/>
  <c r="M36" i="9"/>
  <c r="M34" i="9"/>
  <c r="M36" i="4"/>
  <c r="M35" i="4"/>
  <c r="M34" i="4"/>
  <c r="F28" i="4"/>
  <c r="F27" i="4"/>
  <c r="I24" i="4"/>
  <c r="N22" i="4"/>
  <c r="N21" i="4"/>
  <c r="J17" i="4"/>
  <c r="J16" i="4"/>
  <c r="E8" i="4"/>
  <c r="F12" i="4" s="1"/>
  <c r="G7" i="4"/>
  <c r="N6" i="4"/>
  <c r="M6" i="4"/>
  <c r="G6" i="4"/>
  <c r="G5" i="4"/>
  <c r="G4" i="4"/>
  <c r="M36" i="2"/>
  <c r="M35" i="2"/>
  <c r="M34" i="2"/>
  <c r="M33" i="2"/>
  <c r="M32" i="2"/>
  <c r="M31" i="2"/>
  <c r="M30" i="2"/>
  <c r="M29" i="2"/>
  <c r="M28" i="2"/>
  <c r="M27" i="2"/>
  <c r="M26" i="2"/>
  <c r="M25" i="2"/>
  <c r="M32" i="3"/>
  <c r="M29" i="3"/>
  <c r="M26" i="3"/>
  <c r="N22" i="1"/>
  <c r="N22" i="2"/>
  <c r="N22" i="3"/>
  <c r="N21" i="3"/>
  <c r="M36" i="3"/>
  <c r="M35" i="3"/>
  <c r="M34" i="3"/>
  <c r="F28" i="3"/>
  <c r="F27" i="3"/>
  <c r="I24" i="3"/>
  <c r="J17" i="3"/>
  <c r="J16" i="3"/>
  <c r="E8" i="3"/>
  <c r="F12" i="3" s="1"/>
  <c r="G7" i="3"/>
  <c r="N6" i="3"/>
  <c r="M6" i="3"/>
  <c r="G6" i="3"/>
  <c r="G5" i="3"/>
  <c r="G4" i="3"/>
  <c r="F28" i="2"/>
  <c r="F27" i="2"/>
  <c r="I24" i="2"/>
  <c r="N21" i="2"/>
  <c r="J17" i="2"/>
  <c r="J16" i="2"/>
  <c r="E8" i="2"/>
  <c r="F11" i="2" s="1"/>
  <c r="G7" i="2"/>
  <c r="N6" i="2"/>
  <c r="M6" i="2"/>
  <c r="G6" i="2"/>
  <c r="G5" i="2"/>
  <c r="G4" i="2"/>
  <c r="N21" i="1"/>
  <c r="N6" i="1"/>
  <c r="M6" i="1"/>
  <c r="G5" i="1"/>
  <c r="G6" i="1"/>
  <c r="G7" i="1"/>
  <c r="G4" i="1"/>
  <c r="E8" i="1"/>
  <c r="F11" i="1" s="1"/>
  <c r="L16" i="4" l="1"/>
  <c r="P16" i="4" s="1"/>
  <c r="G8" i="4"/>
  <c r="C11" i="4" s="1" a="1"/>
  <c r="C11" i="4" s="1"/>
  <c r="C12" i="4" a="1"/>
  <c r="C12" i="4" s="1"/>
  <c r="F11" i="4"/>
  <c r="L16" i="3"/>
  <c r="P16" i="3" s="1"/>
  <c r="C11" i="3" a="1"/>
  <c r="C11" i="3" s="1"/>
  <c r="G8" i="3"/>
  <c r="C12" i="3" s="1" a="1"/>
  <c r="C12" i="3" s="1"/>
  <c r="F11" i="3"/>
  <c r="G8" i="2"/>
  <c r="L16" i="2"/>
  <c r="P16" i="2" s="1"/>
  <c r="C11" i="2" a="1"/>
  <c r="C11" i="2" s="1"/>
  <c r="F12" i="2"/>
  <c r="C12" i="2" a="1"/>
  <c r="C12" i="2" s="1"/>
  <c r="F12" i="1"/>
  <c r="G8" i="1"/>
  <c r="C12" i="1" s="1" a="1"/>
  <c r="C12" i="1" s="1"/>
  <c r="J17" i="1" s="1"/>
  <c r="J12" i="4" l="1"/>
  <c r="J10" i="4"/>
  <c r="J14" i="4"/>
  <c r="Q4" i="4"/>
  <c r="J15" i="4"/>
  <c r="J11" i="4"/>
  <c r="J13" i="4"/>
  <c r="J15" i="3"/>
  <c r="J13" i="3"/>
  <c r="J11" i="3"/>
  <c r="J14" i="3"/>
  <c r="L14" i="3" s="1"/>
  <c r="P14" i="3" s="1"/>
  <c r="J12" i="3"/>
  <c r="L12" i="3" s="1"/>
  <c r="P12" i="3" s="1"/>
  <c r="Q4" i="3"/>
  <c r="J10" i="3"/>
  <c r="L10" i="3" s="1"/>
  <c r="P10" i="3" s="1"/>
  <c r="J13" i="2"/>
  <c r="J15" i="2"/>
  <c r="J11" i="2"/>
  <c r="Q4" i="2"/>
  <c r="J14" i="2"/>
  <c r="L14" i="2" s="1"/>
  <c r="P14" i="2" s="1"/>
  <c r="J12" i="2"/>
  <c r="L12" i="2" s="1"/>
  <c r="P12" i="2" s="1"/>
  <c r="J10" i="2"/>
  <c r="L10" i="2" s="1"/>
  <c r="P10" i="2" s="1"/>
  <c r="J13" i="1"/>
  <c r="J15" i="1"/>
  <c r="J11" i="1"/>
  <c r="C11" i="1" a="1"/>
  <c r="C11" i="1" s="1"/>
  <c r="L10" i="4" l="1"/>
  <c r="P10" i="4" s="1"/>
  <c r="L14" i="4"/>
  <c r="P14" i="4" s="1"/>
  <c r="L12" i="4"/>
  <c r="P12" i="4" s="1"/>
  <c r="P18" i="3"/>
  <c r="F16" i="3" s="1"/>
  <c r="F15" i="3"/>
  <c r="F17" i="3"/>
  <c r="F18" i="3"/>
  <c r="P18" i="2"/>
  <c r="F16" i="2" s="1"/>
  <c r="F18" i="2"/>
  <c r="F17" i="2"/>
  <c r="Q4" i="1"/>
  <c r="J16" i="1"/>
  <c r="L16" i="1" s="1"/>
  <c r="P16" i="1" s="1"/>
  <c r="J12" i="1"/>
  <c r="L12" i="1" s="1"/>
  <c r="P12" i="1" s="1"/>
  <c r="J14" i="1"/>
  <c r="L14" i="1" s="1"/>
  <c r="P14" i="1" s="1"/>
  <c r="J10" i="1"/>
  <c r="L10" i="1" s="1"/>
  <c r="P10" i="1" s="1"/>
  <c r="P18" i="4" l="1"/>
  <c r="F18" i="4" s="1"/>
  <c r="F17" i="4"/>
  <c r="F15" i="4"/>
  <c r="F16" i="4"/>
  <c r="F26" i="3"/>
  <c r="F25" i="3"/>
  <c r="I23" i="3" s="1"/>
  <c r="F21" i="3"/>
  <c r="F22" i="3"/>
  <c r="F24" i="3"/>
  <c r="F23" i="3"/>
  <c r="I22" i="3" s="1"/>
  <c r="F15" i="2"/>
  <c r="F26" i="2"/>
  <c r="F25" i="2"/>
  <c r="I23" i="2" s="1"/>
  <c r="F22" i="2"/>
  <c r="F21" i="2"/>
  <c r="I21" i="2" s="1"/>
  <c r="F23" i="2"/>
  <c r="F24" i="2"/>
  <c r="P18" i="1"/>
  <c r="F18" i="1" s="1"/>
  <c r="F24" i="4" l="1"/>
  <c r="F23" i="4"/>
  <c r="F25" i="4"/>
  <c r="F26" i="4"/>
  <c r="F22" i="4"/>
  <c r="F21" i="4"/>
  <c r="F15" i="1"/>
  <c r="F16" i="1"/>
  <c r="F17" i="1"/>
  <c r="I21" i="3"/>
  <c r="M27" i="3" s="1"/>
  <c r="M30" i="3"/>
  <c r="M28" i="3"/>
  <c r="M33" i="3"/>
  <c r="M31" i="3"/>
  <c r="I22" i="2"/>
  <c r="F27" i="1"/>
  <c r="F28" i="1"/>
  <c r="F22" i="1"/>
  <c r="F21" i="1"/>
  <c r="I21" i="1" s="1"/>
  <c r="F24" i="1"/>
  <c r="F23" i="1"/>
  <c r="F26" i="1"/>
  <c r="F25" i="1"/>
  <c r="I21" i="4" l="1"/>
  <c r="M25" i="4" s="1"/>
  <c r="I22" i="4"/>
  <c r="M28" i="4" s="1"/>
  <c r="I23" i="4"/>
  <c r="M26" i="1"/>
  <c r="M27" i="1"/>
  <c r="M25" i="1"/>
  <c r="M25" i="3"/>
  <c r="I22" i="1"/>
  <c r="I23" i="1"/>
  <c r="I24" i="1"/>
  <c r="M29" i="4" l="1"/>
  <c r="M30" i="4"/>
  <c r="M26" i="4"/>
  <c r="M27" i="4"/>
  <c r="M33" i="4"/>
  <c r="M31" i="4"/>
  <c r="M32" i="4"/>
  <c r="M36" i="1"/>
  <c r="M35" i="1"/>
  <c r="M34" i="1"/>
  <c r="M28" i="1"/>
  <c r="M29" i="1"/>
  <c r="M30" i="1"/>
  <c r="M33" i="1"/>
  <c r="M32" i="1"/>
  <c r="M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<sst xmlns="http://schemas.openxmlformats.org/spreadsheetml/2006/main" count="1042" uniqueCount="64">
  <si>
    <t>bolt 1</t>
  </si>
  <si>
    <t>bolt 2</t>
  </si>
  <si>
    <t>bolt 3</t>
  </si>
  <si>
    <t>bolt 4</t>
  </si>
  <si>
    <t>x [mm]</t>
  </si>
  <si>
    <t>y [mm]</t>
  </si>
  <si>
    <t>Is there a bolt?</t>
  </si>
  <si>
    <t>d [mm]</t>
  </si>
  <si>
    <t>A [mm^2]</t>
  </si>
  <si>
    <t>Total Area</t>
  </si>
  <si>
    <t>Number of bolts</t>
  </si>
  <si>
    <t>Centroid of bolt pattern</t>
  </si>
  <si>
    <t>X</t>
  </si>
  <si>
    <t>Y</t>
  </si>
  <si>
    <t>Bolt</t>
  </si>
  <si>
    <t>Distance of each bolt from centroid</t>
  </si>
  <si>
    <t>x</t>
  </si>
  <si>
    <t>y</t>
  </si>
  <si>
    <t>Shear/bolt</t>
  </si>
  <si>
    <t>Location and magnitude of the applied force</t>
  </si>
  <si>
    <t>Fx</t>
  </si>
  <si>
    <t>Fy</t>
  </si>
  <si>
    <t>x,y of Fy are the same as Fx</t>
  </si>
  <si>
    <t>Vx</t>
  </si>
  <si>
    <t>Vy</t>
  </si>
  <si>
    <t>Moment Shear</t>
  </si>
  <si>
    <t>MV1</t>
  </si>
  <si>
    <t>MV2</t>
  </si>
  <si>
    <t>MV3</t>
  </si>
  <si>
    <t>MV4</t>
  </si>
  <si>
    <t>Moment Shear Vectors</t>
  </si>
  <si>
    <t>MV1x</t>
  </si>
  <si>
    <t>MV1y</t>
  </si>
  <si>
    <t>MV2x</t>
  </si>
  <si>
    <t>MV2y</t>
  </si>
  <si>
    <t>MV3x</t>
  </si>
  <si>
    <t>MV3y</t>
  </si>
  <si>
    <t>MV4x</t>
  </si>
  <si>
    <t>MV4y</t>
  </si>
  <si>
    <t>Net Bolt Shear</t>
  </si>
  <si>
    <t>total load</t>
  </si>
  <si>
    <t>Bolt Sy [MPa]</t>
  </si>
  <si>
    <t>plate Sy [MPa]</t>
  </si>
  <si>
    <t>Bolt Ssy</t>
  </si>
  <si>
    <t>distance from centroid to bolt center</t>
  </si>
  <si>
    <t>Moment about the centroid</t>
  </si>
  <si>
    <t>Check moment</t>
  </si>
  <si>
    <t>polar moment of inertia of bolts about centroid [mm^4]</t>
  </si>
  <si>
    <t>J [mm^4]</t>
  </si>
  <si>
    <t>Mz [N-mm]</t>
  </si>
  <si>
    <t>Factors of Safety</t>
  </si>
  <si>
    <t>plate Ssy</t>
  </si>
  <si>
    <t>Bolt 1</t>
  </si>
  <si>
    <t>Bolt 2</t>
  </si>
  <si>
    <t>Bolt 3</t>
  </si>
  <si>
    <t>Bolt 4</t>
  </si>
  <si>
    <t>Bolt Bearing</t>
  </si>
  <si>
    <t>[N]</t>
  </si>
  <si>
    <t>negative means clockwise</t>
  </si>
  <si>
    <t>plate thickness [mm]</t>
  </si>
  <si>
    <t>Bolt Shear</t>
  </si>
  <si>
    <t>Plate Bearing</t>
  </si>
  <si>
    <t>All Dimensions in mm and Loads in Newtons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</si>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</sst>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6" formatCode="#,##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3" borderId="0" xfId="0" applyNumberFormat="1" applyFill="1"/>
    <xf numFmtId="2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164" fontId="0" fillId="0" borderId="0" xfId="0" applyNumberFormat="1"/>
    <xf numFmtId="1" fontId="0" fillId="0" borderId="0" xfId="0" applyNumberFormat="1"/>
    <xf numFmtId="0" fontId="0" fillId="4" borderId="0" xfId="0" applyFill="1"/>
    <xf numFmtId="0" fontId="0" fillId="5" borderId="0" xfId="0" applyFill="1"/>
    <xf numFmtId="164" fontId="0" fillId="5" borderId="0" xfId="0" applyNumberFormat="1" applyFill="1"/>
    <xf numFmtId="0" fontId="0" fillId="5" borderId="1" xfId="0" applyFill="1" applyBorder="1"/>
    <xf numFmtId="164" fontId="0" fillId="5" borderId="1" xfId="0" applyNumberFormat="1" applyFill="1" applyBorder="1"/>
    <xf numFmtId="0" fontId="0" fillId="0" borderId="0" xfId="0" quotePrefix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3" xfId="0" applyFill="1" applyBorder="1" applyAlignment="1">
      <alignment horizontal="right"/>
    </xf>
    <xf numFmtId="0" fontId="1" fillId="0" borderId="0" xfId="0" applyFont="1"/>
    <xf numFmtId="165" fontId="0" fillId="0" borderId="7" xfId="0" applyNumberFormat="1" applyBorder="1"/>
    <xf numFmtId="3" fontId="0" fillId="0" borderId="0" xfId="1" applyNumberFormat="1" applyFont="1" applyFill="1" applyAlignment="1">
      <alignment vertical="center"/>
    </xf>
    <xf numFmtId="166" fontId="0" fillId="0" borderId="0" xfId="1" applyNumberFormat="1" applyFont="1" applyFill="1" applyAlignment="1">
      <alignment vertical="center"/>
    </xf>
    <xf numFmtId="4" fontId="0" fillId="0" borderId="0" xfId="1" applyNumberFormat="1" applyFont="1" applyFill="1" applyAlignment="1">
      <alignment vertical="center"/>
    </xf>
    <xf numFmtId="3" fontId="0" fillId="3" borderId="0" xfId="1" applyNumberFormat="1" applyFont="1" applyFill="1" applyAlignment="1">
      <alignment vertical="center"/>
    </xf>
    <xf numFmtId="4" fontId="0" fillId="3" borderId="0" xfId="1" applyNumberFormat="1" applyFont="1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7</xdr:col>
      <xdr:colOff>558643</xdr:colOff>
      <xdr:row>70</xdr:row>
      <xdr:rowOff>143639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31CB05-2BF2-0E8B-7F22-593C060E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391" y="8001000"/>
          <a:ext cx="5801535" cy="54776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45</xdr:row>
      <xdr:rowOff>0</xdr:rowOff>
    </xdr:from>
    <xdr:to>
      <xdr:col>10</xdr:col>
      <xdr:colOff>291905</xdr:colOff>
      <xdr:row>83</xdr:row>
      <xdr:rowOff>1010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AF1C48-0793-B5EA-F546-AB7F709C0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5565" y="8572500"/>
          <a:ext cx="5534797" cy="72400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405847</xdr:colOff>
      <xdr:row>42</xdr:row>
      <xdr:rowOff>49695</xdr:rowOff>
    </xdr:from>
    <xdr:to>
      <xdr:col>9</xdr:col>
      <xdr:colOff>74521</xdr:colOff>
      <xdr:row>63</xdr:row>
      <xdr:rowOff>2622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3B38A1-4DE0-3C3F-15BC-BFB63346D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8630" y="8050695"/>
          <a:ext cx="5772956" cy="39534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37</xdr:row>
      <xdr:rowOff>28575</xdr:rowOff>
    </xdr:from>
    <xdr:to>
      <xdr:col>12</xdr:col>
      <xdr:colOff>466725</xdr:colOff>
      <xdr:row>116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C12D1C-F891-7FBD-9D07-BFEB85279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7077075"/>
          <a:ext cx="9525000" cy="15116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38</xdr:row>
      <xdr:rowOff>0</xdr:rowOff>
    </xdr:from>
    <xdr:to>
      <xdr:col>13</xdr:col>
      <xdr:colOff>449078</xdr:colOff>
      <xdr:row>73</xdr:row>
      <xdr:rowOff>86591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450DDF-01E1-CCF0-C7B8-3830CF07F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2185" y="7239000"/>
          <a:ext cx="10665938" cy="6754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37</xdr:row>
      <xdr:rowOff>38100</xdr:rowOff>
    </xdr:from>
    <xdr:to>
      <xdr:col>15</xdr:col>
      <xdr:colOff>192119</xdr:colOff>
      <xdr:row>79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427A74-3759-CE01-4D45-BE779C22F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7086600"/>
          <a:ext cx="11841194" cy="814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95251</xdr:colOff>
      <xdr:row>37</xdr:row>
      <xdr:rowOff>171451</xdr:rowOff>
    </xdr:from>
    <xdr:to>
      <xdr:col>14</xdr:col>
      <xdr:colOff>714376</xdr:colOff>
      <xdr:row>78</xdr:row>
      <xdr:rowOff>18445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4904F9-ECD7-4DD2-72B5-A2C292FAE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1" y="7219951"/>
          <a:ext cx="12287250" cy="7657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115573</xdr:colOff>
      <xdr:row>23</xdr:row>
      <xdr:rowOff>24246</xdr:rowOff>
    </xdr:from>
    <xdr:to>
      <xdr:col>21</xdr:col>
      <xdr:colOff>357620</xdr:colOff>
      <xdr:row>43</xdr:row>
      <xdr:rowOff>167138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4FACE9-9E43-4E51-9CA4-9B5E37FB8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74618" y="4405746"/>
          <a:ext cx="7238593" cy="3952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17318</xdr:colOff>
      <xdr:row>43</xdr:row>
      <xdr:rowOff>0</xdr:rowOff>
    </xdr:from>
    <xdr:to>
      <xdr:col>20</xdr:col>
      <xdr:colOff>86591</xdr:colOff>
      <xdr:row>88</xdr:row>
      <xdr:rowOff>187855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AE6DEE-2E77-40F9-9D7E-BC9D298D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27" y="8191500"/>
          <a:ext cx="17093046" cy="876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18</xdr:col>
      <xdr:colOff>900545</xdr:colOff>
      <xdr:row>79</xdr:row>
      <xdr:rowOff>117071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0309B6-186C-41C3-BDEF-EE427F75D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853" y="7048500"/>
          <a:ext cx="16073310" cy="8118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20</xdr:col>
      <xdr:colOff>176772</xdr:colOff>
      <xdr:row>86</xdr:row>
      <xdr:rowOff>17318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AB9186-1B9C-4E54-B061-DA0C0B997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853" y="7048500"/>
          <a:ext cx="17153684" cy="9351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37</xdr:row>
      <xdr:rowOff>47625</xdr:rowOff>
    </xdr:from>
    <xdr:to>
      <xdr:col>18</xdr:col>
      <xdr:colOff>834629</xdr:colOff>
      <xdr:row>80</xdr:row>
      <xdr:rowOff>40821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743A4D-21FF-B006-F922-BF1B629F7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6" y="7096125"/>
          <a:ext cx="15909982" cy="818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0971-78E0-4D30-B6B1-21BDD86666FD}">
  <sheetPr>
    <tabColor rgb="FFC00000"/>
  </sheetPr>
  <dimension ref="B2:T36"/>
  <sheetViews>
    <sheetView tabSelected="1" zoomScaleNormal="100" workbookViewId="0">
      <selection activeCell="J19" sqref="J19"/>
    </sheetView>
  </sheetViews>
  <sheetFormatPr defaultColWidth="12.85546875" defaultRowHeight="15" customHeight="1" x14ac:dyDescent="0.25"/>
  <cols>
    <col min="5" max="5" width="14" bestFit="1" customWidth="1"/>
    <col min="11" max="11" width="19.5703125" bestFit="1" customWidth="1"/>
    <col min="19" max="19" width="14.140625" bestFit="1" customWidth="1"/>
  </cols>
  <sheetData>
    <row r="2" spans="2:20" ht="15" customHeight="1" x14ac:dyDescent="0.25">
      <c r="B2" s="11" t="s">
        <v>62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5" t="s">
        <v>63</v>
      </c>
    </row>
    <row r="3" spans="2:20" ht="15" customHeight="1" x14ac:dyDescent="0.25">
      <c r="B3" s="1" t="s">
        <v>14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L3" s="1" t="s">
        <v>19</v>
      </c>
      <c r="M3" s="1"/>
      <c r="N3" s="1"/>
      <c r="O3" s="1"/>
      <c r="P3" s="1" t="s">
        <v>45</v>
      </c>
      <c r="Q3" s="1"/>
      <c r="R3" s="1"/>
      <c r="S3" s="1" t="s">
        <v>46</v>
      </c>
    </row>
    <row r="4" spans="2:20" ht="15" customHeight="1" x14ac:dyDescent="0.25">
      <c r="B4">
        <v>1</v>
      </c>
      <c r="C4" s="4">
        <v>15</v>
      </c>
      <c r="D4" s="4">
        <v>15</v>
      </c>
      <c r="E4" s="3" t="b">
        <v>1</v>
      </c>
      <c r="F4" s="4">
        <v>10</v>
      </c>
      <c r="G4" s="5">
        <f>IF(E4,PI()*(F4^2)/4,0)</f>
        <v>78.539816339744831</v>
      </c>
      <c r="H4" s="5"/>
      <c r="I4" s="5"/>
      <c r="L4" s="6" t="s">
        <v>57</v>
      </c>
      <c r="M4" s="6" t="s">
        <v>4</v>
      </c>
      <c r="N4" s="6" t="s">
        <v>5</v>
      </c>
      <c r="P4" t="s">
        <v>49</v>
      </c>
      <c r="Q4" s="9">
        <f>(M5-C11)*L6 - (N5-C12)*L5</f>
        <v>530290.69767441857</v>
      </c>
    </row>
    <row r="5" spans="2:20" ht="15" customHeight="1" x14ac:dyDescent="0.25">
      <c r="B5">
        <v>2</v>
      </c>
      <c r="C5" s="4">
        <v>35</v>
      </c>
      <c r="D5" s="4">
        <v>30</v>
      </c>
      <c r="E5" s="3" t="b">
        <v>1</v>
      </c>
      <c r="F5" s="4">
        <v>10</v>
      </c>
      <c r="G5" s="5">
        <f t="shared" ref="G5:G7" si="0">IF(E5,PI()*(F5^2)/4,0)</f>
        <v>78.539816339744831</v>
      </c>
      <c r="H5" s="5"/>
      <c r="I5" s="5"/>
      <c r="K5" s="6" t="s">
        <v>20</v>
      </c>
      <c r="L5" s="4">
        <v>1000</v>
      </c>
      <c r="M5" s="4">
        <v>300</v>
      </c>
      <c r="N5" s="4">
        <v>60</v>
      </c>
      <c r="O5" s="5"/>
      <c r="P5" s="5"/>
      <c r="Q5" s="5"/>
      <c r="R5" s="5"/>
      <c r="S5" s="5"/>
    </row>
    <row r="6" spans="2:20" ht="15" customHeight="1" x14ac:dyDescent="0.25">
      <c r="B6">
        <v>3</v>
      </c>
      <c r="C6" s="4">
        <v>15</v>
      </c>
      <c r="D6" s="4">
        <v>45</v>
      </c>
      <c r="E6" s="3" t="b">
        <v>1</v>
      </c>
      <c r="F6" s="4">
        <v>12</v>
      </c>
      <c r="G6" s="5">
        <f t="shared" si="0"/>
        <v>113.09733552923255</v>
      </c>
      <c r="H6" s="5"/>
      <c r="I6" s="5"/>
      <c r="K6" s="6" t="s">
        <v>21</v>
      </c>
      <c r="L6" s="4">
        <v>2000</v>
      </c>
      <c r="M6" s="5">
        <f>M5</f>
        <v>300</v>
      </c>
      <c r="N6" s="5">
        <f>N5</f>
        <v>60</v>
      </c>
      <c r="O6" s="5" t="s">
        <v>22</v>
      </c>
      <c r="P6" s="5"/>
      <c r="Q6" s="5"/>
      <c r="R6" s="5"/>
      <c r="S6" s="5"/>
    </row>
    <row r="7" spans="2:20" ht="15" customHeight="1" x14ac:dyDescent="0.25">
      <c r="B7">
        <v>4</v>
      </c>
      <c r="C7" s="4"/>
      <c r="D7" s="4"/>
      <c r="E7" s="3" t="b">
        <v>0</v>
      </c>
      <c r="F7" s="4"/>
      <c r="G7" s="5">
        <f t="shared" si="0"/>
        <v>0</v>
      </c>
      <c r="H7" s="5"/>
      <c r="I7" s="5"/>
      <c r="K7" s="1" t="s">
        <v>40</v>
      </c>
    </row>
    <row r="8" spans="2:20" ht="15" customHeight="1" x14ac:dyDescent="0.25">
      <c r="C8" s="1" t="s">
        <v>10</v>
      </c>
      <c r="D8" s="7"/>
      <c r="E8">
        <f>COUNTIF(E4:E7,TRUE)</f>
        <v>3</v>
      </c>
      <c r="F8" s="1" t="s">
        <v>9</v>
      </c>
      <c r="G8" s="5">
        <f>SUM(G4:G7)</f>
        <v>270.1769682087222</v>
      </c>
    </row>
    <row r="9" spans="2:20" ht="15" customHeight="1" x14ac:dyDescent="0.25">
      <c r="H9" s="1" t="s">
        <v>15</v>
      </c>
      <c r="I9" s="1"/>
      <c r="J9" s="1"/>
      <c r="L9" s="1" t="s">
        <v>44</v>
      </c>
      <c r="M9" s="1"/>
      <c r="N9" s="1"/>
      <c r="O9" s="1"/>
      <c r="P9" s="1" t="s">
        <v>47</v>
      </c>
      <c r="Q9" s="1"/>
      <c r="R9" s="1"/>
      <c r="S9" s="1"/>
    </row>
    <row r="10" spans="2:20" ht="15" customHeight="1" x14ac:dyDescent="0.25">
      <c r="B10" s="1" t="s">
        <v>11</v>
      </c>
      <c r="C10" s="1"/>
      <c r="E10" s="1" t="s">
        <v>18</v>
      </c>
      <c r="F10" s="1"/>
      <c r="H10" t="s">
        <v>0</v>
      </c>
      <c r="I10" t="s">
        <v>16</v>
      </c>
      <c r="J10" s="8">
        <f>IF($E4,C4-$C$11,0)</f>
        <v>-5.8139534883720962</v>
      </c>
      <c r="L10" s="9">
        <f>SQRT((J10)^2+(J11)^2)</f>
        <v>17.889696434185272</v>
      </c>
      <c r="P10" s="9">
        <f>(L10^2)*G4</f>
        <v>25135.980093507907</v>
      </c>
    </row>
    <row r="11" spans="2:20" ht="15" customHeight="1" x14ac:dyDescent="0.25">
      <c r="B11" t="s">
        <v>12</v>
      </c>
      <c r="C11" s="8" cm="1">
        <f t="array" ref="C11">SUM(C4:C7 * $G$4:$G$7)/$G$8</f>
        <v>20.813953488372096</v>
      </c>
      <c r="E11" t="s">
        <v>23</v>
      </c>
      <c r="F11" s="9">
        <f>L5/$E$8</f>
        <v>333.33333333333331</v>
      </c>
      <c r="I11" t="s">
        <v>17</v>
      </c>
      <c r="J11" s="8">
        <f>IF($E4,D4-$C$12,0)</f>
        <v>-16.918604651162788</v>
      </c>
    </row>
    <row r="12" spans="2:20" ht="15" customHeight="1" x14ac:dyDescent="0.25">
      <c r="B12" t="s">
        <v>13</v>
      </c>
      <c r="C12" s="8" cm="1">
        <f t="array" ref="C12">SUM(D4:D7 * $G$4:$G$7)/$G$8</f>
        <v>31.918604651162788</v>
      </c>
      <c r="E12" t="s">
        <v>24</v>
      </c>
      <c r="F12" s="9">
        <f>L6/$E$8</f>
        <v>666.66666666666663</v>
      </c>
      <c r="H12" t="s">
        <v>1</v>
      </c>
      <c r="I12" t="s">
        <v>16</v>
      </c>
      <c r="J12" s="8">
        <f>IF($E5,C5-$C$11,0)</f>
        <v>14.186046511627904</v>
      </c>
      <c r="L12" s="9">
        <f>SQRT((J12)^2+(J13)^2)</f>
        <v>14.315200293308287</v>
      </c>
      <c r="P12" s="9">
        <f>(L12^2)*G5</f>
        <v>16094.768677653552</v>
      </c>
    </row>
    <row r="13" spans="2:20" ht="15" customHeight="1" x14ac:dyDescent="0.25">
      <c r="I13" t="s">
        <v>17</v>
      </c>
      <c r="J13" s="8">
        <f>IF($E5,D5-$C$12,0)</f>
        <v>-1.9186046511627879</v>
      </c>
    </row>
    <row r="14" spans="2:20" ht="15" customHeight="1" x14ac:dyDescent="0.25">
      <c r="E14" s="1" t="s">
        <v>25</v>
      </c>
      <c r="F14" s="1"/>
      <c r="H14" t="s">
        <v>2</v>
      </c>
      <c r="I14" t="s">
        <v>16</v>
      </c>
      <c r="J14" s="8">
        <f>IF($E6,C6-$C$11,0)</f>
        <v>-5.8139534883720962</v>
      </c>
      <c r="L14" s="9">
        <f>SQRT((J14)^2+(J15)^2)</f>
        <v>14.315200293308296</v>
      </c>
      <c r="P14" s="9">
        <f>(L14^2)*G6</f>
        <v>23176.466895821144</v>
      </c>
    </row>
    <row r="15" spans="2:20" ht="15" customHeight="1" x14ac:dyDescent="0.25">
      <c r="B15" t="s">
        <v>58</v>
      </c>
      <c r="E15" t="s">
        <v>26</v>
      </c>
      <c r="F15" s="9">
        <f>($Q$4*L10*G4)/$P$18</f>
        <v>11568.37441873122</v>
      </c>
      <c r="I15" t="s">
        <v>17</v>
      </c>
      <c r="J15" s="8">
        <f>IF($E6,D6-$C$12,0)</f>
        <v>13.081395348837212</v>
      </c>
    </row>
    <row r="16" spans="2:20" ht="15" customHeight="1" x14ac:dyDescent="0.25">
      <c r="E16" t="s">
        <v>27</v>
      </c>
      <c r="F16" s="9">
        <f>($Q$4*L12*G5)/$P$18</f>
        <v>9256.9260457472428</v>
      </c>
      <c r="H16" t="s">
        <v>3</v>
      </c>
      <c r="I16" t="s">
        <v>16</v>
      </c>
      <c r="J16" s="8">
        <f>IF($E7,C7-$C$11,0)</f>
        <v>0</v>
      </c>
      <c r="L16" s="9">
        <f>SQRT((J16)^2+(J17)^2)</f>
        <v>0</v>
      </c>
      <c r="P16" s="9">
        <f>(L16^2)*G7</f>
        <v>0</v>
      </c>
    </row>
    <row r="17" spans="5:16" ht="15" customHeight="1" x14ac:dyDescent="0.25">
      <c r="E17" t="s">
        <v>28</v>
      </c>
      <c r="F17" s="9">
        <f>($Q$4*L14*G6)/$P$18</f>
        <v>13329.973505876038</v>
      </c>
      <c r="I17" t="s">
        <v>17</v>
      </c>
      <c r="J17" s="8">
        <f>IF($E7,D7-$C$12,0)</f>
        <v>0</v>
      </c>
      <c r="P17" s="9"/>
    </row>
    <row r="18" spans="5:16" ht="15" customHeight="1" x14ac:dyDescent="0.25">
      <c r="E18" t="s">
        <v>29</v>
      </c>
      <c r="F18" s="9">
        <f>($Q$4*L16*G7)/$P$18</f>
        <v>0</v>
      </c>
      <c r="O18" s="1" t="s">
        <v>48</v>
      </c>
      <c r="P18" s="9">
        <f>SUM(P10:P16)</f>
        <v>64407.215666982607</v>
      </c>
    </row>
    <row r="20" spans="5:16" ht="15" customHeight="1" x14ac:dyDescent="0.25">
      <c r="E20" s="1" t="s">
        <v>30</v>
      </c>
      <c r="F20" s="1"/>
      <c r="H20" s="1" t="s">
        <v>39</v>
      </c>
      <c r="I20" s="7" t="s">
        <v>57</v>
      </c>
      <c r="K20" s="2" t="s">
        <v>59</v>
      </c>
      <c r="L20" s="2">
        <v>15</v>
      </c>
    </row>
    <row r="21" spans="5:16" ht="15" customHeight="1" x14ac:dyDescent="0.25">
      <c r="E21" t="s">
        <v>31</v>
      </c>
      <c r="F21" s="9">
        <f>IF(E4,-F15*(J11/L10),0)</f>
        <v>10940.417796756879</v>
      </c>
      <c r="H21" t="s">
        <v>0</v>
      </c>
      <c r="I21" s="9">
        <f>IF(E4, SQRT((F21+$F$11)^2 + (F22+$F$12)^2), 0)</f>
        <v>11690.323453718536</v>
      </c>
      <c r="K21" s="2" t="s">
        <v>42</v>
      </c>
      <c r="L21" s="2">
        <v>353</v>
      </c>
      <c r="M21" t="s">
        <v>51</v>
      </c>
      <c r="N21" s="5">
        <f>0.577*L21</f>
        <v>203.68099999999998</v>
      </c>
    </row>
    <row r="22" spans="5:16" ht="15" customHeight="1" x14ac:dyDescent="0.25">
      <c r="E22" t="s">
        <v>32</v>
      </c>
      <c r="F22" s="9">
        <f>IF(E4,F15*(J10/L10),0)</f>
        <v>-3759.5937445899954</v>
      </c>
      <c r="H22" t="s">
        <v>1</v>
      </c>
      <c r="I22" s="9">
        <f>IF(E5, SQRT((F23+$F$11)^2 + (F24+$F$12)^2), 0)</f>
        <v>9965.1672161015522</v>
      </c>
      <c r="K22" s="2" t="s">
        <v>41</v>
      </c>
      <c r="L22" s="2">
        <v>420</v>
      </c>
      <c r="M22" t="s">
        <v>43</v>
      </c>
      <c r="N22" s="5">
        <f>0.577*L22</f>
        <v>242.33999999999997</v>
      </c>
    </row>
    <row r="23" spans="5:16" ht="15" customHeight="1" x14ac:dyDescent="0.25">
      <c r="E23" t="s">
        <v>33</v>
      </c>
      <c r="F23" s="9">
        <f>IF(E5,-F16*(J13/L12),0)</f>
        <v>1240.6659357146959</v>
      </c>
      <c r="H23" t="s">
        <v>2</v>
      </c>
      <c r="I23" s="9">
        <f>IF(E6, SQRT((F25+$F$11)^2 + (F26+$F$12)^2), 0)</f>
        <v>12763.408899858434</v>
      </c>
    </row>
    <row r="24" spans="5:16" ht="15" customHeight="1" x14ac:dyDescent="0.25">
      <c r="E24" t="s">
        <v>34</v>
      </c>
      <c r="F24" s="9">
        <f>IF(E5,F16*(J12/L12),0)</f>
        <v>9173.4087367995817</v>
      </c>
      <c r="H24" t="s">
        <v>3</v>
      </c>
      <c r="I24" s="9">
        <f>IF(E7, SQRT((F27+$F$11)^2 + (F28+$F$12)^2), 0)</f>
        <v>0</v>
      </c>
      <c r="K24" s="10" t="s">
        <v>50</v>
      </c>
    </row>
    <row r="25" spans="5:16" ht="15" customHeight="1" x14ac:dyDescent="0.25">
      <c r="E25" t="s">
        <v>35</v>
      </c>
      <c r="F25" s="9">
        <f>IF(E6,-F17*(J15/L14),0)</f>
        <v>-12181.083732471579</v>
      </c>
      <c r="K25" s="11" t="s">
        <v>52</v>
      </c>
      <c r="L25" s="11" t="s">
        <v>56</v>
      </c>
      <c r="M25" s="12">
        <f>IF($E$4,$L$22/(I21/(F4*$L$20)),"No Bolt")</f>
        <v>5.3890724452077103</v>
      </c>
    </row>
    <row r="26" spans="5:16" ht="15" customHeight="1" x14ac:dyDescent="0.25">
      <c r="E26" t="s">
        <v>36</v>
      </c>
      <c r="F26" s="9">
        <f>IF(E6,F17*(J14/L14),0)</f>
        <v>-5413.8149922095927</v>
      </c>
      <c r="K26" s="11"/>
      <c r="L26" s="11" t="s">
        <v>60</v>
      </c>
      <c r="M26" s="12">
        <f>IF($E$4,(N22)/(I21/G4),"No Bolt")</f>
        <v>1.6281276704725829</v>
      </c>
    </row>
    <row r="27" spans="5:16" ht="15" customHeight="1" x14ac:dyDescent="0.25">
      <c r="E27" t="s">
        <v>37</v>
      </c>
      <c r="F27" s="9">
        <f>IF(E7,-F18*(J17/L16),0)</f>
        <v>0</v>
      </c>
      <c r="K27" s="13"/>
      <c r="L27" s="13" t="s">
        <v>61</v>
      </c>
      <c r="M27" s="14">
        <f>IF($E$4,$L$21/(I21/(F4*$L$20)),"No Bolt")</f>
        <v>4.5293870789483854</v>
      </c>
    </row>
    <row r="28" spans="5:16" ht="15" customHeight="1" x14ac:dyDescent="0.25">
      <c r="E28" t="s">
        <v>38</v>
      </c>
      <c r="F28" s="9">
        <f>IF(E7,F18*(J16/L16),0)</f>
        <v>0</v>
      </c>
      <c r="K28" s="11" t="s">
        <v>53</v>
      </c>
      <c r="L28" s="11" t="s">
        <v>56</v>
      </c>
      <c r="M28" s="12">
        <f>IF($E$5,$L$22/(I22/(F5*$L$20)),"No Bolt")</f>
        <v>6.322021360384765</v>
      </c>
    </row>
    <row r="29" spans="5:16" ht="15" customHeight="1" x14ac:dyDescent="0.25">
      <c r="K29" s="11"/>
      <c r="L29" s="11" t="s">
        <v>60</v>
      </c>
      <c r="M29" s="12">
        <f>IF($E$5,(N22)/(I22/G5),"No Bolt")</f>
        <v>1.9099869253593664</v>
      </c>
    </row>
    <row r="30" spans="5:16" ht="15" customHeight="1" x14ac:dyDescent="0.25">
      <c r="K30" s="13"/>
      <c r="L30" s="13" t="s">
        <v>61</v>
      </c>
      <c r="M30" s="14">
        <f>IF($E$5,$L$21/(I22/(F5*$L$20)),"No Bolt")</f>
        <v>5.3135084290852905</v>
      </c>
    </row>
    <row r="31" spans="5:16" ht="15" customHeight="1" x14ac:dyDescent="0.25">
      <c r="K31" s="11" t="s">
        <v>54</v>
      </c>
      <c r="L31" s="11" t="s">
        <v>56</v>
      </c>
      <c r="M31" s="12">
        <f>IF($E$6,$L$22/(I23/(F6*$L$20)),"No Bolt")</f>
        <v>5.9231824815107608</v>
      </c>
    </row>
    <row r="32" spans="5:16" ht="15" customHeight="1" x14ac:dyDescent="0.25">
      <c r="K32" s="11"/>
      <c r="L32" s="11" t="s">
        <v>60</v>
      </c>
      <c r="M32" s="12">
        <f>IF($E$6,(N22)/(I23/G6),"No Bolt")</f>
        <v>2.1473893461533002</v>
      </c>
    </row>
    <row r="33" spans="11:13" ht="15" customHeight="1" x14ac:dyDescent="0.25">
      <c r="K33" s="13"/>
      <c r="L33" s="13" t="s">
        <v>61</v>
      </c>
      <c r="M33" s="14">
        <f>IF($E$6,$L$21/(I23/(F6*$L$20)),"No Bolt")</f>
        <v>4.9782938475554728</v>
      </c>
    </row>
    <row r="34" spans="11:13" ht="15" customHeight="1" x14ac:dyDescent="0.25">
      <c r="K34" s="11" t="s">
        <v>55</v>
      </c>
      <c r="L34" s="11" t="s">
        <v>56</v>
      </c>
      <c r="M34" s="12" t="str">
        <f>IF($E$7,$L$22/(I24/(F7*$L$20)),"No Bolt")</f>
        <v>No Bolt</v>
      </c>
    </row>
    <row r="35" spans="11:13" ht="15" customHeight="1" x14ac:dyDescent="0.25">
      <c r="K35" s="11"/>
      <c r="L35" s="11" t="s">
        <v>60</v>
      </c>
      <c r="M35" s="12" t="str">
        <f>IF($E$7,(N22)/(I24/G7)*10,"No Bolt")</f>
        <v>No Bolt</v>
      </c>
    </row>
    <row r="36" spans="11:13" ht="15" customHeight="1" x14ac:dyDescent="0.25">
      <c r="K36" s="11"/>
      <c r="L36" s="11" t="s">
        <v>61</v>
      </c>
      <c r="M36" s="12" t="str">
        <f>IF($E$7,$L$21/(I24/(F7*$L$20)),"No Bolt")</f>
        <v>No Bolt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D325-A2A1-47D2-9954-9AB287E7C03A}">
  <sheetPr>
    <tabColor rgb="FF00B050"/>
  </sheetPr>
  <dimension ref="B2:T41"/>
  <sheetViews>
    <sheetView zoomScaleNormal="100" workbookViewId="0">
      <selection activeCell="F31" sqref="F31"/>
    </sheetView>
  </sheetViews>
  <sheetFormatPr defaultColWidth="12.85546875" defaultRowHeight="15" customHeight="1" x14ac:dyDescent="0.25"/>
  <cols>
    <col min="5" max="5" width="14" bestFit="1" customWidth="1"/>
    <col min="11" max="11" width="19.5703125" bestFit="1" customWidth="1"/>
    <col min="19" max="19" width="14.140625" bestFit="1" customWidth="1"/>
  </cols>
  <sheetData>
    <row r="2" spans="2:20" ht="15" customHeight="1" x14ac:dyDescent="0.25">
      <c r="B2" s="11" t="s">
        <v>62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5" t="s">
        <v>63</v>
      </c>
    </row>
    <row r="3" spans="2:20" ht="15" customHeight="1" x14ac:dyDescent="0.25">
      <c r="B3" s="1" t="s">
        <v>14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L3" s="1" t="s">
        <v>19</v>
      </c>
      <c r="M3" s="1"/>
      <c r="N3" s="1"/>
      <c r="O3" s="1"/>
      <c r="P3" s="1" t="s">
        <v>45</v>
      </c>
      <c r="Q3" s="1"/>
      <c r="R3" s="1"/>
      <c r="S3" s="1" t="s">
        <v>46</v>
      </c>
    </row>
    <row r="4" spans="2:20" ht="15" customHeight="1" x14ac:dyDescent="0.25">
      <c r="B4">
        <v>1</v>
      </c>
      <c r="C4" s="4">
        <v>18</v>
      </c>
      <c r="D4" s="4">
        <v>18</v>
      </c>
      <c r="E4" s="3" t="b">
        <v>1</v>
      </c>
      <c r="F4" s="4">
        <v>10</v>
      </c>
      <c r="G4" s="5">
        <f>IF(E4,PI()*(F4^2)/4,0)</f>
        <v>78.539816339744831</v>
      </c>
      <c r="H4" s="5"/>
      <c r="I4" s="5"/>
      <c r="L4" s="6" t="s">
        <v>57</v>
      </c>
      <c r="M4" s="6" t="s">
        <v>4</v>
      </c>
      <c r="N4" s="6" t="s">
        <v>5</v>
      </c>
      <c r="P4" t="s">
        <v>49</v>
      </c>
      <c r="Q4" s="9">
        <f>(M5-C11)*L6 - (N5-C12)*L5</f>
        <v>1037383.7209302327</v>
      </c>
    </row>
    <row r="5" spans="2:20" ht="15" customHeight="1" x14ac:dyDescent="0.25">
      <c r="B5">
        <v>2</v>
      </c>
      <c r="C5" s="4">
        <v>18</v>
      </c>
      <c r="D5" s="4">
        <f>18*3</f>
        <v>54</v>
      </c>
      <c r="E5" s="3" t="b">
        <v>1</v>
      </c>
      <c r="F5" s="4">
        <v>10</v>
      </c>
      <c r="G5" s="5">
        <f t="shared" ref="G5:G7" si="0">IF(E5,PI()*(F5^2)/4,0)</f>
        <v>78.539816339744831</v>
      </c>
      <c r="H5" s="5"/>
      <c r="I5" s="5"/>
      <c r="K5" s="6" t="s">
        <v>20</v>
      </c>
      <c r="L5" s="4">
        <v>2500</v>
      </c>
      <c r="M5" s="4">
        <f>50+200</f>
        <v>250</v>
      </c>
      <c r="N5" s="4">
        <v>75</v>
      </c>
      <c r="O5" s="5"/>
      <c r="P5" s="5"/>
      <c r="Q5" s="5"/>
      <c r="R5" s="5"/>
      <c r="S5" s="5"/>
    </row>
    <row r="6" spans="2:20" ht="15" customHeight="1" x14ac:dyDescent="0.25">
      <c r="B6">
        <v>3</v>
      </c>
      <c r="C6" s="4">
        <v>30</v>
      </c>
      <c r="D6" s="4">
        <f>18*2</f>
        <v>36</v>
      </c>
      <c r="E6" s="3" t="b">
        <v>1</v>
      </c>
      <c r="F6" s="4">
        <v>12</v>
      </c>
      <c r="G6" s="5">
        <f t="shared" si="0"/>
        <v>113.09733552923255</v>
      </c>
      <c r="H6" s="5"/>
      <c r="I6" s="5"/>
      <c r="K6" s="6" t="s">
        <v>21</v>
      </c>
      <c r="L6" s="4">
        <v>5000</v>
      </c>
      <c r="M6" s="5">
        <f>M5</f>
        <v>250</v>
      </c>
      <c r="N6" s="5">
        <f>N5</f>
        <v>75</v>
      </c>
      <c r="O6" s="5" t="s">
        <v>22</v>
      </c>
      <c r="P6" s="5"/>
      <c r="Q6" s="5"/>
      <c r="R6" s="5"/>
      <c r="S6" s="5"/>
    </row>
    <row r="7" spans="2:20" ht="15" customHeight="1" x14ac:dyDescent="0.25">
      <c r="B7">
        <v>4</v>
      </c>
      <c r="C7" s="4"/>
      <c r="D7" s="4"/>
      <c r="E7" s="3" t="b">
        <v>0</v>
      </c>
      <c r="F7" s="4"/>
      <c r="G7" s="5">
        <f t="shared" si="0"/>
        <v>0</v>
      </c>
      <c r="H7" s="5"/>
      <c r="I7" s="5"/>
      <c r="K7" s="1" t="s">
        <v>40</v>
      </c>
    </row>
    <row r="8" spans="2:20" ht="15" customHeight="1" x14ac:dyDescent="0.25">
      <c r="C8" s="1" t="s">
        <v>10</v>
      </c>
      <c r="D8" s="7"/>
      <c r="E8">
        <f>COUNTIF(E4:E7,TRUE)</f>
        <v>3</v>
      </c>
      <c r="F8" s="1" t="s">
        <v>9</v>
      </c>
      <c r="G8" s="5">
        <f>SUM(G4:G7)</f>
        <v>270.1769682087222</v>
      </c>
    </row>
    <row r="9" spans="2:20" ht="15" customHeight="1" x14ac:dyDescent="0.25">
      <c r="H9" s="1" t="s">
        <v>15</v>
      </c>
      <c r="I9" s="1"/>
      <c r="J9" s="1"/>
      <c r="L9" s="1" t="s">
        <v>44</v>
      </c>
      <c r="M9" s="1"/>
      <c r="N9" s="1"/>
      <c r="O9" s="1"/>
      <c r="P9" s="1" t="s">
        <v>47</v>
      </c>
      <c r="Q9" s="1"/>
      <c r="R9" s="1"/>
      <c r="S9" s="1"/>
    </row>
    <row r="10" spans="2:20" ht="15" customHeight="1" x14ac:dyDescent="0.25">
      <c r="B10" s="1" t="s">
        <v>11</v>
      </c>
      <c r="C10" s="1"/>
      <c r="E10" s="1" t="s">
        <v>18</v>
      </c>
      <c r="F10" s="1"/>
      <c r="H10" t="s">
        <v>0</v>
      </c>
      <c r="I10" t="s">
        <v>16</v>
      </c>
      <c r="J10" s="8">
        <f>IF($E4,C4-$C$11,0)</f>
        <v>-5.0232558139534866</v>
      </c>
      <c r="L10" s="9">
        <f>SQRT((J10)^2+(J11)^2)</f>
        <v>18.687779401855575</v>
      </c>
      <c r="P10" s="9">
        <f>(L10^2)*G4</f>
        <v>27428.7034530536</v>
      </c>
    </row>
    <row r="11" spans="2:20" ht="15" customHeight="1" x14ac:dyDescent="0.25">
      <c r="B11" t="s">
        <v>12</v>
      </c>
      <c r="C11" s="8" cm="1">
        <f t="array" ref="C11">SUM(C4:C7 * $G$4:$G$7)/$G$8</f>
        <v>23.023255813953487</v>
      </c>
      <c r="E11" t="s">
        <v>23</v>
      </c>
      <c r="F11" s="9">
        <f>L5/$E$8</f>
        <v>833.33333333333337</v>
      </c>
      <c r="I11" t="s">
        <v>17</v>
      </c>
      <c r="J11" s="8">
        <f>IF($E4,D4-$C$12,0)</f>
        <v>-18</v>
      </c>
    </row>
    <row r="12" spans="2:20" ht="15" customHeight="1" x14ac:dyDescent="0.25">
      <c r="B12" t="s">
        <v>13</v>
      </c>
      <c r="C12" s="8" cm="1">
        <f t="array" ref="C12">SUM(D4:D7 * $G$4:$G$7)/$G$8</f>
        <v>36</v>
      </c>
      <c r="E12" t="s">
        <v>24</v>
      </c>
      <c r="F12" s="9">
        <f>L6/$E$8</f>
        <v>1666.6666666666667</v>
      </c>
      <c r="H12" t="s">
        <v>1</v>
      </c>
      <c r="I12" t="s">
        <v>16</v>
      </c>
      <c r="J12" s="8">
        <f>IF($E5,C5-$C$11,0)</f>
        <v>-5.0232558139534866</v>
      </c>
      <c r="L12" s="9">
        <f>SQRT((J12)^2+(J13)^2)</f>
        <v>18.687779401855575</v>
      </c>
      <c r="P12" s="9">
        <f>(L12^2)*G5</f>
        <v>27428.7034530536</v>
      </c>
    </row>
    <row r="13" spans="2:20" ht="15" customHeight="1" x14ac:dyDescent="0.25">
      <c r="I13" t="s">
        <v>17</v>
      </c>
      <c r="J13" s="8">
        <f>IF($E5,D5-$C$12,0)</f>
        <v>18</v>
      </c>
    </row>
    <row r="14" spans="2:20" ht="15" customHeight="1" x14ac:dyDescent="0.25">
      <c r="E14" s="1" t="s">
        <v>25</v>
      </c>
      <c r="F14" s="1"/>
      <c r="H14" t="s">
        <v>2</v>
      </c>
      <c r="I14" t="s">
        <v>16</v>
      </c>
      <c r="J14" s="8">
        <f>IF($E6,C6-$C$11,0)</f>
        <v>6.9767441860465134</v>
      </c>
      <c r="L14" s="9">
        <f>SQRT((J14)^2+(J15)^2)</f>
        <v>6.9767441860465134</v>
      </c>
      <c r="P14" s="9">
        <f>(L14^2)*G6</f>
        <v>5505.0082193785483</v>
      </c>
    </row>
    <row r="15" spans="2:20" ht="15" customHeight="1" x14ac:dyDescent="0.25">
      <c r="B15" t="s">
        <v>58</v>
      </c>
      <c r="E15" t="s">
        <v>26</v>
      </c>
      <c r="F15" s="9">
        <f>($Q$4*L10*G4)/$P$18</f>
        <v>25224.374233486826</v>
      </c>
      <c r="I15" t="s">
        <v>17</v>
      </c>
      <c r="J15" s="8">
        <f>IF($E6,D6-$C$12,0)</f>
        <v>0</v>
      </c>
    </row>
    <row r="16" spans="2:20" ht="15" customHeight="1" x14ac:dyDescent="0.25">
      <c r="E16" t="s">
        <v>27</v>
      </c>
      <c r="F16" s="9">
        <f>($Q$4*L12*G5)/$P$18</f>
        <v>25224.374233486826</v>
      </c>
      <c r="H16" t="s">
        <v>3</v>
      </c>
      <c r="I16" t="s">
        <v>16</v>
      </c>
      <c r="J16" s="8">
        <f>IF($E7,C7-$C$11,0)</f>
        <v>0</v>
      </c>
      <c r="L16" s="9">
        <f>SQRT((J16)^2+(J17)^2)</f>
        <v>0</v>
      </c>
      <c r="P16" s="9">
        <f>(L16^2)*G7</f>
        <v>0</v>
      </c>
    </row>
    <row r="17" spans="5:16" ht="15" customHeight="1" x14ac:dyDescent="0.25">
      <c r="E17" t="s">
        <v>28</v>
      </c>
      <c r="F17" s="9">
        <f>($Q$4*L14*G6)/$P$18</f>
        <v>13560.571515427881</v>
      </c>
      <c r="I17" t="s">
        <v>17</v>
      </c>
      <c r="J17" s="8">
        <f>IF($E7,D7-$C$12,0)</f>
        <v>0</v>
      </c>
      <c r="P17" s="9"/>
    </row>
    <row r="18" spans="5:16" ht="15" customHeight="1" x14ac:dyDescent="0.25">
      <c r="E18" t="s">
        <v>29</v>
      </c>
      <c r="F18" s="9">
        <f>($Q$4*L16*G7)/$P$18</f>
        <v>0</v>
      </c>
      <c r="O18" s="1" t="s">
        <v>48</v>
      </c>
      <c r="P18" s="9">
        <f>SUM(P10:P16)</f>
        <v>60362.41512548575</v>
      </c>
    </row>
    <row r="20" spans="5:16" ht="15" customHeight="1" x14ac:dyDescent="0.25">
      <c r="E20" s="1" t="s">
        <v>30</v>
      </c>
      <c r="F20" s="1"/>
      <c r="H20" s="1" t="s">
        <v>39</v>
      </c>
      <c r="I20" s="7" t="s">
        <v>57</v>
      </c>
      <c r="K20" s="2" t="s">
        <v>59</v>
      </c>
      <c r="L20" s="2">
        <v>10</v>
      </c>
    </row>
    <row r="21" spans="5:16" ht="15" customHeight="1" x14ac:dyDescent="0.25">
      <c r="E21" t="s">
        <v>31</v>
      </c>
      <c r="F21" s="9">
        <f>IF(E4,-F15*(J11/L10),0)</f>
        <v>24296.023965141612</v>
      </c>
      <c r="H21" t="s">
        <v>0</v>
      </c>
      <c r="I21" s="9">
        <f>IF(E4, SQRT((F21+$F$11)^2 + (F22+$F$12)^2), 0)</f>
        <v>25644.369722080111</v>
      </c>
      <c r="K21" s="2" t="s">
        <v>42</v>
      </c>
      <c r="L21" s="2">
        <v>370</v>
      </c>
      <c r="M21" t="s">
        <v>51</v>
      </c>
      <c r="N21" s="5">
        <f>0.577*L21</f>
        <v>213.48999999999998</v>
      </c>
    </row>
    <row r="22" spans="5:16" ht="15" customHeight="1" x14ac:dyDescent="0.25">
      <c r="E22" t="s">
        <v>32</v>
      </c>
      <c r="F22" s="9">
        <f>IF(E4,F15*(J10/L10),0)</f>
        <v>-6780.2857577139366</v>
      </c>
      <c r="H22" t="s">
        <v>1</v>
      </c>
      <c r="I22" s="9">
        <f>IF(E5, SQRT((F23+$F$11)^2 + (F24+$F$12)^2), 0)</f>
        <v>24013.474381943717</v>
      </c>
      <c r="K22" s="2" t="s">
        <v>41</v>
      </c>
      <c r="L22" s="2">
        <v>420</v>
      </c>
      <c r="M22" t="s">
        <v>43</v>
      </c>
      <c r="N22" s="5">
        <f>0.577*L22</f>
        <v>242.33999999999997</v>
      </c>
    </row>
    <row r="23" spans="5:16" ht="15" customHeight="1" x14ac:dyDescent="0.25">
      <c r="E23" t="s">
        <v>33</v>
      </c>
      <c r="F23" s="9">
        <f>IF(E5,-F16*(J13/L12),0)</f>
        <v>-24296.023965141612</v>
      </c>
      <c r="H23" t="s">
        <v>2</v>
      </c>
      <c r="I23" s="9">
        <f>IF(E6, SQRT((F25+$F$11)^2 + (F26+$F$12)^2), 0)</f>
        <v>15250.023839282432</v>
      </c>
    </row>
    <row r="24" spans="5:16" ht="15" customHeight="1" x14ac:dyDescent="0.25">
      <c r="E24" t="s">
        <v>34</v>
      </c>
      <c r="F24" s="9">
        <f>IF(E5,F16*(J12/L12),0)</f>
        <v>-6780.2857577139366</v>
      </c>
      <c r="H24" t="s">
        <v>3</v>
      </c>
      <c r="I24" s="9">
        <f>IF(E7, SQRT((F27+$F$11)^2 + (F28+$F$12)^2), 0)</f>
        <v>0</v>
      </c>
      <c r="K24" s="10" t="s">
        <v>50</v>
      </c>
    </row>
    <row r="25" spans="5:16" ht="15" customHeight="1" x14ac:dyDescent="0.25">
      <c r="E25" t="s">
        <v>35</v>
      </c>
      <c r="F25" s="9">
        <f>IF(E6,-F17*(J15/L14),0)</f>
        <v>0</v>
      </c>
      <c r="K25" s="11" t="s">
        <v>52</v>
      </c>
      <c r="L25" s="11" t="s">
        <v>56</v>
      </c>
      <c r="M25" s="12">
        <f>IF($E$4,$L$22/(I21/(F4*$L$20)),"No Bolt")</f>
        <v>1.6377864012714451</v>
      </c>
    </row>
    <row r="26" spans="5:16" ht="15" customHeight="1" x14ac:dyDescent="0.25">
      <c r="E26" t="s">
        <v>36</v>
      </c>
      <c r="F26" s="9">
        <f>IF(E6,F17*(J14/L14),0)</f>
        <v>13560.571515427881</v>
      </c>
      <c r="K26" s="11"/>
      <c r="L26" s="11" t="s">
        <v>60</v>
      </c>
      <c r="M26" s="12">
        <f>IF($E$4,(N22)/(I21/G4),"No Bolt")</f>
        <v>0.74220342703083964</v>
      </c>
    </row>
    <row r="27" spans="5:16" ht="15" customHeight="1" x14ac:dyDescent="0.25">
      <c r="E27" t="s">
        <v>37</v>
      </c>
      <c r="F27" s="9">
        <f>IF(E7,-F18*(J17/L16),0)</f>
        <v>0</v>
      </c>
      <c r="K27" s="13"/>
      <c r="L27" s="13" t="s">
        <v>61</v>
      </c>
      <c r="M27" s="14">
        <f>IF($E$4,$L$21/(I21/(F4*$L$20)),"No Bolt")</f>
        <v>1.4428118296915111</v>
      </c>
    </row>
    <row r="28" spans="5:16" ht="15" customHeight="1" x14ac:dyDescent="0.25">
      <c r="E28" t="s">
        <v>38</v>
      </c>
      <c r="F28" s="9">
        <f>IF(E7,F18*(J16/L16),0)</f>
        <v>0</v>
      </c>
      <c r="K28" s="11" t="s">
        <v>53</v>
      </c>
      <c r="L28" s="11" t="s">
        <v>56</v>
      </c>
      <c r="M28" s="12">
        <f>IF($E$5,$L$22/(I22/(F5*$L$20)),"No Bolt")</f>
        <v>1.7490180442852019</v>
      </c>
    </row>
    <row r="29" spans="5:16" ht="15" customHeight="1" thickBot="1" x14ac:dyDescent="0.3">
      <c r="K29" s="11"/>
      <c r="L29" s="11" t="s">
        <v>60</v>
      </c>
      <c r="M29" s="12">
        <f>IF($E$5,(N22)/(I22/G5),"No Bolt")</f>
        <v>0.79261079796455303</v>
      </c>
    </row>
    <row r="30" spans="5:16" ht="15" customHeight="1" x14ac:dyDescent="0.25">
      <c r="G30" s="23">
        <v>2</v>
      </c>
      <c r="H30" s="16" t="s">
        <v>11</v>
      </c>
      <c r="I30" s="17"/>
      <c r="K30" s="13"/>
      <c r="L30" s="13" t="s">
        <v>61</v>
      </c>
      <c r="M30" s="14">
        <f>IF($E$5,$L$21/(I22/(F5*$L$20)),"No Bolt")</f>
        <v>1.5408016104417255</v>
      </c>
    </row>
    <row r="31" spans="5:16" ht="15" customHeight="1" x14ac:dyDescent="0.25">
      <c r="H31" s="18" t="str">
        <f>B11</f>
        <v>X</v>
      </c>
      <c r="I31" s="19">
        <f>C11</f>
        <v>23.023255813953487</v>
      </c>
      <c r="K31" s="11" t="s">
        <v>54</v>
      </c>
      <c r="L31" s="11" t="s">
        <v>56</v>
      </c>
      <c r="M31" s="12">
        <f>IF($E$6,$L$22/(I23/(F6*$L$20)),"No Bolt")</f>
        <v>3.304912866442542</v>
      </c>
    </row>
    <row r="32" spans="5:16" ht="15" customHeight="1" thickBot="1" x14ac:dyDescent="0.3">
      <c r="H32" s="20" t="str">
        <f>B12</f>
        <v>Y</v>
      </c>
      <c r="I32" s="21">
        <f>C12</f>
        <v>36</v>
      </c>
      <c r="K32" s="11"/>
      <c r="L32" s="11" t="s">
        <v>60</v>
      </c>
      <c r="M32" s="12">
        <f>IF($E$6,(N22)/(I23/G6),"No Bolt")</f>
        <v>1.7972436358790544</v>
      </c>
    </row>
    <row r="33" spans="7:13" ht="15" customHeight="1" thickBot="1" x14ac:dyDescent="0.3">
      <c r="K33" s="13"/>
      <c r="L33" s="13" t="s">
        <v>61</v>
      </c>
      <c r="M33" s="14">
        <f>IF($E$6,$L$21/(I23/(F6*$L$20)),"No Bolt")</f>
        <v>2.9114708585327156</v>
      </c>
    </row>
    <row r="34" spans="7:13" ht="15" customHeight="1" x14ac:dyDescent="0.25">
      <c r="G34" s="23">
        <v>3</v>
      </c>
      <c r="H34" s="16" t="s">
        <v>45</v>
      </c>
      <c r="I34" s="17"/>
      <c r="K34" s="11" t="s">
        <v>55</v>
      </c>
      <c r="L34" s="11" t="s">
        <v>56</v>
      </c>
      <c r="M34" s="12" t="str">
        <f>IF($E$7,$L$22/(I24/(F7*$L$20)),"No Bolt")</f>
        <v>No Bolt</v>
      </c>
    </row>
    <row r="35" spans="7:13" ht="15" customHeight="1" thickBot="1" x14ac:dyDescent="0.3">
      <c r="H35" s="20" t="str">
        <f>P4</f>
        <v>Mz [N-mm]</v>
      </c>
      <c r="I35" s="24">
        <f>Q4</f>
        <v>1037383.7209302327</v>
      </c>
      <c r="K35" s="11"/>
      <c r="L35" s="11" t="s">
        <v>60</v>
      </c>
      <c r="M35" s="12" t="str">
        <f>IF($E$7,(N22)/(I24/G7)*10,"No Bolt")</f>
        <v>No Bolt</v>
      </c>
    </row>
    <row r="36" spans="7:13" ht="15" customHeight="1" thickBot="1" x14ac:dyDescent="0.3">
      <c r="K36" s="11"/>
      <c r="L36" s="11" t="s">
        <v>61</v>
      </c>
      <c r="M36" s="12" t="str">
        <f>IF($E$7,$L$21/(I24/(F7*$L$20)),"No Bolt")</f>
        <v>No Bolt</v>
      </c>
    </row>
    <row r="37" spans="7:13" ht="15" customHeight="1" x14ac:dyDescent="0.25">
      <c r="G37" s="23">
        <v>1</v>
      </c>
      <c r="H37" s="16" t="s">
        <v>39</v>
      </c>
      <c r="I37" s="22" t="s">
        <v>57</v>
      </c>
    </row>
    <row r="38" spans="7:13" ht="15" customHeight="1" x14ac:dyDescent="0.25">
      <c r="H38" s="18" t="str">
        <f t="shared" ref="H38:I41" si="1">H21</f>
        <v>bolt 1</v>
      </c>
      <c r="I38" s="19">
        <f t="shared" si="1"/>
        <v>25644.369722080111</v>
      </c>
    </row>
    <row r="39" spans="7:13" ht="15" customHeight="1" x14ac:dyDescent="0.25">
      <c r="H39" s="18" t="str">
        <f t="shared" si="1"/>
        <v>bolt 2</v>
      </c>
      <c r="I39" s="19">
        <f t="shared" si="1"/>
        <v>24013.474381943717</v>
      </c>
    </row>
    <row r="40" spans="7:13" ht="15" customHeight="1" x14ac:dyDescent="0.25">
      <c r="H40" s="18" t="str">
        <f t="shared" si="1"/>
        <v>bolt 3</v>
      </c>
      <c r="I40" s="19">
        <f t="shared" si="1"/>
        <v>15250.023839282432</v>
      </c>
    </row>
    <row r="41" spans="7:13" ht="15" customHeight="1" thickBot="1" x14ac:dyDescent="0.3">
      <c r="H41" s="20" t="str">
        <f t="shared" si="1"/>
        <v>bolt 4</v>
      </c>
      <c r="I41" s="21">
        <f t="shared" si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B5B2-75FC-4ED6-9A94-826A81F2B708}">
  <sheetPr>
    <tabColor rgb="FF00B050"/>
  </sheetPr>
  <dimension ref="B2:T41"/>
  <sheetViews>
    <sheetView zoomScaleNormal="100" workbookViewId="0">
      <selection activeCell="J40" sqref="J40"/>
    </sheetView>
  </sheetViews>
  <sheetFormatPr defaultColWidth="12.85546875" defaultRowHeight="15" customHeight="1" x14ac:dyDescent="0.25"/>
  <cols>
    <col min="5" max="5" width="14" bestFit="1" customWidth="1"/>
    <col min="11" max="11" width="19.5703125" bestFit="1" customWidth="1"/>
    <col min="19" max="19" width="14.140625" bestFit="1" customWidth="1"/>
  </cols>
  <sheetData>
    <row r="2" spans="2:20" ht="15" customHeight="1" x14ac:dyDescent="0.25">
      <c r="B2" s="11" t="s">
        <v>62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5" t="s">
        <v>63</v>
      </c>
    </row>
    <row r="3" spans="2:20" ht="15" customHeight="1" x14ac:dyDescent="0.25">
      <c r="B3" s="1" t="s">
        <v>14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L3" s="1" t="s">
        <v>19</v>
      </c>
      <c r="M3" s="1"/>
      <c r="N3" s="1"/>
      <c r="O3" s="1"/>
      <c r="P3" s="1" t="s">
        <v>45</v>
      </c>
      <c r="Q3" s="1"/>
      <c r="R3" s="1"/>
      <c r="S3" s="1" t="s">
        <v>46</v>
      </c>
    </row>
    <row r="4" spans="2:20" ht="15" customHeight="1" x14ac:dyDescent="0.25">
      <c r="B4">
        <v>1</v>
      </c>
      <c r="C4" s="4">
        <v>20</v>
      </c>
      <c r="D4" s="4">
        <v>30</v>
      </c>
      <c r="E4" s="3" t="b">
        <v>1</v>
      </c>
      <c r="F4" s="4">
        <v>10</v>
      </c>
      <c r="G4" s="5">
        <f>IF(E4,PI()*(F4^2)/4,0)</f>
        <v>78.539816339744831</v>
      </c>
      <c r="H4" s="5"/>
      <c r="I4" s="5"/>
      <c r="L4" s="6" t="s">
        <v>57</v>
      </c>
      <c r="M4" s="6" t="s">
        <v>4</v>
      </c>
      <c r="N4" s="6" t="s">
        <v>5</v>
      </c>
      <c r="P4" t="s">
        <v>49</v>
      </c>
      <c r="Q4" s="9">
        <f>(M5-C11)*L6 - (N5-C12)*L5</f>
        <v>-1618537.0370370368</v>
      </c>
    </row>
    <row r="5" spans="2:20" ht="15" customHeight="1" x14ac:dyDescent="0.25">
      <c r="B5">
        <v>2</v>
      </c>
      <c r="C5" s="4">
        <v>40</v>
      </c>
      <c r="D5" s="4">
        <v>30</v>
      </c>
      <c r="E5" s="3" t="b">
        <v>1</v>
      </c>
      <c r="F5" s="4">
        <v>12</v>
      </c>
      <c r="G5" s="5">
        <f t="shared" ref="G5:G7" si="0">IF(E5,PI()*(F5^2)/4,0)</f>
        <v>113.09733552923255</v>
      </c>
      <c r="H5" s="5"/>
      <c r="I5" s="5"/>
      <c r="K5" s="6" t="s">
        <v>20</v>
      </c>
      <c r="L5" s="4">
        <v>-4000</v>
      </c>
      <c r="M5" s="4">
        <f>60+375</f>
        <v>435</v>
      </c>
      <c r="N5" s="4">
        <v>100</v>
      </c>
      <c r="O5" s="5"/>
      <c r="P5" s="5"/>
      <c r="Q5" s="5"/>
      <c r="R5" s="5"/>
      <c r="S5" s="5"/>
    </row>
    <row r="6" spans="2:20" ht="15" customHeight="1" x14ac:dyDescent="0.25">
      <c r="B6">
        <v>3</v>
      </c>
      <c r="C6" s="4">
        <v>40</v>
      </c>
      <c r="D6" s="4">
        <v>70</v>
      </c>
      <c r="E6" s="3" t="b">
        <v>1</v>
      </c>
      <c r="F6" s="4">
        <v>14</v>
      </c>
      <c r="G6" s="5">
        <f t="shared" si="0"/>
        <v>153.93804002589985</v>
      </c>
      <c r="H6" s="5"/>
      <c r="I6" s="5"/>
      <c r="K6" s="6" t="s">
        <v>21</v>
      </c>
      <c r="L6" s="4">
        <v>-4500</v>
      </c>
      <c r="M6" s="5">
        <f>M5</f>
        <v>435</v>
      </c>
      <c r="N6" s="5">
        <f>N5</f>
        <v>100</v>
      </c>
      <c r="O6" s="5" t="s">
        <v>22</v>
      </c>
      <c r="P6" s="5"/>
      <c r="Q6" s="5"/>
      <c r="R6" s="5"/>
      <c r="S6" s="5"/>
    </row>
    <row r="7" spans="2:20" ht="15" customHeight="1" x14ac:dyDescent="0.25">
      <c r="B7">
        <v>4</v>
      </c>
      <c r="C7" s="4">
        <v>20</v>
      </c>
      <c r="D7" s="4">
        <v>70</v>
      </c>
      <c r="E7" s="3" t="b">
        <v>1</v>
      </c>
      <c r="F7" s="4">
        <v>10</v>
      </c>
      <c r="G7" s="5">
        <f t="shared" si="0"/>
        <v>78.539816339744831</v>
      </c>
      <c r="H7" s="5"/>
      <c r="I7" s="5"/>
      <c r="K7" s="1" t="s">
        <v>40</v>
      </c>
    </row>
    <row r="8" spans="2:20" ht="15" customHeight="1" x14ac:dyDescent="0.25">
      <c r="C8" s="1" t="s">
        <v>10</v>
      </c>
      <c r="D8" s="7"/>
      <c r="E8">
        <f>COUNTIF(E4:E7,TRUE)</f>
        <v>4</v>
      </c>
      <c r="F8" s="1" t="s">
        <v>9</v>
      </c>
      <c r="G8" s="5">
        <f>SUM(G4:G7)</f>
        <v>424.11500823462205</v>
      </c>
    </row>
    <row r="9" spans="2:20" ht="15" customHeight="1" x14ac:dyDescent="0.25">
      <c r="H9" s="1" t="s">
        <v>15</v>
      </c>
      <c r="I9" s="1"/>
      <c r="J9" s="1"/>
      <c r="L9" s="1" t="s">
        <v>44</v>
      </c>
      <c r="M9" s="1"/>
      <c r="N9" s="1"/>
      <c r="O9" s="1"/>
      <c r="P9" s="1" t="s">
        <v>47</v>
      </c>
      <c r="Q9" s="1"/>
      <c r="R9" s="1"/>
      <c r="S9" s="1"/>
    </row>
    <row r="10" spans="2:20" ht="15" customHeight="1" x14ac:dyDescent="0.25">
      <c r="B10" s="1" t="s">
        <v>11</v>
      </c>
      <c r="C10" s="1"/>
      <c r="E10" s="1" t="s">
        <v>18</v>
      </c>
      <c r="F10" s="1"/>
      <c r="H10" t="s">
        <v>0</v>
      </c>
      <c r="I10" t="s">
        <v>16</v>
      </c>
      <c r="J10" s="8">
        <f>IF($E4,C4-$C$11,0)</f>
        <v>-12.592592592592595</v>
      </c>
      <c r="L10" s="9">
        <f>SQRT((J10)^2+(J11)^2)</f>
        <v>25.284770434239828</v>
      </c>
      <c r="P10" s="9">
        <f>(L10^2)*G4</f>
        <v>50212.045216141065</v>
      </c>
    </row>
    <row r="11" spans="2:20" ht="15" customHeight="1" x14ac:dyDescent="0.25">
      <c r="B11" t="s">
        <v>12</v>
      </c>
      <c r="C11" s="8" cm="1">
        <f t="array" ref="C11">SUM(C4:C7 * $G$4:$G$7)/$G$8</f>
        <v>32.592592592592595</v>
      </c>
      <c r="E11" t="s">
        <v>23</v>
      </c>
      <c r="F11" s="9">
        <f>L5/$E$8</f>
        <v>-1000</v>
      </c>
      <c r="I11" t="s">
        <v>17</v>
      </c>
      <c r="J11" s="8">
        <f>IF($E4,D4-$C$12,0)</f>
        <v>-21.925925925925924</v>
      </c>
    </row>
    <row r="12" spans="2:20" ht="15" customHeight="1" x14ac:dyDescent="0.25">
      <c r="B12" t="s">
        <v>13</v>
      </c>
      <c r="C12" s="8" cm="1">
        <f t="array" ref="C12">SUM(D4:D7 * $G$4:$G$7)/$G$8</f>
        <v>51.925925925925924</v>
      </c>
      <c r="E12" t="s">
        <v>24</v>
      </c>
      <c r="F12" s="9">
        <f>L6/$E$8</f>
        <v>-1125</v>
      </c>
      <c r="H12" t="s">
        <v>1</v>
      </c>
      <c r="I12" t="s">
        <v>16</v>
      </c>
      <c r="J12" s="8">
        <f>IF($E5,C5-$C$11,0)</f>
        <v>7.4074074074074048</v>
      </c>
      <c r="L12" s="9">
        <f>SQRT((J12)^2+(J13)^2)</f>
        <v>23.14337728613749</v>
      </c>
      <c r="P12" s="9">
        <f>(L12^2)*G5</f>
        <v>60576.732537841221</v>
      </c>
    </row>
    <row r="13" spans="2:20" ht="15" customHeight="1" x14ac:dyDescent="0.25">
      <c r="I13" t="s">
        <v>17</v>
      </c>
      <c r="J13" s="8">
        <f>IF($E5,D5-$C$12,0)</f>
        <v>-21.925925925925924</v>
      </c>
    </row>
    <row r="14" spans="2:20" ht="15" customHeight="1" x14ac:dyDescent="0.25">
      <c r="E14" s="1" t="s">
        <v>25</v>
      </c>
      <c r="F14" s="1"/>
      <c r="H14" t="s">
        <v>2</v>
      </c>
      <c r="I14" t="s">
        <v>16</v>
      </c>
      <c r="J14" s="8">
        <f>IF($E6,C6-$C$11,0)</f>
        <v>7.4074074074074048</v>
      </c>
      <c r="L14" s="9">
        <f>SQRT((J14)^2+(J15)^2)</f>
        <v>19.533095969006826</v>
      </c>
      <c r="P14" s="9">
        <f>(L14^2)*G6</f>
        <v>58733.802750293406</v>
      </c>
    </row>
    <row r="15" spans="2:20" ht="15" customHeight="1" x14ac:dyDescent="0.25">
      <c r="B15" t="s">
        <v>58</v>
      </c>
      <c r="E15" t="s">
        <v>26</v>
      </c>
      <c r="F15" s="9">
        <f>($Q$4*L10*G4)/$P$18</f>
        <v>-15480.099389759163</v>
      </c>
      <c r="I15" t="s">
        <v>17</v>
      </c>
      <c r="J15" s="8">
        <f>IF($E6,D6-$C$12,0)</f>
        <v>18.074074074074076</v>
      </c>
    </row>
    <row r="16" spans="2:20" ht="15" customHeight="1" x14ac:dyDescent="0.25">
      <c r="E16" t="s">
        <v>27</v>
      </c>
      <c r="F16" s="9">
        <f>($Q$4*L12*G5)/$P$18</f>
        <v>-20403.466403289833</v>
      </c>
      <c r="H16" t="s">
        <v>3</v>
      </c>
      <c r="I16" t="s">
        <v>16</v>
      </c>
      <c r="J16" s="8">
        <f>IF($E7,C7-$C$11,0)</f>
        <v>-12.592592592592595</v>
      </c>
      <c r="L16" s="9">
        <f>SQRT((J16)^2+(J17)^2)</f>
        <v>22.028289580403982</v>
      </c>
      <c r="P16" s="9">
        <f>(L16^2)*G7</f>
        <v>38111.095735647061</v>
      </c>
    </row>
    <row r="17" spans="5:16" ht="15" customHeight="1" x14ac:dyDescent="0.25">
      <c r="E17" t="s">
        <v>28</v>
      </c>
      <c r="F17" s="9">
        <f>($Q$4*L14*G6)/$P$18</f>
        <v>-23439.151438674318</v>
      </c>
      <c r="I17" t="s">
        <v>17</v>
      </c>
      <c r="J17" s="8">
        <f>IF($E7,D7-$C$12,0)</f>
        <v>18.074074074074076</v>
      </c>
      <c r="P17" s="9"/>
    </row>
    <row r="18" spans="5:16" ht="15" customHeight="1" x14ac:dyDescent="0.25">
      <c r="E18" t="s">
        <v>29</v>
      </c>
      <c r="F18" s="9">
        <f>($Q$4*L16*G7)/$P$18</f>
        <v>-13486.383551629102</v>
      </c>
      <c r="O18" s="1" t="s">
        <v>48</v>
      </c>
      <c r="P18" s="9">
        <f>SUM(P10:P16)</f>
        <v>207633.67623992276</v>
      </c>
    </row>
    <row r="20" spans="5:16" ht="15" customHeight="1" x14ac:dyDescent="0.25">
      <c r="E20" s="1" t="s">
        <v>30</v>
      </c>
      <c r="F20" s="1"/>
      <c r="H20" s="1" t="s">
        <v>39</v>
      </c>
      <c r="I20" s="7" t="s">
        <v>57</v>
      </c>
      <c r="K20" s="2" t="s">
        <v>59</v>
      </c>
      <c r="L20" s="2">
        <v>10</v>
      </c>
    </row>
    <row r="21" spans="5:16" ht="15" customHeight="1" x14ac:dyDescent="0.25">
      <c r="E21" t="s">
        <v>31</v>
      </c>
      <c r="F21" s="9">
        <f>IF(E4,-F15*(J11/L10),0)</f>
        <v>-13423.713433688323</v>
      </c>
      <c r="H21" t="s">
        <v>0</v>
      </c>
      <c r="I21" s="9">
        <f>IF(E4, SQRT((F21+$F$11)^2 + (F22+$F$12)^2), 0)</f>
        <v>15855.598613796144</v>
      </c>
      <c r="K21" s="2" t="s">
        <v>42</v>
      </c>
      <c r="L21" s="2">
        <v>370</v>
      </c>
      <c r="M21" t="s">
        <v>51</v>
      </c>
      <c r="N21" s="5">
        <f>0.577*L21</f>
        <v>213.48999999999998</v>
      </c>
    </row>
    <row r="22" spans="5:16" ht="15" customHeight="1" x14ac:dyDescent="0.25">
      <c r="E22" t="s">
        <v>32</v>
      </c>
      <c r="F22" s="9">
        <f>IF(E4,F15*(J10/L10),0)</f>
        <v>7709.5651477264037</v>
      </c>
      <c r="H22" t="s">
        <v>1</v>
      </c>
      <c r="I22" s="9">
        <f>IF(E5, SQRT((F23+$F$11)^2 + (F24+$F$12)^2), 0)</f>
        <v>21723.740127406731</v>
      </c>
      <c r="K22" s="2" t="s">
        <v>41</v>
      </c>
      <c r="L22" s="2">
        <v>420</v>
      </c>
      <c r="M22" t="s">
        <v>43</v>
      </c>
      <c r="N22" s="5">
        <f>0.577*L22</f>
        <v>242.33999999999997</v>
      </c>
    </row>
    <row r="23" spans="5:16" ht="15" customHeight="1" x14ac:dyDescent="0.25">
      <c r="E23" t="s">
        <v>33</v>
      </c>
      <c r="F23" s="9">
        <f>IF(E5,-F16*(J13/L12),0)</f>
        <v>-19330.147344511188</v>
      </c>
      <c r="H23" t="s">
        <v>2</v>
      </c>
      <c r="I23" s="9">
        <f>IF(E6, SQRT((F25+$F$11)^2 + (F26+$F$12)^2), 0)</f>
        <v>22984.390999586503</v>
      </c>
    </row>
    <row r="24" spans="5:16" ht="15" customHeight="1" x14ac:dyDescent="0.25">
      <c r="E24" t="s">
        <v>34</v>
      </c>
      <c r="F24" s="9">
        <f>IF(E5,F16*(J12/L12),0)</f>
        <v>-6530.4551839564801</v>
      </c>
      <c r="H24" t="s">
        <v>3</v>
      </c>
      <c r="I24" s="9">
        <f>IF(E7, SQRT((F27+$F$11)^2 + (F28+$F$12)^2), 0)</f>
        <v>12027.911610374038</v>
      </c>
      <c r="K24" s="10" t="s">
        <v>50</v>
      </c>
    </row>
    <row r="25" spans="5:16" ht="15" customHeight="1" x14ac:dyDescent="0.25">
      <c r="E25" t="s">
        <v>35</v>
      </c>
      <c r="F25" s="9">
        <f>IF(E6,-F17*(J15/L14),0)</f>
        <v>21688.367272051033</v>
      </c>
      <c r="K25" s="11" t="s">
        <v>52</v>
      </c>
      <c r="L25" s="11" t="s">
        <v>56</v>
      </c>
      <c r="M25" s="12">
        <f>IF($E$4,$L$22/(I21/(F4*$L$20)),"No Bolt")</f>
        <v>2.6489066116655668</v>
      </c>
    </row>
    <row r="26" spans="5:16" ht="15" customHeight="1" x14ac:dyDescent="0.25">
      <c r="E26" t="s">
        <v>36</v>
      </c>
      <c r="F26" s="9">
        <f>IF(E6,F17*(J14/L14),0)</f>
        <v>-8888.6751114963208</v>
      </c>
      <c r="K26" s="11"/>
      <c r="L26" s="11" t="s">
        <v>60</v>
      </c>
      <c r="M26" s="12">
        <f>IF($E$4,(N22)/(I21/G4),"No Bolt")</f>
        <v>1.200417565768386</v>
      </c>
    </row>
    <row r="27" spans="5:16" ht="15" customHeight="1" x14ac:dyDescent="0.25">
      <c r="E27" t="s">
        <v>37</v>
      </c>
      <c r="F27" s="9">
        <f>IF(E7,-F18*(J17/L16),0)</f>
        <v>11065.493506148487</v>
      </c>
      <c r="K27" s="13"/>
      <c r="L27" s="13" t="s">
        <v>61</v>
      </c>
      <c r="M27" s="14">
        <f>IF($E$4,$L$21/(I21/(F4*$L$20)),"No Bolt")</f>
        <v>2.3335605864672848</v>
      </c>
    </row>
    <row r="28" spans="5:16" ht="15" customHeight="1" x14ac:dyDescent="0.25">
      <c r="E28" t="s">
        <v>38</v>
      </c>
      <c r="F28" s="9">
        <f>IF(E7,F18*(J16/L16),0)</f>
        <v>7709.5651477264055</v>
      </c>
      <c r="K28" s="11" t="s">
        <v>53</v>
      </c>
      <c r="L28" s="11" t="s">
        <v>56</v>
      </c>
      <c r="M28" s="12">
        <f>IF($E$5,$L$22/(I22/(F5*$L$20)),"No Bolt")</f>
        <v>2.3200424836796505</v>
      </c>
    </row>
    <row r="29" spans="5:16" ht="15" customHeight="1" thickBot="1" x14ac:dyDescent="0.3">
      <c r="K29" s="11"/>
      <c r="L29" s="11" t="s">
        <v>60</v>
      </c>
      <c r="M29" s="12">
        <f>IF($E$5,(N22)/(I22/G5),"No Bolt")</f>
        <v>1.2616615799770221</v>
      </c>
    </row>
    <row r="30" spans="5:16" ht="15" customHeight="1" x14ac:dyDescent="0.25">
      <c r="G30" s="23">
        <v>1</v>
      </c>
      <c r="H30" s="16" t="s">
        <v>11</v>
      </c>
      <c r="I30" s="17"/>
      <c r="K30" s="13"/>
      <c r="L30" s="13" t="s">
        <v>61</v>
      </c>
      <c r="M30" s="14">
        <f>IF($E$5,$L$21/(I22/(F5*$L$20)),"No Bolt")</f>
        <v>2.0438469499082634</v>
      </c>
    </row>
    <row r="31" spans="5:16" ht="15" customHeight="1" x14ac:dyDescent="0.25">
      <c r="H31" s="18" t="str">
        <f>B11</f>
        <v>X</v>
      </c>
      <c r="I31" s="19">
        <f>C11</f>
        <v>32.592592592592595</v>
      </c>
      <c r="K31" s="11" t="s">
        <v>54</v>
      </c>
      <c r="L31" s="11" t="s">
        <v>56</v>
      </c>
      <c r="M31" s="12">
        <f>IF($E$6,$L$22/(I23/(F6*$L$20)),"No Bolt")</f>
        <v>2.5582579064660811</v>
      </c>
    </row>
    <row r="32" spans="5:16" ht="15" customHeight="1" thickBot="1" x14ac:dyDescent="0.3">
      <c r="H32" s="20" t="str">
        <f>B12</f>
        <v>Y</v>
      </c>
      <c r="I32" s="21">
        <f>C12</f>
        <v>51.925925925925924</v>
      </c>
      <c r="K32" s="11"/>
      <c r="L32" s="11" t="s">
        <v>60</v>
      </c>
      <c r="M32" s="12">
        <f>IF($E$6,(N22)/(I23/G6),"No Bolt")</f>
        <v>1.6230730072660051</v>
      </c>
    </row>
    <row r="33" spans="7:13" ht="15" customHeight="1" thickBot="1" x14ac:dyDescent="0.3">
      <c r="K33" s="13"/>
      <c r="L33" s="13" t="s">
        <v>61</v>
      </c>
      <c r="M33" s="14">
        <f>IF($E$6,$L$21/(I23/(F6*$L$20)),"No Bolt")</f>
        <v>2.2537033937915476</v>
      </c>
    </row>
    <row r="34" spans="7:13" ht="15" customHeight="1" x14ac:dyDescent="0.25">
      <c r="G34" s="23">
        <v>2</v>
      </c>
      <c r="H34" s="16" t="s">
        <v>45</v>
      </c>
      <c r="I34" s="17"/>
      <c r="K34" s="11" t="s">
        <v>55</v>
      </c>
      <c r="L34" s="11" t="s">
        <v>56</v>
      </c>
      <c r="M34" s="12">
        <f>IF($E$7,$L$22/(I24/(F7*$L$20)),"No Bolt")</f>
        <v>3.4918780051372447</v>
      </c>
    </row>
    <row r="35" spans="7:13" ht="15" customHeight="1" thickBot="1" x14ac:dyDescent="0.3">
      <c r="H35" s="20" t="str">
        <f>P4</f>
        <v>Mz [N-mm]</v>
      </c>
      <c r="I35" s="21">
        <f>Q4</f>
        <v>-1618537.0370370368</v>
      </c>
      <c r="K35" s="11"/>
      <c r="L35" s="11" t="s">
        <v>60</v>
      </c>
      <c r="M35" s="12">
        <f>IF($E$7,(N22)/(I24/G7)*10,"No Bolt")</f>
        <v>15.824309080686593</v>
      </c>
    </row>
    <row r="36" spans="7:13" ht="15" customHeight="1" thickBot="1" x14ac:dyDescent="0.3">
      <c r="K36" s="11"/>
      <c r="L36" s="11" t="s">
        <v>61</v>
      </c>
      <c r="M36" s="12">
        <f>IF($E$7,$L$21/(I24/(F7*$L$20)),"No Bolt")</f>
        <v>3.0761782426209061</v>
      </c>
    </row>
    <row r="37" spans="7:13" ht="15" customHeight="1" x14ac:dyDescent="0.25">
      <c r="G37" s="23">
        <v>3</v>
      </c>
      <c r="H37" s="16" t="s">
        <v>39</v>
      </c>
      <c r="I37" s="22" t="s">
        <v>57</v>
      </c>
    </row>
    <row r="38" spans="7:13" ht="15" customHeight="1" x14ac:dyDescent="0.25">
      <c r="H38" s="18" t="str">
        <f t="shared" ref="H38:I41" si="1">H21</f>
        <v>bolt 1</v>
      </c>
      <c r="I38" s="19">
        <f t="shared" si="1"/>
        <v>15855.598613796144</v>
      </c>
    </row>
    <row r="39" spans="7:13" ht="15" customHeight="1" x14ac:dyDescent="0.25">
      <c r="H39" s="18" t="str">
        <f t="shared" si="1"/>
        <v>bolt 2</v>
      </c>
      <c r="I39" s="19">
        <f t="shared" si="1"/>
        <v>21723.740127406731</v>
      </c>
    </row>
    <row r="40" spans="7:13" ht="15" customHeight="1" x14ac:dyDescent="0.25">
      <c r="H40" s="18" t="str">
        <f t="shared" si="1"/>
        <v>bolt 3</v>
      </c>
      <c r="I40" s="19">
        <f t="shared" si="1"/>
        <v>22984.390999586503</v>
      </c>
    </row>
    <row r="41" spans="7:13" ht="15" customHeight="1" thickBot="1" x14ac:dyDescent="0.3">
      <c r="H41" s="20" t="str">
        <f t="shared" si="1"/>
        <v>bolt 4</v>
      </c>
      <c r="I41" s="21">
        <f t="shared" si="1"/>
        <v>12027.911610374038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47A4-B2D5-4700-906E-585AC1F107A6}">
  <sheetPr>
    <tabColor rgb="FF00B050"/>
  </sheetPr>
  <dimension ref="B2:T41"/>
  <sheetViews>
    <sheetView zoomScaleNormal="100" workbookViewId="0">
      <selection activeCell="K40" sqref="K40"/>
    </sheetView>
  </sheetViews>
  <sheetFormatPr defaultColWidth="12.85546875" defaultRowHeight="15" customHeight="1" x14ac:dyDescent="0.25"/>
  <cols>
    <col min="5" max="5" width="14" bestFit="1" customWidth="1"/>
    <col min="11" max="11" width="19.5703125" bestFit="1" customWidth="1"/>
    <col min="19" max="19" width="14.140625" bestFit="1" customWidth="1"/>
  </cols>
  <sheetData>
    <row r="2" spans="2:20" ht="15" customHeight="1" x14ac:dyDescent="0.25">
      <c r="B2" s="11" t="s">
        <v>62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5" t="s">
        <v>63</v>
      </c>
    </row>
    <row r="3" spans="2:20" ht="15" customHeight="1" x14ac:dyDescent="0.25">
      <c r="B3" s="1" t="s">
        <v>14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L3" s="1" t="s">
        <v>19</v>
      </c>
      <c r="M3" s="1"/>
      <c r="N3" s="1"/>
      <c r="O3" s="1"/>
      <c r="P3" s="1" t="s">
        <v>45</v>
      </c>
      <c r="Q3" s="1"/>
      <c r="R3" s="1"/>
      <c r="S3" s="1" t="s">
        <v>46</v>
      </c>
    </row>
    <row r="4" spans="2:20" ht="15" customHeight="1" x14ac:dyDescent="0.25">
      <c r="B4">
        <v>1</v>
      </c>
      <c r="C4" s="4">
        <v>20</v>
      </c>
      <c r="D4" s="4">
        <v>20</v>
      </c>
      <c r="E4" s="3" t="b">
        <v>1</v>
      </c>
      <c r="F4" s="4">
        <v>10</v>
      </c>
      <c r="G4" s="5">
        <f>IF(E4,PI()*(F4^2)/4,0)</f>
        <v>78.539816339744831</v>
      </c>
      <c r="H4" s="5"/>
      <c r="I4" s="5"/>
      <c r="L4" s="6" t="s">
        <v>57</v>
      </c>
      <c r="M4" s="6" t="s">
        <v>4</v>
      </c>
      <c r="N4" s="6" t="s">
        <v>5</v>
      </c>
      <c r="P4" t="s">
        <v>49</v>
      </c>
      <c r="Q4" s="9">
        <f>(M5-C11)*L6 - (N5-C12)*L5</f>
        <v>1280000</v>
      </c>
    </row>
    <row r="5" spans="2:20" ht="15" customHeight="1" x14ac:dyDescent="0.25">
      <c r="B5">
        <v>2</v>
      </c>
      <c r="C5" s="4">
        <v>40</v>
      </c>
      <c r="D5" s="4">
        <v>40</v>
      </c>
      <c r="E5" s="3" t="b">
        <v>1</v>
      </c>
      <c r="F5" s="4">
        <v>10</v>
      </c>
      <c r="G5" s="5">
        <f t="shared" ref="G5:G7" si="0">IF(E5,PI()*(F5^2)/4,0)</f>
        <v>78.539816339744831</v>
      </c>
      <c r="H5" s="5"/>
      <c r="I5" s="5"/>
      <c r="K5" s="6" t="s">
        <v>20</v>
      </c>
      <c r="L5" s="4">
        <v>3000</v>
      </c>
      <c r="M5" s="4">
        <v>330</v>
      </c>
      <c r="N5" s="4">
        <v>0</v>
      </c>
      <c r="O5" s="5"/>
      <c r="P5" s="5"/>
      <c r="Q5" s="5"/>
      <c r="R5" s="5"/>
      <c r="S5" s="5"/>
    </row>
    <row r="6" spans="2:20" ht="15" customHeight="1" x14ac:dyDescent="0.25">
      <c r="B6">
        <v>3</v>
      </c>
      <c r="C6" s="4">
        <v>60</v>
      </c>
      <c r="D6" s="4">
        <v>60</v>
      </c>
      <c r="E6" s="3" t="b">
        <v>1</v>
      </c>
      <c r="F6" s="4">
        <v>10</v>
      </c>
      <c r="G6" s="5">
        <f t="shared" si="0"/>
        <v>78.539816339744831</v>
      </c>
      <c r="H6" s="5"/>
      <c r="I6" s="5"/>
      <c r="K6" s="6" t="s">
        <v>21</v>
      </c>
      <c r="L6" s="4">
        <v>4000</v>
      </c>
      <c r="M6" s="5">
        <f>M5</f>
        <v>330</v>
      </c>
      <c r="N6" s="5">
        <f>N5</f>
        <v>0</v>
      </c>
      <c r="O6" s="5" t="s">
        <v>22</v>
      </c>
      <c r="P6" s="5"/>
      <c r="Q6" s="5"/>
      <c r="R6" s="5"/>
      <c r="S6" s="5"/>
    </row>
    <row r="7" spans="2:20" ht="15" customHeight="1" x14ac:dyDescent="0.25">
      <c r="B7">
        <v>4</v>
      </c>
      <c r="C7" s="4"/>
      <c r="D7" s="4"/>
      <c r="E7" s="3" t="b">
        <v>0</v>
      </c>
      <c r="F7" s="4">
        <v>10</v>
      </c>
      <c r="G7" s="5">
        <f t="shared" si="0"/>
        <v>0</v>
      </c>
      <c r="H7" s="5"/>
      <c r="I7" s="5"/>
      <c r="K7" s="1" t="s">
        <v>40</v>
      </c>
    </row>
    <row r="8" spans="2:20" ht="15" customHeight="1" x14ac:dyDescent="0.25">
      <c r="C8" s="1" t="s">
        <v>10</v>
      </c>
      <c r="D8" s="7"/>
      <c r="E8">
        <f>COUNTIF(E4:E7,TRUE)</f>
        <v>3</v>
      </c>
      <c r="F8" s="1" t="s">
        <v>9</v>
      </c>
      <c r="G8" s="5">
        <f>SUM(G4:G7)</f>
        <v>235.61944901923448</v>
      </c>
    </row>
    <row r="9" spans="2:20" ht="15" customHeight="1" x14ac:dyDescent="0.25">
      <c r="H9" s="1" t="s">
        <v>15</v>
      </c>
      <c r="I9" s="1"/>
      <c r="J9" s="1"/>
      <c r="L9" s="1" t="s">
        <v>44</v>
      </c>
      <c r="M9" s="1"/>
      <c r="N9" s="1"/>
      <c r="O9" s="1"/>
      <c r="P9" s="1" t="s">
        <v>47</v>
      </c>
      <c r="Q9" s="1"/>
      <c r="R9" s="1"/>
      <c r="S9" s="1"/>
    </row>
    <row r="10" spans="2:20" ht="15" customHeight="1" x14ac:dyDescent="0.25">
      <c r="B10" s="1" t="s">
        <v>11</v>
      </c>
      <c r="C10" s="1"/>
      <c r="E10" s="1" t="s">
        <v>18</v>
      </c>
      <c r="F10" s="1"/>
      <c r="H10" t="s">
        <v>0</v>
      </c>
      <c r="I10" t="s">
        <v>16</v>
      </c>
      <c r="J10" s="8">
        <f>IF($E4,C4-$C$11,0)</f>
        <v>-20.000000000000007</v>
      </c>
      <c r="L10" s="9">
        <f>SQRT((J10)^2+(J11)^2)</f>
        <v>28.284271247461913</v>
      </c>
      <c r="P10" s="9">
        <f>(L10^2)*G4</f>
        <v>62831.853071795922</v>
      </c>
    </row>
    <row r="11" spans="2:20" ht="15" customHeight="1" x14ac:dyDescent="0.25">
      <c r="B11" t="s">
        <v>12</v>
      </c>
      <c r="C11" s="8" cm="1">
        <f t="array" ref="C11">SUM(C4:C7 * $G$4:$G$7)/$G$8</f>
        <v>40.000000000000007</v>
      </c>
      <c r="E11" t="s">
        <v>23</v>
      </c>
      <c r="F11" s="9">
        <f>L5/$E$8</f>
        <v>1000</v>
      </c>
      <c r="I11" t="s">
        <v>17</v>
      </c>
      <c r="J11" s="8">
        <f>IF($E4,D4-$C$12,0)</f>
        <v>-20.000000000000007</v>
      </c>
    </row>
    <row r="12" spans="2:20" ht="15" customHeight="1" x14ac:dyDescent="0.25">
      <c r="B12" t="s">
        <v>13</v>
      </c>
      <c r="C12" s="8" cm="1">
        <f t="array" ref="C12">SUM(D4:D7 * $G$4:$G$7)/$G$8</f>
        <v>40.000000000000007</v>
      </c>
      <c r="E12" t="s">
        <v>24</v>
      </c>
      <c r="F12" s="9">
        <f>L6/$E$8</f>
        <v>1333.3333333333333</v>
      </c>
      <c r="H12" t="s">
        <v>1</v>
      </c>
      <c r="I12" t="s">
        <v>16</v>
      </c>
      <c r="J12" s="8">
        <f>IF($E5,C5-$C$11,0)</f>
        <v>-7.1054273576010019E-15</v>
      </c>
      <c r="L12" s="9">
        <f>SQRT((J12)^2+(J13)^2)</f>
        <v>1.0048591735576161E-14</v>
      </c>
      <c r="P12" s="9">
        <f>(L12^2)*G5</f>
        <v>7.930494798548881E-27</v>
      </c>
    </row>
    <row r="13" spans="2:20" ht="15" customHeight="1" x14ac:dyDescent="0.25">
      <c r="I13" t="s">
        <v>17</v>
      </c>
      <c r="J13" s="8">
        <f>IF($E5,D5-$C$12,0)</f>
        <v>-7.1054273576010019E-15</v>
      </c>
    </row>
    <row r="14" spans="2:20" ht="15" customHeight="1" x14ac:dyDescent="0.25">
      <c r="E14" s="1" t="s">
        <v>25</v>
      </c>
      <c r="F14" s="1"/>
      <c r="H14" t="s">
        <v>2</v>
      </c>
      <c r="I14" t="s">
        <v>16</v>
      </c>
      <c r="J14" s="8">
        <f>IF($E6,C6-$C$11,0)</f>
        <v>19.999999999999993</v>
      </c>
      <c r="L14" s="9">
        <f>SQRT((J14)^2+(J15)^2)</f>
        <v>28.284271247461891</v>
      </c>
      <c r="P14" s="9">
        <f>(L14^2)*G6</f>
        <v>62831.85307179582</v>
      </c>
    </row>
    <row r="15" spans="2:20" ht="15" customHeight="1" x14ac:dyDescent="0.25">
      <c r="B15" t="s">
        <v>58</v>
      </c>
      <c r="E15" t="s">
        <v>26</v>
      </c>
      <c r="F15" s="9">
        <f>($Q$4*L10*G4)/$P$18</f>
        <v>22627.416997969529</v>
      </c>
      <c r="I15" t="s">
        <v>17</v>
      </c>
      <c r="J15" s="8">
        <f>IF($E6,D6-$C$12,0)</f>
        <v>19.999999999999993</v>
      </c>
    </row>
    <row r="16" spans="2:20" ht="15" customHeight="1" x14ac:dyDescent="0.25">
      <c r="E16" t="s">
        <v>27</v>
      </c>
      <c r="F16" s="9">
        <f>($Q$4*L12*G5)/$P$18</f>
        <v>8.0388733884609286E-12</v>
      </c>
      <c r="H16" t="s">
        <v>3</v>
      </c>
      <c r="I16" t="s">
        <v>16</v>
      </c>
      <c r="J16" s="8">
        <f>IF($E7,C7-$C$11,0)</f>
        <v>0</v>
      </c>
      <c r="L16" s="9">
        <f>SQRT((J16)^2+(J17)^2)</f>
        <v>0</v>
      </c>
      <c r="P16" s="9">
        <f>(L16^2)*G7</f>
        <v>0</v>
      </c>
    </row>
    <row r="17" spans="5:16" ht="15" customHeight="1" x14ac:dyDescent="0.25">
      <c r="E17" t="s">
        <v>28</v>
      </c>
      <c r="F17" s="9">
        <f>($Q$4*L14*G6)/$P$18</f>
        <v>22627.416997969511</v>
      </c>
      <c r="I17" t="s">
        <v>17</v>
      </c>
      <c r="J17" s="8">
        <f>IF($E7,D7-$C$12,0)</f>
        <v>0</v>
      </c>
      <c r="P17" s="9"/>
    </row>
    <row r="18" spans="5:16" ht="15" customHeight="1" x14ac:dyDescent="0.25">
      <c r="E18" t="s">
        <v>29</v>
      </c>
      <c r="F18" s="9">
        <f>($Q$4*L16*G7)/$P$18</f>
        <v>0</v>
      </c>
      <c r="O18" s="1" t="s">
        <v>48</v>
      </c>
      <c r="P18" s="9">
        <f>SUM(P10:P16)</f>
        <v>125663.70614359174</v>
      </c>
    </row>
    <row r="20" spans="5:16" ht="15" customHeight="1" x14ac:dyDescent="0.25">
      <c r="E20" s="1" t="s">
        <v>30</v>
      </c>
      <c r="F20" s="1"/>
      <c r="H20" s="1" t="s">
        <v>39</v>
      </c>
      <c r="I20" s="7" t="s">
        <v>57</v>
      </c>
      <c r="K20" s="2" t="s">
        <v>59</v>
      </c>
      <c r="L20" s="2">
        <v>10</v>
      </c>
    </row>
    <row r="21" spans="5:16" ht="15" customHeight="1" x14ac:dyDescent="0.25">
      <c r="E21" t="s">
        <v>31</v>
      </c>
      <c r="F21" s="9">
        <f>IF(E4,-F15*(J11/L10),0)</f>
        <v>16000.000000000004</v>
      </c>
      <c r="H21" t="s">
        <v>0</v>
      </c>
      <c r="I21" s="9">
        <f>IF(E4, SQRT((F21+$F$11)^2 + (F22+$F$12)^2), 0)</f>
        <v>22452.418825398552</v>
      </c>
      <c r="K21" s="2" t="s">
        <v>42</v>
      </c>
      <c r="L21" s="2">
        <v>370</v>
      </c>
      <c r="M21" t="s">
        <v>51</v>
      </c>
      <c r="N21" s="5">
        <f>0.577*L21</f>
        <v>213.48999999999998</v>
      </c>
    </row>
    <row r="22" spans="5:16" ht="15" customHeight="1" x14ac:dyDescent="0.25">
      <c r="E22" t="s">
        <v>32</v>
      </c>
      <c r="F22" s="9">
        <f>IF(E4,F15*(J10/L10),0)</f>
        <v>-16000.000000000004</v>
      </c>
      <c r="H22" t="s">
        <v>1</v>
      </c>
      <c r="I22" s="9">
        <f>IF(E5, SQRT((F23+$F$11)^2 + (F24+$F$12)^2), 0)</f>
        <v>1666.6666666666654</v>
      </c>
      <c r="K22" s="2" t="s">
        <v>41</v>
      </c>
      <c r="L22" s="2">
        <v>420</v>
      </c>
      <c r="M22" t="s">
        <v>43</v>
      </c>
      <c r="N22" s="5">
        <f>0.577*L22</f>
        <v>242.33999999999997</v>
      </c>
    </row>
    <row r="23" spans="5:16" ht="15" customHeight="1" x14ac:dyDescent="0.25">
      <c r="E23" t="s">
        <v>33</v>
      </c>
      <c r="F23" s="9">
        <f>IF(E5,-F16*(J13/L12),0)</f>
        <v>5.6843418860808015E-12</v>
      </c>
      <c r="H23" t="s">
        <v>2</v>
      </c>
      <c r="I23" s="9">
        <f>IF(E6, SQRT((F25+$F$11)^2 + (F26+$F$12)^2), 0)</f>
        <v>22922.574995938914</v>
      </c>
    </row>
    <row r="24" spans="5:16" ht="15" customHeight="1" x14ac:dyDescent="0.25">
      <c r="E24" t="s">
        <v>34</v>
      </c>
      <c r="F24" s="9">
        <f>IF(E5,F16*(J12/L12),0)</f>
        <v>-5.6843418860808015E-12</v>
      </c>
      <c r="H24" t="s">
        <v>3</v>
      </c>
      <c r="I24" s="9">
        <f>IF(E7, SQRT((F27+$F$11)^2 + (F28+$F$12)^2), 0)</f>
        <v>0</v>
      </c>
      <c r="K24" s="10" t="s">
        <v>50</v>
      </c>
    </row>
    <row r="25" spans="5:16" ht="15" customHeight="1" x14ac:dyDescent="0.25">
      <c r="E25" t="s">
        <v>35</v>
      </c>
      <c r="F25" s="9">
        <f>IF(E6,-F17*(J15/L14),0)</f>
        <v>-15999.999999999991</v>
      </c>
      <c r="K25" s="11" t="s">
        <v>52</v>
      </c>
      <c r="L25" s="11" t="s">
        <v>56</v>
      </c>
      <c r="M25" s="12">
        <f>IF($E$4,$L$22/(I21/(F4*$L$20)),"No Bolt")</f>
        <v>1.8706225073838769</v>
      </c>
    </row>
    <row r="26" spans="5:16" ht="15" customHeight="1" x14ac:dyDescent="0.25">
      <c r="E26" t="s">
        <v>36</v>
      </c>
      <c r="F26" s="9">
        <f>IF(E6,F17*(J14/L14),0)</f>
        <v>15999.999999999991</v>
      </c>
      <c r="K26" s="11"/>
      <c r="L26" s="11" t="s">
        <v>60</v>
      </c>
      <c r="M26" s="12">
        <f>IF($E$4,(N22)/(I21/G4),"No Bolt")</f>
        <v>0.84771886894622372</v>
      </c>
    </row>
    <row r="27" spans="5:16" ht="15" customHeight="1" x14ac:dyDescent="0.25">
      <c r="E27" t="s">
        <v>37</v>
      </c>
      <c r="F27" s="9">
        <f>IF(E7,-F18*(J17/L16),0)</f>
        <v>0</v>
      </c>
      <c r="K27" s="13"/>
      <c r="L27" s="13" t="s">
        <v>61</v>
      </c>
      <c r="M27" s="14">
        <f>IF($E$4,$L$21/(I21/(F4*$L$20)),"No Bolt")</f>
        <v>1.6479293517429392</v>
      </c>
    </row>
    <row r="28" spans="5:16" ht="15" customHeight="1" x14ac:dyDescent="0.25">
      <c r="E28" t="s">
        <v>38</v>
      </c>
      <c r="F28" s="9">
        <f>IF(E7,F18*(J16/L16),0)</f>
        <v>0</v>
      </c>
      <c r="K28" s="11" t="s">
        <v>53</v>
      </c>
      <c r="L28" s="11" t="s">
        <v>56</v>
      </c>
      <c r="M28" s="12">
        <f>IF($E$5,$L$22/(I22/(F5*$L$20)),"No Bolt")</f>
        <v>25.200000000000021</v>
      </c>
    </row>
    <row r="29" spans="5:16" ht="15" customHeight="1" thickBot="1" x14ac:dyDescent="0.3">
      <c r="K29" s="11"/>
      <c r="L29" s="11" t="s">
        <v>60</v>
      </c>
      <c r="M29" s="12">
        <f>IF($E$5,(N22)/(I22/G5),"No Bolt")</f>
        <v>11.420003455064265</v>
      </c>
    </row>
    <row r="30" spans="5:16" ht="15" customHeight="1" x14ac:dyDescent="0.25">
      <c r="G30" s="23">
        <v>1</v>
      </c>
      <c r="H30" s="16" t="s">
        <v>11</v>
      </c>
      <c r="I30" s="17"/>
      <c r="K30" s="13"/>
      <c r="L30" s="13" t="s">
        <v>61</v>
      </c>
      <c r="M30" s="14">
        <f>IF($E$5,$L$21/(I22/(F5*$L$20)),"No Bolt")</f>
        <v>22.200000000000017</v>
      </c>
    </row>
    <row r="31" spans="5:16" ht="15" customHeight="1" x14ac:dyDescent="0.25">
      <c r="H31" s="18" t="str">
        <f>B11</f>
        <v>X</v>
      </c>
      <c r="I31" s="19">
        <f>C11</f>
        <v>40.000000000000007</v>
      </c>
      <c r="K31" s="11" t="s">
        <v>54</v>
      </c>
      <c r="L31" s="11" t="s">
        <v>56</v>
      </c>
      <c r="M31" s="12">
        <f>IF($E$6,$L$22/(I23/(F6*$L$20)),"No Bolt")</f>
        <v>1.8322548844290376</v>
      </c>
    </row>
    <row r="32" spans="5:16" ht="15" customHeight="1" thickBot="1" x14ac:dyDescent="0.3">
      <c r="H32" s="20" t="str">
        <f>B12</f>
        <v>Y</v>
      </c>
      <c r="I32" s="21">
        <f>C12</f>
        <v>40.000000000000007</v>
      </c>
      <c r="K32" s="11"/>
      <c r="L32" s="11" t="s">
        <v>60</v>
      </c>
      <c r="M32" s="12">
        <f>IF($E$6,(N22)/(I23/G6),"No Bolt")</f>
        <v>0.83033163137849075</v>
      </c>
    </row>
    <row r="33" spans="7:13" ht="15" customHeight="1" thickBot="1" x14ac:dyDescent="0.3">
      <c r="K33" s="13"/>
      <c r="L33" s="13" t="s">
        <v>61</v>
      </c>
      <c r="M33" s="14">
        <f>IF($E$6,$L$21/(I23/(F6*$L$20)),"No Bolt")</f>
        <v>1.6141293029493902</v>
      </c>
    </row>
    <row r="34" spans="7:13" ht="15" customHeight="1" x14ac:dyDescent="0.25">
      <c r="G34" s="23">
        <v>2</v>
      </c>
      <c r="H34" s="16" t="s">
        <v>45</v>
      </c>
      <c r="I34" s="17"/>
      <c r="K34" s="11" t="s">
        <v>55</v>
      </c>
      <c r="L34" s="11" t="s">
        <v>56</v>
      </c>
      <c r="M34" s="12" t="str">
        <f>IF($E$7,$L$22/(I24/(F7*$L$20)),"No Bolt")</f>
        <v>No Bolt</v>
      </c>
    </row>
    <row r="35" spans="7:13" ht="15" customHeight="1" thickBot="1" x14ac:dyDescent="0.3">
      <c r="H35" s="20" t="str">
        <f>P4</f>
        <v>Mz [N-mm]</v>
      </c>
      <c r="I35" s="21">
        <f>Q4</f>
        <v>1280000</v>
      </c>
      <c r="K35" s="11"/>
      <c r="L35" s="11" t="s">
        <v>60</v>
      </c>
      <c r="M35" s="12" t="str">
        <f>IF($E$7,(N22)/(I24/G7)*10,"No Bolt")</f>
        <v>No Bolt</v>
      </c>
    </row>
    <row r="36" spans="7:13" ht="15" customHeight="1" thickBot="1" x14ac:dyDescent="0.3">
      <c r="K36" s="11"/>
      <c r="L36" s="11" t="s">
        <v>61</v>
      </c>
      <c r="M36" s="12" t="str">
        <f>IF($E$7,$L$21/(I24/(F7*$L$20)),"No Bolt")</f>
        <v>No Bolt</v>
      </c>
    </row>
    <row r="37" spans="7:13" ht="15" customHeight="1" x14ac:dyDescent="0.25">
      <c r="G37" s="23">
        <v>3</v>
      </c>
      <c r="H37" s="16" t="s">
        <v>39</v>
      </c>
      <c r="I37" s="22" t="s">
        <v>57</v>
      </c>
    </row>
    <row r="38" spans="7:13" ht="15" customHeight="1" x14ac:dyDescent="0.25">
      <c r="H38" s="18" t="str">
        <f t="shared" ref="H38:I41" si="1">H21</f>
        <v>bolt 1</v>
      </c>
      <c r="I38" s="19">
        <f t="shared" si="1"/>
        <v>22452.418825398552</v>
      </c>
    </row>
    <row r="39" spans="7:13" ht="15" customHeight="1" x14ac:dyDescent="0.25">
      <c r="H39" s="18" t="str">
        <f t="shared" si="1"/>
        <v>bolt 2</v>
      </c>
      <c r="I39" s="19">
        <f t="shared" si="1"/>
        <v>1666.6666666666654</v>
      </c>
    </row>
    <row r="40" spans="7:13" ht="15" customHeight="1" x14ac:dyDescent="0.25">
      <c r="H40" s="18" t="str">
        <f t="shared" si="1"/>
        <v>bolt 3</v>
      </c>
      <c r="I40" s="19">
        <f t="shared" si="1"/>
        <v>22922.574995938914</v>
      </c>
    </row>
    <row r="41" spans="7:13" ht="15" customHeight="1" thickBot="1" x14ac:dyDescent="0.3">
      <c r="H41" s="20" t="str">
        <f t="shared" si="1"/>
        <v>bolt 4</v>
      </c>
      <c r="I41" s="21">
        <f t="shared" si="1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72B8-1059-480E-9F9A-466A2684967C}">
  <sheetPr>
    <tabColor rgb="FF002060"/>
  </sheetPr>
  <dimension ref="B2:T36"/>
  <sheetViews>
    <sheetView zoomScaleNormal="100" workbookViewId="0">
      <selection activeCell="O45" sqref="O45"/>
    </sheetView>
  </sheetViews>
  <sheetFormatPr defaultColWidth="12.85546875" defaultRowHeight="15" customHeight="1" x14ac:dyDescent="0.25"/>
  <cols>
    <col min="5" max="5" width="14" bestFit="1" customWidth="1"/>
    <col min="11" max="11" width="19.5703125" bestFit="1" customWidth="1"/>
    <col min="19" max="19" width="14.140625" bestFit="1" customWidth="1"/>
  </cols>
  <sheetData>
    <row r="2" spans="2:20" ht="15" customHeight="1" x14ac:dyDescent="0.25">
      <c r="B2" s="11" t="s">
        <v>62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5" t="s">
        <v>63</v>
      </c>
    </row>
    <row r="3" spans="2:20" ht="15" customHeight="1" x14ac:dyDescent="0.25">
      <c r="B3" s="1" t="s">
        <v>14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L3" s="1" t="s">
        <v>19</v>
      </c>
      <c r="M3" s="1"/>
      <c r="N3" s="1"/>
      <c r="O3" s="1"/>
      <c r="P3" s="1" t="s">
        <v>45</v>
      </c>
      <c r="Q3" s="1"/>
      <c r="R3" s="1"/>
      <c r="S3" s="1" t="s">
        <v>46</v>
      </c>
    </row>
    <row r="4" spans="2:20" ht="15" customHeight="1" x14ac:dyDescent="0.25">
      <c r="B4">
        <v>1</v>
      </c>
      <c r="C4" s="29">
        <v>50</v>
      </c>
      <c r="D4" s="29">
        <v>40</v>
      </c>
      <c r="E4" s="3" t="b">
        <v>1</v>
      </c>
      <c r="F4" s="29">
        <v>16</v>
      </c>
      <c r="G4" s="27">
        <f>IF(E4,PI()*(F4^2)/4,0)</f>
        <v>201.06192982974676</v>
      </c>
      <c r="H4" s="5"/>
      <c r="I4" s="5"/>
      <c r="L4" s="6" t="s">
        <v>57</v>
      </c>
      <c r="M4" s="6" t="s">
        <v>4</v>
      </c>
      <c r="N4" s="6" t="s">
        <v>5</v>
      </c>
      <c r="P4" t="s">
        <v>49</v>
      </c>
      <c r="Q4" s="25">
        <f>(M5-C11)*L6 - (N5-C12)*L5</f>
        <v>6800000</v>
      </c>
    </row>
    <row r="5" spans="2:20" ht="15" customHeight="1" x14ac:dyDescent="0.25">
      <c r="B5">
        <v>2</v>
      </c>
      <c r="C5" s="29">
        <f>50+2*75</f>
        <v>200</v>
      </c>
      <c r="D5" s="29">
        <v>40</v>
      </c>
      <c r="E5" s="3" t="b">
        <v>1</v>
      </c>
      <c r="F5" s="29">
        <v>16</v>
      </c>
      <c r="G5" s="27">
        <f t="shared" ref="G5:G7" si="0">IF(E5,PI()*(F5^2)/4,0)</f>
        <v>201.06192982974676</v>
      </c>
      <c r="H5" s="5"/>
      <c r="I5" s="5"/>
      <c r="K5" s="6" t="s">
        <v>20</v>
      </c>
      <c r="L5" s="29">
        <v>0</v>
      </c>
      <c r="M5" s="29">
        <f>2*50+2*75+300</f>
        <v>550</v>
      </c>
      <c r="N5" s="29">
        <v>200</v>
      </c>
      <c r="O5" s="5"/>
      <c r="P5" s="5"/>
      <c r="Q5" s="5"/>
      <c r="R5" s="5"/>
      <c r="S5" s="5"/>
    </row>
    <row r="6" spans="2:20" ht="15" customHeight="1" x14ac:dyDescent="0.25">
      <c r="B6">
        <v>3</v>
      </c>
      <c r="C6" s="29">
        <f>50+2*75</f>
        <v>200</v>
      </c>
      <c r="D6" s="29">
        <f>40+2*60</f>
        <v>160</v>
      </c>
      <c r="E6" s="3" t="b">
        <v>1</v>
      </c>
      <c r="F6" s="29">
        <v>16</v>
      </c>
      <c r="G6" s="27">
        <f t="shared" si="0"/>
        <v>201.06192982974676</v>
      </c>
      <c r="H6" s="5"/>
      <c r="I6" s="5"/>
      <c r="K6" s="6" t="s">
        <v>21</v>
      </c>
      <c r="L6" s="29">
        <v>16000</v>
      </c>
      <c r="M6" s="27">
        <f>M5</f>
        <v>550</v>
      </c>
      <c r="N6" s="27">
        <f>N5</f>
        <v>200</v>
      </c>
      <c r="O6" s="5" t="s">
        <v>22</v>
      </c>
      <c r="P6" s="5"/>
      <c r="Q6" s="5"/>
      <c r="R6" s="5"/>
      <c r="S6" s="5"/>
    </row>
    <row r="7" spans="2:20" ht="15" customHeight="1" x14ac:dyDescent="0.25">
      <c r="B7">
        <v>4</v>
      </c>
      <c r="C7" s="29">
        <v>50</v>
      </c>
      <c r="D7" s="29">
        <f>40+2*60</f>
        <v>160</v>
      </c>
      <c r="E7" s="3" t="b">
        <v>1</v>
      </c>
      <c r="F7" s="29">
        <v>16</v>
      </c>
      <c r="G7" s="27">
        <f t="shared" si="0"/>
        <v>201.06192982974676</v>
      </c>
      <c r="H7" s="5"/>
      <c r="I7" s="5"/>
      <c r="K7" s="1" t="s">
        <v>40</v>
      </c>
    </row>
    <row r="8" spans="2:20" ht="15" customHeight="1" x14ac:dyDescent="0.25">
      <c r="C8" s="1" t="s">
        <v>10</v>
      </c>
      <c r="D8" s="7"/>
      <c r="E8">
        <f>COUNTIF(E4:E7,TRUE)</f>
        <v>4</v>
      </c>
      <c r="F8" s="1" t="s">
        <v>9</v>
      </c>
      <c r="G8" s="27">
        <f>SUM(G4:G7)</f>
        <v>804.24771931898704</v>
      </c>
    </row>
    <row r="9" spans="2:20" ht="15" customHeight="1" x14ac:dyDescent="0.25">
      <c r="H9" s="1" t="s">
        <v>15</v>
      </c>
      <c r="I9" s="1"/>
      <c r="J9" s="1"/>
      <c r="L9" s="1" t="s">
        <v>44</v>
      </c>
      <c r="M9" s="1"/>
      <c r="N9" s="1"/>
      <c r="O9" s="1"/>
      <c r="P9" s="1" t="s">
        <v>47</v>
      </c>
      <c r="Q9" s="1"/>
      <c r="R9" s="1"/>
      <c r="S9" s="1"/>
    </row>
    <row r="10" spans="2:20" ht="15" customHeight="1" x14ac:dyDescent="0.25">
      <c r="B10" s="1" t="s">
        <v>11</v>
      </c>
      <c r="C10" s="1"/>
      <c r="E10" s="1" t="s">
        <v>18</v>
      </c>
      <c r="F10" s="1"/>
      <c r="H10" t="s">
        <v>0</v>
      </c>
      <c r="I10" t="s">
        <v>16</v>
      </c>
      <c r="J10" s="26">
        <f>IF($E4,C4-$C$11,0)</f>
        <v>-74.999999999999986</v>
      </c>
      <c r="L10" s="25">
        <f>SQRT((J10)^2+(J11)^2)</f>
        <v>96.046863561492714</v>
      </c>
      <c r="P10" s="25">
        <f>(L10^2)*G4</f>
        <v>1854796.3026794132</v>
      </c>
    </row>
    <row r="11" spans="2:20" ht="15" customHeight="1" x14ac:dyDescent="0.25">
      <c r="B11" t="s">
        <v>12</v>
      </c>
      <c r="C11" s="26" cm="1">
        <f t="array" ref="C11">SUM(C4:C7 * $G$4:$G$7)/$G$8</f>
        <v>124.99999999999999</v>
      </c>
      <c r="E11" t="s">
        <v>23</v>
      </c>
      <c r="F11" s="25">
        <f>L5/$E$8</f>
        <v>0</v>
      </c>
      <c r="I11" t="s">
        <v>17</v>
      </c>
      <c r="J11" s="26">
        <f>IF($E4,D4-$C$12,0)</f>
        <v>-59.999999999999986</v>
      </c>
      <c r="L11" s="25"/>
      <c r="P11" s="25"/>
    </row>
    <row r="12" spans="2:20" ht="15" customHeight="1" x14ac:dyDescent="0.25">
      <c r="B12" t="s">
        <v>13</v>
      </c>
      <c r="C12" s="26" cm="1">
        <f t="array" ref="C12">SUM(D4:D7 * $G$4:$G$7)/$G$8</f>
        <v>99.999999999999986</v>
      </c>
      <c r="E12" t="s">
        <v>24</v>
      </c>
      <c r="F12" s="25">
        <f>L6/$E$8</f>
        <v>4000</v>
      </c>
      <c r="H12" t="s">
        <v>1</v>
      </c>
      <c r="I12" t="s">
        <v>16</v>
      </c>
      <c r="J12" s="26">
        <f>IF($E5,C5-$C$11,0)</f>
        <v>75.000000000000014</v>
      </c>
      <c r="L12" s="25">
        <f>SQRT((J12)^2+(J13)^2)</f>
        <v>96.046863561492728</v>
      </c>
      <c r="P12" s="25">
        <f>(L12^2)*G5</f>
        <v>1854796.3026794139</v>
      </c>
    </row>
    <row r="13" spans="2:20" ht="15" customHeight="1" x14ac:dyDescent="0.25">
      <c r="I13" t="s">
        <v>17</v>
      </c>
      <c r="J13" s="26">
        <f>IF($E5,D5-$C$12,0)</f>
        <v>-59.999999999999986</v>
      </c>
      <c r="L13" s="25"/>
      <c r="P13" s="25"/>
    </row>
    <row r="14" spans="2:20" ht="15" customHeight="1" x14ac:dyDescent="0.25">
      <c r="E14" s="1" t="s">
        <v>25</v>
      </c>
      <c r="F14" s="1"/>
      <c r="H14" t="s">
        <v>2</v>
      </c>
      <c r="I14" t="s">
        <v>16</v>
      </c>
      <c r="J14" s="26">
        <f>IF($E6,C6-$C$11,0)</f>
        <v>75.000000000000014</v>
      </c>
      <c r="L14" s="25">
        <f>SQRT((J14)^2+(J15)^2)</f>
        <v>96.046863561492742</v>
      </c>
      <c r="P14" s="25">
        <f>(L14^2)*G6</f>
        <v>1854796.3026794142</v>
      </c>
    </row>
    <row r="15" spans="2:20" ht="15" customHeight="1" x14ac:dyDescent="0.25">
      <c r="B15" t="s">
        <v>58</v>
      </c>
      <c r="E15" t="s">
        <v>26</v>
      </c>
      <c r="F15" s="25">
        <f>($Q$4*L10*G4)/$P$18</f>
        <v>17699.693014042019</v>
      </c>
      <c r="I15" t="s">
        <v>17</v>
      </c>
      <c r="J15" s="26">
        <f>IF($E6,D6-$C$12,0)</f>
        <v>60.000000000000014</v>
      </c>
      <c r="L15" s="25"/>
      <c r="P15" s="25"/>
    </row>
    <row r="16" spans="2:20" ht="15" customHeight="1" x14ac:dyDescent="0.25">
      <c r="E16" t="s">
        <v>27</v>
      </c>
      <c r="F16" s="25">
        <f>($Q$4*L12*G5)/$P$18</f>
        <v>17699.693014042019</v>
      </c>
      <c r="H16" t="s">
        <v>3</v>
      </c>
      <c r="I16" t="s">
        <v>16</v>
      </c>
      <c r="J16" s="26">
        <f>IF($E7,C7-$C$11,0)</f>
        <v>-74.999999999999986</v>
      </c>
      <c r="L16" s="25">
        <f>SQRT((J16)^2+(J17)^2)</f>
        <v>96.046863561492728</v>
      </c>
      <c r="P16" s="25">
        <f>(L16^2)*G7</f>
        <v>1854796.3026794139</v>
      </c>
    </row>
    <row r="17" spans="5:16" ht="15" customHeight="1" x14ac:dyDescent="0.25">
      <c r="E17" t="s">
        <v>28</v>
      </c>
      <c r="F17" s="25">
        <f>($Q$4*L14*G6)/$P$18</f>
        <v>17699.693014042023</v>
      </c>
      <c r="I17" t="s">
        <v>17</v>
      </c>
      <c r="J17" s="26">
        <f>IF($E7,D7-$C$12,0)</f>
        <v>60.000000000000014</v>
      </c>
      <c r="L17" s="25"/>
      <c r="P17" s="25"/>
    </row>
    <row r="18" spans="5:16" ht="15" customHeight="1" x14ac:dyDescent="0.25">
      <c r="E18" t="s">
        <v>29</v>
      </c>
      <c r="F18" s="25">
        <f>($Q$4*L16*G7)/$P$18</f>
        <v>17699.693014042019</v>
      </c>
      <c r="O18" s="1" t="s">
        <v>48</v>
      </c>
      <c r="P18" s="25">
        <f>SUM(P10:P16)</f>
        <v>7419185.2107176548</v>
      </c>
    </row>
    <row r="20" spans="5:16" ht="15" customHeight="1" x14ac:dyDescent="0.25">
      <c r="E20" s="1" t="s">
        <v>30</v>
      </c>
      <c r="F20" s="1"/>
      <c r="H20" s="1" t="s">
        <v>39</v>
      </c>
      <c r="I20" s="7" t="s">
        <v>57</v>
      </c>
      <c r="K20" s="2" t="s">
        <v>59</v>
      </c>
      <c r="L20" s="2">
        <v>15</v>
      </c>
    </row>
    <row r="21" spans="5:16" ht="15" customHeight="1" x14ac:dyDescent="0.25">
      <c r="E21" t="s">
        <v>31</v>
      </c>
      <c r="F21" s="25">
        <f>IF(E4,-F15*(J11/L10),0)</f>
        <v>11056.910569105688</v>
      </c>
      <c r="H21" t="s">
        <v>0</v>
      </c>
      <c r="I21" s="25">
        <f>IF(E4, SQRT((F21+$F$11)^2 + (F22+$F$12)^2), 0)</f>
        <v>14788.848065358941</v>
      </c>
      <c r="K21" s="2" t="s">
        <v>42</v>
      </c>
      <c r="L21" s="28"/>
      <c r="M21" t="s">
        <v>51</v>
      </c>
      <c r="N21" s="27">
        <f>0.577*L21</f>
        <v>0</v>
      </c>
    </row>
    <row r="22" spans="5:16" ht="15" customHeight="1" x14ac:dyDescent="0.25">
      <c r="E22" t="s">
        <v>32</v>
      </c>
      <c r="F22" s="25">
        <f>IF(E4,F15*(J10/L10),0)</f>
        <v>-13821.138211382111</v>
      </c>
      <c r="H22" t="s">
        <v>1</v>
      </c>
      <c r="I22" s="25">
        <f>IF(E5, SQRT((F23+$F$11)^2 + (F24+$F$12)^2), 0)</f>
        <v>20972.559178182924</v>
      </c>
      <c r="K22" s="2" t="s">
        <v>41</v>
      </c>
      <c r="L22" s="28"/>
      <c r="M22" t="s">
        <v>43</v>
      </c>
      <c r="N22" s="27">
        <f>0.577*L22</f>
        <v>0</v>
      </c>
    </row>
    <row r="23" spans="5:16" ht="15" customHeight="1" x14ac:dyDescent="0.25">
      <c r="E23" t="s">
        <v>33</v>
      </c>
      <c r="F23" s="25">
        <f>IF(E5,-F16*(J13/L12),0)</f>
        <v>11056.910569105688</v>
      </c>
      <c r="H23" t="s">
        <v>2</v>
      </c>
      <c r="I23" s="25">
        <f>IF(E6, SQRT((F25+$F$11)^2 + (F26+$F$12)^2), 0)</f>
        <v>20972.559178182928</v>
      </c>
    </row>
    <row r="24" spans="5:16" ht="15" customHeight="1" x14ac:dyDescent="0.25">
      <c r="E24" t="s">
        <v>34</v>
      </c>
      <c r="F24" s="25">
        <f>IF(E5,F16*(J12/L12),0)</f>
        <v>13821.138211382115</v>
      </c>
      <c r="H24" t="s">
        <v>3</v>
      </c>
      <c r="I24" s="25">
        <f>IF(E7, SQRT((F27+$F$11)^2 + (F28+$F$12)^2), 0)</f>
        <v>14788.848065358941</v>
      </c>
      <c r="K24" s="10" t="s">
        <v>50</v>
      </c>
    </row>
    <row r="25" spans="5:16" ht="15" customHeight="1" x14ac:dyDescent="0.25">
      <c r="E25" t="s">
        <v>35</v>
      </c>
      <c r="F25" s="25">
        <f>IF(E6,-F17*(J15/L14),0)</f>
        <v>-11056.910569105692</v>
      </c>
      <c r="K25" s="11" t="s">
        <v>52</v>
      </c>
      <c r="L25" s="11" t="s">
        <v>56</v>
      </c>
      <c r="M25" s="12">
        <f>IF($E$4,$L$22/(I21/(F4*$L$20)),"No Bolt")</f>
        <v>0</v>
      </c>
    </row>
    <row r="26" spans="5:16" ht="15" customHeight="1" x14ac:dyDescent="0.25">
      <c r="E26" t="s">
        <v>36</v>
      </c>
      <c r="F26" s="25">
        <f>IF(E6,F17*(J14/L14),0)</f>
        <v>13821.138211382116</v>
      </c>
      <c r="K26" s="11"/>
      <c r="L26" s="11" t="s">
        <v>60</v>
      </c>
      <c r="M26" s="12">
        <f>IF($E$4,(N22)/(I21/G4),"No Bolt")</f>
        <v>0</v>
      </c>
    </row>
    <row r="27" spans="5:16" ht="15" customHeight="1" x14ac:dyDescent="0.25">
      <c r="E27" t="s">
        <v>37</v>
      </c>
      <c r="F27" s="25">
        <f>IF(E7,-F18*(J17/L16),0)</f>
        <v>-11056.910569105692</v>
      </c>
      <c r="K27" s="13"/>
      <c r="L27" s="13" t="s">
        <v>61</v>
      </c>
      <c r="M27" s="14">
        <f>IF($E$4,$L$21/(I21/(F4*$L$20)),"No Bolt")</f>
        <v>0</v>
      </c>
    </row>
    <row r="28" spans="5:16" ht="15" customHeight="1" x14ac:dyDescent="0.25">
      <c r="E28" t="s">
        <v>38</v>
      </c>
      <c r="F28" s="25">
        <f>IF(E7,F18*(J16/L16),0)</f>
        <v>-13821.138211382109</v>
      </c>
      <c r="K28" s="11" t="s">
        <v>53</v>
      </c>
      <c r="L28" s="11" t="s">
        <v>56</v>
      </c>
      <c r="M28" s="12">
        <f>IF($E$5,$L$22/(I22/(F5*$L$20)),"No Bolt")</f>
        <v>0</v>
      </c>
    </row>
    <row r="29" spans="5:16" ht="15" customHeight="1" x14ac:dyDescent="0.25">
      <c r="K29" s="11"/>
      <c r="L29" s="11" t="s">
        <v>60</v>
      </c>
      <c r="M29" s="12">
        <f>IF($E$5,(N22)/(I22/G5),"No Bolt")</f>
        <v>0</v>
      </c>
    </row>
    <row r="30" spans="5:16" ht="15" customHeight="1" x14ac:dyDescent="0.25">
      <c r="K30" s="13"/>
      <c r="L30" s="13" t="s">
        <v>61</v>
      </c>
      <c r="M30" s="14">
        <f>IF($E$5,$L$21/(I22/(F5*$L$20)),"No Bolt")</f>
        <v>0</v>
      </c>
    </row>
    <row r="31" spans="5:16" ht="15" customHeight="1" x14ac:dyDescent="0.25">
      <c r="K31" s="11" t="s">
        <v>54</v>
      </c>
      <c r="L31" s="11" t="s">
        <v>56</v>
      </c>
      <c r="M31" s="12">
        <f>IF($E$6,$L$22/(I23/(F6*$L$20)),"No Bolt")</f>
        <v>0</v>
      </c>
    </row>
    <row r="32" spans="5:16" ht="15" customHeight="1" x14ac:dyDescent="0.25">
      <c r="K32" s="11"/>
      <c r="L32" s="11" t="s">
        <v>60</v>
      </c>
      <c r="M32" s="12">
        <f>IF($E$6,(N22)/(I23/G6),"No Bolt")</f>
        <v>0</v>
      </c>
    </row>
    <row r="33" spans="11:13" ht="15" customHeight="1" x14ac:dyDescent="0.25">
      <c r="K33" s="13"/>
      <c r="L33" s="13" t="s">
        <v>61</v>
      </c>
      <c r="M33" s="14">
        <f>IF($E$6,$L$21/(I23/(F6*$L$20)),"No Bolt")</f>
        <v>0</v>
      </c>
    </row>
    <row r="34" spans="11:13" ht="15" customHeight="1" x14ac:dyDescent="0.25">
      <c r="K34" s="11" t="s">
        <v>55</v>
      </c>
      <c r="L34" s="11" t="s">
        <v>56</v>
      </c>
      <c r="M34" s="12">
        <f>IF($E$7,$L$22/(I24/(F7*$L$20)),"No Bolt")</f>
        <v>0</v>
      </c>
    </row>
    <row r="35" spans="11:13" ht="15" customHeight="1" x14ac:dyDescent="0.25">
      <c r="K35" s="11"/>
      <c r="L35" s="11" t="s">
        <v>60</v>
      </c>
      <c r="M35" s="12">
        <f>IF($E$7,(N22)/(I24/G7)*10,"No Bolt")</f>
        <v>0</v>
      </c>
    </row>
    <row r="36" spans="11:13" ht="15" customHeight="1" x14ac:dyDescent="0.25">
      <c r="K36" s="11"/>
      <c r="L36" s="11" t="s">
        <v>61</v>
      </c>
      <c r="M36" s="12">
        <f>IF($E$7,$L$21/(I24/(F7*$L$20)),"No Bolt")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2BDC-7558-417E-9AC1-690D2DA1F635}">
  <sheetPr>
    <tabColor rgb="FF002060"/>
  </sheetPr>
  <dimension ref="B2:T36"/>
  <sheetViews>
    <sheetView zoomScaleNormal="100" workbookViewId="0">
      <selection activeCell="P32" sqref="P32"/>
    </sheetView>
  </sheetViews>
  <sheetFormatPr defaultColWidth="12.85546875" defaultRowHeight="15" customHeight="1" x14ac:dyDescent="0.25"/>
  <cols>
    <col min="5" max="5" width="14" bestFit="1" customWidth="1"/>
    <col min="11" max="11" width="19.5703125" bestFit="1" customWidth="1"/>
    <col min="19" max="19" width="14.140625" bestFit="1" customWidth="1"/>
  </cols>
  <sheetData>
    <row r="2" spans="2:20" ht="15" customHeight="1" x14ac:dyDescent="0.25">
      <c r="B2" s="11" t="s">
        <v>62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5" t="s">
        <v>63</v>
      </c>
    </row>
    <row r="3" spans="2:20" ht="15" customHeight="1" x14ac:dyDescent="0.25">
      <c r="B3" s="1" t="s">
        <v>14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L3" s="1" t="s">
        <v>19</v>
      </c>
      <c r="M3" s="1"/>
      <c r="N3" s="1"/>
      <c r="O3" s="1"/>
      <c r="P3" s="1" t="s">
        <v>45</v>
      </c>
      <c r="Q3" s="1"/>
      <c r="R3" s="1"/>
      <c r="S3" s="1" t="s">
        <v>46</v>
      </c>
    </row>
    <row r="4" spans="2:20" ht="15" customHeight="1" x14ac:dyDescent="0.25">
      <c r="B4">
        <v>1</v>
      </c>
      <c r="C4" s="29">
        <v>15</v>
      </c>
      <c r="D4" s="29">
        <v>15</v>
      </c>
      <c r="E4" s="3" t="b">
        <v>1</v>
      </c>
      <c r="F4" s="29">
        <v>10</v>
      </c>
      <c r="G4" s="27">
        <f>IF(E4,PI()*(F4^2)/4,0)</f>
        <v>78.539816339744831</v>
      </c>
      <c r="H4" s="5"/>
      <c r="I4" s="5"/>
      <c r="L4" s="6" t="s">
        <v>57</v>
      </c>
      <c r="M4" s="6" t="s">
        <v>4</v>
      </c>
      <c r="N4" s="6" t="s">
        <v>5</v>
      </c>
      <c r="P4" t="s">
        <v>49</v>
      </c>
      <c r="Q4" s="25">
        <f>(M5-C11)*L6 - (N5-C12)*L5</f>
        <v>530290.69767441857</v>
      </c>
    </row>
    <row r="5" spans="2:20" ht="15" customHeight="1" x14ac:dyDescent="0.25">
      <c r="B5">
        <v>2</v>
      </c>
      <c r="C5" s="29">
        <v>35</v>
      </c>
      <c r="D5" s="29">
        <v>30</v>
      </c>
      <c r="E5" s="3" t="b">
        <v>1</v>
      </c>
      <c r="F5" s="29">
        <v>10</v>
      </c>
      <c r="G5" s="27">
        <f t="shared" ref="G5:G7" si="0">IF(E5,PI()*(F5^2)/4,0)</f>
        <v>78.539816339744831</v>
      </c>
      <c r="H5" s="5"/>
      <c r="I5" s="5"/>
      <c r="K5" s="6" t="s">
        <v>20</v>
      </c>
      <c r="L5" s="29">
        <v>1000</v>
      </c>
      <c r="M5" s="29">
        <v>300</v>
      </c>
      <c r="N5" s="29">
        <v>60</v>
      </c>
      <c r="O5" s="5"/>
      <c r="P5" s="5"/>
      <c r="Q5" s="5"/>
      <c r="R5" s="5"/>
      <c r="S5" s="5"/>
    </row>
    <row r="6" spans="2:20" ht="15" customHeight="1" x14ac:dyDescent="0.25">
      <c r="B6">
        <v>3</v>
      </c>
      <c r="C6" s="29">
        <v>15</v>
      </c>
      <c r="D6" s="29">
        <v>45</v>
      </c>
      <c r="E6" s="3" t="b">
        <v>1</v>
      </c>
      <c r="F6" s="29">
        <v>12</v>
      </c>
      <c r="G6" s="27">
        <f t="shared" si="0"/>
        <v>113.09733552923255</v>
      </c>
      <c r="H6" s="5"/>
      <c r="I6" s="5"/>
      <c r="K6" s="6" t="s">
        <v>21</v>
      </c>
      <c r="L6" s="29">
        <v>2000</v>
      </c>
      <c r="M6" s="27">
        <f>M5</f>
        <v>300</v>
      </c>
      <c r="N6" s="27">
        <f>N5</f>
        <v>60</v>
      </c>
      <c r="O6" s="5" t="s">
        <v>22</v>
      </c>
      <c r="P6" s="5"/>
      <c r="Q6" s="5"/>
      <c r="R6" s="5"/>
      <c r="S6" s="5"/>
    </row>
    <row r="7" spans="2:20" ht="15" customHeight="1" x14ac:dyDescent="0.25">
      <c r="B7">
        <v>4</v>
      </c>
      <c r="C7" s="29"/>
      <c r="D7" s="29"/>
      <c r="E7" s="3" t="b">
        <v>0</v>
      </c>
      <c r="F7" s="29"/>
      <c r="G7" s="27">
        <f t="shared" si="0"/>
        <v>0</v>
      </c>
      <c r="H7" s="5"/>
      <c r="I7" s="5"/>
      <c r="K7" s="1" t="s">
        <v>40</v>
      </c>
    </row>
    <row r="8" spans="2:20" ht="15" customHeight="1" x14ac:dyDescent="0.25">
      <c r="C8" s="1" t="s">
        <v>10</v>
      </c>
      <c r="D8" s="7"/>
      <c r="E8">
        <f>COUNTIF(E4:E7,TRUE)</f>
        <v>3</v>
      </c>
      <c r="F8" s="1" t="s">
        <v>9</v>
      </c>
      <c r="G8" s="27">
        <f>SUM(G4:G7)</f>
        <v>270.1769682087222</v>
      </c>
    </row>
    <row r="9" spans="2:20" ht="15" customHeight="1" x14ac:dyDescent="0.25">
      <c r="H9" s="1" t="s">
        <v>15</v>
      </c>
      <c r="I9" s="1"/>
      <c r="J9" s="1"/>
      <c r="L9" s="1" t="s">
        <v>44</v>
      </c>
      <c r="M9" s="1"/>
      <c r="N9" s="1"/>
      <c r="O9" s="1"/>
      <c r="P9" s="1" t="s">
        <v>47</v>
      </c>
      <c r="Q9" s="1"/>
      <c r="R9" s="1"/>
      <c r="S9" s="1"/>
    </row>
    <row r="10" spans="2:20" ht="15" customHeight="1" x14ac:dyDescent="0.25">
      <c r="B10" s="1" t="s">
        <v>11</v>
      </c>
      <c r="C10" s="1"/>
      <c r="E10" s="1" t="s">
        <v>18</v>
      </c>
      <c r="F10" s="1"/>
      <c r="H10" t="s">
        <v>0</v>
      </c>
      <c r="I10" t="s">
        <v>16</v>
      </c>
      <c r="J10" s="26">
        <f>IF($E4,C4-$C$11,0)</f>
        <v>-5.8139534883720962</v>
      </c>
      <c r="L10" s="25">
        <f>SQRT((J10)^2+(J11)^2)</f>
        <v>17.889696434185272</v>
      </c>
      <c r="P10" s="25">
        <f>(L10^2)*G4</f>
        <v>25135.980093507907</v>
      </c>
    </row>
    <row r="11" spans="2:20" ht="15" customHeight="1" x14ac:dyDescent="0.25">
      <c r="B11" t="s">
        <v>12</v>
      </c>
      <c r="C11" s="26" cm="1">
        <f t="array" ref="C11">SUM(C4:C7 * $G$4:$G$7)/$G$8</f>
        <v>20.813953488372096</v>
      </c>
      <c r="E11" t="s">
        <v>23</v>
      </c>
      <c r="F11" s="25">
        <f>L5/$E$8</f>
        <v>333.33333333333331</v>
      </c>
      <c r="I11" t="s">
        <v>17</v>
      </c>
      <c r="J11" s="26">
        <f>IF($E4,D4-$C$12,0)</f>
        <v>-16.918604651162788</v>
      </c>
      <c r="L11" s="25"/>
      <c r="P11" s="25"/>
    </row>
    <row r="12" spans="2:20" ht="15" customHeight="1" x14ac:dyDescent="0.25">
      <c r="B12" t="s">
        <v>13</v>
      </c>
      <c r="C12" s="26" cm="1">
        <f t="array" ref="C12">SUM(D4:D7 * $G$4:$G$7)/$G$8</f>
        <v>31.918604651162788</v>
      </c>
      <c r="E12" t="s">
        <v>24</v>
      </c>
      <c r="F12" s="25">
        <f>L6/$E$8</f>
        <v>666.66666666666663</v>
      </c>
      <c r="H12" t="s">
        <v>1</v>
      </c>
      <c r="I12" t="s">
        <v>16</v>
      </c>
      <c r="J12" s="26">
        <f>IF($E5,C5-$C$11,0)</f>
        <v>14.186046511627904</v>
      </c>
      <c r="L12" s="25">
        <f>SQRT((J12)^2+(J13)^2)</f>
        <v>14.315200293308287</v>
      </c>
      <c r="P12" s="25">
        <f>(L12^2)*G5</f>
        <v>16094.768677653552</v>
      </c>
    </row>
    <row r="13" spans="2:20" ht="15" customHeight="1" x14ac:dyDescent="0.25">
      <c r="I13" t="s">
        <v>17</v>
      </c>
      <c r="J13" s="26">
        <f>IF($E5,D5-$C$12,0)</f>
        <v>-1.9186046511627879</v>
      </c>
      <c r="L13" s="25"/>
      <c r="P13" s="25"/>
    </row>
    <row r="14" spans="2:20" ht="15" customHeight="1" x14ac:dyDescent="0.25">
      <c r="E14" s="1" t="s">
        <v>25</v>
      </c>
      <c r="F14" s="1"/>
      <c r="H14" t="s">
        <v>2</v>
      </c>
      <c r="I14" t="s">
        <v>16</v>
      </c>
      <c r="J14" s="26">
        <f>IF($E6,C6-$C$11,0)</f>
        <v>-5.8139534883720962</v>
      </c>
      <c r="L14" s="25">
        <f>SQRT((J14)^2+(J15)^2)</f>
        <v>14.315200293308296</v>
      </c>
      <c r="P14" s="25">
        <f>(L14^2)*G6</f>
        <v>23176.466895821144</v>
      </c>
    </row>
    <row r="15" spans="2:20" ht="15" customHeight="1" x14ac:dyDescent="0.25">
      <c r="B15" t="s">
        <v>58</v>
      </c>
      <c r="E15" t="s">
        <v>26</v>
      </c>
      <c r="F15" s="25">
        <f>($Q$4*L10*G4)/$P$18</f>
        <v>11568.37441873122</v>
      </c>
      <c r="I15" t="s">
        <v>17</v>
      </c>
      <c r="J15" s="26">
        <f>IF($E6,D6-$C$12,0)</f>
        <v>13.081395348837212</v>
      </c>
      <c r="L15" s="25"/>
      <c r="P15" s="25"/>
    </row>
    <row r="16" spans="2:20" ht="15" customHeight="1" x14ac:dyDescent="0.25">
      <c r="E16" t="s">
        <v>27</v>
      </c>
      <c r="F16" s="25">
        <f>($Q$4*L12*G5)/$P$18</f>
        <v>9256.9260457472428</v>
      </c>
      <c r="H16" t="s">
        <v>3</v>
      </c>
      <c r="I16" t="s">
        <v>16</v>
      </c>
      <c r="J16" s="26">
        <f>IF($E7,C7-$C$11,0)</f>
        <v>0</v>
      </c>
      <c r="L16" s="25">
        <f>SQRT((J16)^2+(J17)^2)</f>
        <v>0</v>
      </c>
      <c r="P16" s="25">
        <f>(L16^2)*G7</f>
        <v>0</v>
      </c>
    </row>
    <row r="17" spans="5:16" ht="15" customHeight="1" x14ac:dyDescent="0.25">
      <c r="E17" t="s">
        <v>28</v>
      </c>
      <c r="F17" s="25">
        <f>($Q$4*L14*G6)/$P$18</f>
        <v>13329.973505876038</v>
      </c>
      <c r="I17" t="s">
        <v>17</v>
      </c>
      <c r="J17" s="26">
        <f>IF($E7,D7-$C$12,0)</f>
        <v>0</v>
      </c>
      <c r="L17" s="25"/>
      <c r="P17" s="25"/>
    </row>
    <row r="18" spans="5:16" ht="15" customHeight="1" x14ac:dyDescent="0.25">
      <c r="E18" t="s">
        <v>29</v>
      </c>
      <c r="F18" s="25">
        <f>($Q$4*L16*G7)/$P$18</f>
        <v>0</v>
      </c>
      <c r="O18" s="1" t="s">
        <v>48</v>
      </c>
      <c r="P18" s="25">
        <f>SUM(P10:P16)</f>
        <v>64407.215666982607</v>
      </c>
    </row>
    <row r="20" spans="5:16" ht="15" customHeight="1" x14ac:dyDescent="0.25">
      <c r="E20" s="1" t="s">
        <v>30</v>
      </c>
      <c r="F20" s="1"/>
      <c r="H20" s="1" t="s">
        <v>39</v>
      </c>
      <c r="I20" s="7" t="s">
        <v>57</v>
      </c>
      <c r="K20" s="2" t="s">
        <v>59</v>
      </c>
      <c r="L20" s="2">
        <v>15</v>
      </c>
    </row>
    <row r="21" spans="5:16" ht="15" customHeight="1" x14ac:dyDescent="0.25">
      <c r="E21" t="s">
        <v>31</v>
      </c>
      <c r="F21" s="25">
        <f>IF(E4,-F15*(J11/L10),0)</f>
        <v>10940.417796756879</v>
      </c>
      <c r="H21" t="s">
        <v>0</v>
      </c>
      <c r="I21" s="25">
        <f>IF(E4, SQRT((F21+$F$11)^2 + (F22+$F$12)^2), 0)</f>
        <v>11690.323453718536</v>
      </c>
      <c r="K21" s="2" t="s">
        <v>42</v>
      </c>
      <c r="L21" s="28"/>
      <c r="M21" t="s">
        <v>51</v>
      </c>
      <c r="N21" s="27">
        <f>0.577*L21</f>
        <v>0</v>
      </c>
    </row>
    <row r="22" spans="5:16" ht="15" customHeight="1" x14ac:dyDescent="0.25">
      <c r="E22" t="s">
        <v>32</v>
      </c>
      <c r="F22" s="25">
        <f>IF(E4,F15*(J10/L10),0)</f>
        <v>-3759.5937445899954</v>
      </c>
      <c r="H22" t="s">
        <v>1</v>
      </c>
      <c r="I22" s="25">
        <f>IF(E5, SQRT((F23+$F$11)^2 + (F24+$F$12)^2), 0)</f>
        <v>9965.1672161015522</v>
      </c>
      <c r="K22" s="2" t="s">
        <v>41</v>
      </c>
      <c r="L22" s="28"/>
      <c r="M22" t="s">
        <v>43</v>
      </c>
      <c r="N22" s="27">
        <f>0.577*L22</f>
        <v>0</v>
      </c>
    </row>
    <row r="23" spans="5:16" ht="15" customHeight="1" x14ac:dyDescent="0.25">
      <c r="E23" t="s">
        <v>33</v>
      </c>
      <c r="F23" s="25">
        <f>IF(E5,-F16*(J13/L12),0)</f>
        <v>1240.6659357146959</v>
      </c>
      <c r="H23" t="s">
        <v>2</v>
      </c>
      <c r="I23" s="25">
        <f>IF(E6, SQRT((F25+$F$11)^2 + (F26+$F$12)^2), 0)</f>
        <v>12763.408899858434</v>
      </c>
    </row>
    <row r="24" spans="5:16" ht="15" customHeight="1" x14ac:dyDescent="0.25">
      <c r="E24" t="s">
        <v>34</v>
      </c>
      <c r="F24" s="25">
        <f>IF(E5,F16*(J12/L12),0)</f>
        <v>9173.4087367995817</v>
      </c>
      <c r="H24" t="s">
        <v>3</v>
      </c>
      <c r="I24" s="25">
        <f>IF(E7, SQRT((F27+$F$11)^2 + (F28+$F$12)^2), 0)</f>
        <v>0</v>
      </c>
      <c r="K24" s="10" t="s">
        <v>50</v>
      </c>
    </row>
    <row r="25" spans="5:16" ht="15" customHeight="1" x14ac:dyDescent="0.25">
      <c r="E25" t="s">
        <v>35</v>
      </c>
      <c r="F25" s="25">
        <f>IF(E6,-F17*(J15/L14),0)</f>
        <v>-12181.083732471579</v>
      </c>
      <c r="K25" s="11" t="s">
        <v>52</v>
      </c>
      <c r="L25" s="11" t="s">
        <v>56</v>
      </c>
      <c r="M25" s="12">
        <f>IF($E$4,$L$22/(I21/(F4*$L$20)),"No Bolt")</f>
        <v>0</v>
      </c>
    </row>
    <row r="26" spans="5:16" ht="15" customHeight="1" x14ac:dyDescent="0.25">
      <c r="E26" t="s">
        <v>36</v>
      </c>
      <c r="F26" s="25">
        <f>IF(E6,F17*(J14/L14),0)</f>
        <v>-5413.8149922095927</v>
      </c>
      <c r="K26" s="11"/>
      <c r="L26" s="11" t="s">
        <v>60</v>
      </c>
      <c r="M26" s="12">
        <f>IF($E$4,(N22)/(I21/G4),"No Bolt")</f>
        <v>0</v>
      </c>
    </row>
    <row r="27" spans="5:16" ht="15" customHeight="1" x14ac:dyDescent="0.25">
      <c r="E27" t="s">
        <v>37</v>
      </c>
      <c r="F27" s="25">
        <f>IF(E7,-F18*(J17/L16),0)</f>
        <v>0</v>
      </c>
      <c r="K27" s="13"/>
      <c r="L27" s="13" t="s">
        <v>61</v>
      </c>
      <c r="M27" s="14">
        <f>IF($E$4,$L$21/(I21/(F4*$L$20)),"No Bolt")</f>
        <v>0</v>
      </c>
    </row>
    <row r="28" spans="5:16" ht="15" customHeight="1" x14ac:dyDescent="0.25">
      <c r="E28" t="s">
        <v>38</v>
      </c>
      <c r="F28" s="25">
        <f>IF(E7,F18*(J16/L16),0)</f>
        <v>0</v>
      </c>
      <c r="K28" s="11" t="s">
        <v>53</v>
      </c>
      <c r="L28" s="11" t="s">
        <v>56</v>
      </c>
      <c r="M28" s="12">
        <f>IF($E$5,$L$22/(I22/(F5*$L$20)),"No Bolt")</f>
        <v>0</v>
      </c>
    </row>
    <row r="29" spans="5:16" ht="15" customHeight="1" x14ac:dyDescent="0.25">
      <c r="K29" s="11"/>
      <c r="L29" s="11" t="s">
        <v>60</v>
      </c>
      <c r="M29" s="12">
        <f>IF($E$5,(N22)/(I22/G5),"No Bolt")</f>
        <v>0</v>
      </c>
    </row>
    <row r="30" spans="5:16" ht="15" customHeight="1" x14ac:dyDescent="0.25">
      <c r="K30" s="13"/>
      <c r="L30" s="13" t="s">
        <v>61</v>
      </c>
      <c r="M30" s="14">
        <f>IF($E$5,$L$21/(I22/(F5*$L$20)),"No Bolt")</f>
        <v>0</v>
      </c>
    </row>
    <row r="31" spans="5:16" ht="15" customHeight="1" x14ac:dyDescent="0.25">
      <c r="K31" s="11" t="s">
        <v>54</v>
      </c>
      <c r="L31" s="11" t="s">
        <v>56</v>
      </c>
      <c r="M31" s="12">
        <f>IF($E$6,$L$22/(I23/(F6*$L$20)),"No Bolt")</f>
        <v>0</v>
      </c>
    </row>
    <row r="32" spans="5:16" ht="15" customHeight="1" x14ac:dyDescent="0.25">
      <c r="K32" s="11"/>
      <c r="L32" s="11" t="s">
        <v>60</v>
      </c>
      <c r="M32" s="12">
        <f>IF($E$6,(N22)/(I23/G6),"No Bolt")</f>
        <v>0</v>
      </c>
    </row>
    <row r="33" spans="11:13" ht="15" customHeight="1" x14ac:dyDescent="0.25">
      <c r="K33" s="13"/>
      <c r="L33" s="13" t="s">
        <v>61</v>
      </c>
      <c r="M33" s="14">
        <f>IF($E$6,$L$21/(I23/(F6*$L$20)),"No Bolt")</f>
        <v>0</v>
      </c>
    </row>
    <row r="34" spans="11:13" ht="15" customHeight="1" x14ac:dyDescent="0.25">
      <c r="K34" s="11" t="s">
        <v>55</v>
      </c>
      <c r="L34" s="11" t="s">
        <v>56</v>
      </c>
      <c r="M34" s="12" t="str">
        <f>IF($E$7,$L$22/(I24/(F7*$L$20)),"No Bolt")</f>
        <v>No Bolt</v>
      </c>
    </row>
    <row r="35" spans="11:13" ht="15" customHeight="1" x14ac:dyDescent="0.25">
      <c r="K35" s="11"/>
      <c r="L35" s="11" t="s">
        <v>60</v>
      </c>
      <c r="M35" s="12" t="str">
        <f>IF($E$7,(N22)/(I24/G7)*10,"No Bolt")</f>
        <v>No Bolt</v>
      </c>
    </row>
    <row r="36" spans="11:13" ht="15" customHeight="1" x14ac:dyDescent="0.25">
      <c r="K36" s="11"/>
      <c r="L36" s="11" t="s">
        <v>61</v>
      </c>
      <c r="M36" s="12" t="str">
        <f>IF($E$7,$L$21/(I24/(F7*$L$20)),"No Bolt")</f>
        <v>No Bolt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777D-D148-4B79-9787-F0EB050B85EF}">
  <sheetPr>
    <tabColor rgb="FF002060"/>
  </sheetPr>
  <dimension ref="B2:T36"/>
  <sheetViews>
    <sheetView zoomScaleNormal="100" workbookViewId="0">
      <selection activeCell="P30" sqref="P30"/>
    </sheetView>
  </sheetViews>
  <sheetFormatPr defaultColWidth="12.85546875" defaultRowHeight="15" customHeight="1" x14ac:dyDescent="0.25"/>
  <cols>
    <col min="5" max="5" width="14" bestFit="1" customWidth="1"/>
    <col min="11" max="11" width="19.5703125" bestFit="1" customWidth="1"/>
    <col min="19" max="19" width="14.140625" bestFit="1" customWidth="1"/>
  </cols>
  <sheetData>
    <row r="2" spans="2:20" ht="15" customHeight="1" x14ac:dyDescent="0.25">
      <c r="B2" s="11" t="s">
        <v>62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5" t="s">
        <v>63</v>
      </c>
    </row>
    <row r="3" spans="2:20" ht="15" customHeight="1" x14ac:dyDescent="0.25">
      <c r="B3" s="1" t="s">
        <v>14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L3" s="1" t="s">
        <v>19</v>
      </c>
      <c r="M3" s="1"/>
      <c r="N3" s="1"/>
      <c r="O3" s="1"/>
      <c r="P3" s="1" t="s">
        <v>45</v>
      </c>
      <c r="Q3" s="1"/>
      <c r="R3" s="1"/>
      <c r="S3" s="1" t="s">
        <v>46</v>
      </c>
    </row>
    <row r="4" spans="2:20" ht="15" customHeight="1" x14ac:dyDescent="0.25">
      <c r="B4">
        <v>1</v>
      </c>
      <c r="C4" s="29">
        <v>15</v>
      </c>
      <c r="D4" s="29">
        <v>10</v>
      </c>
      <c r="E4" s="3" t="b">
        <v>1</v>
      </c>
      <c r="F4" s="29">
        <v>10</v>
      </c>
      <c r="G4" s="27">
        <f>IF(E4,PI()*(F4^2)/4,0)</f>
        <v>78.539816339744831</v>
      </c>
      <c r="H4" s="5"/>
      <c r="I4" s="5"/>
      <c r="L4" s="6" t="s">
        <v>57</v>
      </c>
      <c r="M4" s="6" t="s">
        <v>4</v>
      </c>
      <c r="N4" s="6" t="s">
        <v>5</v>
      </c>
      <c r="P4" t="s">
        <v>49</v>
      </c>
      <c r="Q4" s="25">
        <f>(M5-C11)*L6 - (N5-C12)*L5</f>
        <v>893983.05084745761</v>
      </c>
    </row>
    <row r="5" spans="2:20" ht="15" customHeight="1" x14ac:dyDescent="0.25">
      <c r="B5">
        <v>2</v>
      </c>
      <c r="C5" s="29">
        <v>30</v>
      </c>
      <c r="D5" s="29">
        <v>30</v>
      </c>
      <c r="E5" s="3" t="b">
        <v>1</v>
      </c>
      <c r="F5" s="29">
        <v>12</v>
      </c>
      <c r="G5" s="27">
        <f t="shared" ref="G5:G7" si="0">IF(E5,PI()*(F5^2)/4,0)</f>
        <v>113.09733552923255</v>
      </c>
      <c r="H5" s="5"/>
      <c r="I5" s="5"/>
      <c r="K5" s="6" t="s">
        <v>20</v>
      </c>
      <c r="L5" s="29">
        <v>-2000</v>
      </c>
      <c r="M5" s="29">
        <v>310</v>
      </c>
      <c r="N5" s="29">
        <v>60</v>
      </c>
      <c r="O5" s="5"/>
      <c r="P5" s="5"/>
      <c r="Q5" s="5"/>
      <c r="R5" s="5"/>
      <c r="S5" s="5"/>
    </row>
    <row r="6" spans="2:20" ht="15" customHeight="1" x14ac:dyDescent="0.25">
      <c r="B6">
        <v>3</v>
      </c>
      <c r="C6" s="29">
        <v>45</v>
      </c>
      <c r="D6" s="29">
        <v>40</v>
      </c>
      <c r="E6" s="3" t="b">
        <v>1</v>
      </c>
      <c r="F6" s="29">
        <v>13</v>
      </c>
      <c r="G6" s="27">
        <f t="shared" si="0"/>
        <v>132.73228961416876</v>
      </c>
      <c r="H6" s="5"/>
      <c r="I6" s="5"/>
      <c r="K6" s="6" t="s">
        <v>21</v>
      </c>
      <c r="L6" s="29">
        <v>3000</v>
      </c>
      <c r="M6" s="27">
        <f>M5</f>
        <v>310</v>
      </c>
      <c r="N6" s="27">
        <f>N5</f>
        <v>60</v>
      </c>
      <c r="O6" s="5" t="s">
        <v>22</v>
      </c>
      <c r="P6" s="5"/>
      <c r="Q6" s="5"/>
      <c r="R6" s="5"/>
      <c r="S6" s="5"/>
    </row>
    <row r="7" spans="2:20" ht="15" customHeight="1" x14ac:dyDescent="0.25">
      <c r="B7">
        <v>4</v>
      </c>
      <c r="C7" s="29"/>
      <c r="D7" s="29"/>
      <c r="E7" s="3" t="b">
        <v>0</v>
      </c>
      <c r="F7" s="29"/>
      <c r="G7" s="27">
        <f t="shared" si="0"/>
        <v>0</v>
      </c>
      <c r="H7" s="5"/>
      <c r="I7" s="5"/>
      <c r="K7" s="1" t="s">
        <v>40</v>
      </c>
    </row>
    <row r="8" spans="2:20" ht="15" customHeight="1" x14ac:dyDescent="0.25">
      <c r="C8" s="1" t="s">
        <v>10</v>
      </c>
      <c r="D8" s="7"/>
      <c r="E8">
        <f>COUNTIF(E4:E7,TRUE)</f>
        <v>3</v>
      </c>
      <c r="F8" s="1" t="s">
        <v>9</v>
      </c>
      <c r="G8" s="27">
        <f>SUM(G4:G7)</f>
        <v>324.36944148314615</v>
      </c>
    </row>
    <row r="9" spans="2:20" ht="15" customHeight="1" x14ac:dyDescent="0.25">
      <c r="H9" s="1" t="s">
        <v>15</v>
      </c>
      <c r="I9" s="1"/>
      <c r="J9" s="1"/>
      <c r="L9" s="1" t="s">
        <v>44</v>
      </c>
      <c r="M9" s="1"/>
      <c r="N9" s="1"/>
      <c r="O9" s="1"/>
      <c r="P9" s="1" t="s">
        <v>47</v>
      </c>
      <c r="Q9" s="1"/>
      <c r="R9" s="1"/>
      <c r="S9" s="1"/>
    </row>
    <row r="10" spans="2:20" ht="15" customHeight="1" x14ac:dyDescent="0.25">
      <c r="B10" s="1" t="s">
        <v>11</v>
      </c>
      <c r="C10" s="1"/>
      <c r="E10" s="1" t="s">
        <v>18</v>
      </c>
      <c r="F10" s="1"/>
      <c r="H10" t="s">
        <v>0</v>
      </c>
      <c r="I10" t="s">
        <v>16</v>
      </c>
      <c r="J10" s="26">
        <f>IF($E4,C4-$C$11,0)</f>
        <v>-17.506053268765129</v>
      </c>
      <c r="L10" s="25">
        <f>SQRT((J10)^2+(J11)^2)</f>
        <v>26.019244730209163</v>
      </c>
      <c r="P10" s="25">
        <f>(L10^2)*G4</f>
        <v>53171.541767604722</v>
      </c>
    </row>
    <row r="11" spans="2:20" ht="15" customHeight="1" x14ac:dyDescent="0.25">
      <c r="B11" t="s">
        <v>12</v>
      </c>
      <c r="C11" s="26" cm="1">
        <f t="array" ref="C11">SUM(C4:C7 * $G$4:$G$7)/$G$8</f>
        <v>32.506053268765129</v>
      </c>
      <c r="E11" t="s">
        <v>23</v>
      </c>
      <c r="F11" s="25">
        <f>L5/$E$8</f>
        <v>-666.66666666666663</v>
      </c>
      <c r="I11" t="s">
        <v>17</v>
      </c>
      <c r="J11" s="26">
        <f>IF($E4,D4-$C$12,0)</f>
        <v>-19.24939467312349</v>
      </c>
      <c r="L11" s="25"/>
      <c r="P11" s="25"/>
    </row>
    <row r="12" spans="2:20" ht="15" customHeight="1" x14ac:dyDescent="0.25">
      <c r="B12" t="s">
        <v>13</v>
      </c>
      <c r="C12" s="26" cm="1">
        <f t="array" ref="C12">SUM(D4:D7 * $G$4:$G$7)/$G$8</f>
        <v>29.24939467312349</v>
      </c>
      <c r="E12" t="s">
        <v>24</v>
      </c>
      <c r="F12" s="25">
        <f>L6/$E$8</f>
        <v>1000</v>
      </c>
      <c r="H12" t="s">
        <v>1</v>
      </c>
      <c r="I12" t="s">
        <v>16</v>
      </c>
      <c r="J12" s="26">
        <f>IF($E5,C5-$C$11,0)</f>
        <v>-2.5060532687651289</v>
      </c>
      <c r="L12" s="25">
        <f>SQRT((J12)^2+(J13)^2)</f>
        <v>2.6160488035630718</v>
      </c>
      <c r="P12" s="25">
        <f>(L12^2)*G5</f>
        <v>774.00551798193612</v>
      </c>
    </row>
    <row r="13" spans="2:20" ht="15" customHeight="1" x14ac:dyDescent="0.25">
      <c r="I13" t="s">
        <v>17</v>
      </c>
      <c r="J13" s="26">
        <f>IF($E5,D5-$C$12,0)</f>
        <v>0.75060532687651005</v>
      </c>
      <c r="L13" s="25"/>
      <c r="P13" s="25"/>
    </row>
    <row r="14" spans="2:20" ht="15" customHeight="1" x14ac:dyDescent="0.25">
      <c r="E14" s="1" t="s">
        <v>25</v>
      </c>
      <c r="F14" s="1"/>
      <c r="H14" t="s">
        <v>2</v>
      </c>
      <c r="I14" t="s">
        <v>16</v>
      </c>
      <c r="J14" s="26">
        <f>IF($E6,C6-$C$11,0)</f>
        <v>12.493946731234871</v>
      </c>
      <c r="L14" s="25">
        <f>SQRT((J14)^2+(J15)^2)</f>
        <v>16.482542880793609</v>
      </c>
      <c r="P14" s="25">
        <f>(L14^2)*G6</f>
        <v>36059.941225479946</v>
      </c>
    </row>
    <row r="15" spans="2:20" ht="15" customHeight="1" x14ac:dyDescent="0.25">
      <c r="B15" t="s">
        <v>58</v>
      </c>
      <c r="E15" t="s">
        <v>26</v>
      </c>
      <c r="F15" s="25">
        <f>($Q$4*L10*G4)/$P$18</f>
        <v>20297.607910262959</v>
      </c>
      <c r="I15" t="s">
        <v>17</v>
      </c>
      <c r="J15" s="26">
        <f>IF($E6,D6-$C$12,0)</f>
        <v>10.75060532687651</v>
      </c>
      <c r="L15" s="25"/>
      <c r="P15" s="25"/>
    </row>
    <row r="16" spans="2:20" ht="15" customHeight="1" x14ac:dyDescent="0.25">
      <c r="E16" t="s">
        <v>27</v>
      </c>
      <c r="F16" s="25">
        <f>($Q$4*L12*G5)/$P$18</f>
        <v>2938.7220172131729</v>
      </c>
      <c r="H16" t="s">
        <v>3</v>
      </c>
      <c r="I16" t="s">
        <v>16</v>
      </c>
      <c r="J16" s="26">
        <f>IF($E7,C7-$C$11,0)</f>
        <v>0</v>
      </c>
      <c r="L16" s="25">
        <f>SQRT((J16)^2+(J17)^2)</f>
        <v>0</v>
      </c>
      <c r="P16" s="25">
        <f>(L16^2)*G7</f>
        <v>0</v>
      </c>
    </row>
    <row r="17" spans="5:16" ht="15" customHeight="1" x14ac:dyDescent="0.25">
      <c r="E17" t="s">
        <v>28</v>
      </c>
      <c r="F17" s="25">
        <f>($Q$4*L14*G6)/$P$18</f>
        <v>21730.068325362437</v>
      </c>
      <c r="I17" t="s">
        <v>17</v>
      </c>
      <c r="J17" s="26">
        <f>IF($E7,D7-$C$12,0)</f>
        <v>0</v>
      </c>
      <c r="L17" s="25"/>
      <c r="P17" s="25"/>
    </row>
    <row r="18" spans="5:16" ht="15" customHeight="1" x14ac:dyDescent="0.25">
      <c r="E18" t="s">
        <v>29</v>
      </c>
      <c r="F18" s="25">
        <f>($Q$4*L16*G7)/$P$18</f>
        <v>0</v>
      </c>
      <c r="O18" s="1" t="s">
        <v>48</v>
      </c>
      <c r="P18" s="25">
        <f>SUM(P10:P16)</f>
        <v>90005.488511066607</v>
      </c>
    </row>
    <row r="20" spans="5:16" ht="15" customHeight="1" x14ac:dyDescent="0.25">
      <c r="E20" s="1" t="s">
        <v>30</v>
      </c>
      <c r="F20" s="1"/>
      <c r="H20" s="1" t="s">
        <v>39</v>
      </c>
      <c r="I20" s="7" t="s">
        <v>57</v>
      </c>
      <c r="K20" s="2" t="s">
        <v>59</v>
      </c>
      <c r="L20" s="2">
        <v>15</v>
      </c>
    </row>
    <row r="21" spans="5:16" ht="15" customHeight="1" x14ac:dyDescent="0.25">
      <c r="E21" t="s">
        <v>31</v>
      </c>
      <c r="F21" s="25">
        <f>IF(E4,-F15*(J11/L10),0)</f>
        <v>15016.449156624853</v>
      </c>
      <c r="H21" t="s">
        <v>0</v>
      </c>
      <c r="I21" s="25">
        <f>IF(E4, SQRT((F21+$F$11)^2 + (F22+$F$12)^2), 0)</f>
        <v>19133.804153985839</v>
      </c>
      <c r="K21" s="2" t="s">
        <v>42</v>
      </c>
      <c r="L21" s="28"/>
      <c r="M21" t="s">
        <v>51</v>
      </c>
      <c r="N21" s="27">
        <f>0.577*L21</f>
        <v>0</v>
      </c>
    </row>
    <row r="22" spans="5:16" ht="15" customHeight="1" x14ac:dyDescent="0.25">
      <c r="E22" t="s">
        <v>32</v>
      </c>
      <c r="F22" s="25">
        <f>IF(E4,F15*(J10/L10),0)</f>
        <v>-13656.468855647501</v>
      </c>
      <c r="H22" t="s">
        <v>1</v>
      </c>
      <c r="I22" s="25">
        <f>IF(E5, SQRT((F23+$F$11)^2 + (F24+$F$12)^2), 0)</f>
        <v>2361.0301724020756</v>
      </c>
      <c r="K22" s="2" t="s">
        <v>41</v>
      </c>
      <c r="L22" s="28"/>
      <c r="M22" t="s">
        <v>43</v>
      </c>
      <c r="N22" s="27">
        <f>0.577*L22</f>
        <v>0</v>
      </c>
    </row>
    <row r="23" spans="5:16" ht="15" customHeight="1" x14ac:dyDescent="0.25">
      <c r="E23" t="s">
        <v>33</v>
      </c>
      <c r="F23" s="25">
        <f>IF(E5,-F16*(J13/L12),0)</f>
        <v>-843.18778660595012</v>
      </c>
      <c r="H23" t="s">
        <v>2</v>
      </c>
      <c r="I23" s="25">
        <f>IF(E6, SQRT((F25+$F$11)^2 + (F26+$F$12)^2), 0)</f>
        <v>22923.377845627318</v>
      </c>
    </row>
    <row r="24" spans="5:16" ht="15" customHeight="1" x14ac:dyDescent="0.25">
      <c r="E24" t="s">
        <v>34</v>
      </c>
      <c r="F24" s="25">
        <f>IF(E5,F16*(J12/L12),0)</f>
        <v>-2815.1592230230995</v>
      </c>
      <c r="H24" t="s">
        <v>3</v>
      </c>
      <c r="I24" s="25">
        <f>IF(E7, SQRT((F27+$F$11)^2 + (F28+$F$12)^2), 0)</f>
        <v>0</v>
      </c>
      <c r="K24" s="10" t="s">
        <v>50</v>
      </c>
    </row>
    <row r="25" spans="5:16" ht="15" customHeight="1" x14ac:dyDescent="0.25">
      <c r="E25" t="s">
        <v>35</v>
      </c>
      <c r="F25" s="25">
        <f>IF(E6,-F17*(J15/L14),0)</f>
        <v>-14173.26137001889</v>
      </c>
      <c r="K25" s="11" t="s">
        <v>52</v>
      </c>
      <c r="L25" s="11" t="s">
        <v>56</v>
      </c>
      <c r="M25" s="12">
        <f>IF($E$4,$L$22/(I21/(F4*$L$20)),"No Bolt")</f>
        <v>0</v>
      </c>
    </row>
    <row r="26" spans="5:16" ht="15" customHeight="1" x14ac:dyDescent="0.25">
      <c r="E26" t="s">
        <v>36</v>
      </c>
      <c r="F26" s="25">
        <f>IF(E6,F17*(J14/L14),0)</f>
        <v>16471.628078670612</v>
      </c>
      <c r="K26" s="11"/>
      <c r="L26" s="11" t="s">
        <v>60</v>
      </c>
      <c r="M26" s="12">
        <f>IF($E$4,(N22)/(I21/G4),"No Bolt")</f>
        <v>0</v>
      </c>
    </row>
    <row r="27" spans="5:16" ht="15" customHeight="1" x14ac:dyDescent="0.25">
      <c r="E27" t="s">
        <v>37</v>
      </c>
      <c r="F27" s="25">
        <f>IF(E7,-F18*(J17/L16),0)</f>
        <v>0</v>
      </c>
      <c r="K27" s="13"/>
      <c r="L27" s="13" t="s">
        <v>61</v>
      </c>
      <c r="M27" s="14">
        <f>IF($E$4,$L$21/(I21/(F4*$L$20)),"No Bolt")</f>
        <v>0</v>
      </c>
    </row>
    <row r="28" spans="5:16" ht="15" customHeight="1" x14ac:dyDescent="0.25">
      <c r="E28" t="s">
        <v>38</v>
      </c>
      <c r="F28" s="25">
        <f>IF(E7,F18*(J16/L16),0)</f>
        <v>0</v>
      </c>
      <c r="K28" s="11" t="s">
        <v>53</v>
      </c>
      <c r="L28" s="11" t="s">
        <v>56</v>
      </c>
      <c r="M28" s="12">
        <f>IF($E$5,$L$22/(I22/(F5*$L$20)),"No Bolt")</f>
        <v>0</v>
      </c>
    </row>
    <row r="29" spans="5:16" ht="15" customHeight="1" x14ac:dyDescent="0.25">
      <c r="K29" s="11"/>
      <c r="L29" s="11" t="s">
        <v>60</v>
      </c>
      <c r="M29" s="12">
        <f>IF($E$5,(N22)/(I22/G5),"No Bolt")</f>
        <v>0</v>
      </c>
    </row>
    <row r="30" spans="5:16" ht="15" customHeight="1" x14ac:dyDescent="0.25">
      <c r="K30" s="13"/>
      <c r="L30" s="13" t="s">
        <v>61</v>
      </c>
      <c r="M30" s="14">
        <f>IF($E$5,$L$21/(I22/(F5*$L$20)),"No Bolt")</f>
        <v>0</v>
      </c>
    </row>
    <row r="31" spans="5:16" ht="15" customHeight="1" x14ac:dyDescent="0.25">
      <c r="K31" s="11" t="s">
        <v>54</v>
      </c>
      <c r="L31" s="11" t="s">
        <v>56</v>
      </c>
      <c r="M31" s="12">
        <f>IF($E$6,$L$22/(I23/(F6*$L$20)),"No Bolt")</f>
        <v>0</v>
      </c>
    </row>
    <row r="32" spans="5:16" ht="15" customHeight="1" x14ac:dyDescent="0.25">
      <c r="K32" s="11"/>
      <c r="L32" s="11" t="s">
        <v>60</v>
      </c>
      <c r="M32" s="12">
        <f>IF($E$6,(N22)/(I23/G6),"No Bolt")</f>
        <v>0</v>
      </c>
    </row>
    <row r="33" spans="11:13" ht="15" customHeight="1" x14ac:dyDescent="0.25">
      <c r="K33" s="13"/>
      <c r="L33" s="13" t="s">
        <v>61</v>
      </c>
      <c r="M33" s="14">
        <f>IF($E$6,$L$21/(I23/(F6*$L$20)),"No Bolt")</f>
        <v>0</v>
      </c>
    </row>
    <row r="34" spans="11:13" ht="15" customHeight="1" x14ac:dyDescent="0.25">
      <c r="K34" s="11" t="s">
        <v>55</v>
      </c>
      <c r="L34" s="11" t="s">
        <v>56</v>
      </c>
      <c r="M34" s="12" t="str">
        <f>IF($E$7,$L$22/(I24/(F7*$L$20)),"No Bolt")</f>
        <v>No Bolt</v>
      </c>
    </row>
    <row r="35" spans="11:13" ht="15" customHeight="1" x14ac:dyDescent="0.25">
      <c r="K35" s="11"/>
      <c r="L35" s="11" t="s">
        <v>60</v>
      </c>
      <c r="M35" s="12" t="str">
        <f>IF($E$7,(N22)/(I24/G7)*10,"No Bolt")</f>
        <v>No Bolt</v>
      </c>
    </row>
    <row r="36" spans="11:13" ht="15" customHeight="1" x14ac:dyDescent="0.25">
      <c r="K36" s="11"/>
      <c r="L36" s="11" t="s">
        <v>61</v>
      </c>
      <c r="M36" s="12" t="str">
        <f>IF($E$7,$L$21/(I24/(F7*$L$20)),"No Bolt")</f>
        <v>No Bolt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EEA5-36B2-49CE-900D-DF4F6C3E3B27}">
  <sheetPr>
    <tabColor rgb="FF002060"/>
  </sheetPr>
  <dimension ref="B2:T36"/>
  <sheetViews>
    <sheetView zoomScaleNormal="100" workbookViewId="0">
      <selection activeCell="Q30" sqref="Q30"/>
    </sheetView>
  </sheetViews>
  <sheetFormatPr defaultColWidth="12.85546875" defaultRowHeight="15" customHeight="1" x14ac:dyDescent="0.25"/>
  <cols>
    <col min="5" max="5" width="14" bestFit="1" customWidth="1"/>
    <col min="11" max="11" width="19.5703125" bestFit="1" customWidth="1"/>
    <col min="19" max="19" width="14.140625" bestFit="1" customWidth="1"/>
  </cols>
  <sheetData>
    <row r="2" spans="2:20" ht="15" customHeight="1" x14ac:dyDescent="0.25">
      <c r="B2" s="11" t="s">
        <v>62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5" t="s">
        <v>63</v>
      </c>
    </row>
    <row r="3" spans="2:20" ht="15" customHeight="1" x14ac:dyDescent="0.25">
      <c r="B3" s="1" t="s">
        <v>14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L3" s="1" t="s">
        <v>19</v>
      </c>
      <c r="M3" s="1"/>
      <c r="N3" s="1"/>
      <c r="O3" s="1"/>
      <c r="P3" s="1" t="s">
        <v>45</v>
      </c>
      <c r="Q3" s="1"/>
      <c r="R3" s="1"/>
      <c r="S3" s="1" t="s">
        <v>46</v>
      </c>
    </row>
    <row r="4" spans="2:20" ht="15" customHeight="1" x14ac:dyDescent="0.25">
      <c r="B4">
        <v>1</v>
      </c>
      <c r="C4" s="29">
        <v>10</v>
      </c>
      <c r="D4" s="29">
        <v>15</v>
      </c>
      <c r="E4" s="3" t="b">
        <v>1</v>
      </c>
      <c r="F4" s="29">
        <v>10</v>
      </c>
      <c r="G4" s="27">
        <f>IF(E4,PI()*(F4^2)/4,0)</f>
        <v>78.539816339744831</v>
      </c>
      <c r="H4" s="5"/>
      <c r="I4" s="5"/>
      <c r="L4" s="6" t="s">
        <v>57</v>
      </c>
      <c r="M4" s="6" t="s">
        <v>4</v>
      </c>
      <c r="N4" s="6" t="s">
        <v>5</v>
      </c>
      <c r="P4" t="s">
        <v>49</v>
      </c>
      <c r="Q4" s="25">
        <f>(M5-C11)*L6 - (N5-C12)*L5</f>
        <v>1640270.2702702701</v>
      </c>
    </row>
    <row r="5" spans="2:20" ht="15" customHeight="1" x14ac:dyDescent="0.25">
      <c r="B5">
        <v>2</v>
      </c>
      <c r="C5" s="29">
        <v>40</v>
      </c>
      <c r="D5" s="29">
        <v>15</v>
      </c>
      <c r="E5" s="3" t="b">
        <v>1</v>
      </c>
      <c r="F5" s="29">
        <v>10</v>
      </c>
      <c r="G5" s="27">
        <f t="shared" ref="G5:G7" si="0">IF(E5,PI()*(F5^2)/4,0)</f>
        <v>78.539816339744831</v>
      </c>
      <c r="H5" s="5"/>
      <c r="I5" s="5"/>
      <c r="K5" s="6" t="s">
        <v>20</v>
      </c>
      <c r="L5" s="29">
        <v>3000</v>
      </c>
      <c r="M5" s="29">
        <f>350+60</f>
        <v>410</v>
      </c>
      <c r="N5" s="29">
        <v>60</v>
      </c>
      <c r="O5" s="5"/>
      <c r="P5" s="5"/>
      <c r="Q5" s="5"/>
      <c r="R5" s="5"/>
      <c r="S5" s="5"/>
    </row>
    <row r="6" spans="2:20" ht="15" customHeight="1" x14ac:dyDescent="0.25">
      <c r="B6">
        <v>3</v>
      </c>
      <c r="C6" s="29">
        <v>40</v>
      </c>
      <c r="D6" s="29">
        <v>45</v>
      </c>
      <c r="E6" s="3" t="b">
        <v>1</v>
      </c>
      <c r="F6" s="29">
        <v>12</v>
      </c>
      <c r="G6" s="27">
        <f t="shared" si="0"/>
        <v>113.09733552923255</v>
      </c>
      <c r="H6" s="5"/>
      <c r="I6" s="5"/>
      <c r="K6" s="6" t="s">
        <v>21</v>
      </c>
      <c r="L6" s="29">
        <v>4500</v>
      </c>
      <c r="M6" s="27">
        <f>M5</f>
        <v>410</v>
      </c>
      <c r="N6" s="27">
        <f>N5</f>
        <v>60</v>
      </c>
      <c r="O6" s="5" t="s">
        <v>22</v>
      </c>
      <c r="P6" s="5"/>
      <c r="Q6" s="5"/>
      <c r="R6" s="5"/>
      <c r="S6" s="5"/>
    </row>
    <row r="7" spans="2:20" ht="15" customHeight="1" x14ac:dyDescent="0.25">
      <c r="B7">
        <v>4</v>
      </c>
      <c r="C7" s="29">
        <v>10</v>
      </c>
      <c r="D7" s="29">
        <v>45</v>
      </c>
      <c r="E7" s="3" t="b">
        <v>1</v>
      </c>
      <c r="F7" s="29">
        <v>10</v>
      </c>
      <c r="G7" s="27">
        <f t="shared" si="0"/>
        <v>78.539816339744831</v>
      </c>
      <c r="H7" s="5"/>
      <c r="I7" s="5"/>
      <c r="K7" s="1" t="s">
        <v>40</v>
      </c>
    </row>
    <row r="8" spans="2:20" ht="15" customHeight="1" x14ac:dyDescent="0.25">
      <c r="C8" s="1" t="s">
        <v>10</v>
      </c>
      <c r="D8" s="7"/>
      <c r="E8">
        <f>COUNTIF(E4:E7,TRUE)</f>
        <v>4</v>
      </c>
      <c r="F8" s="1" t="s">
        <v>9</v>
      </c>
      <c r="G8" s="27">
        <f>SUM(G4:G7)</f>
        <v>348.71678454846705</v>
      </c>
    </row>
    <row r="9" spans="2:20" ht="15" customHeight="1" x14ac:dyDescent="0.25">
      <c r="H9" s="1" t="s">
        <v>15</v>
      </c>
      <c r="I9" s="1"/>
      <c r="J9" s="1"/>
      <c r="L9" s="1" t="s">
        <v>44</v>
      </c>
      <c r="M9" s="1"/>
      <c r="N9" s="1"/>
      <c r="O9" s="1"/>
      <c r="P9" s="1" t="s">
        <v>47</v>
      </c>
      <c r="Q9" s="1"/>
      <c r="R9" s="1"/>
      <c r="S9" s="1"/>
    </row>
    <row r="10" spans="2:20" ht="15" customHeight="1" x14ac:dyDescent="0.25">
      <c r="B10" s="1" t="s">
        <v>11</v>
      </c>
      <c r="C10" s="1"/>
      <c r="E10" s="1" t="s">
        <v>18</v>
      </c>
      <c r="F10" s="1"/>
      <c r="H10" t="s">
        <v>0</v>
      </c>
      <c r="I10" t="s">
        <v>16</v>
      </c>
      <c r="J10" s="26">
        <f>IF($E4,C4-$C$11,0)</f>
        <v>-16.486486486486491</v>
      </c>
      <c r="L10" s="25">
        <f>SQRT((J10)^2+(J11)^2)</f>
        <v>23.315412785069945</v>
      </c>
      <c r="P10" s="25">
        <f>(L10^2)*G4</f>
        <v>42694.909656711548</v>
      </c>
    </row>
    <row r="11" spans="2:20" ht="15" customHeight="1" x14ac:dyDescent="0.25">
      <c r="B11" t="s">
        <v>12</v>
      </c>
      <c r="C11" s="26" cm="1">
        <f t="array" ref="C11">SUM(C4:C7 * $G$4:$G$7)/$G$8</f>
        <v>26.486486486486491</v>
      </c>
      <c r="E11" t="s">
        <v>23</v>
      </c>
      <c r="F11" s="25">
        <f>L5/$E$8</f>
        <v>750</v>
      </c>
      <c r="I11" t="s">
        <v>17</v>
      </c>
      <c r="J11" s="26">
        <f>IF($E4,D4-$C$12,0)</f>
        <v>-16.486486486486484</v>
      </c>
      <c r="L11" s="25"/>
      <c r="P11" s="25"/>
    </row>
    <row r="12" spans="2:20" ht="15" customHeight="1" x14ac:dyDescent="0.25">
      <c r="B12" t="s">
        <v>13</v>
      </c>
      <c r="C12" s="26" cm="1">
        <f t="array" ref="C12">SUM(D4:D7 * $G$4:$G$7)/$G$8</f>
        <v>31.486486486486484</v>
      </c>
      <c r="E12" t="s">
        <v>24</v>
      </c>
      <c r="F12" s="25">
        <f>L6/$E$8</f>
        <v>1125</v>
      </c>
      <c r="H12" t="s">
        <v>1</v>
      </c>
      <c r="I12" t="s">
        <v>16</v>
      </c>
      <c r="J12" s="26">
        <f>IF($E5,C5-$C$11,0)</f>
        <v>13.513513513513509</v>
      </c>
      <c r="L12" s="25">
        <f>SQRT((J12)^2+(J13)^2)</f>
        <v>21.317112472119991</v>
      </c>
      <c r="P12" s="25">
        <f>(L12^2)*G5</f>
        <v>35690.007118301852</v>
      </c>
    </row>
    <row r="13" spans="2:20" ht="15" customHeight="1" x14ac:dyDescent="0.25">
      <c r="I13" t="s">
        <v>17</v>
      </c>
      <c r="J13" s="26">
        <f>IF($E5,D5-$C$12,0)</f>
        <v>-16.486486486486484</v>
      </c>
      <c r="L13" s="25"/>
      <c r="P13" s="25"/>
    </row>
    <row r="14" spans="2:20" ht="15" customHeight="1" x14ac:dyDescent="0.25">
      <c r="E14" s="1" t="s">
        <v>25</v>
      </c>
      <c r="F14" s="1"/>
      <c r="H14" t="s">
        <v>2</v>
      </c>
      <c r="I14" t="s">
        <v>16</v>
      </c>
      <c r="J14" s="26">
        <f>IF($E6,C6-$C$11,0)</f>
        <v>13.513513513513509</v>
      </c>
      <c r="L14" s="25">
        <f>SQRT((J14)^2+(J15)^2)</f>
        <v>19.110994086122904</v>
      </c>
      <c r="P14" s="25">
        <f>(L14^2)*G6</f>
        <v>41306.550595044748</v>
      </c>
    </row>
    <row r="15" spans="2:20" ht="15" customHeight="1" x14ac:dyDescent="0.25">
      <c r="B15" t="s">
        <v>58</v>
      </c>
      <c r="E15" t="s">
        <v>26</v>
      </c>
      <c r="F15" s="25">
        <f>($Q$4*L10*G4)/$P$18</f>
        <v>19330.770518113321</v>
      </c>
      <c r="I15" t="s">
        <v>17</v>
      </c>
      <c r="J15" s="26">
        <f>IF($E6,D6-$C$12,0)</f>
        <v>13.513513513513516</v>
      </c>
      <c r="L15" s="25"/>
      <c r="P15" s="25"/>
    </row>
    <row r="16" spans="2:20" ht="15" customHeight="1" x14ac:dyDescent="0.25">
      <c r="E16" t="s">
        <v>27</v>
      </c>
      <c r="F16" s="25">
        <f>($Q$4*L12*G5)/$P$18</f>
        <v>17673.983004548663</v>
      </c>
      <c r="H16" t="s">
        <v>3</v>
      </c>
      <c r="I16" t="s">
        <v>16</v>
      </c>
      <c r="J16" s="26">
        <f>IF($E7,C7-$C$11,0)</f>
        <v>-16.486486486486491</v>
      </c>
      <c r="L16" s="25">
        <f>SQRT((J16)^2+(J17)^2)</f>
        <v>21.317112472120002</v>
      </c>
      <c r="P16" s="25">
        <f>(L16^2)*G7</f>
        <v>35690.007118301888</v>
      </c>
    </row>
    <row r="17" spans="5:16" ht="15" customHeight="1" x14ac:dyDescent="0.25">
      <c r="E17" t="s">
        <v>28</v>
      </c>
      <c r="F17" s="25">
        <f>($Q$4*L14*G6)/$P$18</f>
        <v>22816.64716892063</v>
      </c>
      <c r="I17" t="s">
        <v>17</v>
      </c>
      <c r="J17" s="26">
        <f>IF($E7,D7-$C$12,0)</f>
        <v>13.513513513513516</v>
      </c>
      <c r="L17" s="25"/>
      <c r="P17" s="25"/>
    </row>
    <row r="18" spans="5:16" ht="15" customHeight="1" x14ac:dyDescent="0.25">
      <c r="E18" t="s">
        <v>29</v>
      </c>
      <c r="F18" s="25">
        <f>($Q$4*L16*G7)/$P$18</f>
        <v>17673.983004548671</v>
      </c>
      <c r="O18" s="1" t="s">
        <v>48</v>
      </c>
      <c r="P18" s="25">
        <f>SUM(P10:P16)</f>
        <v>155381.47448836005</v>
      </c>
    </row>
    <row r="20" spans="5:16" ht="15" customHeight="1" x14ac:dyDescent="0.25">
      <c r="E20" s="1" t="s">
        <v>30</v>
      </c>
      <c r="F20" s="1"/>
      <c r="H20" s="1" t="s">
        <v>39</v>
      </c>
      <c r="I20" s="7" t="s">
        <v>57</v>
      </c>
      <c r="K20" s="2" t="s">
        <v>59</v>
      </c>
      <c r="L20" s="2">
        <v>15</v>
      </c>
    </row>
    <row r="21" spans="5:16" ht="15" customHeight="1" x14ac:dyDescent="0.25">
      <c r="E21" t="s">
        <v>31</v>
      </c>
      <c r="F21" s="25">
        <f>IF(E4,-F15*(J11/L10),0)</f>
        <v>13668.918918918918</v>
      </c>
      <c r="H21" t="s">
        <v>0</v>
      </c>
      <c r="I21" s="25">
        <f>IF(E4, SQRT((F21+$F$11)^2 + (F22+$F$12)^2), 0)</f>
        <v>19111.648925060599</v>
      </c>
      <c r="K21" s="2" t="s">
        <v>42</v>
      </c>
      <c r="L21" s="28"/>
      <c r="M21" t="s">
        <v>51</v>
      </c>
      <c r="N21" s="27">
        <f>0.577*L21</f>
        <v>0</v>
      </c>
    </row>
    <row r="22" spans="5:16" ht="15" customHeight="1" x14ac:dyDescent="0.25">
      <c r="E22" t="s">
        <v>32</v>
      </c>
      <c r="F22" s="25">
        <f>IF(E4,F15*(J10/L10),0)</f>
        <v>-13668.918918918922</v>
      </c>
      <c r="H22" t="s">
        <v>1</v>
      </c>
      <c r="I22" s="25">
        <f>IF(E5, SQRT((F23+$F$11)^2 + (F24+$F$12)^2), 0)</f>
        <v>18971.300703961973</v>
      </c>
      <c r="K22" s="2" t="s">
        <v>41</v>
      </c>
      <c r="L22" s="28"/>
      <c r="M22" t="s">
        <v>43</v>
      </c>
      <c r="N22" s="27">
        <f>0.577*L22</f>
        <v>0</v>
      </c>
    </row>
    <row r="23" spans="5:16" ht="15" customHeight="1" x14ac:dyDescent="0.25">
      <c r="E23" t="s">
        <v>33</v>
      </c>
      <c r="F23" s="25">
        <f>IF(E5,-F16*(J13/L12),0)</f>
        <v>13668.918918918915</v>
      </c>
      <c r="H23" t="s">
        <v>2</v>
      </c>
      <c r="I23" s="25">
        <f>IF(E6, SQRT((F25+$F$11)^2 + (F26+$F$12)^2), 0)</f>
        <v>23119.858725429687</v>
      </c>
    </row>
    <row r="24" spans="5:16" ht="15" customHeight="1" x14ac:dyDescent="0.25">
      <c r="E24" t="s">
        <v>34</v>
      </c>
      <c r="F24" s="25">
        <f>IF(E5,F16*(J12/L12),0)</f>
        <v>11204.031900753209</v>
      </c>
      <c r="H24" t="s">
        <v>3</v>
      </c>
      <c r="I24" s="25">
        <f>IF(E7, SQRT((F27+$F$11)^2 + (F28+$F$12)^2), 0)</f>
        <v>16329.01359012166</v>
      </c>
      <c r="K24" s="10" t="s">
        <v>50</v>
      </c>
    </row>
    <row r="25" spans="5:16" ht="15" customHeight="1" x14ac:dyDescent="0.25">
      <c r="E25" t="s">
        <v>35</v>
      </c>
      <c r="F25" s="25">
        <f>IF(E6,-F17*(J15/L14),0)</f>
        <v>-16133.805937084622</v>
      </c>
      <c r="K25" s="11" t="s">
        <v>52</v>
      </c>
      <c r="L25" s="11" t="s">
        <v>56</v>
      </c>
      <c r="M25" s="12">
        <f>IF($E$4,$L$22/(I21/(F4*$L$20)),"No Bolt")</f>
        <v>0</v>
      </c>
    </row>
    <row r="26" spans="5:16" ht="15" customHeight="1" x14ac:dyDescent="0.25">
      <c r="E26" t="s">
        <v>36</v>
      </c>
      <c r="F26" s="25">
        <f>IF(E6,F17*(J14/L14),0)</f>
        <v>16133.805937084615</v>
      </c>
      <c r="K26" s="11"/>
      <c r="L26" s="11" t="s">
        <v>60</v>
      </c>
      <c r="M26" s="12">
        <f>IF($E$4,(N22)/(I21/G4),"No Bolt")</f>
        <v>0</v>
      </c>
    </row>
    <row r="27" spans="5:16" ht="15" customHeight="1" x14ac:dyDescent="0.25">
      <c r="E27" t="s">
        <v>37</v>
      </c>
      <c r="F27" s="25">
        <f>IF(E7,-F18*(J17/L16),0)</f>
        <v>-11204.031900753213</v>
      </c>
      <c r="K27" s="13"/>
      <c r="L27" s="13" t="s">
        <v>61</v>
      </c>
      <c r="M27" s="14">
        <f>IF($E$4,$L$21/(I21/(F4*$L$20)),"No Bolt")</f>
        <v>0</v>
      </c>
    </row>
    <row r="28" spans="5:16" ht="15" customHeight="1" x14ac:dyDescent="0.25">
      <c r="E28" t="s">
        <v>38</v>
      </c>
      <c r="F28" s="25">
        <f>IF(E7,F18*(J16/L16),0)</f>
        <v>-13668.918918918922</v>
      </c>
      <c r="K28" s="11" t="s">
        <v>53</v>
      </c>
      <c r="L28" s="11" t="s">
        <v>56</v>
      </c>
      <c r="M28" s="12">
        <f>IF($E$5,$L$22/(I22/(F5*$L$20)),"No Bolt")</f>
        <v>0</v>
      </c>
    </row>
    <row r="29" spans="5:16" ht="15" customHeight="1" x14ac:dyDescent="0.25">
      <c r="K29" s="11"/>
      <c r="L29" s="11" t="s">
        <v>60</v>
      </c>
      <c r="M29" s="12">
        <f>IF($E$5,(N22)/(I22/G5),"No Bolt")</f>
        <v>0</v>
      </c>
    </row>
    <row r="30" spans="5:16" ht="15" customHeight="1" x14ac:dyDescent="0.25">
      <c r="K30" s="13"/>
      <c r="L30" s="13" t="s">
        <v>61</v>
      </c>
      <c r="M30" s="14">
        <f>IF($E$5,$L$21/(I22/(F5*$L$20)),"No Bolt")</f>
        <v>0</v>
      </c>
    </row>
    <row r="31" spans="5:16" ht="15" customHeight="1" x14ac:dyDescent="0.25">
      <c r="K31" s="11" t="s">
        <v>54</v>
      </c>
      <c r="L31" s="11" t="s">
        <v>56</v>
      </c>
      <c r="M31" s="12">
        <f>IF($E$6,$L$22/(I23/(F6*$L$20)),"No Bolt")</f>
        <v>0</v>
      </c>
    </row>
    <row r="32" spans="5:16" ht="15" customHeight="1" x14ac:dyDescent="0.25">
      <c r="K32" s="11"/>
      <c r="L32" s="11" t="s">
        <v>60</v>
      </c>
      <c r="M32" s="12">
        <f>IF($E$6,(N22)/(I23/G6),"No Bolt")</f>
        <v>0</v>
      </c>
    </row>
    <row r="33" spans="11:13" ht="15" customHeight="1" x14ac:dyDescent="0.25">
      <c r="K33" s="13"/>
      <c r="L33" s="13" t="s">
        <v>61</v>
      </c>
      <c r="M33" s="14">
        <f>IF($E$6,$L$21/(I23/(F6*$L$20)),"No Bolt")</f>
        <v>0</v>
      </c>
    </row>
    <row r="34" spans="11:13" ht="15" customHeight="1" x14ac:dyDescent="0.25">
      <c r="K34" s="11" t="s">
        <v>55</v>
      </c>
      <c r="L34" s="11" t="s">
        <v>56</v>
      </c>
      <c r="M34" s="12">
        <f>IF($E$7,$L$22/(I24/(F7*$L$20)),"No Bolt")</f>
        <v>0</v>
      </c>
    </row>
    <row r="35" spans="11:13" ht="15" customHeight="1" x14ac:dyDescent="0.25">
      <c r="K35" s="11"/>
      <c r="L35" s="11" t="s">
        <v>60</v>
      </c>
      <c r="M35" s="12">
        <f>IF($E$7,(N22)/(I24/G7)*10,"No Bolt")</f>
        <v>0</v>
      </c>
    </row>
    <row r="36" spans="11:13" ht="15" customHeight="1" x14ac:dyDescent="0.25">
      <c r="K36" s="11"/>
      <c r="L36" s="11" t="s">
        <v>61</v>
      </c>
      <c r="M36" s="12">
        <f>IF($E$7,$L$21/(I24/(F7*$L$20)),"No Bolt")</f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2:T36"/>
  <sheetViews>
    <sheetView zoomScaleNormal="100" workbookViewId="0">
      <selection activeCell="F7" sqref="F7"/>
    </sheetView>
  </sheetViews>
  <sheetFormatPr defaultColWidth="12.85546875" defaultRowHeight="15" customHeight="1" x14ac:dyDescent="0.25"/>
  <cols>
    <col min="5" max="5" width="14" bestFit="1" customWidth="1"/>
    <col min="11" max="11" width="19.5703125" bestFit="1" customWidth="1"/>
    <col min="19" max="19" width="14.140625" bestFit="1" customWidth="1"/>
  </cols>
  <sheetData>
    <row r="2" spans="2:20" ht="15" customHeight="1" x14ac:dyDescent="0.25">
      <c r="B2" s="11" t="s">
        <v>62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5" t="s">
        <v>63</v>
      </c>
    </row>
    <row r="3" spans="2:20" ht="15" customHeight="1" x14ac:dyDescent="0.25">
      <c r="B3" s="1" t="s">
        <v>14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L3" s="1" t="s">
        <v>19</v>
      </c>
      <c r="M3" s="1"/>
      <c r="N3" s="1"/>
      <c r="O3" s="1"/>
      <c r="P3" s="1" t="s">
        <v>45</v>
      </c>
      <c r="Q3" s="1"/>
      <c r="R3" s="1"/>
      <c r="S3" s="1" t="s">
        <v>46</v>
      </c>
    </row>
    <row r="4" spans="2:20" ht="15" customHeight="1" x14ac:dyDescent="0.25">
      <c r="B4">
        <v>1</v>
      </c>
      <c r="C4" s="4">
        <v>15</v>
      </c>
      <c r="D4" s="4">
        <v>15</v>
      </c>
      <c r="E4" s="3" t="b">
        <v>1</v>
      </c>
      <c r="F4" s="4">
        <v>10</v>
      </c>
      <c r="G4" s="5">
        <f>IF(E4,PI()*(F4^2)/4,0)</f>
        <v>78.539816339744831</v>
      </c>
      <c r="H4" s="5"/>
      <c r="I4" s="5"/>
      <c r="L4" s="6" t="s">
        <v>57</v>
      </c>
      <c r="M4" s="6" t="s">
        <v>4</v>
      </c>
      <c r="N4" s="6" t="s">
        <v>5</v>
      </c>
      <c r="P4" t="s">
        <v>49</v>
      </c>
      <c r="Q4" s="9">
        <f>(M5-C11)*L6 - (N5-C12)*L5</f>
        <v>530290.69767441857</v>
      </c>
    </row>
    <row r="5" spans="2:20" ht="15" customHeight="1" x14ac:dyDescent="0.25">
      <c r="B5">
        <v>2</v>
      </c>
      <c r="C5" s="4">
        <v>35</v>
      </c>
      <c r="D5" s="4">
        <v>30</v>
      </c>
      <c r="E5" s="3" t="b">
        <v>1</v>
      </c>
      <c r="F5" s="4">
        <v>10</v>
      </c>
      <c r="G5" s="5">
        <f t="shared" ref="G5:G7" si="0">IF(E5,PI()*(F5^2)/4,0)</f>
        <v>78.539816339744831</v>
      </c>
      <c r="H5" s="5"/>
      <c r="I5" s="5"/>
      <c r="K5" s="6" t="s">
        <v>20</v>
      </c>
      <c r="L5" s="4">
        <v>1000</v>
      </c>
      <c r="M5" s="4">
        <v>300</v>
      </c>
      <c r="N5" s="4">
        <v>60</v>
      </c>
      <c r="O5" s="5"/>
      <c r="P5" s="5"/>
      <c r="Q5" s="5"/>
      <c r="R5" s="5"/>
      <c r="S5" s="5"/>
    </row>
    <row r="6" spans="2:20" ht="15" customHeight="1" x14ac:dyDescent="0.25">
      <c r="B6">
        <v>3</v>
      </c>
      <c r="C6" s="4">
        <v>15</v>
      </c>
      <c r="D6" s="4">
        <v>45</v>
      </c>
      <c r="E6" s="3" t="b">
        <v>1</v>
      </c>
      <c r="F6" s="4">
        <v>12</v>
      </c>
      <c r="G6" s="5">
        <f t="shared" si="0"/>
        <v>113.09733552923255</v>
      </c>
      <c r="H6" s="5"/>
      <c r="I6" s="5"/>
      <c r="K6" s="6" t="s">
        <v>21</v>
      </c>
      <c r="L6" s="4">
        <v>2000</v>
      </c>
      <c r="M6" s="5">
        <f>M5</f>
        <v>300</v>
      </c>
      <c r="N6" s="5">
        <f>N5</f>
        <v>60</v>
      </c>
      <c r="O6" s="5" t="s">
        <v>22</v>
      </c>
      <c r="P6" s="5"/>
      <c r="Q6" s="5"/>
      <c r="R6" s="5"/>
      <c r="S6" s="5"/>
    </row>
    <row r="7" spans="2:20" ht="15" customHeight="1" x14ac:dyDescent="0.25">
      <c r="B7">
        <v>4</v>
      </c>
      <c r="C7" s="4"/>
      <c r="D7" s="4"/>
      <c r="E7" s="3" t="b">
        <v>0</v>
      </c>
      <c r="F7" s="4"/>
      <c r="G7" s="5">
        <f t="shared" si="0"/>
        <v>0</v>
      </c>
      <c r="H7" s="5"/>
      <c r="I7" s="5"/>
      <c r="K7" s="1" t="s">
        <v>40</v>
      </c>
    </row>
    <row r="8" spans="2:20" ht="15" customHeight="1" x14ac:dyDescent="0.25">
      <c r="C8" s="1" t="s">
        <v>10</v>
      </c>
      <c r="D8" s="7"/>
      <c r="E8">
        <f>COUNTIF(E4:E7,TRUE)</f>
        <v>3</v>
      </c>
      <c r="F8" s="1" t="s">
        <v>9</v>
      </c>
      <c r="G8" s="5">
        <f>SUM(G4:G7)</f>
        <v>270.1769682087222</v>
      </c>
    </row>
    <row r="9" spans="2:20" ht="15" customHeight="1" x14ac:dyDescent="0.25">
      <c r="H9" s="1" t="s">
        <v>15</v>
      </c>
      <c r="I9" s="1"/>
      <c r="J9" s="1"/>
      <c r="L9" s="1" t="s">
        <v>44</v>
      </c>
      <c r="M9" s="1"/>
      <c r="N9" s="1"/>
      <c r="O9" s="1"/>
      <c r="P9" s="1" t="s">
        <v>47</v>
      </c>
      <c r="Q9" s="1"/>
      <c r="R9" s="1"/>
      <c r="S9" s="1"/>
    </row>
    <row r="10" spans="2:20" ht="15" customHeight="1" x14ac:dyDescent="0.25">
      <c r="B10" s="1" t="s">
        <v>11</v>
      </c>
      <c r="C10" s="1"/>
      <c r="E10" s="1" t="s">
        <v>18</v>
      </c>
      <c r="F10" s="1"/>
      <c r="H10" t="s">
        <v>0</v>
      </c>
      <c r="I10" t="s">
        <v>16</v>
      </c>
      <c r="J10" s="8">
        <f>IF($E4,C4-$C$11,0)</f>
        <v>-5.8139534883720962</v>
      </c>
      <c r="L10" s="9">
        <f>SQRT((J10)^2+(J11)^2)</f>
        <v>17.889696434185272</v>
      </c>
      <c r="P10" s="9">
        <f>(L10^2)*G4</f>
        <v>25135.980093507907</v>
      </c>
    </row>
    <row r="11" spans="2:20" ht="15" customHeight="1" x14ac:dyDescent="0.25">
      <c r="B11" t="s">
        <v>12</v>
      </c>
      <c r="C11" s="8" cm="1">
        <f t="array" ref="C11">SUM(C4:C7 * $G$4:$G$7)/$G$8</f>
        <v>20.813953488372096</v>
      </c>
      <c r="E11" t="s">
        <v>23</v>
      </c>
      <c r="F11" s="9">
        <f>L5/$E$8</f>
        <v>333.33333333333331</v>
      </c>
      <c r="I11" t="s">
        <v>17</v>
      </c>
      <c r="J11" s="8">
        <f>IF($E4,D4-$C$12,0)</f>
        <v>-16.918604651162788</v>
      </c>
    </row>
    <row r="12" spans="2:20" ht="15" customHeight="1" x14ac:dyDescent="0.25">
      <c r="B12" t="s">
        <v>13</v>
      </c>
      <c r="C12" s="8" cm="1">
        <f t="array" ref="C12">SUM(D4:D7 * $G$4:$G$7)/$G$8</f>
        <v>31.918604651162788</v>
      </c>
      <c r="E12" t="s">
        <v>24</v>
      </c>
      <c r="F12" s="9">
        <f>L6/$E$8</f>
        <v>666.66666666666663</v>
      </c>
      <c r="H12" t="s">
        <v>1</v>
      </c>
      <c r="I12" t="s">
        <v>16</v>
      </c>
      <c r="J12" s="8">
        <f>IF($E5,C5-$C$11,0)</f>
        <v>14.186046511627904</v>
      </c>
      <c r="L12" s="9">
        <f>SQRT((J12)^2+(J13)^2)</f>
        <v>14.315200293308287</v>
      </c>
      <c r="P12" s="9">
        <f>(L12^2)*G5</f>
        <v>16094.768677653552</v>
      </c>
    </row>
    <row r="13" spans="2:20" ht="15" customHeight="1" x14ac:dyDescent="0.25">
      <c r="I13" t="s">
        <v>17</v>
      </c>
      <c r="J13" s="8">
        <f>IF($E5,D5-$C$12,0)</f>
        <v>-1.9186046511627879</v>
      </c>
    </row>
    <row r="14" spans="2:20" ht="15" customHeight="1" x14ac:dyDescent="0.25">
      <c r="E14" s="1" t="s">
        <v>25</v>
      </c>
      <c r="F14" s="1"/>
      <c r="H14" t="s">
        <v>2</v>
      </c>
      <c r="I14" t="s">
        <v>16</v>
      </c>
      <c r="J14" s="8">
        <f>IF($E6,C6-$C$11,0)</f>
        <v>-5.8139534883720962</v>
      </c>
      <c r="L14" s="9">
        <f>SQRT((J14)^2+(J15)^2)</f>
        <v>14.315200293308296</v>
      </c>
      <c r="P14" s="9">
        <f>(L14^2)*G6</f>
        <v>23176.466895821144</v>
      </c>
    </row>
    <row r="15" spans="2:20" ht="15" customHeight="1" x14ac:dyDescent="0.25">
      <c r="B15" t="s">
        <v>58</v>
      </c>
      <c r="E15" t="s">
        <v>26</v>
      </c>
      <c r="F15" s="9">
        <f>($Q$4*L10*G4)/$P$18</f>
        <v>11568.37441873122</v>
      </c>
      <c r="I15" t="s">
        <v>17</v>
      </c>
      <c r="J15" s="8">
        <f>IF($E6,D6-$C$12,0)</f>
        <v>13.081395348837212</v>
      </c>
    </row>
    <row r="16" spans="2:20" ht="15" customHeight="1" x14ac:dyDescent="0.25">
      <c r="E16" t="s">
        <v>27</v>
      </c>
      <c r="F16" s="9">
        <f>($Q$4*L12*G5)/$P$18</f>
        <v>9256.9260457472428</v>
      </c>
      <c r="H16" t="s">
        <v>3</v>
      </c>
      <c r="I16" t="s">
        <v>16</v>
      </c>
      <c r="J16" s="8">
        <f>IF($E7,C7-$C$11,0)</f>
        <v>0</v>
      </c>
      <c r="L16" s="9">
        <f>SQRT((J16)^2+(J17)^2)</f>
        <v>0</v>
      </c>
      <c r="P16" s="9">
        <f>(L16^2)*G7</f>
        <v>0</v>
      </c>
    </row>
    <row r="17" spans="5:16" ht="15" customHeight="1" x14ac:dyDescent="0.25">
      <c r="E17" t="s">
        <v>28</v>
      </c>
      <c r="F17" s="9">
        <f>($Q$4*L14*G6)/$P$18</f>
        <v>13329.973505876038</v>
      </c>
      <c r="I17" t="s">
        <v>17</v>
      </c>
      <c r="J17" s="8">
        <f>IF($E7,D7-$C$12,0)</f>
        <v>0</v>
      </c>
      <c r="P17" s="9"/>
    </row>
    <row r="18" spans="5:16" ht="15" customHeight="1" x14ac:dyDescent="0.25">
      <c r="E18" t="s">
        <v>29</v>
      </c>
      <c r="F18" s="9">
        <f>($Q$4*L16*G7)/$P$18</f>
        <v>0</v>
      </c>
      <c r="O18" s="1" t="s">
        <v>48</v>
      </c>
      <c r="P18" s="9">
        <f>SUM(P10:P16)</f>
        <v>64407.215666982607</v>
      </c>
    </row>
    <row r="20" spans="5:16" ht="15" customHeight="1" x14ac:dyDescent="0.25">
      <c r="E20" s="1" t="s">
        <v>30</v>
      </c>
      <c r="F20" s="1"/>
      <c r="H20" s="1" t="s">
        <v>39</v>
      </c>
      <c r="I20" s="1"/>
      <c r="K20" s="2" t="s">
        <v>59</v>
      </c>
      <c r="L20" s="2">
        <v>10</v>
      </c>
    </row>
    <row r="21" spans="5:16" ht="15" customHeight="1" x14ac:dyDescent="0.25">
      <c r="E21" t="s">
        <v>31</v>
      </c>
      <c r="F21" s="9">
        <f>IF(E4,-F15*(J11/L10),0)</f>
        <v>10940.417796756879</v>
      </c>
      <c r="H21" t="s">
        <v>0</v>
      </c>
      <c r="I21" s="9">
        <f>IF(E4, SQRT((F21+$F$11)^2 + (F22+$F$12)^2), 0)</f>
        <v>11690.323453718536</v>
      </c>
      <c r="K21" s="2" t="s">
        <v>42</v>
      </c>
      <c r="L21" s="2">
        <v>370</v>
      </c>
      <c r="M21" t="s">
        <v>51</v>
      </c>
      <c r="N21" s="5">
        <f>0.577*L21</f>
        <v>213.48999999999998</v>
      </c>
    </row>
    <row r="22" spans="5:16" ht="15" customHeight="1" x14ac:dyDescent="0.25">
      <c r="E22" t="s">
        <v>32</v>
      </c>
      <c r="F22" s="9">
        <f>IF(E4,F15*(J10/L10),0)</f>
        <v>-3759.5937445899954</v>
      </c>
      <c r="H22" t="s">
        <v>1</v>
      </c>
      <c r="I22" s="9">
        <f>IF(E5, SQRT((F23+$F$11)^2 + (F24+$F$12)^2), 0)</f>
        <v>9965.1672161015522</v>
      </c>
      <c r="K22" s="2" t="s">
        <v>41</v>
      </c>
      <c r="L22" s="2">
        <v>420</v>
      </c>
      <c r="M22" t="s">
        <v>43</v>
      </c>
      <c r="N22" s="5">
        <f>0.577*L22</f>
        <v>242.33999999999997</v>
      </c>
    </row>
    <row r="23" spans="5:16" ht="15" customHeight="1" x14ac:dyDescent="0.25">
      <c r="E23" t="s">
        <v>33</v>
      </c>
      <c r="F23" s="9">
        <f>IF(E5,-F16*(J13/L12),0)</f>
        <v>1240.6659357146959</v>
      </c>
      <c r="H23" t="s">
        <v>2</v>
      </c>
      <c r="I23" s="9">
        <f>IF(E6, SQRT((F25+$F$11)^2 + (F26+$F$12)^2), 0)</f>
        <v>12763.408899858434</v>
      </c>
    </row>
    <row r="24" spans="5:16" ht="15" customHeight="1" x14ac:dyDescent="0.25">
      <c r="E24" t="s">
        <v>34</v>
      </c>
      <c r="F24" s="9">
        <f>IF(E5,F16*(J12/L12),0)</f>
        <v>9173.4087367995817</v>
      </c>
      <c r="H24" t="s">
        <v>3</v>
      </c>
      <c r="I24" s="9">
        <f>IF(E7, SQRT((F27+$F$11)^2 + (F28+$F$12)^2), 0)</f>
        <v>0</v>
      </c>
      <c r="K24" s="10" t="s">
        <v>50</v>
      </c>
    </row>
    <row r="25" spans="5:16" ht="15" customHeight="1" x14ac:dyDescent="0.25">
      <c r="E25" t="s">
        <v>35</v>
      </c>
      <c r="F25" s="9">
        <f>IF(E6,-F17*(J15/L14),0)</f>
        <v>-12181.083732471579</v>
      </c>
      <c r="K25" s="11" t="s">
        <v>52</v>
      </c>
      <c r="L25" s="11" t="s">
        <v>56</v>
      </c>
      <c r="M25" s="12">
        <f>IF($E$4,$L$22/(I21/(F4*$L$20)),"No Bolt")</f>
        <v>3.5927149634718067</v>
      </c>
    </row>
    <row r="26" spans="5:16" ht="15" customHeight="1" x14ac:dyDescent="0.25">
      <c r="E26" t="s">
        <v>36</v>
      </c>
      <c r="F26" s="9">
        <f>IF(E6,F17*(J14/L14),0)</f>
        <v>-5413.8149922095927</v>
      </c>
      <c r="K26" s="11"/>
      <c r="L26" s="11" t="s">
        <v>60</v>
      </c>
      <c r="M26" s="12">
        <f>IF($E$4,(N22)/(I21/G4),"No Bolt")</f>
        <v>1.6281276704725829</v>
      </c>
    </row>
    <row r="27" spans="5:16" ht="15" customHeight="1" x14ac:dyDescent="0.25">
      <c r="E27" t="s">
        <v>37</v>
      </c>
      <c r="F27" s="9">
        <f>IF(E7,-F18*(J17/L16),0)</f>
        <v>0</v>
      </c>
      <c r="K27" s="13"/>
      <c r="L27" s="13" t="s">
        <v>61</v>
      </c>
      <c r="M27" s="14">
        <f>IF($E$4,$L$21/(I21/(F4*$L$20)),"No Bolt")</f>
        <v>3.1650108011537346</v>
      </c>
    </row>
    <row r="28" spans="5:16" ht="15" customHeight="1" x14ac:dyDescent="0.25">
      <c r="E28" t="s">
        <v>38</v>
      </c>
      <c r="F28" s="9">
        <f>IF(E7,F18*(J16/L16),0)</f>
        <v>0</v>
      </c>
      <c r="K28" s="11" t="s">
        <v>53</v>
      </c>
      <c r="L28" s="11" t="s">
        <v>56</v>
      </c>
      <c r="M28" s="12">
        <f>IF($E$5,$L$22/(I22/(F5*$L$20)),"No Bolt")</f>
        <v>4.214680906923177</v>
      </c>
    </row>
    <row r="29" spans="5:16" ht="15" customHeight="1" x14ac:dyDescent="0.25">
      <c r="K29" s="11"/>
      <c r="L29" s="11" t="s">
        <v>60</v>
      </c>
      <c r="M29" s="12">
        <f>IF($E$5,(N22)/(I22/G5),"No Bolt")</f>
        <v>1.9099869253593664</v>
      </c>
    </row>
    <row r="30" spans="5:16" ht="15" customHeight="1" x14ac:dyDescent="0.25">
      <c r="K30" s="13"/>
      <c r="L30" s="13" t="s">
        <v>61</v>
      </c>
      <c r="M30" s="14">
        <f>IF($E$5,$L$21/(I22/(F5*$L$20)),"No Bolt")</f>
        <v>3.712933179908513</v>
      </c>
    </row>
    <row r="31" spans="5:16" ht="15" customHeight="1" x14ac:dyDescent="0.25">
      <c r="K31" s="11" t="s">
        <v>54</v>
      </c>
      <c r="L31" s="11" t="s">
        <v>56</v>
      </c>
      <c r="M31" s="12">
        <f>IF($E$6,$L$22/(I23/(F6*$L$20)),"No Bolt")</f>
        <v>3.9487883210071737</v>
      </c>
    </row>
    <row r="32" spans="5:16" ht="15" customHeight="1" x14ac:dyDescent="0.25">
      <c r="K32" s="11"/>
      <c r="L32" s="11" t="s">
        <v>60</v>
      </c>
      <c r="M32" s="12">
        <f>IF($E$6,(N22)/(I23/G6),"No Bolt")</f>
        <v>2.1473893461533002</v>
      </c>
    </row>
    <row r="33" spans="11:13" ht="15" customHeight="1" x14ac:dyDescent="0.25">
      <c r="K33" s="13"/>
      <c r="L33" s="13" t="s">
        <v>61</v>
      </c>
      <c r="M33" s="14">
        <f>IF($E$6,$L$21/(I23/(F6*$L$20)),"No Bolt")</f>
        <v>3.4786944732682241</v>
      </c>
    </row>
    <row r="34" spans="11:13" ht="15" customHeight="1" x14ac:dyDescent="0.25">
      <c r="K34" s="11" t="s">
        <v>55</v>
      </c>
      <c r="L34" s="11" t="s">
        <v>56</v>
      </c>
      <c r="M34" s="12" t="str">
        <f>IF($E$7,$L$22/(I24/(F7*$L$20)),"No Bolt")</f>
        <v>No Bolt</v>
      </c>
    </row>
    <row r="35" spans="11:13" ht="15" customHeight="1" x14ac:dyDescent="0.25">
      <c r="K35" s="11"/>
      <c r="L35" s="11" t="s">
        <v>60</v>
      </c>
      <c r="M35" s="12" t="str">
        <f>IF($E$7,(N22)/(I24/G7)*10,"No Bolt")</f>
        <v>No Bolt</v>
      </c>
    </row>
    <row r="36" spans="11:13" ht="15" customHeight="1" x14ac:dyDescent="0.25">
      <c r="K36" s="11"/>
      <c r="L36" s="11" t="s">
        <v>61</v>
      </c>
      <c r="M36" s="12" t="str">
        <f>IF($E$7,$L$21/(I24/(F7*$L$20)),"No Bolt")</f>
        <v>No Bolt</v>
      </c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F884-7991-4AC9-8776-FD261760FC4E}">
  <sheetPr>
    <tabColor rgb="FF00B0F0"/>
  </sheetPr>
  <dimension ref="B2:T36"/>
  <sheetViews>
    <sheetView zoomScaleNormal="100" workbookViewId="0">
      <selection activeCell="V54" sqref="V54"/>
    </sheetView>
  </sheetViews>
  <sheetFormatPr defaultColWidth="12.85546875" defaultRowHeight="15" customHeight="1" x14ac:dyDescent="0.25"/>
  <cols>
    <col min="5" max="5" width="14" bestFit="1" customWidth="1"/>
    <col min="11" max="11" width="19.5703125" bestFit="1" customWidth="1"/>
    <col min="19" max="19" width="14.140625" bestFit="1" customWidth="1"/>
  </cols>
  <sheetData>
    <row r="2" spans="2:20" ht="15" customHeight="1" x14ac:dyDescent="0.25">
      <c r="B2" s="11" t="s">
        <v>62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5" t="s">
        <v>63</v>
      </c>
    </row>
    <row r="3" spans="2:20" ht="15" customHeight="1" x14ac:dyDescent="0.25">
      <c r="B3" s="1" t="s">
        <v>14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L3" s="1" t="s">
        <v>19</v>
      </c>
      <c r="M3" s="1"/>
      <c r="N3" s="1"/>
      <c r="O3" s="1"/>
      <c r="P3" s="1" t="s">
        <v>45</v>
      </c>
      <c r="Q3" s="1"/>
      <c r="R3" s="1"/>
      <c r="S3" s="1" t="s">
        <v>46</v>
      </c>
    </row>
    <row r="4" spans="2:20" ht="15" customHeight="1" x14ac:dyDescent="0.25">
      <c r="B4">
        <v>1</v>
      </c>
      <c r="C4" s="4">
        <v>15</v>
      </c>
      <c r="D4" s="4">
        <v>10</v>
      </c>
      <c r="E4" s="3" t="b">
        <v>1</v>
      </c>
      <c r="F4" s="4">
        <v>10</v>
      </c>
      <c r="G4" s="5">
        <f>IF(E4,PI()*(F4^2)/4,0)</f>
        <v>78.539816339744831</v>
      </c>
      <c r="H4" s="5"/>
      <c r="I4" s="5"/>
      <c r="L4" s="6" t="s">
        <v>57</v>
      </c>
      <c r="M4" s="6" t="s">
        <v>4</v>
      </c>
      <c r="N4" s="6" t="s">
        <v>5</v>
      </c>
      <c r="P4" t="s">
        <v>49</v>
      </c>
      <c r="Q4" s="9">
        <f>(M5-C11)*L6 - (N5-C12)*L5</f>
        <v>893983.05084745761</v>
      </c>
    </row>
    <row r="5" spans="2:20" ht="15" customHeight="1" x14ac:dyDescent="0.25">
      <c r="B5">
        <v>2</v>
      </c>
      <c r="C5" s="4">
        <v>30</v>
      </c>
      <c r="D5" s="4">
        <v>30</v>
      </c>
      <c r="E5" s="3" t="b">
        <v>1</v>
      </c>
      <c r="F5" s="4">
        <v>12</v>
      </c>
      <c r="G5" s="5">
        <f t="shared" ref="G5:G7" si="0">IF(E5,PI()*(F5^2)/4,0)</f>
        <v>113.09733552923255</v>
      </c>
      <c r="H5" s="5"/>
      <c r="I5" s="5"/>
      <c r="K5" s="6" t="s">
        <v>20</v>
      </c>
      <c r="L5" s="4">
        <v>-2000</v>
      </c>
      <c r="M5" s="4">
        <v>310</v>
      </c>
      <c r="N5" s="4">
        <v>60</v>
      </c>
      <c r="O5" s="5"/>
      <c r="P5" s="5"/>
      <c r="Q5" s="5"/>
      <c r="R5" s="5"/>
      <c r="S5" s="5"/>
    </row>
    <row r="6" spans="2:20" ht="15" customHeight="1" x14ac:dyDescent="0.25">
      <c r="B6">
        <v>3</v>
      </c>
      <c r="C6" s="4">
        <v>45</v>
      </c>
      <c r="D6" s="4">
        <v>40</v>
      </c>
      <c r="E6" s="3" t="b">
        <v>1</v>
      </c>
      <c r="F6" s="4">
        <v>13</v>
      </c>
      <c r="G6" s="5">
        <f t="shared" si="0"/>
        <v>132.73228961416876</v>
      </c>
      <c r="H6" s="5"/>
      <c r="I6" s="5"/>
      <c r="K6" s="6" t="s">
        <v>21</v>
      </c>
      <c r="L6" s="4">
        <v>3000</v>
      </c>
      <c r="M6" s="5">
        <f>M5</f>
        <v>310</v>
      </c>
      <c r="N6" s="5">
        <f>N5</f>
        <v>60</v>
      </c>
      <c r="O6" s="5" t="s">
        <v>22</v>
      </c>
      <c r="P6" s="5"/>
      <c r="Q6" s="5"/>
      <c r="R6" s="5"/>
      <c r="S6" s="5"/>
    </row>
    <row r="7" spans="2:20" ht="15" customHeight="1" x14ac:dyDescent="0.25">
      <c r="B7">
        <v>4</v>
      </c>
      <c r="C7" s="4"/>
      <c r="D7" s="4"/>
      <c r="E7" s="3" t="b">
        <v>0</v>
      </c>
      <c r="F7" s="4"/>
      <c r="G7" s="5">
        <f t="shared" si="0"/>
        <v>0</v>
      </c>
      <c r="H7" s="5"/>
      <c r="I7" s="5"/>
      <c r="K7" s="1" t="s">
        <v>40</v>
      </c>
    </row>
    <row r="8" spans="2:20" ht="15" customHeight="1" x14ac:dyDescent="0.25">
      <c r="C8" s="1" t="s">
        <v>10</v>
      </c>
      <c r="D8" s="7"/>
      <c r="E8">
        <f>COUNTIF(E4:E7,TRUE)</f>
        <v>3</v>
      </c>
      <c r="F8" s="1" t="s">
        <v>9</v>
      </c>
      <c r="G8" s="5">
        <f>SUM(G4:G7)</f>
        <v>324.36944148314615</v>
      </c>
    </row>
    <row r="9" spans="2:20" ht="15" customHeight="1" x14ac:dyDescent="0.25">
      <c r="H9" s="1" t="s">
        <v>15</v>
      </c>
      <c r="I9" s="1"/>
      <c r="J9" s="1"/>
      <c r="L9" s="1" t="s">
        <v>44</v>
      </c>
      <c r="M9" s="1"/>
      <c r="N9" s="1"/>
      <c r="O9" s="1"/>
      <c r="P9" s="1" t="s">
        <v>47</v>
      </c>
      <c r="Q9" s="1"/>
      <c r="R9" s="1"/>
      <c r="S9" s="1"/>
    </row>
    <row r="10" spans="2:20" ht="15" customHeight="1" x14ac:dyDescent="0.25">
      <c r="B10" s="1" t="s">
        <v>11</v>
      </c>
      <c r="C10" s="1"/>
      <c r="E10" s="1" t="s">
        <v>18</v>
      </c>
      <c r="F10" s="1"/>
      <c r="H10" t="s">
        <v>0</v>
      </c>
      <c r="I10" t="s">
        <v>16</v>
      </c>
      <c r="J10" s="8">
        <f>IF($E4,C4-$C$11,0)</f>
        <v>-17.506053268765129</v>
      </c>
      <c r="L10" s="9">
        <f>SQRT((J10)^2+(J11)^2)</f>
        <v>26.019244730209163</v>
      </c>
      <c r="P10" s="9">
        <f>(L10^2)*G4</f>
        <v>53171.541767604722</v>
      </c>
    </row>
    <row r="11" spans="2:20" ht="15" customHeight="1" x14ac:dyDescent="0.25">
      <c r="B11" t="s">
        <v>12</v>
      </c>
      <c r="C11" s="8" cm="1">
        <f t="array" ref="C11">SUM(C4:C7 * $G$4:$G$7)/$G$8</f>
        <v>32.506053268765129</v>
      </c>
      <c r="E11" t="s">
        <v>23</v>
      </c>
      <c r="F11" s="9">
        <f>L5/$E$8</f>
        <v>-666.66666666666663</v>
      </c>
      <c r="I11" t="s">
        <v>17</v>
      </c>
      <c r="J11" s="8">
        <f>IF($E4,D4-$C$12,0)</f>
        <v>-19.24939467312349</v>
      </c>
    </row>
    <row r="12" spans="2:20" ht="15" customHeight="1" x14ac:dyDescent="0.25">
      <c r="B12" t="s">
        <v>13</v>
      </c>
      <c r="C12" s="8" cm="1">
        <f t="array" ref="C12">SUM(D4:D7 * $G$4:$G$7)/$G$8</f>
        <v>29.24939467312349</v>
      </c>
      <c r="E12" t="s">
        <v>24</v>
      </c>
      <c r="F12" s="9">
        <f>L6/$E$8</f>
        <v>1000</v>
      </c>
      <c r="H12" t="s">
        <v>1</v>
      </c>
      <c r="I12" t="s">
        <v>16</v>
      </c>
      <c r="J12" s="8">
        <f>IF($E5,C5-$C$11,0)</f>
        <v>-2.5060532687651289</v>
      </c>
      <c r="L12" s="9">
        <f>SQRT((J12)^2+(J13)^2)</f>
        <v>2.6160488035630718</v>
      </c>
      <c r="P12" s="9">
        <f>(L12^2)*G5</f>
        <v>774.00551798193612</v>
      </c>
    </row>
    <row r="13" spans="2:20" ht="15" customHeight="1" x14ac:dyDescent="0.25">
      <c r="I13" t="s">
        <v>17</v>
      </c>
      <c r="J13" s="8">
        <f>IF($E5,D5-$C$12,0)</f>
        <v>0.75060532687651005</v>
      </c>
    </row>
    <row r="14" spans="2:20" ht="15" customHeight="1" x14ac:dyDescent="0.25">
      <c r="E14" s="1" t="s">
        <v>25</v>
      </c>
      <c r="F14" s="1"/>
      <c r="H14" t="s">
        <v>2</v>
      </c>
      <c r="I14" t="s">
        <v>16</v>
      </c>
      <c r="J14" s="8">
        <f>IF($E6,C6-$C$11,0)</f>
        <v>12.493946731234871</v>
      </c>
      <c r="L14" s="9">
        <f>SQRT((J14)^2+(J15)^2)</f>
        <v>16.482542880793609</v>
      </c>
      <c r="P14" s="9">
        <f>(L14^2)*G6</f>
        <v>36059.941225479946</v>
      </c>
    </row>
    <row r="15" spans="2:20" ht="15" customHeight="1" x14ac:dyDescent="0.25">
      <c r="B15" t="s">
        <v>58</v>
      </c>
      <c r="E15" t="s">
        <v>26</v>
      </c>
      <c r="F15" s="9">
        <f>($Q$4*L10*G4)/$P$18</f>
        <v>20297.607910262959</v>
      </c>
      <c r="I15" t="s">
        <v>17</v>
      </c>
      <c r="J15" s="8">
        <f>IF($E6,D6-$C$12,0)</f>
        <v>10.75060532687651</v>
      </c>
    </row>
    <row r="16" spans="2:20" ht="15" customHeight="1" x14ac:dyDescent="0.25">
      <c r="E16" t="s">
        <v>27</v>
      </c>
      <c r="F16" s="9">
        <f>($Q$4*L12*G5)/$P$18</f>
        <v>2938.7220172131729</v>
      </c>
      <c r="H16" t="s">
        <v>3</v>
      </c>
      <c r="I16" t="s">
        <v>16</v>
      </c>
      <c r="J16" s="8">
        <f>IF($E7,C7-$C$11,0)</f>
        <v>0</v>
      </c>
      <c r="L16" s="9">
        <f>SQRT((J16)^2+(J17)^2)</f>
        <v>0</v>
      </c>
      <c r="P16" s="9">
        <f>(L16^2)*G7</f>
        <v>0</v>
      </c>
    </row>
    <row r="17" spans="5:16" ht="15" customHeight="1" x14ac:dyDescent="0.25">
      <c r="E17" t="s">
        <v>28</v>
      </c>
      <c r="F17" s="9">
        <f>($Q$4*L14*G6)/$P$18</f>
        <v>21730.068325362437</v>
      </c>
      <c r="I17" t="s">
        <v>17</v>
      </c>
      <c r="J17" s="8">
        <f>IF($E7,D7-$C$12,0)</f>
        <v>0</v>
      </c>
      <c r="P17" s="9"/>
    </row>
    <row r="18" spans="5:16" ht="15" customHeight="1" x14ac:dyDescent="0.25">
      <c r="E18" t="s">
        <v>29</v>
      </c>
      <c r="F18" s="9">
        <f>($Q$4*L16*G7)/$P$18</f>
        <v>0</v>
      </c>
      <c r="O18" s="1" t="s">
        <v>48</v>
      </c>
      <c r="P18" s="9">
        <f>SUM(P10:P16)</f>
        <v>90005.488511066607</v>
      </c>
    </row>
    <row r="20" spans="5:16" ht="15" customHeight="1" x14ac:dyDescent="0.25">
      <c r="E20" s="1" t="s">
        <v>30</v>
      </c>
      <c r="F20" s="1"/>
      <c r="H20" s="1" t="s">
        <v>39</v>
      </c>
      <c r="I20" s="1"/>
      <c r="K20" s="2" t="s">
        <v>59</v>
      </c>
      <c r="L20" s="2">
        <v>10</v>
      </c>
    </row>
    <row r="21" spans="5:16" ht="15" customHeight="1" x14ac:dyDescent="0.25">
      <c r="E21" t="s">
        <v>31</v>
      </c>
      <c r="F21" s="9">
        <f>IF(E4,-F15*(J11/L10),0)</f>
        <v>15016.449156624853</v>
      </c>
      <c r="H21" t="s">
        <v>0</v>
      </c>
      <c r="I21" s="9">
        <f>IF(E4, SQRT((F21+$F$11)^2 + (F22+$F$12)^2), 0)</f>
        <v>19133.804153985839</v>
      </c>
      <c r="K21" s="2" t="s">
        <v>42</v>
      </c>
      <c r="L21" s="2">
        <v>370</v>
      </c>
      <c r="M21" t="s">
        <v>51</v>
      </c>
      <c r="N21" s="5">
        <f>0.577*L21</f>
        <v>213.48999999999998</v>
      </c>
    </row>
    <row r="22" spans="5:16" ht="15" customHeight="1" x14ac:dyDescent="0.25">
      <c r="E22" t="s">
        <v>32</v>
      </c>
      <c r="F22" s="9">
        <f>IF(E4,F15*(J10/L10),0)</f>
        <v>-13656.468855647501</v>
      </c>
      <c r="H22" t="s">
        <v>1</v>
      </c>
      <c r="I22" s="9">
        <f>IF(E5, SQRT((F23+$F$11)^2 + (F24+$F$12)^2), 0)</f>
        <v>2361.0301724020756</v>
      </c>
      <c r="K22" s="2" t="s">
        <v>41</v>
      </c>
      <c r="L22" s="2">
        <v>420</v>
      </c>
      <c r="M22" t="s">
        <v>43</v>
      </c>
      <c r="N22" s="5">
        <f>0.577*L22</f>
        <v>242.33999999999997</v>
      </c>
    </row>
    <row r="23" spans="5:16" ht="15" customHeight="1" x14ac:dyDescent="0.25">
      <c r="E23" t="s">
        <v>33</v>
      </c>
      <c r="F23" s="9">
        <f>IF(E5,-F16*(J13/L12),0)</f>
        <v>-843.18778660595012</v>
      </c>
      <c r="H23" t="s">
        <v>2</v>
      </c>
      <c r="I23" s="9">
        <f>IF(E6, SQRT((F25+$F$11)^2 + (F26+$F$12)^2), 0)</f>
        <v>22923.377845627318</v>
      </c>
    </row>
    <row r="24" spans="5:16" ht="15" customHeight="1" x14ac:dyDescent="0.25">
      <c r="E24" t="s">
        <v>34</v>
      </c>
      <c r="F24" s="9">
        <f>IF(E5,F16*(J12/L12),0)</f>
        <v>-2815.1592230230995</v>
      </c>
      <c r="H24" t="s">
        <v>3</v>
      </c>
      <c r="I24" s="9">
        <f>IF(E7, SQRT((F27+$F$11)^2 + (F28+$F$12)^2), 0)</f>
        <v>0</v>
      </c>
      <c r="K24" s="10" t="s">
        <v>50</v>
      </c>
    </row>
    <row r="25" spans="5:16" ht="15" customHeight="1" x14ac:dyDescent="0.25">
      <c r="E25" t="s">
        <v>35</v>
      </c>
      <c r="F25" s="9">
        <f>IF(E6,-F17*(J15/L14),0)</f>
        <v>-14173.26137001889</v>
      </c>
      <c r="K25" s="11" t="s">
        <v>52</v>
      </c>
      <c r="L25" s="11" t="s">
        <v>56</v>
      </c>
      <c r="M25" s="12">
        <f>IF($E$4,$L$22/(I21/(F4*$L$20)),"No Bolt")</f>
        <v>2.1950679364119452</v>
      </c>
    </row>
    <row r="26" spans="5:16" ht="15" customHeight="1" x14ac:dyDescent="0.25">
      <c r="E26" t="s">
        <v>36</v>
      </c>
      <c r="F26" s="9">
        <f>IF(E6,F17*(J14/L14),0)</f>
        <v>16471.628078670612</v>
      </c>
      <c r="K26" s="11"/>
      <c r="L26" s="11" t="s">
        <v>60</v>
      </c>
      <c r="M26" s="12">
        <f>IF($E$4,(N22)/(I21/G4),"No Bolt")</f>
        <v>0.99474934198115794</v>
      </c>
    </row>
    <row r="27" spans="5:16" ht="15" customHeight="1" x14ac:dyDescent="0.25">
      <c r="E27" t="s">
        <v>37</v>
      </c>
      <c r="F27" s="9">
        <f>IF(E7,-F18*(J17/L16),0)</f>
        <v>0</v>
      </c>
      <c r="K27" s="13"/>
      <c r="L27" s="13" t="s">
        <v>61</v>
      </c>
      <c r="M27" s="14">
        <f>IF($E$4,$L$21/(I21/(F4*$L$20)),"No Bolt")</f>
        <v>1.9337503249343329</v>
      </c>
    </row>
    <row r="28" spans="5:16" ht="15" customHeight="1" x14ac:dyDescent="0.25">
      <c r="E28" t="s">
        <v>38</v>
      </c>
      <c r="F28" s="9">
        <f>IF(E7,F18*(J16/L16),0)</f>
        <v>0</v>
      </c>
      <c r="K28" s="11" t="s">
        <v>53</v>
      </c>
      <c r="L28" s="11" t="s">
        <v>56</v>
      </c>
      <c r="M28" s="12">
        <f>IF($E$5,$L$22/(I22/(F5*$L$20)),"No Bolt")</f>
        <v>21.34661411324694</v>
      </c>
    </row>
    <row r="29" spans="5:16" ht="15" customHeight="1" x14ac:dyDescent="0.25">
      <c r="K29" s="11"/>
      <c r="L29" s="11" t="s">
        <v>60</v>
      </c>
      <c r="M29" s="12">
        <f>IF($E$5,(N22)/(I22/G5),"No Bolt")</f>
        <v>11.608495567962068</v>
      </c>
    </row>
    <row r="30" spans="5:16" ht="15" customHeight="1" x14ac:dyDescent="0.25">
      <c r="K30" s="13"/>
      <c r="L30" s="13" t="s">
        <v>61</v>
      </c>
      <c r="M30" s="14">
        <f>IF($E$5,$L$21/(I22/(F5*$L$20)),"No Bolt")</f>
        <v>18.805350528336589</v>
      </c>
    </row>
    <row r="31" spans="5:16" ht="15" customHeight="1" x14ac:dyDescent="0.25">
      <c r="K31" s="11" t="s">
        <v>54</v>
      </c>
      <c r="L31" s="11" t="s">
        <v>56</v>
      </c>
      <c r="M31" s="12">
        <f>IF($E$6,$L$22/(I23/(F6*$L$20)),"No Bolt")</f>
        <v>2.3818479269369575</v>
      </c>
    </row>
    <row r="32" spans="5:16" ht="15" customHeight="1" x14ac:dyDescent="0.25">
      <c r="K32" s="11"/>
      <c r="L32" s="11" t="s">
        <v>60</v>
      </c>
      <c r="M32" s="12">
        <f>IF($E$6,(N22)/(I23/G6),"No Bolt")</f>
        <v>1.4032113103799602</v>
      </c>
    </row>
    <row r="33" spans="11:13" ht="15" customHeight="1" x14ac:dyDescent="0.25">
      <c r="K33" s="13"/>
      <c r="L33" s="13" t="s">
        <v>61</v>
      </c>
      <c r="M33" s="14">
        <f>IF($E$6,$L$21/(I23/(F6*$L$20)),"No Bolt")</f>
        <v>2.0982946023016051</v>
      </c>
    </row>
    <row r="34" spans="11:13" ht="15" customHeight="1" x14ac:dyDescent="0.25">
      <c r="K34" s="11" t="s">
        <v>55</v>
      </c>
      <c r="L34" s="11" t="s">
        <v>56</v>
      </c>
      <c r="M34" s="12" t="str">
        <f>IF($E$7,$L$22/(I24/(F7*$L$20)),"No Bolt")</f>
        <v>No Bolt</v>
      </c>
    </row>
    <row r="35" spans="11:13" ht="15" customHeight="1" x14ac:dyDescent="0.25">
      <c r="K35" s="11"/>
      <c r="L35" s="11" t="s">
        <v>60</v>
      </c>
      <c r="M35" s="12" t="str">
        <f>IF($E$7,(N22)/(I24/G7)*10,"No Bolt")</f>
        <v>No Bolt</v>
      </c>
    </row>
    <row r="36" spans="11:13" ht="15" customHeight="1" x14ac:dyDescent="0.25">
      <c r="K36" s="11"/>
      <c r="L36" s="11" t="s">
        <v>61</v>
      </c>
      <c r="M36" s="12" t="str">
        <f>IF($E$7,$L$21/(I24/(F7*$L$20)),"No Bolt")</f>
        <v>No Bolt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8DE6-C65E-4502-B10C-89A8EDF840E1}">
  <sheetPr>
    <tabColor rgb="FF00B0F0"/>
  </sheetPr>
  <dimension ref="B2:T36"/>
  <sheetViews>
    <sheetView zoomScaleNormal="100" workbookViewId="0">
      <selection activeCell="V54" sqref="V54"/>
    </sheetView>
  </sheetViews>
  <sheetFormatPr defaultColWidth="12.85546875" defaultRowHeight="15" customHeight="1" x14ac:dyDescent="0.25"/>
  <cols>
    <col min="5" max="5" width="14" bestFit="1" customWidth="1"/>
    <col min="11" max="11" width="19.5703125" bestFit="1" customWidth="1"/>
    <col min="19" max="19" width="14.140625" bestFit="1" customWidth="1"/>
  </cols>
  <sheetData>
    <row r="2" spans="2:20" ht="15" customHeight="1" x14ac:dyDescent="0.25">
      <c r="B2" s="11" t="s">
        <v>62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5" t="s">
        <v>63</v>
      </c>
    </row>
    <row r="3" spans="2:20" ht="15" customHeight="1" x14ac:dyDescent="0.25">
      <c r="B3" s="1" t="s">
        <v>14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L3" s="1" t="s">
        <v>19</v>
      </c>
      <c r="M3" s="1"/>
      <c r="N3" s="1"/>
      <c r="O3" s="1"/>
      <c r="P3" s="1" t="s">
        <v>45</v>
      </c>
      <c r="Q3" s="1"/>
      <c r="R3" s="1"/>
      <c r="S3" s="1" t="s">
        <v>46</v>
      </c>
      <c r="T3" s="15" t="s">
        <v>63</v>
      </c>
    </row>
    <row r="4" spans="2:20" ht="15" customHeight="1" x14ac:dyDescent="0.25">
      <c r="B4">
        <v>1</v>
      </c>
      <c r="C4" s="4">
        <v>45</v>
      </c>
      <c r="D4" s="4">
        <v>10</v>
      </c>
      <c r="E4" s="3" t="b">
        <v>1</v>
      </c>
      <c r="F4" s="4">
        <v>8</v>
      </c>
      <c r="G4" s="5">
        <f>IF(E4,PI()*(F4^2)/4,0)</f>
        <v>50.26548245743669</v>
      </c>
      <c r="H4" s="5"/>
      <c r="I4" s="5"/>
      <c r="L4" s="6" t="s">
        <v>57</v>
      </c>
      <c r="M4" s="6" t="s">
        <v>4</v>
      </c>
      <c r="N4" s="6" t="s">
        <v>5</v>
      </c>
      <c r="P4" t="s">
        <v>49</v>
      </c>
      <c r="Q4" s="9">
        <f>(M5-C11)*L6 - (N5-C12)*L5</f>
        <v>-1346666.6666666667</v>
      </c>
    </row>
    <row r="5" spans="2:20" ht="15" customHeight="1" x14ac:dyDescent="0.25">
      <c r="B5">
        <v>2</v>
      </c>
      <c r="C5" s="4">
        <v>30</v>
      </c>
      <c r="D5" s="4">
        <v>30</v>
      </c>
      <c r="E5" s="3" t="b">
        <v>1</v>
      </c>
      <c r="F5" s="4">
        <v>8</v>
      </c>
      <c r="G5" s="5">
        <f t="shared" ref="G5:G7" si="0">IF(E5,PI()*(F5^2)/4,0)</f>
        <v>50.26548245743669</v>
      </c>
      <c r="H5" s="5"/>
      <c r="I5" s="5"/>
      <c r="K5" s="6" t="s">
        <v>20</v>
      </c>
      <c r="L5" s="4">
        <v>-1000</v>
      </c>
      <c r="M5" s="4">
        <v>360</v>
      </c>
      <c r="N5" s="4">
        <v>0</v>
      </c>
      <c r="O5" s="5"/>
      <c r="P5" s="5"/>
      <c r="Q5" s="5"/>
      <c r="R5" s="5"/>
      <c r="S5" s="5"/>
    </row>
    <row r="6" spans="2:20" ht="15" customHeight="1" x14ac:dyDescent="0.25">
      <c r="B6">
        <v>3</v>
      </c>
      <c r="C6" s="4">
        <v>15</v>
      </c>
      <c r="D6" s="4">
        <v>40</v>
      </c>
      <c r="E6" s="3" t="b">
        <v>1</v>
      </c>
      <c r="F6" s="4">
        <v>8</v>
      </c>
      <c r="G6" s="5">
        <f t="shared" si="0"/>
        <v>50.26548245743669</v>
      </c>
      <c r="H6" s="5"/>
      <c r="I6" s="5"/>
      <c r="K6" s="6" t="s">
        <v>21</v>
      </c>
      <c r="L6" s="4">
        <v>-4000</v>
      </c>
      <c r="M6" s="5">
        <f>M5</f>
        <v>360</v>
      </c>
      <c r="N6" s="5">
        <f>N5</f>
        <v>0</v>
      </c>
      <c r="O6" s="5" t="s">
        <v>22</v>
      </c>
      <c r="P6" s="5"/>
      <c r="Q6" s="5"/>
      <c r="R6" s="5"/>
      <c r="S6" s="5"/>
    </row>
    <row r="7" spans="2:20" ht="15" customHeight="1" x14ac:dyDescent="0.25">
      <c r="B7">
        <v>4</v>
      </c>
      <c r="C7" s="4"/>
      <c r="D7" s="4"/>
      <c r="E7" s="3" t="b">
        <v>0</v>
      </c>
      <c r="F7" s="4"/>
      <c r="G7" s="5">
        <f t="shared" si="0"/>
        <v>0</v>
      </c>
      <c r="H7" s="5"/>
      <c r="I7" s="5"/>
      <c r="K7" s="1" t="s">
        <v>40</v>
      </c>
    </row>
    <row r="8" spans="2:20" ht="15" customHeight="1" x14ac:dyDescent="0.25">
      <c r="C8" s="1" t="s">
        <v>10</v>
      </c>
      <c r="D8" s="7"/>
      <c r="E8">
        <f>COUNTIF(E4:E7,TRUE)</f>
        <v>3</v>
      </c>
      <c r="F8" s="1" t="s">
        <v>9</v>
      </c>
      <c r="G8" s="5">
        <f>SUM(G4:G7)</f>
        <v>150.79644737231007</v>
      </c>
    </row>
    <row r="9" spans="2:20" ht="15" customHeight="1" x14ac:dyDescent="0.25">
      <c r="H9" s="1" t="s">
        <v>15</v>
      </c>
      <c r="I9" s="1"/>
      <c r="J9" s="1"/>
      <c r="L9" s="1" t="s">
        <v>44</v>
      </c>
      <c r="M9" s="1"/>
      <c r="N9" s="1"/>
      <c r="O9" s="1"/>
      <c r="P9" s="1" t="s">
        <v>47</v>
      </c>
      <c r="Q9" s="1"/>
      <c r="R9" s="1"/>
      <c r="S9" s="1"/>
    </row>
    <row r="10" spans="2:20" ht="15" customHeight="1" x14ac:dyDescent="0.25">
      <c r="B10" s="1" t="s">
        <v>11</v>
      </c>
      <c r="C10" s="1"/>
      <c r="E10" s="1" t="s">
        <v>18</v>
      </c>
      <c r="F10" s="1"/>
      <c r="H10" t="s">
        <v>0</v>
      </c>
      <c r="I10" t="s">
        <v>16</v>
      </c>
      <c r="J10" s="8">
        <f>IF($E4,C4-$C$11,0)</f>
        <v>15</v>
      </c>
      <c r="L10" s="9">
        <f>SQRT((J10)^2+(J11)^2)</f>
        <v>22.422706745122852</v>
      </c>
      <c r="P10" s="9">
        <f>(L10^2)*G4</f>
        <v>25272.367568877893</v>
      </c>
    </row>
    <row r="11" spans="2:20" ht="15" customHeight="1" x14ac:dyDescent="0.25">
      <c r="B11" t="s">
        <v>12</v>
      </c>
      <c r="C11" s="8" cm="1">
        <f t="array" ref="C11">SUM(C4:C7 * $G$4:$G$7)/$G$8</f>
        <v>30</v>
      </c>
      <c r="E11" t="s">
        <v>23</v>
      </c>
      <c r="F11" s="9">
        <f>L5/$E$8</f>
        <v>-333.33333333333331</v>
      </c>
      <c r="I11" t="s">
        <v>17</v>
      </c>
      <c r="J11" s="8">
        <f>IF($E4,D4-$C$12,0)</f>
        <v>-16.666666666666668</v>
      </c>
    </row>
    <row r="12" spans="2:20" ht="15" customHeight="1" x14ac:dyDescent="0.25">
      <c r="B12" t="s">
        <v>13</v>
      </c>
      <c r="C12" s="8" cm="1">
        <f t="array" ref="C12">SUM(D4:D7 * $G$4:$G$7)/$G$8</f>
        <v>26.666666666666668</v>
      </c>
      <c r="E12" t="s">
        <v>24</v>
      </c>
      <c r="F12" s="9">
        <f>L6/$E$8</f>
        <v>-1333.3333333333333</v>
      </c>
      <c r="H12" t="s">
        <v>1</v>
      </c>
      <c r="I12" t="s">
        <v>16</v>
      </c>
      <c r="J12" s="8">
        <f>IF($E5,C5-$C$11,0)</f>
        <v>0</v>
      </c>
      <c r="L12" s="9">
        <f>SQRT((J12)^2+(J13)^2)</f>
        <v>3.3333333333333321</v>
      </c>
      <c r="P12" s="9">
        <f>(L12^2)*G5</f>
        <v>558.50536063818504</v>
      </c>
    </row>
    <row r="13" spans="2:20" ht="15" customHeight="1" x14ac:dyDescent="0.25">
      <c r="I13" t="s">
        <v>17</v>
      </c>
      <c r="J13" s="8">
        <f>IF($E5,D5-$C$12,0)</f>
        <v>3.3333333333333321</v>
      </c>
    </row>
    <row r="14" spans="2:20" ht="15" customHeight="1" x14ac:dyDescent="0.25">
      <c r="E14" s="1" t="s">
        <v>25</v>
      </c>
      <c r="F14" s="1"/>
      <c r="H14" t="s">
        <v>2</v>
      </c>
      <c r="I14" t="s">
        <v>16</v>
      </c>
      <c r="J14" s="8">
        <f>IF($E6,C6-$C$11,0)</f>
        <v>-15</v>
      </c>
      <c r="L14" s="9">
        <f>SQRT((J14)^2+(J15)^2)</f>
        <v>20.069324297987158</v>
      </c>
      <c r="P14" s="9">
        <f>(L14^2)*G6</f>
        <v>20245.819323134223</v>
      </c>
    </row>
    <row r="15" spans="2:20" ht="15" customHeight="1" x14ac:dyDescent="0.25">
      <c r="B15" t="s">
        <v>58</v>
      </c>
      <c r="E15" t="s">
        <v>26</v>
      </c>
      <c r="F15" s="9">
        <f>($Q$4*L10*G4)/$P$18</f>
        <v>-32940.994636471383</v>
      </c>
      <c r="I15" t="s">
        <v>17</v>
      </c>
      <c r="J15" s="8">
        <f>IF($E6,D6-$C$12,0)</f>
        <v>13.333333333333332</v>
      </c>
    </row>
    <row r="16" spans="2:20" ht="15" customHeight="1" x14ac:dyDescent="0.25">
      <c r="E16" t="s">
        <v>27</v>
      </c>
      <c r="F16" s="9">
        <f>($Q$4*L12*G5)/$P$18</f>
        <v>-4896.9696969696943</v>
      </c>
      <c r="H16" t="s">
        <v>3</v>
      </c>
      <c r="I16" t="s">
        <v>16</v>
      </c>
      <c r="J16" s="8">
        <f>IF($E7,C7-$C$11,0)</f>
        <v>0</v>
      </c>
      <c r="L16" s="9">
        <f>SQRT((J16)^2+(J17)^2)</f>
        <v>0</v>
      </c>
      <c r="P16" s="9">
        <f>(L16^2)*G7</f>
        <v>0</v>
      </c>
    </row>
    <row r="17" spans="5:16" ht="15" customHeight="1" x14ac:dyDescent="0.25">
      <c r="E17" t="s">
        <v>28</v>
      </c>
      <c r="F17" s="9">
        <f>($Q$4*L14*G6)/$P$18</f>
        <v>-29483.661877770224</v>
      </c>
      <c r="I17" t="s">
        <v>17</v>
      </c>
      <c r="J17" s="8">
        <f>IF($E7,D7-$C$12,0)</f>
        <v>0</v>
      </c>
      <c r="P17" s="9"/>
    </row>
    <row r="18" spans="5:16" ht="15" customHeight="1" x14ac:dyDescent="0.25">
      <c r="E18" t="s">
        <v>29</v>
      </c>
      <c r="F18" s="9">
        <f>($Q$4*L16*G7)/$P$18</f>
        <v>0</v>
      </c>
      <c r="O18" s="1" t="s">
        <v>48</v>
      </c>
      <c r="P18" s="9">
        <f>SUM(P10:P16)</f>
        <v>46076.692252650304</v>
      </c>
    </row>
    <row r="20" spans="5:16" ht="15" customHeight="1" x14ac:dyDescent="0.25">
      <c r="E20" s="1" t="s">
        <v>30</v>
      </c>
      <c r="F20" s="1"/>
      <c r="H20" s="1" t="s">
        <v>39</v>
      </c>
      <c r="I20" s="1"/>
      <c r="K20" s="2" t="s">
        <v>59</v>
      </c>
      <c r="L20" s="2">
        <v>10</v>
      </c>
    </row>
    <row r="21" spans="5:16" ht="15" customHeight="1" x14ac:dyDescent="0.25">
      <c r="E21" t="s">
        <v>31</v>
      </c>
      <c r="F21" s="9">
        <f>IF(E4,-F15*(J11/L10),0)</f>
        <v>-24484.84848484848</v>
      </c>
      <c r="H21" t="s">
        <v>0</v>
      </c>
      <c r="I21" s="9">
        <f>IF(E4, SQRT((F21+$F$11)^2 + (F22+$F$12)^2), 0)</f>
        <v>34089.366160370213</v>
      </c>
      <c r="K21" s="2" t="s">
        <v>42</v>
      </c>
      <c r="L21" s="2">
        <v>370</v>
      </c>
      <c r="M21" t="s">
        <v>51</v>
      </c>
      <c r="N21" s="5">
        <f>0.577*L21</f>
        <v>213.48999999999998</v>
      </c>
    </row>
    <row r="22" spans="5:16" ht="15" customHeight="1" x14ac:dyDescent="0.25">
      <c r="E22" t="s">
        <v>32</v>
      </c>
      <c r="F22" s="9">
        <f>IF(E4,F15*(J10/L10),0)</f>
        <v>-22036.363636363632</v>
      </c>
      <c r="H22" t="s">
        <v>1</v>
      </c>
      <c r="I22" s="9">
        <f>IF(E5, SQRT((F23+$F$11)^2 + (F24+$F$12)^2), 0)</f>
        <v>4754.4247430453552</v>
      </c>
      <c r="K22" s="2" t="s">
        <v>41</v>
      </c>
      <c r="L22" s="2">
        <v>420</v>
      </c>
      <c r="M22" t="s">
        <v>43</v>
      </c>
      <c r="N22" s="5">
        <f>0.577*L22</f>
        <v>242.33999999999997</v>
      </c>
    </row>
    <row r="23" spans="5:16" ht="15" customHeight="1" x14ac:dyDescent="0.25">
      <c r="E23" t="s">
        <v>33</v>
      </c>
      <c r="F23" s="9">
        <f>IF(E5,-F16*(J13/L12),0)</f>
        <v>4896.9696969696943</v>
      </c>
      <c r="H23" t="s">
        <v>2</v>
      </c>
      <c r="I23" s="9">
        <f>IF(E6, SQRT((F25+$F$11)^2 + (F26+$F$12)^2), 0)</f>
        <v>28272.831205759143</v>
      </c>
    </row>
    <row r="24" spans="5:16" ht="15" customHeight="1" x14ac:dyDescent="0.25">
      <c r="E24" t="s">
        <v>34</v>
      </c>
      <c r="F24" s="9">
        <f>IF(E5,F16*(J12/L12),0)</f>
        <v>0</v>
      </c>
      <c r="H24" t="s">
        <v>3</v>
      </c>
      <c r="I24" s="9">
        <f>IF(E7, SQRT((F27+$F$11)^2 + (F28+$F$12)^2), 0)</f>
        <v>0</v>
      </c>
      <c r="K24" s="10" t="s">
        <v>50</v>
      </c>
    </row>
    <row r="25" spans="5:16" ht="15" customHeight="1" x14ac:dyDescent="0.25">
      <c r="E25" t="s">
        <v>35</v>
      </c>
      <c r="F25" s="9">
        <f>IF(E6,-F17*(J15/L14),0)</f>
        <v>19587.878787878784</v>
      </c>
      <c r="K25" s="11" t="s">
        <v>52</v>
      </c>
      <c r="L25" s="11" t="s">
        <v>56</v>
      </c>
      <c r="M25" s="12">
        <f>IF($E$4,$L$22/(I21/(F4*$L$20)),"No Bolt")</f>
        <v>0.98564460958094569</v>
      </c>
    </row>
    <row r="26" spans="5:16" ht="15" customHeight="1" x14ac:dyDescent="0.25">
      <c r="E26" t="s">
        <v>36</v>
      </c>
      <c r="F26" s="9">
        <f>IF(E6,F17*(J14/L14),0)</f>
        <v>22036.363636363636</v>
      </c>
      <c r="K26" s="11"/>
      <c r="L26" s="11" t="s">
        <v>60</v>
      </c>
      <c r="M26" s="12">
        <f>IF($E$4,(N22)/(I21/G4),"No Bolt")</f>
        <v>0.35733539196443997</v>
      </c>
    </row>
    <row r="27" spans="5:16" ht="15" customHeight="1" x14ac:dyDescent="0.25">
      <c r="E27" t="s">
        <v>37</v>
      </c>
      <c r="F27" s="9">
        <f>IF(E7,-F18*(J17/L16),0)</f>
        <v>0</v>
      </c>
      <c r="K27" s="13"/>
      <c r="L27" s="13" t="s">
        <v>61</v>
      </c>
      <c r="M27" s="14">
        <f>IF($E$4,$L$21/(I21/(F4*$L$20)),"No Bolt")</f>
        <v>0.86830596558321405</v>
      </c>
    </row>
    <row r="28" spans="5:16" ht="15" customHeight="1" x14ac:dyDescent="0.25">
      <c r="E28" t="s">
        <v>38</v>
      </c>
      <c r="F28" s="9">
        <f>IF(E7,F18*(J16/L16),0)</f>
        <v>0</v>
      </c>
      <c r="K28" s="11" t="s">
        <v>53</v>
      </c>
      <c r="L28" s="11" t="s">
        <v>56</v>
      </c>
      <c r="M28" s="12">
        <f>IF($E$5,$L$22/(I22/(F5*$L$20)),"No Bolt")</f>
        <v>7.0671010302874562</v>
      </c>
    </row>
    <row r="29" spans="5:16" ht="15" customHeight="1" x14ac:dyDescent="0.25">
      <c r="K29" s="11"/>
      <c r="L29" s="11" t="s">
        <v>60</v>
      </c>
      <c r="M29" s="12">
        <f>IF($E$5,(N22)/(I22/G5),"No Bolt")</f>
        <v>2.5621053391482826</v>
      </c>
    </row>
    <row r="30" spans="5:16" ht="15" customHeight="1" x14ac:dyDescent="0.25">
      <c r="K30" s="13"/>
      <c r="L30" s="13" t="s">
        <v>61</v>
      </c>
      <c r="M30" s="14">
        <f>IF($E$5,$L$21/(I22/(F5*$L$20)),"No Bolt")</f>
        <v>6.2257794790627585</v>
      </c>
    </row>
    <row r="31" spans="5:16" ht="15" customHeight="1" x14ac:dyDescent="0.25">
      <c r="K31" s="11" t="s">
        <v>54</v>
      </c>
      <c r="L31" s="11" t="s">
        <v>56</v>
      </c>
      <c r="M31" s="12">
        <f>IF($E$6,$L$22/(I23/(F6*$L$20)),"No Bolt")</f>
        <v>1.1884200685623489</v>
      </c>
    </row>
    <row r="32" spans="5:16" ht="15" customHeight="1" x14ac:dyDescent="0.25">
      <c r="K32" s="11"/>
      <c r="L32" s="11" t="s">
        <v>60</v>
      </c>
      <c r="M32" s="12">
        <f>IF($E$6,(N22)/(I23/G6),"No Bolt")</f>
        <v>0.4308495647317373</v>
      </c>
    </row>
    <row r="33" spans="11:13" ht="15" customHeight="1" x14ac:dyDescent="0.25">
      <c r="K33" s="13"/>
      <c r="L33" s="13" t="s">
        <v>61</v>
      </c>
      <c r="M33" s="14">
        <f>IF($E$6,$L$21/(I23/(F6*$L$20)),"No Bolt")</f>
        <v>1.0469414889715931</v>
      </c>
    </row>
    <row r="34" spans="11:13" ht="15" customHeight="1" x14ac:dyDescent="0.25">
      <c r="K34" s="11" t="s">
        <v>55</v>
      </c>
      <c r="L34" s="11" t="s">
        <v>56</v>
      </c>
      <c r="M34" s="12" t="str">
        <f>IF($E$7,$L$22/(I24/(F7*$L$20)),"No Bolt")</f>
        <v>No Bolt</v>
      </c>
    </row>
    <row r="35" spans="11:13" ht="15" customHeight="1" x14ac:dyDescent="0.25">
      <c r="K35" s="11"/>
      <c r="L35" s="11" t="s">
        <v>60</v>
      </c>
      <c r="M35" s="12" t="str">
        <f>IF($E$7,(N22)/(I24/G7)*10,"No Bolt")</f>
        <v>No Bolt</v>
      </c>
    </row>
    <row r="36" spans="11:13" ht="15" customHeight="1" x14ac:dyDescent="0.25">
      <c r="K36" s="11"/>
      <c r="L36" s="11" t="s">
        <v>61</v>
      </c>
      <c r="M36" s="12" t="str">
        <f>IF($E$7,$L$21/(I24/(F7*$L$20)),"No Bolt")</f>
        <v>No Bolt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6A46-B709-49B1-A38B-531BC3D1CEC8}">
  <sheetPr>
    <tabColor rgb="FF0070C0"/>
  </sheetPr>
  <dimension ref="B2:T36"/>
  <sheetViews>
    <sheetView topLeftCell="A22" zoomScaleNormal="100" workbookViewId="0">
      <selection activeCell="R32" sqref="R32"/>
    </sheetView>
  </sheetViews>
  <sheetFormatPr defaultColWidth="12.85546875" defaultRowHeight="15" customHeight="1" x14ac:dyDescent="0.25"/>
  <cols>
    <col min="5" max="5" width="14" bestFit="1" customWidth="1"/>
    <col min="11" max="11" width="19.5703125" bestFit="1" customWidth="1"/>
    <col min="19" max="19" width="14.140625" bestFit="1" customWidth="1"/>
  </cols>
  <sheetData>
    <row r="2" spans="2:20" ht="15" customHeight="1" x14ac:dyDescent="0.25">
      <c r="B2" s="11" t="s">
        <v>62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5" t="s">
        <v>63</v>
      </c>
    </row>
    <row r="3" spans="2:20" ht="15" customHeight="1" x14ac:dyDescent="0.25">
      <c r="B3" s="1" t="s">
        <v>14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L3" s="1" t="s">
        <v>19</v>
      </c>
      <c r="M3" s="1"/>
      <c r="N3" s="1"/>
      <c r="O3" s="1"/>
      <c r="P3" s="1" t="s">
        <v>45</v>
      </c>
      <c r="Q3" s="1"/>
      <c r="R3" s="1"/>
      <c r="S3" s="1" t="s">
        <v>46</v>
      </c>
    </row>
    <row r="4" spans="2:20" ht="15" customHeight="1" x14ac:dyDescent="0.25">
      <c r="B4">
        <v>1</v>
      </c>
      <c r="C4" s="4">
        <v>15</v>
      </c>
      <c r="D4" s="4">
        <v>15</v>
      </c>
      <c r="E4" s="3" t="b">
        <v>1</v>
      </c>
      <c r="F4" s="4">
        <v>10</v>
      </c>
      <c r="G4" s="5">
        <f>IF(E4,PI()*(F4^2)/4,0)</f>
        <v>78.539816339744831</v>
      </c>
      <c r="H4" s="5"/>
      <c r="I4" s="5"/>
      <c r="L4" s="6" t="s">
        <v>57</v>
      </c>
      <c r="M4" s="6" t="s">
        <v>4</v>
      </c>
      <c r="N4" s="6" t="s">
        <v>5</v>
      </c>
      <c r="P4" t="s">
        <v>49</v>
      </c>
      <c r="Q4" s="9">
        <f>(M5-C11)*L6 - (N5-C12)*L5</f>
        <v>530290.69767441857</v>
      </c>
    </row>
    <row r="5" spans="2:20" ht="15" customHeight="1" x14ac:dyDescent="0.25">
      <c r="B5">
        <v>2</v>
      </c>
      <c r="C5" s="4">
        <v>35</v>
      </c>
      <c r="D5" s="4">
        <v>30</v>
      </c>
      <c r="E5" s="3" t="b">
        <v>1</v>
      </c>
      <c r="F5" s="4">
        <v>10</v>
      </c>
      <c r="G5" s="5">
        <f t="shared" ref="G5:G7" si="0">IF(E5,PI()*(F5^2)/4,0)</f>
        <v>78.539816339744831</v>
      </c>
      <c r="H5" s="5"/>
      <c r="I5" s="5"/>
      <c r="K5" s="6" t="s">
        <v>20</v>
      </c>
      <c r="L5" s="4">
        <v>1000</v>
      </c>
      <c r="M5" s="4">
        <v>300</v>
      </c>
      <c r="N5" s="4">
        <v>60</v>
      </c>
      <c r="O5" s="5"/>
      <c r="P5" s="5"/>
      <c r="Q5" s="5"/>
      <c r="R5" s="5"/>
      <c r="S5" s="5"/>
    </row>
    <row r="6" spans="2:20" ht="15" customHeight="1" x14ac:dyDescent="0.25">
      <c r="B6">
        <v>3</v>
      </c>
      <c r="C6" s="4">
        <v>15</v>
      </c>
      <c r="D6" s="4">
        <v>45</v>
      </c>
      <c r="E6" s="3" t="b">
        <v>1</v>
      </c>
      <c r="F6" s="4">
        <v>12</v>
      </c>
      <c r="G6" s="5">
        <f t="shared" si="0"/>
        <v>113.09733552923255</v>
      </c>
      <c r="H6" s="5"/>
      <c r="I6" s="5"/>
      <c r="K6" s="6" t="s">
        <v>21</v>
      </c>
      <c r="L6" s="4">
        <v>2000</v>
      </c>
      <c r="M6" s="5">
        <f>M5</f>
        <v>300</v>
      </c>
      <c r="N6" s="5">
        <f>N5</f>
        <v>60</v>
      </c>
      <c r="O6" s="5" t="s">
        <v>22</v>
      </c>
      <c r="P6" s="5"/>
      <c r="Q6" s="5"/>
      <c r="R6" s="5"/>
      <c r="S6" s="5"/>
    </row>
    <row r="7" spans="2:20" ht="15" customHeight="1" x14ac:dyDescent="0.25">
      <c r="B7">
        <v>4</v>
      </c>
      <c r="C7" s="4"/>
      <c r="D7" s="4"/>
      <c r="E7" s="3" t="b">
        <v>0</v>
      </c>
      <c r="F7" s="4"/>
      <c r="G7" s="5">
        <f t="shared" si="0"/>
        <v>0</v>
      </c>
      <c r="H7" s="5"/>
      <c r="I7" s="5"/>
      <c r="K7" s="1" t="s">
        <v>40</v>
      </c>
    </row>
    <row r="8" spans="2:20" ht="15" customHeight="1" x14ac:dyDescent="0.25">
      <c r="C8" s="1" t="s">
        <v>10</v>
      </c>
      <c r="D8" s="7"/>
      <c r="E8">
        <f>COUNTIF(E4:E7,TRUE)</f>
        <v>3</v>
      </c>
      <c r="F8" s="1" t="s">
        <v>9</v>
      </c>
      <c r="G8" s="5">
        <f>SUM(G4:G7)</f>
        <v>270.1769682087222</v>
      </c>
    </row>
    <row r="9" spans="2:20" ht="15" customHeight="1" x14ac:dyDescent="0.25">
      <c r="H9" s="1" t="s">
        <v>15</v>
      </c>
      <c r="I9" s="1"/>
      <c r="J9" s="1"/>
      <c r="L9" s="1" t="s">
        <v>44</v>
      </c>
      <c r="M9" s="1"/>
      <c r="N9" s="1"/>
      <c r="O9" s="1"/>
      <c r="P9" s="1" t="s">
        <v>47</v>
      </c>
      <c r="Q9" s="1"/>
      <c r="R9" s="1"/>
      <c r="S9" s="1"/>
    </row>
    <row r="10" spans="2:20" ht="15" customHeight="1" x14ac:dyDescent="0.25">
      <c r="B10" s="1" t="s">
        <v>11</v>
      </c>
      <c r="C10" s="1"/>
      <c r="E10" s="1" t="s">
        <v>18</v>
      </c>
      <c r="F10" s="1"/>
      <c r="H10" t="s">
        <v>0</v>
      </c>
      <c r="I10" t="s">
        <v>16</v>
      </c>
      <c r="J10" s="8">
        <f>IF($E4,C4-$C$11,0)</f>
        <v>-5.8139534883720962</v>
      </c>
      <c r="L10" s="9">
        <f>SQRT((J10)^2+(J11)^2)</f>
        <v>17.889696434185272</v>
      </c>
      <c r="P10" s="9">
        <f>(L10^2)*G4</f>
        <v>25135.980093507907</v>
      </c>
    </row>
    <row r="11" spans="2:20" ht="15" customHeight="1" x14ac:dyDescent="0.25">
      <c r="B11" t="s">
        <v>12</v>
      </c>
      <c r="C11" s="8" cm="1">
        <f t="array" ref="C11">SUM(C4:C7 * $G$4:$G$7)/$G$8</f>
        <v>20.813953488372096</v>
      </c>
      <c r="E11" t="s">
        <v>23</v>
      </c>
      <c r="F11" s="9">
        <f>L5/$E$8</f>
        <v>333.33333333333331</v>
      </c>
      <c r="I11" t="s">
        <v>17</v>
      </c>
      <c r="J11" s="8">
        <f>IF($E4,D4-$C$12,0)</f>
        <v>-16.918604651162788</v>
      </c>
    </row>
    <row r="12" spans="2:20" ht="15" customHeight="1" x14ac:dyDescent="0.25">
      <c r="B12" t="s">
        <v>13</v>
      </c>
      <c r="C12" s="8" cm="1">
        <f t="array" ref="C12">SUM(D4:D7 * $G$4:$G$7)/$G$8</f>
        <v>31.918604651162788</v>
      </c>
      <c r="E12" t="s">
        <v>24</v>
      </c>
      <c r="F12" s="9">
        <f>L6/$E$8</f>
        <v>666.66666666666663</v>
      </c>
      <c r="H12" t="s">
        <v>1</v>
      </c>
      <c r="I12" t="s">
        <v>16</v>
      </c>
      <c r="J12" s="8">
        <f>IF($E5,C5-$C$11,0)</f>
        <v>14.186046511627904</v>
      </c>
      <c r="L12" s="9">
        <f>SQRT((J12)^2+(J13)^2)</f>
        <v>14.315200293308287</v>
      </c>
      <c r="P12" s="9">
        <f>(L12^2)*G5</f>
        <v>16094.768677653552</v>
      </c>
    </row>
    <row r="13" spans="2:20" ht="15" customHeight="1" x14ac:dyDescent="0.25">
      <c r="I13" t="s">
        <v>17</v>
      </c>
      <c r="J13" s="8">
        <f>IF($E5,D5-$C$12,0)</f>
        <v>-1.9186046511627879</v>
      </c>
    </row>
    <row r="14" spans="2:20" ht="15" customHeight="1" x14ac:dyDescent="0.25">
      <c r="E14" s="1" t="s">
        <v>25</v>
      </c>
      <c r="F14" s="1"/>
      <c r="H14" t="s">
        <v>2</v>
      </c>
      <c r="I14" t="s">
        <v>16</v>
      </c>
      <c r="J14" s="8">
        <f>IF($E6,C6-$C$11,0)</f>
        <v>-5.8139534883720962</v>
      </c>
      <c r="L14" s="9">
        <f>SQRT((J14)^2+(J15)^2)</f>
        <v>14.315200293308296</v>
      </c>
      <c r="P14" s="9">
        <f>(L14^2)*G6</f>
        <v>23176.466895821144</v>
      </c>
    </row>
    <row r="15" spans="2:20" ht="15" customHeight="1" x14ac:dyDescent="0.25">
      <c r="B15" t="s">
        <v>58</v>
      </c>
      <c r="E15" t="s">
        <v>26</v>
      </c>
      <c r="F15" s="9">
        <f>($Q$4*L10*G4)/$P$18</f>
        <v>11568.37441873122</v>
      </c>
      <c r="I15" t="s">
        <v>17</v>
      </c>
      <c r="J15" s="8">
        <f>IF($E6,D6-$C$12,0)</f>
        <v>13.081395348837212</v>
      </c>
    </row>
    <row r="16" spans="2:20" ht="15" customHeight="1" x14ac:dyDescent="0.25">
      <c r="E16" t="s">
        <v>27</v>
      </c>
      <c r="F16" s="9">
        <f>($Q$4*L12*G5)/$P$18</f>
        <v>9256.9260457472428</v>
      </c>
      <c r="H16" t="s">
        <v>3</v>
      </c>
      <c r="I16" t="s">
        <v>16</v>
      </c>
      <c r="J16" s="8">
        <f>IF($E7,C7-$C$11,0)</f>
        <v>0</v>
      </c>
      <c r="L16" s="9">
        <f>SQRT((J16)^2+(J17)^2)</f>
        <v>0</v>
      </c>
      <c r="P16" s="9">
        <f>(L16^2)*G7</f>
        <v>0</v>
      </c>
    </row>
    <row r="17" spans="5:16" ht="15" customHeight="1" x14ac:dyDescent="0.25">
      <c r="E17" t="s">
        <v>28</v>
      </c>
      <c r="F17" s="9">
        <f>($Q$4*L14*G6)/$P$18</f>
        <v>13329.973505876038</v>
      </c>
      <c r="I17" t="s">
        <v>17</v>
      </c>
      <c r="J17" s="8">
        <f>IF($E7,D7-$C$12,0)</f>
        <v>0</v>
      </c>
      <c r="P17" s="9"/>
    </row>
    <row r="18" spans="5:16" ht="15" customHeight="1" x14ac:dyDescent="0.25">
      <c r="E18" t="s">
        <v>29</v>
      </c>
      <c r="F18" s="9">
        <f>($Q$4*L16*G7)/$P$18</f>
        <v>0</v>
      </c>
      <c r="O18" s="1" t="s">
        <v>48</v>
      </c>
      <c r="P18" s="9">
        <f>SUM(P10:P16)</f>
        <v>64407.215666982607</v>
      </c>
    </row>
    <row r="20" spans="5:16" ht="15" customHeight="1" x14ac:dyDescent="0.25">
      <c r="E20" s="1" t="s">
        <v>30</v>
      </c>
      <c r="F20" s="1"/>
      <c r="H20" s="1" t="s">
        <v>39</v>
      </c>
      <c r="I20" s="7" t="s">
        <v>57</v>
      </c>
      <c r="K20" s="2" t="s">
        <v>59</v>
      </c>
      <c r="L20" s="2">
        <v>15</v>
      </c>
    </row>
    <row r="21" spans="5:16" ht="15" customHeight="1" x14ac:dyDescent="0.25">
      <c r="E21" t="s">
        <v>31</v>
      </c>
      <c r="F21" s="9">
        <f>IF(E4,-F15*(J11/L10),0)</f>
        <v>10940.417796756879</v>
      </c>
      <c r="H21" t="s">
        <v>0</v>
      </c>
      <c r="I21" s="9">
        <f>IF(E4, SQRT((F21+$F$11)^2 + (F22+$F$12)^2), 0)</f>
        <v>11690.323453718536</v>
      </c>
      <c r="K21" s="2" t="s">
        <v>42</v>
      </c>
      <c r="L21" s="2">
        <v>353</v>
      </c>
      <c r="M21" t="s">
        <v>51</v>
      </c>
      <c r="N21" s="5">
        <f>0.577*L21</f>
        <v>203.68099999999998</v>
      </c>
    </row>
    <row r="22" spans="5:16" ht="15" customHeight="1" x14ac:dyDescent="0.25">
      <c r="E22" t="s">
        <v>32</v>
      </c>
      <c r="F22" s="9">
        <f>IF(E4,F15*(J10/L10),0)</f>
        <v>-3759.5937445899954</v>
      </c>
      <c r="H22" t="s">
        <v>1</v>
      </c>
      <c r="I22" s="9">
        <f>IF(E5, SQRT((F23+$F$11)^2 + (F24+$F$12)^2), 0)</f>
        <v>9965.1672161015522</v>
      </c>
      <c r="K22" s="2" t="s">
        <v>41</v>
      </c>
      <c r="L22" s="2">
        <v>420</v>
      </c>
      <c r="M22" t="s">
        <v>43</v>
      </c>
      <c r="N22" s="5">
        <f>0.577*L22</f>
        <v>242.33999999999997</v>
      </c>
    </row>
    <row r="23" spans="5:16" ht="15" customHeight="1" x14ac:dyDescent="0.25">
      <c r="E23" t="s">
        <v>33</v>
      </c>
      <c r="F23" s="9">
        <f>IF(E5,-F16*(J13/L12),0)</f>
        <v>1240.6659357146959</v>
      </c>
      <c r="H23" t="s">
        <v>2</v>
      </c>
      <c r="I23" s="9">
        <f>IF(E6, SQRT((F25+$F$11)^2 + (F26+$F$12)^2), 0)</f>
        <v>12763.408899858434</v>
      </c>
    </row>
    <row r="24" spans="5:16" ht="15" customHeight="1" x14ac:dyDescent="0.25">
      <c r="E24" t="s">
        <v>34</v>
      </c>
      <c r="F24" s="9">
        <f>IF(E5,F16*(J12/L12),0)</f>
        <v>9173.4087367995817</v>
      </c>
      <c r="H24" t="s">
        <v>3</v>
      </c>
      <c r="I24" s="9">
        <f>IF(E7, SQRT((F27+$F$11)^2 + (F28+$F$12)^2), 0)</f>
        <v>0</v>
      </c>
      <c r="K24" s="10" t="s">
        <v>50</v>
      </c>
    </row>
    <row r="25" spans="5:16" ht="15" customHeight="1" x14ac:dyDescent="0.25">
      <c r="E25" t="s">
        <v>35</v>
      </c>
      <c r="F25" s="9">
        <f>IF(E6,-F17*(J15/L14),0)</f>
        <v>-12181.083732471579</v>
      </c>
      <c r="K25" s="11" t="s">
        <v>52</v>
      </c>
      <c r="L25" s="11" t="s">
        <v>56</v>
      </c>
      <c r="M25" s="12">
        <f>IF($E$4,$L$22/(I21/(F4*$L$20)),"No Bolt")</f>
        <v>5.3890724452077103</v>
      </c>
    </row>
    <row r="26" spans="5:16" ht="15" customHeight="1" x14ac:dyDescent="0.25">
      <c r="E26" t="s">
        <v>36</v>
      </c>
      <c r="F26" s="9">
        <f>IF(E6,F17*(J14/L14),0)</f>
        <v>-5413.8149922095927</v>
      </c>
      <c r="K26" s="11"/>
      <c r="L26" s="11" t="s">
        <v>60</v>
      </c>
      <c r="M26" s="12">
        <f>IF($E$4,(N22)/(I21/G4),"No Bolt")</f>
        <v>1.6281276704725829</v>
      </c>
    </row>
    <row r="27" spans="5:16" ht="15" customHeight="1" x14ac:dyDescent="0.25">
      <c r="E27" t="s">
        <v>37</v>
      </c>
      <c r="F27" s="9">
        <f>IF(E7,-F18*(J17/L16),0)</f>
        <v>0</v>
      </c>
      <c r="K27" s="13"/>
      <c r="L27" s="13" t="s">
        <v>61</v>
      </c>
      <c r="M27" s="14">
        <f>IF($E$4,$L$21/(I21/(F4*$L$20)),"No Bolt")</f>
        <v>4.5293870789483854</v>
      </c>
    </row>
    <row r="28" spans="5:16" ht="15" customHeight="1" x14ac:dyDescent="0.25">
      <c r="E28" t="s">
        <v>38</v>
      </c>
      <c r="F28" s="9">
        <f>IF(E7,F18*(J16/L16),0)</f>
        <v>0</v>
      </c>
      <c r="K28" s="11" t="s">
        <v>53</v>
      </c>
      <c r="L28" s="11" t="s">
        <v>56</v>
      </c>
      <c r="M28" s="12">
        <f>IF($E$5,$L$22/(I22/(F5*$L$20)),"No Bolt")</f>
        <v>6.322021360384765</v>
      </c>
    </row>
    <row r="29" spans="5:16" ht="15" customHeight="1" x14ac:dyDescent="0.25">
      <c r="K29" s="11"/>
      <c r="L29" s="11" t="s">
        <v>60</v>
      </c>
      <c r="M29" s="12">
        <f>IF($E$5,(N22)/(I22/G5),"No Bolt")</f>
        <v>1.9099869253593664</v>
      </c>
    </row>
    <row r="30" spans="5:16" ht="15" customHeight="1" x14ac:dyDescent="0.25">
      <c r="K30" s="13"/>
      <c r="L30" s="13" t="s">
        <v>61</v>
      </c>
      <c r="M30" s="14">
        <f>IF($E$5,$L$21/(I22/(F5*$L$20)),"No Bolt")</f>
        <v>5.3135084290852905</v>
      </c>
    </row>
    <row r="31" spans="5:16" ht="15" customHeight="1" x14ac:dyDescent="0.25">
      <c r="K31" s="11" t="s">
        <v>54</v>
      </c>
      <c r="L31" s="11" t="s">
        <v>56</v>
      </c>
      <c r="M31" s="12">
        <f>IF($E$6,$L$22/(I23/(F6*$L$20)),"No Bolt")</f>
        <v>5.9231824815107608</v>
      </c>
    </row>
    <row r="32" spans="5:16" ht="15" customHeight="1" x14ac:dyDescent="0.25">
      <c r="K32" s="11"/>
      <c r="L32" s="11" t="s">
        <v>60</v>
      </c>
      <c r="M32" s="12">
        <f>IF($E$6,(N22)/(I23/G6),"No Bolt")</f>
        <v>2.1473893461533002</v>
      </c>
    </row>
    <row r="33" spans="11:13" ht="15" customHeight="1" x14ac:dyDescent="0.25">
      <c r="K33" s="13"/>
      <c r="L33" s="13" t="s">
        <v>61</v>
      </c>
      <c r="M33" s="14">
        <f>IF($E$6,$L$21/(I23/(F6*$L$20)),"No Bolt")</f>
        <v>4.9782938475554728</v>
      </c>
    </row>
    <row r="34" spans="11:13" ht="15" customHeight="1" x14ac:dyDescent="0.25">
      <c r="K34" s="11" t="s">
        <v>55</v>
      </c>
      <c r="L34" s="11" t="s">
        <v>56</v>
      </c>
      <c r="M34" s="12" t="str">
        <f>IF($E$7,$L$22/(I24/(F7*$L$20)),"No Bolt")</f>
        <v>No Bolt</v>
      </c>
    </row>
    <row r="35" spans="11:13" ht="15" customHeight="1" x14ac:dyDescent="0.25">
      <c r="K35" s="11"/>
      <c r="L35" s="11" t="s">
        <v>60</v>
      </c>
      <c r="M35" s="12" t="str">
        <f>IF($E$7,(N22)/(I24/G7)*10,"No Bolt")</f>
        <v>No Bolt</v>
      </c>
    </row>
    <row r="36" spans="11:13" ht="15" customHeight="1" x14ac:dyDescent="0.25">
      <c r="K36" s="11"/>
      <c r="L36" s="11" t="s">
        <v>61</v>
      </c>
      <c r="M36" s="12" t="str">
        <f>IF($E$7,$L$21/(I24/(F7*$L$20)),"No Bolt")</f>
        <v>No Bolt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Shear Loading Bolted Joints</vt:lpstr>
      <vt:lpstr>Quiz on Spreadsheet 5 Q1</vt:lpstr>
      <vt:lpstr>Quiz on Spreadsheet 5 Q2</vt:lpstr>
      <vt:lpstr>Quiz on Spreadsheet 5 Q3</vt:lpstr>
      <vt:lpstr>Trial Problems Q1</vt:lpstr>
      <vt:lpstr>Trial Problems Q2</vt:lpstr>
      <vt:lpstr>Trial Problems Q3</vt:lpstr>
      <vt:lpstr>Trial Problems Q4</vt:lpstr>
      <vt:lpstr>Bolt Shear Problem 3 bolts Q1</vt:lpstr>
      <vt:lpstr>Bolt Shear Problem 3 bolts Q2</vt:lpstr>
      <vt:lpstr>Bolt Shear Problem 3 bolts Q3</vt:lpstr>
      <vt:lpstr>Lecture 12 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2025-02-03T09:45:49Z</dcterms:created>
  <dcterms:modified xsi:type="dcterms:W3CDTF">2025-02-10T11:30:24Z</dcterms:modified>
  <cp:category/>
  <cp:contentStatus/>
</cp:coreProperties>
</file>