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/>
  <mc:AlternateContent xmlns:mc="http://schemas.openxmlformats.org/markup-compatibility/2006">
    <mc:Choice Requires="x15">
      <x15ac:absPath xmlns:x15ac="http://schemas.microsoft.com/office/spreadsheetml/2010/11/ac" url="https://cpslo-my.sharepoint.com/personal/clbonney_calpoly_edu/Documents/Past Classes/ME 328 Design for Strength &amp; Stiff/"/>
    </mc:Choice>
  </mc:AlternateContent>
  <xr:revisionPtr revIDLastSave="1269" documentId="11_0B1D56BE9CDCCE836B02CE7A5FB0D4A9BBFD1C62" xr6:coauthVersionLast="47" xr6:coauthVersionMax="47" xr10:uidLastSave="{E2CE8A6B-9DFE-4E5A-910D-3009816EF521}"/>
  <bookViews>
    <workbookView minimized="1" xWindow="30" yWindow="1425" windowWidth="38370" windowHeight="19455" activeTab="1" xr2:uid="{00000000-000D-0000-FFFF-FFFF00000000}"/>
  </bookViews>
  <sheets>
    <sheet name="Problem 2" sheetId="1" state="hidden" r:id="rId1"/>
    <sheet name="Fatigue Calculator (Imperial)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7" i="2" l="1"/>
  <c r="W16" i="2"/>
  <c r="W15" i="2"/>
  <c r="W14" i="2" l="1"/>
  <c r="Q19" i="2"/>
  <c r="Q13" i="2"/>
  <c r="Q11" i="2"/>
  <c r="Q10" i="2"/>
  <c r="Q8" i="2"/>
  <c r="W25" i="2"/>
  <c r="W19" i="2"/>
  <c r="W11" i="2"/>
  <c r="W10" i="2"/>
  <c r="W9" i="2"/>
  <c r="W21" i="2"/>
  <c r="W20" i="2"/>
  <c r="W13" i="2"/>
  <c r="W22" i="2" l="1"/>
  <c r="W7" i="2"/>
  <c r="W6" i="2"/>
  <c r="W8" i="2" s="1"/>
  <c r="W27" i="2" l="1"/>
  <c r="W26" i="2"/>
  <c r="W34" i="2"/>
  <c r="W23" i="2"/>
  <c r="W35" i="2" s="1"/>
  <c r="W24" i="2"/>
  <c r="W36" i="2" s="1"/>
  <c r="W12" i="2"/>
  <c r="W33" i="2" s="1"/>
  <c r="W32" i="2"/>
  <c r="W28" i="2" l="1"/>
  <c r="W37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Caiden Bonney</author>
  </authors>
  <commentList>
    <comment ref="W14" authorId="0" shapeId="0" xr:uid="{D4672683-FBFC-40CF-B034-F735C14BB8A4}">
      <text>
        <r>
          <rPr>
            <b/>
            <sz val="9"/>
            <color rgb="FF000000"/>
            <rFont val="Tahoma"/>
            <family val="2"/>
          </rPr>
          <t>Caiden Bonney: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From table on right</t>
        </r>
      </text>
    </comment>
    <comment ref="W17" authorId="0" shapeId="0" xr:uid="{A1AB6771-C64E-45B0-BDF5-DA5D39F7ABB1}">
      <text>
        <r>
          <rPr>
            <b/>
            <sz val="9"/>
            <color rgb="FF000000"/>
            <rFont val="Tahoma"/>
            <family val="2"/>
          </rPr>
          <t>Caiden Bonney: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If there is only axial stress then = 1 otherwise based on formulas on right</t>
        </r>
      </text>
    </comment>
    <comment ref="W18" authorId="0" shapeId="0" xr:uid="{F703F4F5-4124-4CC8-978B-542DA52DE5D2}">
      <text>
        <r>
          <rPr>
            <b/>
            <sz val="9"/>
            <color rgb="FF000000"/>
            <rFont val="Tahoma"/>
            <family val="2"/>
          </rPr>
          <t>Caiden Bonney: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(accounted for in Von Mises)</t>
        </r>
      </text>
    </comment>
    <comment ref="W19" authorId="0" shapeId="0" xr:uid="{BABFCAF5-15E5-4D6A-8142-DAD60C3494BD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From table on right</t>
        </r>
      </text>
    </comment>
    <comment ref="W20" authorId="0" shapeId="0" xr:uid="{0C6E53B3-39AD-4545-97B1-DB558BB30563}">
      <text>
        <r>
          <rPr>
            <b/>
            <sz val="9"/>
            <color rgb="FF000000"/>
            <rFont val="Tahoma"/>
            <family val="2"/>
          </rPr>
          <t>Caiden Bonney: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From table on right</t>
        </r>
      </text>
    </comment>
    <comment ref="W21" authorId="0" shapeId="0" xr:uid="{66FD2FD9-0A18-41EF-9FA6-F1DC5900E239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Given by operator</t>
        </r>
      </text>
    </comment>
  </commentList>
</comments>
</file>

<file path=xl/sharedStrings.xml><?xml version="1.0" encoding="utf-8"?>
<sst xmlns="http://schemas.openxmlformats.org/spreadsheetml/2006/main" count="192" uniqueCount="113">
  <si>
    <t>Nf (cycles)</t>
  </si>
  <si>
    <t>Sigma rev (MPa)</t>
  </si>
  <si>
    <t>Inputs</t>
  </si>
  <si>
    <t>Variable</t>
  </si>
  <si>
    <t>Value</t>
  </si>
  <si>
    <t>Units</t>
  </si>
  <si>
    <t>Description</t>
  </si>
  <si>
    <t>kpsi</t>
  </si>
  <si>
    <t>Tensile Strength</t>
  </si>
  <si>
    <t>Yield Strength</t>
  </si>
  <si>
    <r>
      <t>(σ</t>
    </r>
    <r>
      <rPr>
        <vertAlign val="subscript"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)</t>
    </r>
    <r>
      <rPr>
        <vertAlign val="subscript"/>
        <sz val="11"/>
        <color theme="1"/>
        <rFont val="Aptos Narrow"/>
        <family val="2"/>
        <scheme val="minor"/>
      </rPr>
      <t>bending</t>
    </r>
  </si>
  <si>
    <r>
      <t>S</t>
    </r>
    <r>
      <rPr>
        <vertAlign val="subscript"/>
        <sz val="11"/>
        <color theme="1"/>
        <rFont val="Aptos Narrow"/>
        <family val="2"/>
        <scheme val="minor"/>
      </rPr>
      <t>ut</t>
    </r>
  </si>
  <si>
    <r>
      <t>S</t>
    </r>
    <r>
      <rPr>
        <vertAlign val="subscript"/>
        <sz val="11"/>
        <color theme="1"/>
        <rFont val="Aptos Narrow"/>
        <family val="2"/>
        <scheme val="minor"/>
      </rPr>
      <t>y</t>
    </r>
  </si>
  <si>
    <r>
      <t>(σ</t>
    </r>
    <r>
      <rPr>
        <vertAlign val="subscript"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)</t>
    </r>
    <r>
      <rPr>
        <vertAlign val="subscript"/>
        <sz val="11"/>
        <color theme="1"/>
        <rFont val="Aptos Narrow"/>
        <family val="2"/>
        <scheme val="minor"/>
      </rPr>
      <t>axial</t>
    </r>
  </si>
  <si>
    <r>
      <t>(τ</t>
    </r>
    <r>
      <rPr>
        <vertAlign val="subscript"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)</t>
    </r>
    <r>
      <rPr>
        <vertAlign val="subscript"/>
        <sz val="11"/>
        <color theme="1"/>
        <rFont val="Aptos Narrow"/>
        <family val="2"/>
        <scheme val="minor"/>
      </rPr>
      <t>torsion</t>
    </r>
  </si>
  <si>
    <r>
      <t>(σ</t>
    </r>
    <r>
      <rPr>
        <vertAlign val="subscript"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>)</t>
    </r>
    <r>
      <rPr>
        <vertAlign val="subscript"/>
        <sz val="11"/>
        <color theme="1"/>
        <rFont val="Aptos Narrow"/>
        <family val="2"/>
        <scheme val="minor"/>
      </rPr>
      <t>bending</t>
    </r>
  </si>
  <si>
    <r>
      <t>(σ</t>
    </r>
    <r>
      <rPr>
        <vertAlign val="subscript"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>)</t>
    </r>
    <r>
      <rPr>
        <vertAlign val="subscript"/>
        <sz val="11"/>
        <color theme="1"/>
        <rFont val="Aptos Narrow"/>
        <family val="2"/>
        <scheme val="minor"/>
      </rPr>
      <t>axial</t>
    </r>
  </si>
  <si>
    <r>
      <t>(τ</t>
    </r>
    <r>
      <rPr>
        <vertAlign val="subscript"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>)</t>
    </r>
    <r>
      <rPr>
        <vertAlign val="subscript"/>
        <sz val="11"/>
        <color theme="1"/>
        <rFont val="Aptos Narrow"/>
        <family val="2"/>
        <scheme val="minor"/>
      </rPr>
      <t>torsion</t>
    </r>
  </si>
  <si>
    <t>-</t>
  </si>
  <si>
    <r>
      <t>(K</t>
    </r>
    <r>
      <rPr>
        <i/>
        <vertAlign val="subscript"/>
        <sz val="11"/>
        <color theme="1"/>
        <rFont val="Aptos Narrow"/>
        <family val="2"/>
        <scheme val="minor"/>
      </rPr>
      <t>f</t>
    </r>
    <r>
      <rPr>
        <sz val="11"/>
        <color theme="1"/>
        <rFont val="Aptos Narrow"/>
        <family val="2"/>
        <scheme val="minor"/>
      </rPr>
      <t>)</t>
    </r>
    <r>
      <rPr>
        <vertAlign val="subscript"/>
        <sz val="11"/>
        <color theme="1"/>
        <rFont val="Aptos Narrow"/>
        <family val="2"/>
        <scheme val="minor"/>
      </rPr>
      <t>bending</t>
    </r>
  </si>
  <si>
    <r>
      <t>(K</t>
    </r>
    <r>
      <rPr>
        <i/>
        <vertAlign val="subscript"/>
        <sz val="11"/>
        <color theme="1"/>
        <rFont val="Aptos Narrow"/>
        <family val="2"/>
        <scheme val="minor"/>
      </rPr>
      <t>f</t>
    </r>
    <r>
      <rPr>
        <sz val="11"/>
        <color theme="1"/>
        <rFont val="Aptos Narrow"/>
        <family val="2"/>
        <scheme val="minor"/>
      </rPr>
      <t>)</t>
    </r>
    <r>
      <rPr>
        <vertAlign val="subscript"/>
        <sz val="11"/>
        <color theme="1"/>
        <rFont val="Aptos Narrow"/>
        <family val="2"/>
        <scheme val="minor"/>
      </rPr>
      <t>axial</t>
    </r>
  </si>
  <si>
    <r>
      <t>(K</t>
    </r>
    <r>
      <rPr>
        <i/>
        <vertAlign val="subscript"/>
        <sz val="11"/>
        <color theme="1"/>
        <rFont val="Aptos Narrow"/>
        <family val="2"/>
        <scheme val="minor"/>
      </rPr>
      <t>fs</t>
    </r>
    <r>
      <rPr>
        <sz val="11"/>
        <color theme="1"/>
        <rFont val="Aptos Narrow"/>
        <family val="2"/>
        <scheme val="minor"/>
      </rPr>
      <t>)</t>
    </r>
    <r>
      <rPr>
        <vertAlign val="subscript"/>
        <sz val="11"/>
        <color theme="1"/>
        <rFont val="Aptos Narrow"/>
        <family val="2"/>
        <scheme val="minor"/>
      </rPr>
      <t>torsion</t>
    </r>
  </si>
  <si>
    <t>x</t>
  </si>
  <si>
    <r>
      <t>σ</t>
    </r>
    <r>
      <rPr>
        <vertAlign val="subscript"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'</t>
    </r>
  </si>
  <si>
    <r>
      <t>σ</t>
    </r>
    <r>
      <rPr>
        <vertAlign val="subscript"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>'</t>
    </r>
  </si>
  <si>
    <t>Midrange (Mean) stress caused by axial Loading</t>
  </si>
  <si>
    <t>Midrange (Mean) stress caused by bending</t>
  </si>
  <si>
    <t>Midrange (Mean) stress caused by torsion</t>
  </si>
  <si>
    <t>Alternating stress caused by bending</t>
  </si>
  <si>
    <t>Alternating stress caused by axial Loading</t>
  </si>
  <si>
    <t>Alternating stress caused by torsion</t>
  </si>
  <si>
    <t>Alternating Von Mises stress caused by bending</t>
  </si>
  <si>
    <t>Midrange (Mean) Von Mises stress caused by bending</t>
  </si>
  <si>
    <r>
      <t>η</t>
    </r>
    <r>
      <rPr>
        <i/>
        <vertAlign val="subscript"/>
        <sz val="11"/>
        <color theme="1"/>
        <rFont val="Aptos Narrow"/>
        <family val="2"/>
        <scheme val="minor"/>
      </rPr>
      <t>f</t>
    </r>
  </si>
  <si>
    <r>
      <t>σ</t>
    </r>
    <r>
      <rPr>
        <vertAlign val="subscript"/>
        <sz val="11"/>
        <color theme="1"/>
        <rFont val="Aptos Narrow"/>
        <family val="2"/>
        <scheme val="minor"/>
      </rPr>
      <t>max</t>
    </r>
    <r>
      <rPr>
        <sz val="11"/>
        <color theme="1"/>
        <rFont val="Aptos Narrow"/>
        <family val="2"/>
        <scheme val="minor"/>
      </rPr>
      <t>'</t>
    </r>
  </si>
  <si>
    <t>Max Von Mises effective stress</t>
  </si>
  <si>
    <r>
      <t>η</t>
    </r>
    <r>
      <rPr>
        <i/>
        <vertAlign val="subscript"/>
        <sz val="11"/>
        <color theme="1"/>
        <rFont val="Aptos Narrow"/>
        <family val="2"/>
        <scheme val="minor"/>
      </rPr>
      <t>y</t>
    </r>
  </si>
  <si>
    <t>Factor of Safety Yield</t>
  </si>
  <si>
    <r>
      <t>S</t>
    </r>
    <r>
      <rPr>
        <vertAlign val="subscript"/>
        <sz val="11"/>
        <color theme="1"/>
        <rFont val="Aptos Narrow"/>
        <family val="2"/>
        <scheme val="minor"/>
      </rPr>
      <t>e</t>
    </r>
    <r>
      <rPr>
        <sz val="11"/>
        <color theme="1"/>
        <rFont val="Aptos Narrow"/>
        <family val="2"/>
        <scheme val="minor"/>
      </rPr>
      <t>'</t>
    </r>
  </si>
  <si>
    <r>
      <t>k</t>
    </r>
    <r>
      <rPr>
        <vertAlign val="subscript"/>
        <sz val="11"/>
        <color theme="1"/>
        <rFont val="Aptos Narrow"/>
        <family val="2"/>
        <scheme val="minor"/>
      </rPr>
      <t>a</t>
    </r>
  </si>
  <si>
    <r>
      <t>k</t>
    </r>
    <r>
      <rPr>
        <vertAlign val="subscript"/>
        <sz val="11"/>
        <color theme="1"/>
        <rFont val="Aptos Narrow"/>
        <family val="2"/>
        <scheme val="minor"/>
      </rPr>
      <t>b</t>
    </r>
  </si>
  <si>
    <r>
      <t>k</t>
    </r>
    <r>
      <rPr>
        <vertAlign val="subscript"/>
        <sz val="11"/>
        <color theme="1"/>
        <rFont val="Aptos Narrow"/>
        <family val="2"/>
        <scheme val="minor"/>
      </rPr>
      <t>c</t>
    </r>
  </si>
  <si>
    <r>
      <t>k</t>
    </r>
    <r>
      <rPr>
        <vertAlign val="subscript"/>
        <sz val="11"/>
        <color theme="1"/>
        <rFont val="Aptos Narrow"/>
        <family val="2"/>
        <scheme val="minor"/>
      </rPr>
      <t>d</t>
    </r>
  </si>
  <si>
    <r>
      <t>k</t>
    </r>
    <r>
      <rPr>
        <vertAlign val="subscript"/>
        <sz val="11"/>
        <color theme="1"/>
        <rFont val="Aptos Narrow"/>
        <family val="2"/>
        <scheme val="minor"/>
      </rPr>
      <t>e</t>
    </r>
  </si>
  <si>
    <r>
      <t>k</t>
    </r>
    <r>
      <rPr>
        <vertAlign val="subscript"/>
        <sz val="11"/>
        <color theme="1"/>
        <rFont val="Aptos Narrow"/>
        <family val="2"/>
        <scheme val="minor"/>
      </rPr>
      <t>f</t>
    </r>
  </si>
  <si>
    <t>Surface factor</t>
  </si>
  <si>
    <t>Temperature factor</t>
  </si>
  <si>
    <t>Reliability factor</t>
  </si>
  <si>
    <t>Miscillaneous factor</t>
  </si>
  <si>
    <t>Size factor</t>
  </si>
  <si>
    <t>for combined loading its 1</t>
  </si>
  <si>
    <t>Load factor (accounted for in Von Mises)</t>
  </si>
  <si>
    <t>Surface Finish</t>
  </si>
  <si>
    <t>Exponent b</t>
  </si>
  <si>
    <t>Ground</t>
  </si>
  <si>
    <t>Machined or cold-drawn</t>
  </si>
  <si>
    <t>Hot-rolled</t>
  </si>
  <si>
    <t>As-forged</t>
  </si>
  <si>
    <t>Sut, kpsi</t>
  </si>
  <si>
    <t>Factor a</t>
  </si>
  <si>
    <t>Sut, MPa</t>
  </si>
  <si>
    <t>a</t>
  </si>
  <si>
    <t>Endurance Limit (initial estimate)</t>
  </si>
  <si>
    <t>b</t>
  </si>
  <si>
    <t>Factor a for ka</t>
  </si>
  <si>
    <t>Exponent b for ka</t>
  </si>
  <si>
    <t>All Given Stresses must be at the point of highest stress in the shaft</t>
  </si>
  <si>
    <t>Bending stress concentrator at the point of given bending stress</t>
  </si>
  <si>
    <t>Axial stress concentrator at the point of given axial stress</t>
  </si>
  <si>
    <t>Torsion stress concentrator at the point of given torsion stress</t>
  </si>
  <si>
    <t>Surface finish of shaft</t>
  </si>
  <si>
    <t>in</t>
  </si>
  <si>
    <t>Stress concentrators assumed to be 1 if blank</t>
  </si>
  <si>
    <t>Temperature (°C)</t>
  </si>
  <si>
    <t>Temperature (°F)</t>
  </si>
  <si>
    <t>ST/SRT</t>
  </si>
  <si>
    <t>Temperature</t>
  </si>
  <si>
    <t>°F</t>
  </si>
  <si>
    <t>Temperature of part for calculating temperature factor</t>
  </si>
  <si>
    <t>Reliability (%)</t>
  </si>
  <si>
    <t>Transformation Variate za</t>
  </si>
  <si>
    <t>Reliability Factor ke</t>
  </si>
  <si>
    <t>Reliability %</t>
  </si>
  <si>
    <t>%</t>
  </si>
  <si>
    <t>Requirement for reliability for the part</t>
  </si>
  <si>
    <t>factors assumed to be 1 if blank</t>
  </si>
  <si>
    <t>Assumed to be 1 if blank</t>
  </si>
  <si>
    <t>did not use this equation as the table provides values of ke</t>
  </si>
  <si>
    <t>if there is only axial force kb is 1</t>
  </si>
  <si>
    <r>
      <t>S</t>
    </r>
    <r>
      <rPr>
        <vertAlign val="subscript"/>
        <sz val="11"/>
        <color theme="1"/>
        <rFont val="Aptos Narrow"/>
        <family val="2"/>
        <scheme val="minor"/>
      </rPr>
      <t>e</t>
    </r>
  </si>
  <si>
    <t>Endurance Limit</t>
  </si>
  <si>
    <t>q</t>
  </si>
  <si>
    <t>Notch sensitivity</t>
  </si>
  <si>
    <r>
      <t>(K</t>
    </r>
    <r>
      <rPr>
        <i/>
        <vertAlign val="subscript"/>
        <sz val="11"/>
        <color theme="1"/>
        <rFont val="Aptos Narrow"/>
        <family val="2"/>
        <scheme val="minor"/>
      </rPr>
      <t>ts</t>
    </r>
    <r>
      <rPr>
        <sz val="11"/>
        <color theme="1"/>
        <rFont val="Aptos Narrow"/>
        <family val="2"/>
        <scheme val="minor"/>
      </rPr>
      <t>)</t>
    </r>
    <r>
      <rPr>
        <vertAlign val="subscript"/>
        <sz val="11"/>
        <color theme="1"/>
        <rFont val="Aptos Narrow"/>
        <family val="2"/>
        <scheme val="minor"/>
      </rPr>
      <t>torsion</t>
    </r>
  </si>
  <si>
    <r>
      <t>q</t>
    </r>
    <r>
      <rPr>
        <vertAlign val="subscript"/>
        <sz val="11"/>
        <color theme="1"/>
        <rFont val="Aptos Narrow"/>
        <family val="2"/>
        <scheme val="minor"/>
      </rPr>
      <t>s</t>
    </r>
  </si>
  <si>
    <t>Notch sensitivity shear</t>
  </si>
  <si>
    <r>
      <t>K</t>
    </r>
    <r>
      <rPr>
        <i/>
        <vertAlign val="subscript"/>
        <sz val="11"/>
        <color theme="1"/>
        <rFont val="Aptos Narrow"/>
        <family val="2"/>
        <scheme val="minor"/>
      </rPr>
      <t>t</t>
    </r>
  </si>
  <si>
    <t>Factor of Safety Fatigue</t>
  </si>
  <si>
    <r>
      <t>S</t>
    </r>
    <r>
      <rPr>
        <vertAlign val="subscript"/>
        <sz val="11"/>
        <color theme="1"/>
        <rFont val="Aptos Narrow"/>
        <family val="2"/>
        <scheme val="minor"/>
      </rPr>
      <t>f</t>
    </r>
  </si>
  <si>
    <t>Fatigue Strength</t>
  </si>
  <si>
    <t>f</t>
  </si>
  <si>
    <t>Fatigue strength fraction</t>
  </si>
  <si>
    <t>a used in the fatigue strength equations</t>
  </si>
  <si>
    <t>b used in the fatigue strength equations</t>
  </si>
  <si>
    <t>N</t>
  </si>
  <si>
    <t>Number of cycles before failure</t>
  </si>
  <si>
    <t>Outputs</t>
  </si>
  <si>
    <t>Important Values Pulled out</t>
  </si>
  <si>
    <t>Imperial Units</t>
  </si>
  <si>
    <t>Notch sensitivities assumed to be 1 if blank</t>
  </si>
  <si>
    <t>de</t>
  </si>
  <si>
    <t>Effective diameter of the shaft at the point of highest stress</t>
  </si>
  <si>
    <t>This table used in calculations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</si>
</sst>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i/>
      <vertAlign val="subscript"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99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2" borderId="2" xfId="0" applyFill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2" borderId="2" xfId="0" applyFill="1" applyBorder="1" applyAlignment="1">
      <alignment horizontal="center" vertical="center"/>
    </xf>
    <xf numFmtId="165" fontId="0" fillId="0" borderId="1" xfId="0" applyNumberFormat="1" applyBorder="1" applyAlignment="1">
      <alignment vertical="center"/>
    </xf>
    <xf numFmtId="0" fontId="0" fillId="3" borderId="1" xfId="0" applyFill="1" applyBorder="1" applyAlignment="1">
      <alignment vertical="center"/>
    </xf>
    <xf numFmtId="2" fontId="0" fillId="3" borderId="1" xfId="0" applyNumberFormat="1" applyFill="1" applyBorder="1" applyAlignment="1">
      <alignment vertical="center"/>
    </xf>
    <xf numFmtId="164" fontId="0" fillId="3" borderId="1" xfId="0" applyNumberForma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1" fontId="0" fillId="3" borderId="1" xfId="0" applyNumberFormat="1" applyFill="1" applyBorder="1" applyAlignment="1">
      <alignment vertical="center"/>
    </xf>
    <xf numFmtId="2" fontId="0" fillId="0" borderId="1" xfId="0" applyNumberFormat="1" applyBorder="1" applyAlignment="1">
      <alignment vertical="center"/>
    </xf>
    <xf numFmtId="1" fontId="0" fillId="0" borderId="1" xfId="0" applyNumberFormat="1" applyBorder="1" applyAlignment="1">
      <alignment vertical="center"/>
    </xf>
    <xf numFmtId="164" fontId="0" fillId="0" borderId="3" xfId="0" applyNumberFormat="1" applyBorder="1" applyAlignment="1">
      <alignment vertical="center"/>
    </xf>
    <xf numFmtId="0" fontId="1" fillId="3" borderId="4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99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9.8909702053029236E-2"/>
          <c:y val="2.177839749198017E-2"/>
          <c:w val="0.85230624817731115"/>
          <c:h val="0.85086061290949744"/>
        </c:manualLayout>
      </c:layout>
      <c:scatterChart>
        <c:scatterStyle val="lineMarker"/>
        <c:varyColors val="0"/>
        <c:ser>
          <c:idx val="0"/>
          <c:order val="0"/>
          <c:tx>
            <c:v>Experimental Data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-0.45891149023038785"/>
                  <c:y val="-0.231784351608826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'Problem 2'!$C$3:$C$7</c:f>
              <c:numCache>
                <c:formatCode>General</c:formatCode>
                <c:ptCount val="5"/>
                <c:pt idx="0">
                  <c:v>992</c:v>
                </c:pt>
                <c:pt idx="1">
                  <c:v>6004</c:v>
                </c:pt>
                <c:pt idx="2">
                  <c:v>14130</c:v>
                </c:pt>
                <c:pt idx="3">
                  <c:v>43860</c:v>
                </c:pt>
                <c:pt idx="4">
                  <c:v>132150</c:v>
                </c:pt>
              </c:numCache>
            </c:numRef>
          </c:xVal>
          <c:yVal>
            <c:numRef>
              <c:f>'Problem 2'!$B$3:$B$7</c:f>
              <c:numCache>
                <c:formatCode>General</c:formatCode>
                <c:ptCount val="5"/>
                <c:pt idx="0">
                  <c:v>834</c:v>
                </c:pt>
                <c:pt idx="1">
                  <c:v>703</c:v>
                </c:pt>
                <c:pt idx="2">
                  <c:v>631</c:v>
                </c:pt>
                <c:pt idx="3">
                  <c:v>579</c:v>
                </c:pt>
                <c:pt idx="4">
                  <c:v>524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932-4FF1-920F-EDCC44815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7344767"/>
        <c:axId val="1219936911"/>
      </c:scatterChart>
      <c:valAx>
        <c:axId val="12173447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Nf (cycles)</a:t>
                </a:r>
              </a:p>
            </c:rich>
          </c:tx>
          <c:layout>
            <c:manualLayout>
              <c:xMode val="edge"/>
              <c:yMode val="edge"/>
              <c:x val="0.44736858413531644"/>
              <c:y val="0.943532188684747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0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19936911"/>
        <c:crossesAt val="0"/>
        <c:crossBetween val="midCat"/>
      </c:valAx>
      <c:valAx>
        <c:axId val="1219936911"/>
        <c:scaling>
          <c:orientation val="minMax"/>
          <c:min val="45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Sigma rev (MPa)</a:t>
                </a:r>
              </a:p>
            </c:rich>
          </c:tx>
          <c:layout>
            <c:manualLayout>
              <c:xMode val="edge"/>
              <c:yMode val="edge"/>
              <c:x val="1.6706765820939048E-3"/>
              <c:y val="0.268043708078156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0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17344767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r"/>
      <c:layout>
        <c:manualLayout>
          <c:xMode val="edge"/>
          <c:yMode val="edge"/>
          <c:x val="0.5015133785360163"/>
          <c:y val="5.1260085544862458E-2"/>
          <c:w val="0.42815874174241225"/>
          <c:h val="0.15211431904345291"/>
        </c:manualLayout>
      </c:layout>
      <c:overlay val="0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" Type="http://schemas.openxmlformats.org/officeDocument/2006/relationships/image" Target="../media/image2.jpeg"/><Relationship Id="rId16" Type="http://schemas.openxmlformats.org/officeDocument/2006/relationships/image" Target="../media/image16.pn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pn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307042</xdr:colOff>
      <xdr:row>1</xdr:row>
      <xdr:rowOff>74323</xdr:rowOff>
    </xdr:from>
    <xdr:to>
      <xdr:col>12</xdr:col>
      <xdr:colOff>300777</xdr:colOff>
      <xdr:row>18</xdr:row>
      <xdr:rowOff>113009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872AD9-086C-828F-291D-CB7CA26DFC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323849</xdr:colOff>
      <xdr:row>1</xdr:row>
      <xdr:rowOff>104776</xdr:rowOff>
    </xdr:from>
    <xdr:to>
      <xdr:col>12</xdr:col>
      <xdr:colOff>601658</xdr:colOff>
      <xdr:row>39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C92FE6-9619-80D9-9436-5DBFA5795B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49" y="485776"/>
          <a:ext cx="6983409" cy="7134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326570</xdr:colOff>
      <xdr:row>39</xdr:row>
      <xdr:rowOff>72118</xdr:rowOff>
    </xdr:from>
    <xdr:to>
      <xdr:col>14</xdr:col>
      <xdr:colOff>1146591</xdr:colOff>
      <xdr:row>60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538D848-28D0-F7BF-6012-8FBEB96C60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170" y="7692118"/>
          <a:ext cx="8744821" cy="40903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209121</xdr:colOff>
      <xdr:row>10</xdr:row>
      <xdr:rowOff>32013</xdr:rowOff>
    </xdr:from>
    <xdr:to>
      <xdr:col>34</xdr:col>
      <xdr:colOff>273325</xdr:colOff>
      <xdr:row>16</xdr:row>
      <xdr:rowOff>65464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FBA3E85-204F-1B5D-216C-E09B5A32D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40730" y="2127513"/>
          <a:ext cx="4967509" cy="11764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132520</xdr:colOff>
      <xdr:row>4</xdr:row>
      <xdr:rowOff>112737</xdr:rowOff>
    </xdr:from>
    <xdr:to>
      <xdr:col>30</xdr:col>
      <xdr:colOff>12834</xdr:colOff>
      <xdr:row>9</xdr:row>
      <xdr:rowOff>107672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1A72A10-1129-395A-1008-8EFD24082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64129" y="1065237"/>
          <a:ext cx="2331967" cy="9474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225857</xdr:colOff>
      <xdr:row>15</xdr:row>
      <xdr:rowOff>144293</xdr:rowOff>
    </xdr:from>
    <xdr:to>
      <xdr:col>46</xdr:col>
      <xdr:colOff>610258</xdr:colOff>
      <xdr:row>23</xdr:row>
      <xdr:rowOff>140804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51598B3-1A0A-E4FC-536E-7F312D95F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46539" y="3001793"/>
          <a:ext cx="4783219" cy="1520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99670</xdr:colOff>
      <xdr:row>17</xdr:row>
      <xdr:rowOff>190499</xdr:rowOff>
    </xdr:from>
    <xdr:to>
      <xdr:col>32</xdr:col>
      <xdr:colOff>434669</xdr:colOff>
      <xdr:row>21</xdr:row>
      <xdr:rowOff>41413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3F20C99-97FF-B8B7-65BE-F102B8018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82931" y="3619499"/>
          <a:ext cx="1560825" cy="6129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53838</xdr:colOff>
      <xdr:row>34</xdr:row>
      <xdr:rowOff>38928</xdr:rowOff>
    </xdr:from>
    <xdr:to>
      <xdr:col>36</xdr:col>
      <xdr:colOff>448089</xdr:colOff>
      <xdr:row>42</xdr:row>
      <xdr:rowOff>94812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A82CA00-AD02-220E-C908-E4C7C95D0E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04088" y="6706428"/>
          <a:ext cx="5880652" cy="15798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350061</xdr:colOff>
      <xdr:row>43</xdr:row>
      <xdr:rowOff>140332</xdr:rowOff>
    </xdr:from>
    <xdr:to>
      <xdr:col>32</xdr:col>
      <xdr:colOff>300954</xdr:colOff>
      <xdr:row>50</xdr:row>
      <xdr:rowOff>95500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2311B69-4D84-850D-AF02-DA60566962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28736" y="8522332"/>
          <a:ext cx="2998894" cy="12886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511745</xdr:colOff>
      <xdr:row>54</xdr:row>
      <xdr:rowOff>57387</xdr:rowOff>
    </xdr:from>
    <xdr:to>
      <xdr:col>36</xdr:col>
      <xdr:colOff>272141</xdr:colOff>
      <xdr:row>74</xdr:row>
      <xdr:rowOff>157702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9F3328F-6CC0-17F4-A299-901169AB90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47495" y="10534887"/>
          <a:ext cx="5883611" cy="3910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124418</xdr:colOff>
      <xdr:row>78</xdr:row>
      <xdr:rowOff>170919</xdr:rowOff>
    </xdr:from>
    <xdr:to>
      <xdr:col>37</xdr:col>
      <xdr:colOff>352424</xdr:colOff>
      <xdr:row>93</xdr:row>
      <xdr:rowOff>150690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22C93E7-2E76-D719-59D6-83A207FB1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98868" y="15220419"/>
          <a:ext cx="6933608" cy="28372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149678</xdr:colOff>
      <xdr:row>74</xdr:row>
      <xdr:rowOff>163284</xdr:rowOff>
    </xdr:from>
    <xdr:to>
      <xdr:col>34</xdr:col>
      <xdr:colOff>108856</xdr:colOff>
      <xdr:row>78</xdr:row>
      <xdr:rowOff>105031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B5069E8-B886-1E0A-67D2-78892D5C4D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22392" y="14450784"/>
          <a:ext cx="3020786" cy="7037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40822</xdr:colOff>
      <xdr:row>51</xdr:row>
      <xdr:rowOff>108858</xdr:rowOff>
    </xdr:from>
    <xdr:to>
      <xdr:col>33</xdr:col>
      <xdr:colOff>326572</xdr:colOff>
      <xdr:row>55</xdr:row>
      <xdr:rowOff>22728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FA888A4-84C3-F7E8-42B9-4FCA5C411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25858" y="10014858"/>
          <a:ext cx="2122714" cy="6758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50</xdr:col>
      <xdr:colOff>201595</xdr:colOff>
      <xdr:row>3</xdr:row>
      <xdr:rowOff>138916</xdr:rowOff>
    </xdr:from>
    <xdr:to>
      <xdr:col>55</xdr:col>
      <xdr:colOff>351272</xdr:colOff>
      <xdr:row>7</xdr:row>
      <xdr:rowOff>96269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7BEE3A92-2935-D6AB-E817-C9E12B0DE8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49550" y="710416"/>
          <a:ext cx="3180358" cy="7193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47</xdr:col>
      <xdr:colOff>381001</xdr:colOff>
      <xdr:row>8</xdr:row>
      <xdr:rowOff>130753</xdr:rowOff>
    </xdr:from>
    <xdr:to>
      <xdr:col>58</xdr:col>
      <xdr:colOff>181265</xdr:colOff>
      <xdr:row>27</xdr:row>
      <xdr:rowOff>168853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2DC14BA1-1BD9-C8CD-DAB6-8E2E1CF21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10546" y="1654753"/>
          <a:ext cx="6467764" cy="3657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161926</xdr:colOff>
      <xdr:row>62</xdr:row>
      <xdr:rowOff>20939</xdr:rowOff>
    </xdr:from>
    <xdr:to>
      <xdr:col>14</xdr:col>
      <xdr:colOff>1088050</xdr:colOff>
      <xdr:row>85</xdr:row>
      <xdr:rowOff>134467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82025AE-73AD-34C2-4F15-744C5F6F4B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71526" y="12022439"/>
          <a:ext cx="8850924" cy="4495028"/>
        </a:xfrm>
        <a:prstGeom prst="rect">
          <a:avLst/>
        </a:prstGeom>
      </xdr:spPr>
    </xdr:pic>
    <xdr:clientData/>
  </xdr:twoCellAnchor>
  <xdr:twoCellAnchor editAs="oneCell">
    <xdr:from>
      <xdr:col>1</xdr:col>
      <xdr:colOff>106634</xdr:colOff>
      <xdr:row>86</xdr:row>
      <xdr:rowOff>38100</xdr:rowOff>
    </xdr:from>
    <xdr:to>
      <xdr:col>14</xdr:col>
      <xdr:colOff>1356268</xdr:colOff>
      <xdr:row>110</xdr:row>
      <xdr:rowOff>1096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9F72F6A-F808-75C2-553F-011D15B2FB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16234" y="16611600"/>
          <a:ext cx="9174434" cy="4534996"/>
        </a:xfrm>
        <a:prstGeom prst="rect">
          <a:avLst/>
        </a:prstGeom>
      </xdr:spPr>
    </xdr:pic>
    <xdr:clientData/>
  </xdr:twoCellAnchor>
  <xdr:twoCellAnchor editAs="oneCell">
    <xdr:from>
      <xdr:col>47</xdr:col>
      <xdr:colOff>550922</xdr:colOff>
      <xdr:row>29</xdr:row>
      <xdr:rowOff>55284</xdr:rowOff>
    </xdr:from>
    <xdr:to>
      <xdr:col>58</xdr:col>
      <xdr:colOff>53287</xdr:colOff>
      <xdr:row>65</xdr:row>
      <xdr:rowOff>96315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233C0217-6EF8-0FF1-88F7-860D2E11EC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980467" y="5579784"/>
          <a:ext cx="6169865" cy="6899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530088</xdr:colOff>
      <xdr:row>22</xdr:row>
      <xdr:rowOff>39596</xdr:rowOff>
    </xdr:from>
    <xdr:to>
      <xdr:col>36</xdr:col>
      <xdr:colOff>260327</xdr:colOff>
      <xdr:row>31</xdr:row>
      <xdr:rowOff>49695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77293E8E-DEA0-8312-B57A-D8F165C39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84979" y="4230596"/>
          <a:ext cx="5246457" cy="17245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7"/>
  <sheetViews>
    <sheetView zoomScale="130" zoomScaleNormal="130" workbookViewId="0">
      <selection activeCell="B36" sqref="B36"/>
    </sheetView>
  </sheetViews>
  <sheetFormatPr defaultColWidth="9.140625" defaultRowHeight="15" x14ac:dyDescent="0.25"/>
  <cols>
    <col min="1" max="1" width="9.140625" style="4"/>
    <col min="2" max="2" width="15.42578125" style="4" bestFit="1" customWidth="1"/>
    <col min="3" max="3" width="10.28515625" style="4" bestFit="1" customWidth="1"/>
    <col min="4" max="16384" width="9.140625" style="4"/>
  </cols>
  <sheetData>
    <row r="2" spans="2:3" ht="15.75" thickBot="1" x14ac:dyDescent="0.3">
      <c r="B2" s="1" t="s">
        <v>1</v>
      </c>
      <c r="C2" s="1" t="s">
        <v>0</v>
      </c>
    </row>
    <row r="3" spans="2:3" ht="15.75" thickTop="1" x14ac:dyDescent="0.25">
      <c r="B3" s="2">
        <v>834</v>
      </c>
      <c r="C3" s="2">
        <v>992</v>
      </c>
    </row>
    <row r="4" spans="2:3" x14ac:dyDescent="0.25">
      <c r="B4" s="3">
        <v>703</v>
      </c>
      <c r="C4" s="3">
        <v>6004</v>
      </c>
    </row>
    <row r="5" spans="2:3" x14ac:dyDescent="0.25">
      <c r="B5" s="3">
        <v>631</v>
      </c>
      <c r="C5" s="3">
        <v>14130</v>
      </c>
    </row>
    <row r="6" spans="2:3" x14ac:dyDescent="0.25">
      <c r="B6" s="3">
        <v>579</v>
      </c>
      <c r="C6" s="3">
        <v>43860</v>
      </c>
    </row>
    <row r="7" spans="2:3" x14ac:dyDescent="0.25">
      <c r="B7" s="3">
        <v>524</v>
      </c>
      <c r="C7" s="3">
        <v>132150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22ADA-87E7-4175-BD46-5BB224ED526C}">
  <dimension ref="O2:BQ89"/>
  <sheetViews>
    <sheetView tabSelected="1" topLeftCell="M1" zoomScaleNormal="100" workbookViewId="0">
      <selection activeCell="S29" sqref="S29"/>
    </sheetView>
  </sheetViews>
  <sheetFormatPr defaultColWidth="9.140625" defaultRowHeight="15" customHeight="1" x14ac:dyDescent="0.25"/>
  <cols>
    <col min="1" max="3" width="9.140625" style="4"/>
    <col min="4" max="4" width="9.140625" style="4" customWidth="1"/>
    <col min="5" max="14" width="9.140625" style="4"/>
    <col min="15" max="15" width="24.28515625" style="4" customWidth="1"/>
    <col min="16" max="16" width="13.42578125" style="4" bestFit="1" customWidth="1"/>
    <col min="17" max="17" width="23" style="4" bestFit="1" customWidth="1"/>
    <col min="18" max="18" width="5.42578125" style="4" bestFit="1" customWidth="1"/>
    <col min="19" max="19" width="56.42578125" style="4" bestFit="1" customWidth="1"/>
    <col min="20" max="20" width="9.140625" style="4"/>
    <col min="21" max="21" width="9.42578125" style="4" customWidth="1"/>
    <col min="22" max="22" width="9.28515625" style="4" bestFit="1" customWidth="1"/>
    <col min="23" max="23" width="14.28515625" style="4" customWidth="1"/>
    <col min="24" max="24" width="5.42578125" style="4" bestFit="1" customWidth="1"/>
    <col min="25" max="25" width="57.85546875" style="4" bestFit="1" customWidth="1"/>
    <col min="26" max="38" width="9.140625" style="4"/>
    <col min="39" max="39" width="23" style="4" bestFit="1" customWidth="1"/>
    <col min="40" max="40" width="24.28515625" style="4" bestFit="1" customWidth="1"/>
    <col min="41" max="41" width="18.42578125" style="4" bestFit="1" customWidth="1"/>
    <col min="42" max="42" width="10.42578125" style="4" bestFit="1" customWidth="1"/>
    <col min="43" max="43" width="9.140625" style="4"/>
    <col min="44" max="44" width="23" style="4" bestFit="1" customWidth="1"/>
    <col min="45" max="45" width="24.28515625" style="4" bestFit="1" customWidth="1"/>
    <col min="46" max="46" width="18.42578125" style="4" bestFit="1" customWidth="1"/>
    <col min="47" max="47" width="10.42578125" style="4" bestFit="1" customWidth="1"/>
    <col min="48" max="16384" width="9.140625" style="4"/>
  </cols>
  <sheetData>
    <row r="2" spans="15:69" ht="15" customHeight="1" x14ac:dyDescent="0.25">
      <c r="P2" s="4" t="s">
        <v>108</v>
      </c>
    </row>
    <row r="4" spans="15:69" ht="15" customHeight="1" x14ac:dyDescent="0.25">
      <c r="P4" s="31" t="s">
        <v>2</v>
      </c>
      <c r="Q4" s="31"/>
      <c r="R4" s="31"/>
      <c r="S4" s="31"/>
      <c r="V4" s="32" t="s">
        <v>106</v>
      </c>
      <c r="W4" s="32"/>
      <c r="X4" s="32"/>
      <c r="Y4" s="32"/>
      <c r="BQ4" s="4" t="s">
        <v>22</v>
      </c>
    </row>
    <row r="5" spans="15:69" ht="15" customHeight="1" thickBot="1" x14ac:dyDescent="0.3">
      <c r="P5" s="16" t="s">
        <v>3</v>
      </c>
      <c r="Q5" s="16" t="s">
        <v>4</v>
      </c>
      <c r="R5" s="16" t="s">
        <v>5</v>
      </c>
      <c r="S5" s="8" t="s">
        <v>6</v>
      </c>
      <c r="V5" s="16" t="s">
        <v>3</v>
      </c>
      <c r="W5" s="16" t="s">
        <v>4</v>
      </c>
      <c r="X5" s="16" t="s">
        <v>5</v>
      </c>
      <c r="Y5" s="8" t="s">
        <v>6</v>
      </c>
    </row>
    <row r="6" spans="15:69" ht="15" customHeight="1" thickTop="1" x14ac:dyDescent="0.25">
      <c r="P6" s="9" t="s">
        <v>11</v>
      </c>
      <c r="Q6" s="9">
        <v>64</v>
      </c>
      <c r="R6" s="9" t="s">
        <v>7</v>
      </c>
      <c r="S6" s="9" t="s">
        <v>8</v>
      </c>
      <c r="V6" s="9" t="s">
        <v>23</v>
      </c>
      <c r="W6" s="25">
        <f>SQRT((((W9*Q8)+(W10*Q9/0.85))^2)+(3*(W11*Q10)^2))</f>
        <v>27.119596787563047</v>
      </c>
      <c r="X6" s="9" t="s">
        <v>7</v>
      </c>
      <c r="Y6" s="9" t="s">
        <v>31</v>
      </c>
    </row>
    <row r="7" spans="15:69" ht="15" customHeight="1" x14ac:dyDescent="0.25">
      <c r="P7" s="10" t="s">
        <v>12</v>
      </c>
      <c r="Q7" s="10">
        <v>54</v>
      </c>
      <c r="R7" s="10" t="s">
        <v>7</v>
      </c>
      <c r="S7" s="10" t="s">
        <v>9</v>
      </c>
      <c r="V7" s="10" t="s">
        <v>24</v>
      </c>
      <c r="W7" s="11">
        <f>SQRT((((IF(ISBLANK(W9), 1, W9)*Q11)+(IF(ISBLANK(W10), 1, W10)*Q12/0.85))^2)+(3*(IF(ISBLANK(W11), 1, W11)*Q13)^2))</f>
        <v>27.119596787563047</v>
      </c>
      <c r="X7" s="10" t="s">
        <v>7</v>
      </c>
      <c r="Y7" s="10" t="s">
        <v>32</v>
      </c>
    </row>
    <row r="8" spans="15:69" ht="15" customHeight="1" x14ac:dyDescent="0.25">
      <c r="O8" s="30" t="s">
        <v>66</v>
      </c>
      <c r="P8" s="10" t="s">
        <v>10</v>
      </c>
      <c r="Q8" s="10">
        <f>28/2</f>
        <v>14</v>
      </c>
      <c r="R8" s="10" t="s">
        <v>7</v>
      </c>
      <c r="S8" s="10" t="s">
        <v>28</v>
      </c>
      <c r="V8" s="18" t="s">
        <v>34</v>
      </c>
      <c r="W8" s="20">
        <f>MAX(W6+W7,ABS(-W6+W7))</f>
        <v>54.239193575126095</v>
      </c>
      <c r="X8" s="18" t="s">
        <v>7</v>
      </c>
      <c r="Y8" s="18" t="s">
        <v>35</v>
      </c>
    </row>
    <row r="9" spans="15:69" ht="15" customHeight="1" x14ac:dyDescent="0.25">
      <c r="O9" s="30"/>
      <c r="P9" s="10" t="s">
        <v>13</v>
      </c>
      <c r="Q9" s="10"/>
      <c r="R9" s="10" t="s">
        <v>7</v>
      </c>
      <c r="S9" s="10" t="s">
        <v>29</v>
      </c>
      <c r="V9" s="10" t="s">
        <v>19</v>
      </c>
      <c r="W9" s="10">
        <f>1+IF(ISBLANK(Q16), 1, Q16)*(IF(ISBLANK(Q14), 1, Q14)-1)</f>
        <v>1.4740000000000002</v>
      </c>
      <c r="X9" s="10" t="s">
        <v>18</v>
      </c>
      <c r="Y9" s="10" t="s">
        <v>67</v>
      </c>
    </row>
    <row r="10" spans="15:69" ht="15" customHeight="1" x14ac:dyDescent="0.25">
      <c r="O10" s="30"/>
      <c r="P10" s="10" t="s">
        <v>14</v>
      </c>
      <c r="Q10" s="10">
        <f>15.3/2</f>
        <v>7.65</v>
      </c>
      <c r="R10" s="10" t="s">
        <v>7</v>
      </c>
      <c r="S10" s="10" t="s">
        <v>30</v>
      </c>
      <c r="V10" s="10" t="s">
        <v>20</v>
      </c>
      <c r="W10" s="10">
        <f>1+IF(ISBLANK(Q16), 1, Q16)*(IF(ISBLANK(Q14), 1, Q14)-1)</f>
        <v>1.4740000000000002</v>
      </c>
      <c r="X10" s="10" t="s">
        <v>18</v>
      </c>
      <c r="Y10" s="10" t="s">
        <v>68</v>
      </c>
    </row>
    <row r="11" spans="15:69" ht="15" customHeight="1" x14ac:dyDescent="0.25">
      <c r="O11" s="30"/>
      <c r="P11" s="10" t="s">
        <v>15</v>
      </c>
      <c r="Q11" s="10">
        <f>Q8</f>
        <v>14</v>
      </c>
      <c r="R11" s="10" t="s">
        <v>7</v>
      </c>
      <c r="S11" s="12" t="s">
        <v>26</v>
      </c>
      <c r="V11" s="10" t="s">
        <v>21</v>
      </c>
      <c r="W11" s="10">
        <f>1+IF(ISBLANK(Q17), 1, Q17)*(IF(ISBLANK(Q15), 1, Q15)-1)</f>
        <v>1.3279999999999998</v>
      </c>
      <c r="X11" s="10" t="s">
        <v>18</v>
      </c>
      <c r="Y11" s="10" t="s">
        <v>69</v>
      </c>
    </row>
    <row r="12" spans="15:69" ht="15" customHeight="1" x14ac:dyDescent="0.25">
      <c r="O12" s="30"/>
      <c r="P12" s="10" t="s">
        <v>16</v>
      </c>
      <c r="Q12" s="10"/>
      <c r="R12" s="10" t="s">
        <v>7</v>
      </c>
      <c r="S12" s="13" t="s">
        <v>25</v>
      </c>
      <c r="V12" s="18" t="s">
        <v>36</v>
      </c>
      <c r="W12" s="19">
        <f>Q7/W8</f>
        <v>0.99559002338788849</v>
      </c>
      <c r="X12" s="18" t="s">
        <v>18</v>
      </c>
      <c r="Y12" s="18" t="s">
        <v>37</v>
      </c>
    </row>
    <row r="13" spans="15:69" ht="15" customHeight="1" x14ac:dyDescent="0.25">
      <c r="O13" s="30"/>
      <c r="P13" s="10" t="s">
        <v>17</v>
      </c>
      <c r="Q13" s="10">
        <f>Q10</f>
        <v>7.65</v>
      </c>
      <c r="R13" s="10" t="s">
        <v>7</v>
      </c>
      <c r="S13" s="13" t="s">
        <v>27</v>
      </c>
      <c r="V13" s="10" t="s">
        <v>38</v>
      </c>
      <c r="W13" s="10">
        <f>IF(Q6&lt;=200,Q6/2,100)</f>
        <v>32</v>
      </c>
      <c r="X13" s="10" t="s">
        <v>7</v>
      </c>
      <c r="Y13" s="10" t="s">
        <v>62</v>
      </c>
    </row>
    <row r="14" spans="15:69" ht="15" customHeight="1" x14ac:dyDescent="0.25">
      <c r="O14" s="27" t="s">
        <v>72</v>
      </c>
      <c r="P14" s="10" t="s">
        <v>96</v>
      </c>
      <c r="Q14" s="10">
        <v>1.6</v>
      </c>
      <c r="R14" s="10" t="s">
        <v>18</v>
      </c>
      <c r="S14" s="10" t="s">
        <v>68</v>
      </c>
      <c r="U14" s="27" t="s">
        <v>85</v>
      </c>
      <c r="V14" s="10" t="s">
        <v>39</v>
      </c>
      <c r="W14" s="11">
        <f>W15*((Q6)^(W16))</f>
        <v>0.89686292451514538</v>
      </c>
      <c r="X14" s="10" t="s">
        <v>18</v>
      </c>
      <c r="Y14" s="12" t="s">
        <v>45</v>
      </c>
    </row>
    <row r="15" spans="15:69" ht="15" customHeight="1" x14ac:dyDescent="0.25">
      <c r="O15" s="28"/>
      <c r="P15" s="10" t="s">
        <v>93</v>
      </c>
      <c r="Q15" s="10">
        <v>1.4</v>
      </c>
      <c r="R15" s="10" t="s">
        <v>18</v>
      </c>
      <c r="S15" s="10" t="s">
        <v>69</v>
      </c>
      <c r="U15" s="29"/>
      <c r="V15" s="10" t="s">
        <v>61</v>
      </c>
      <c r="W15" s="10">
        <f>VLOOKUP(Q18, AM28:AP31, 2, FALSE)</f>
        <v>2.7</v>
      </c>
      <c r="X15" s="10" t="s">
        <v>18</v>
      </c>
      <c r="Y15" s="12" t="s">
        <v>64</v>
      </c>
    </row>
    <row r="16" spans="15:69" x14ac:dyDescent="0.25">
      <c r="O16" s="27" t="s">
        <v>109</v>
      </c>
      <c r="P16" s="10" t="s">
        <v>91</v>
      </c>
      <c r="Q16" s="10">
        <v>0.79</v>
      </c>
      <c r="R16" s="10" t="s">
        <v>18</v>
      </c>
      <c r="S16" s="12" t="s">
        <v>92</v>
      </c>
      <c r="U16" s="29"/>
      <c r="V16" s="10" t="s">
        <v>63</v>
      </c>
      <c r="W16" s="10">
        <f>VLOOKUP(Q18, AM28:AP31, 4, FALSE)</f>
        <v>-0.26500000000000001</v>
      </c>
      <c r="X16" s="10" t="s">
        <v>18</v>
      </c>
      <c r="Y16" s="12" t="s">
        <v>65</v>
      </c>
    </row>
    <row r="17" spans="15:47" ht="15" customHeight="1" x14ac:dyDescent="0.25">
      <c r="O17" s="28"/>
      <c r="P17" s="10" t="s">
        <v>94</v>
      </c>
      <c r="Q17" s="10">
        <v>0.82</v>
      </c>
      <c r="R17" s="10" t="s">
        <v>18</v>
      </c>
      <c r="S17" s="12" t="s">
        <v>95</v>
      </c>
      <c r="U17" s="29"/>
      <c r="V17" s="10" t="s">
        <v>40</v>
      </c>
      <c r="W17" s="11">
        <f>IF(AND(OR(ISBLANK(Q8),0),OR(ISBLANK(Q11),0),OR(ISBLANK(Q10),0),OR(ISBLANK(Q13),0)),1,IF(AND((0.3&lt;=Q19),(Q19&lt;=2)),((Q19/0.3)^(-0.107)),IF(AND((2&lt;Q19),(Q19&lt;=10)),((0.91*Q19)^(-0.157)),"Out of Bounds")))</f>
        <v>0.97780980936081452</v>
      </c>
      <c r="X17" s="10" t="s">
        <v>18</v>
      </c>
      <c r="Y17" s="12" t="s">
        <v>49</v>
      </c>
    </row>
    <row r="18" spans="15:47" ht="15" customHeight="1" x14ac:dyDescent="0.25">
      <c r="P18" s="10" t="s">
        <v>52</v>
      </c>
      <c r="Q18" s="10" t="s">
        <v>55</v>
      </c>
      <c r="R18" s="10" t="s">
        <v>18</v>
      </c>
      <c r="S18" s="13" t="s">
        <v>70</v>
      </c>
      <c r="U18" s="29"/>
      <c r="V18" s="10" t="s">
        <v>41</v>
      </c>
      <c r="W18" s="10">
        <v>1</v>
      </c>
      <c r="X18" s="10" t="s">
        <v>18</v>
      </c>
      <c r="Y18" s="12" t="s">
        <v>51</v>
      </c>
    </row>
    <row r="19" spans="15:47" ht="15" customHeight="1" x14ac:dyDescent="0.25">
      <c r="P19" s="10" t="s">
        <v>110</v>
      </c>
      <c r="Q19" s="10">
        <f>0.37</f>
        <v>0.37</v>
      </c>
      <c r="R19" s="10" t="s">
        <v>71</v>
      </c>
      <c r="S19" s="13" t="s">
        <v>111</v>
      </c>
      <c r="U19" s="29"/>
      <c r="V19" s="10" t="s">
        <v>42</v>
      </c>
      <c r="W19" s="10">
        <f>VLOOKUP(Q20, AO56:AP67, 2, FALSE)</f>
        <v>1</v>
      </c>
      <c r="X19" s="10" t="s">
        <v>18</v>
      </c>
      <c r="Y19" s="12" t="s">
        <v>46</v>
      </c>
    </row>
    <row r="20" spans="15:47" ht="15" customHeight="1" x14ac:dyDescent="0.25">
      <c r="P20" s="5" t="s">
        <v>76</v>
      </c>
      <c r="Q20" s="10">
        <v>70</v>
      </c>
      <c r="R20" s="10" t="s">
        <v>77</v>
      </c>
      <c r="S20" s="13" t="s">
        <v>78</v>
      </c>
      <c r="U20" s="29"/>
      <c r="V20" s="10" t="s">
        <v>43</v>
      </c>
      <c r="W20" s="10">
        <f>VLOOKUP(Q21, AM84:AO89, 3, FALSE)</f>
        <v>1</v>
      </c>
      <c r="X20" s="10" t="s">
        <v>18</v>
      </c>
      <c r="Y20" s="12" t="s">
        <v>47</v>
      </c>
    </row>
    <row r="21" spans="15:47" ht="15" customHeight="1" x14ac:dyDescent="0.25">
      <c r="P21" s="9" t="s">
        <v>82</v>
      </c>
      <c r="Q21" s="10">
        <v>50</v>
      </c>
      <c r="R21" s="10" t="s">
        <v>83</v>
      </c>
      <c r="S21" s="13" t="s">
        <v>84</v>
      </c>
      <c r="U21" s="28"/>
      <c r="V21" s="10" t="s">
        <v>44</v>
      </c>
      <c r="W21" s="10">
        <f>IF(ISBLANK(Q22),1,Q22)</f>
        <v>1</v>
      </c>
      <c r="X21" s="10" t="s">
        <v>18</v>
      </c>
      <c r="Y21" s="12" t="s">
        <v>48</v>
      </c>
    </row>
    <row r="22" spans="15:47" ht="15" customHeight="1" x14ac:dyDescent="0.25">
      <c r="O22" s="14" t="s">
        <v>86</v>
      </c>
      <c r="P22" s="10" t="s">
        <v>44</v>
      </c>
      <c r="Q22" s="10"/>
      <c r="R22" s="10" t="s">
        <v>18</v>
      </c>
      <c r="S22" s="12" t="s">
        <v>48</v>
      </c>
      <c r="V22" s="18" t="s">
        <v>89</v>
      </c>
      <c r="W22" s="20">
        <f>PRODUCT(W13,W14,W17,W18,W19,W20,W21)</f>
        <v>28.06276368777398</v>
      </c>
      <c r="X22" s="18" t="s">
        <v>7</v>
      </c>
      <c r="Y22" s="21" t="s">
        <v>90</v>
      </c>
    </row>
    <row r="23" spans="15:47" ht="15" customHeight="1" x14ac:dyDescent="0.25">
      <c r="V23" s="18" t="s">
        <v>33</v>
      </c>
      <c r="W23" s="20">
        <f>((W6/W22)+(W7/Q6))^-1</f>
        <v>0.71935485136494215</v>
      </c>
      <c r="X23" s="18" t="s">
        <v>18</v>
      </c>
      <c r="Y23" s="18" t="s">
        <v>97</v>
      </c>
    </row>
    <row r="24" spans="15:47" ht="15" customHeight="1" x14ac:dyDescent="0.25">
      <c r="V24" s="18" t="s">
        <v>98</v>
      </c>
      <c r="W24" s="19">
        <f>((1-(W7/Q6))/W6)^-1</f>
        <v>47.061692476798378</v>
      </c>
      <c r="X24" s="18" t="s">
        <v>7</v>
      </c>
      <c r="Y24" s="18" t="s">
        <v>99</v>
      </c>
    </row>
    <row r="25" spans="15:47" ht="15" customHeight="1" x14ac:dyDescent="0.25">
      <c r="V25" s="10" t="s">
        <v>100</v>
      </c>
      <c r="W25" s="11">
        <f>IF(70&lt;Q6,IF(Q6&lt;200,1.06-2.8*(10^-3)*Q6+6.9*(10^-6)*(Q6^2),"Out of Bounds"),0.9)</f>
        <v>0.9</v>
      </c>
      <c r="X25" s="10" t="s">
        <v>18</v>
      </c>
      <c r="Y25" s="10" t="s">
        <v>101</v>
      </c>
      <c r="AM25" s="35" t="s">
        <v>112</v>
      </c>
      <c r="AN25" s="35"/>
      <c r="AO25" s="35"/>
      <c r="AP25" s="35"/>
    </row>
    <row r="26" spans="15:47" ht="15" customHeight="1" x14ac:dyDescent="0.25">
      <c r="V26" s="10" t="s">
        <v>61</v>
      </c>
      <c r="W26" s="17">
        <f>((W25*Q6)^2)/W22</f>
        <v>118.22641693146704</v>
      </c>
      <c r="X26" s="10" t="s">
        <v>18</v>
      </c>
      <c r="Y26" s="10" t="s">
        <v>102</v>
      </c>
      <c r="AM26" s="33" t="s">
        <v>52</v>
      </c>
      <c r="AN26" s="33" t="s">
        <v>59</v>
      </c>
      <c r="AO26" s="33"/>
      <c r="AP26" s="33" t="s">
        <v>53</v>
      </c>
      <c r="AR26" s="33" t="s">
        <v>52</v>
      </c>
      <c r="AS26" s="33" t="s">
        <v>59</v>
      </c>
      <c r="AT26" s="33"/>
      <c r="AU26" s="33" t="s">
        <v>53</v>
      </c>
    </row>
    <row r="27" spans="15:47" ht="15" customHeight="1" thickBot="1" x14ac:dyDescent="0.3">
      <c r="V27" s="10" t="s">
        <v>63</v>
      </c>
      <c r="W27" s="11">
        <f>-1*LOG10((W25*Q6)/W22)/3</f>
        <v>-0.10409734809007114</v>
      </c>
      <c r="X27" s="10" t="s">
        <v>18</v>
      </c>
      <c r="Y27" s="10" t="s">
        <v>103</v>
      </c>
      <c r="AM27" s="34"/>
      <c r="AN27" s="7" t="s">
        <v>58</v>
      </c>
      <c r="AO27" s="7" t="s">
        <v>60</v>
      </c>
      <c r="AP27" s="34"/>
      <c r="AR27" s="34"/>
      <c r="AS27" s="7" t="s">
        <v>58</v>
      </c>
      <c r="AT27" s="7" t="s">
        <v>60</v>
      </c>
      <c r="AU27" s="34"/>
    </row>
    <row r="28" spans="15:47" ht="15" customHeight="1" thickTop="1" x14ac:dyDescent="0.25">
      <c r="V28" s="18" t="s">
        <v>104</v>
      </c>
      <c r="W28" s="22">
        <f>(W24/W26)^(1/W27)</f>
        <v>6966.4003347336075</v>
      </c>
      <c r="X28" s="18" t="s">
        <v>18</v>
      </c>
      <c r="Y28" s="18" t="s">
        <v>105</v>
      </c>
      <c r="AM28" s="6" t="s">
        <v>54</v>
      </c>
      <c r="AN28" s="6">
        <v>1.34</v>
      </c>
      <c r="AO28" s="6">
        <v>1.58</v>
      </c>
      <c r="AP28" s="6">
        <v>-8.5000000000000006E-2</v>
      </c>
      <c r="AR28" s="6" t="s">
        <v>54</v>
      </c>
      <c r="AS28" s="6">
        <v>1.21</v>
      </c>
      <c r="AT28" s="6">
        <v>1.38</v>
      </c>
      <c r="AU28" s="6">
        <v>-6.7000000000000004E-2</v>
      </c>
    </row>
    <row r="29" spans="15:47" ht="15" customHeight="1" x14ac:dyDescent="0.25">
      <c r="AM29" s="5" t="s">
        <v>55</v>
      </c>
      <c r="AN29" s="5">
        <v>2.7</v>
      </c>
      <c r="AO29" s="5">
        <v>4.51</v>
      </c>
      <c r="AP29" s="5">
        <v>-0.26500000000000001</v>
      </c>
      <c r="AR29" s="5" t="s">
        <v>55</v>
      </c>
      <c r="AS29" s="5">
        <v>2</v>
      </c>
      <c r="AT29" s="5">
        <v>3.04</v>
      </c>
      <c r="AU29" s="5">
        <v>-0.217</v>
      </c>
    </row>
    <row r="30" spans="15:47" ht="15" customHeight="1" x14ac:dyDescent="0.25">
      <c r="V30" s="26" t="s">
        <v>107</v>
      </c>
      <c r="W30" s="26"/>
      <c r="X30" s="26"/>
      <c r="Y30" s="26"/>
      <c r="AM30" s="5" t="s">
        <v>56</v>
      </c>
      <c r="AN30" s="5">
        <v>14.4</v>
      </c>
      <c r="AO30" s="5">
        <v>57.7</v>
      </c>
      <c r="AP30" s="5">
        <v>-0.71799999999999997</v>
      </c>
      <c r="AR30" s="5" t="s">
        <v>56</v>
      </c>
      <c r="AS30" s="5">
        <v>11</v>
      </c>
      <c r="AT30" s="5">
        <v>38.6</v>
      </c>
      <c r="AU30" s="5">
        <v>-0.65</v>
      </c>
    </row>
    <row r="31" spans="15:47" ht="15" customHeight="1" thickBot="1" x14ac:dyDescent="0.3">
      <c r="V31" s="16" t="s">
        <v>3</v>
      </c>
      <c r="W31" s="16" t="s">
        <v>4</v>
      </c>
      <c r="X31" s="16" t="s">
        <v>5</v>
      </c>
      <c r="Y31" s="8" t="s">
        <v>6</v>
      </c>
      <c r="AM31" s="5" t="s">
        <v>57</v>
      </c>
      <c r="AN31" s="5">
        <v>39.9</v>
      </c>
      <c r="AO31" s="5">
        <v>272</v>
      </c>
      <c r="AP31" s="5">
        <v>-0.995</v>
      </c>
      <c r="AR31" s="5" t="s">
        <v>57</v>
      </c>
      <c r="AS31" s="5">
        <v>12.7</v>
      </c>
      <c r="AT31" s="5">
        <v>54.9</v>
      </c>
      <c r="AU31" s="5">
        <v>-0.75800000000000001</v>
      </c>
    </row>
    <row r="32" spans="15:47" ht="15" customHeight="1" thickTop="1" x14ac:dyDescent="0.25">
      <c r="V32" s="10" t="s">
        <v>34</v>
      </c>
      <c r="W32" s="11">
        <f>W8</f>
        <v>54.239193575126095</v>
      </c>
      <c r="X32" s="10" t="s">
        <v>7</v>
      </c>
      <c r="Y32" s="10" t="s">
        <v>35</v>
      </c>
    </row>
    <row r="33" spans="22:49" ht="15" customHeight="1" x14ac:dyDescent="0.25">
      <c r="V33" s="10" t="s">
        <v>36</v>
      </c>
      <c r="W33" s="23">
        <f>W12</f>
        <v>0.99559002338788849</v>
      </c>
      <c r="X33" s="10" t="s">
        <v>18</v>
      </c>
      <c r="Y33" s="10" t="s">
        <v>37</v>
      </c>
    </row>
    <row r="34" spans="22:49" ht="15" customHeight="1" x14ac:dyDescent="0.25">
      <c r="V34" s="10" t="s">
        <v>89</v>
      </c>
      <c r="W34" s="11">
        <f>W22</f>
        <v>28.06276368777398</v>
      </c>
      <c r="X34" s="10" t="s">
        <v>7</v>
      </c>
      <c r="Y34" s="12" t="s">
        <v>90</v>
      </c>
    </row>
    <row r="35" spans="22:49" ht="15" customHeight="1" x14ac:dyDescent="0.25">
      <c r="V35" s="10" t="s">
        <v>33</v>
      </c>
      <c r="W35" s="11">
        <f>W23</f>
        <v>0.71935485136494215</v>
      </c>
      <c r="X35" s="10" t="s">
        <v>18</v>
      </c>
      <c r="Y35" s="10" t="s">
        <v>97</v>
      </c>
    </row>
    <row r="36" spans="22:49" ht="15" customHeight="1" x14ac:dyDescent="0.25">
      <c r="V36" s="10" t="s">
        <v>98</v>
      </c>
      <c r="W36" s="11">
        <f>W24</f>
        <v>47.061692476798378</v>
      </c>
      <c r="X36" s="10" t="s">
        <v>7</v>
      </c>
      <c r="Y36" s="10" t="s">
        <v>99</v>
      </c>
    </row>
    <row r="37" spans="22:49" ht="15" customHeight="1" x14ac:dyDescent="0.25">
      <c r="V37" s="10" t="s">
        <v>104</v>
      </c>
      <c r="W37" s="24">
        <f>W28</f>
        <v>6966.4003347336075</v>
      </c>
      <c r="X37" s="10" t="s">
        <v>18</v>
      </c>
      <c r="Y37" s="10" t="s">
        <v>105</v>
      </c>
    </row>
    <row r="38" spans="22:49" ht="15" customHeight="1" x14ac:dyDescent="0.25">
      <c r="AA38"/>
    </row>
    <row r="39" spans="22:49" ht="15" customHeight="1" x14ac:dyDescent="0.25">
      <c r="AL39" s="4" t="s">
        <v>88</v>
      </c>
    </row>
    <row r="40" spans="22:49" ht="15" customHeight="1" x14ac:dyDescent="0.25">
      <c r="AW40"/>
    </row>
    <row r="48" spans="22:49" ht="15" customHeight="1" x14ac:dyDescent="0.25">
      <c r="AH48" s="4" t="s">
        <v>50</v>
      </c>
    </row>
    <row r="55" spans="39:42" ht="15" customHeight="1" thickBot="1" x14ac:dyDescent="0.3">
      <c r="AM55" s="15" t="s">
        <v>73</v>
      </c>
      <c r="AN55" s="7" t="s">
        <v>75</v>
      </c>
      <c r="AO55" s="15" t="s">
        <v>74</v>
      </c>
      <c r="AP55" s="7" t="s">
        <v>75</v>
      </c>
    </row>
    <row r="56" spans="39:42" ht="15" customHeight="1" thickTop="1" x14ac:dyDescent="0.25">
      <c r="AM56" s="6">
        <v>20</v>
      </c>
      <c r="AN56" s="6">
        <v>1</v>
      </c>
      <c r="AO56" s="6">
        <v>70</v>
      </c>
      <c r="AP56" s="6">
        <v>1</v>
      </c>
    </row>
    <row r="57" spans="39:42" ht="15" customHeight="1" x14ac:dyDescent="0.25">
      <c r="AM57" s="5">
        <v>50</v>
      </c>
      <c r="AN57" s="5">
        <v>1.01</v>
      </c>
      <c r="AO57" s="5">
        <v>100</v>
      </c>
      <c r="AP57" s="5">
        <v>1.008</v>
      </c>
    </row>
    <row r="58" spans="39:42" ht="15" customHeight="1" x14ac:dyDescent="0.25">
      <c r="AM58" s="5">
        <v>100</v>
      </c>
      <c r="AN58" s="5">
        <v>1.02</v>
      </c>
      <c r="AO58" s="5">
        <v>200</v>
      </c>
      <c r="AP58" s="5">
        <v>1.02</v>
      </c>
    </row>
    <row r="59" spans="39:42" ht="15" customHeight="1" x14ac:dyDescent="0.25">
      <c r="AM59" s="5">
        <v>150</v>
      </c>
      <c r="AN59" s="5">
        <v>1.0249999999999999</v>
      </c>
      <c r="AO59" s="5">
        <v>300</v>
      </c>
      <c r="AP59" s="5">
        <v>1.024</v>
      </c>
    </row>
    <row r="60" spans="39:42" ht="15" customHeight="1" x14ac:dyDescent="0.25">
      <c r="AM60" s="5">
        <v>200</v>
      </c>
      <c r="AN60" s="5">
        <v>1.02</v>
      </c>
      <c r="AO60" s="5">
        <v>400</v>
      </c>
      <c r="AP60" s="5">
        <v>1.018</v>
      </c>
    </row>
    <row r="61" spans="39:42" ht="15" customHeight="1" x14ac:dyDescent="0.25">
      <c r="AM61" s="5">
        <v>250</v>
      </c>
      <c r="AN61" s="5">
        <v>1</v>
      </c>
      <c r="AO61" s="5">
        <v>500</v>
      </c>
      <c r="AP61" s="5">
        <v>0.995</v>
      </c>
    </row>
    <row r="62" spans="39:42" ht="15" customHeight="1" x14ac:dyDescent="0.25">
      <c r="AM62" s="5">
        <v>300</v>
      </c>
      <c r="AN62" s="5">
        <v>0.97499999999999998</v>
      </c>
      <c r="AO62" s="5">
        <v>600</v>
      </c>
      <c r="AP62" s="5">
        <v>0.96299999999999997</v>
      </c>
    </row>
    <row r="63" spans="39:42" ht="15" customHeight="1" x14ac:dyDescent="0.25">
      <c r="AM63" s="5">
        <v>350</v>
      </c>
      <c r="AN63" s="5">
        <v>0.94299999999999995</v>
      </c>
      <c r="AO63" s="5">
        <v>700</v>
      </c>
      <c r="AP63" s="5">
        <v>0.92700000000000005</v>
      </c>
    </row>
    <row r="64" spans="39:42" ht="15" customHeight="1" x14ac:dyDescent="0.25">
      <c r="AM64" s="5">
        <v>400</v>
      </c>
      <c r="AN64" s="5">
        <v>0.9</v>
      </c>
      <c r="AO64" s="5">
        <v>800</v>
      </c>
      <c r="AP64" s="5">
        <v>0.872</v>
      </c>
    </row>
    <row r="65" spans="36:42" ht="15" customHeight="1" x14ac:dyDescent="0.25">
      <c r="AM65" s="5">
        <v>450</v>
      </c>
      <c r="AN65" s="5">
        <v>0.84299999999999997</v>
      </c>
      <c r="AO65" s="5">
        <v>900</v>
      </c>
      <c r="AP65" s="5">
        <v>0.79700000000000004</v>
      </c>
    </row>
    <row r="66" spans="36:42" ht="15" customHeight="1" x14ac:dyDescent="0.25">
      <c r="AM66" s="5">
        <v>500</v>
      </c>
      <c r="AN66" s="5">
        <v>0.76800000000000002</v>
      </c>
      <c r="AO66" s="5">
        <v>1000</v>
      </c>
      <c r="AP66" s="5">
        <v>0.69799999999999995</v>
      </c>
    </row>
    <row r="67" spans="36:42" ht="15" customHeight="1" x14ac:dyDescent="0.25">
      <c r="AM67" s="5">
        <v>550</v>
      </c>
      <c r="AN67" s="5">
        <v>0.67200000000000004</v>
      </c>
      <c r="AO67" s="5">
        <v>1100</v>
      </c>
      <c r="AP67" s="5">
        <v>0.56699999999999995</v>
      </c>
    </row>
    <row r="68" spans="36:42" ht="15" customHeight="1" x14ac:dyDescent="0.25">
      <c r="AM68" s="5">
        <v>600</v>
      </c>
      <c r="AN68" s="5">
        <v>0.54900000000000004</v>
      </c>
      <c r="AO68" s="5"/>
      <c r="AP68" s="5"/>
    </row>
    <row r="77" spans="36:42" ht="15" customHeight="1" x14ac:dyDescent="0.25">
      <c r="AJ77" s="4" t="s">
        <v>87</v>
      </c>
    </row>
    <row r="83" spans="39:41" ht="15" customHeight="1" thickBot="1" x14ac:dyDescent="0.3">
      <c r="AM83" s="15" t="s">
        <v>79</v>
      </c>
      <c r="AN83" s="7" t="s">
        <v>80</v>
      </c>
      <c r="AO83" s="15" t="s">
        <v>81</v>
      </c>
    </row>
    <row r="84" spans="39:41" ht="15" customHeight="1" thickTop="1" x14ac:dyDescent="0.25">
      <c r="AM84" s="6">
        <v>50</v>
      </c>
      <c r="AN84" s="6">
        <v>0</v>
      </c>
      <c r="AO84" s="6">
        <v>1</v>
      </c>
    </row>
    <row r="85" spans="39:41" ht="15" customHeight="1" x14ac:dyDescent="0.25">
      <c r="AM85" s="5">
        <v>90</v>
      </c>
      <c r="AN85" s="5">
        <v>1.288</v>
      </c>
      <c r="AO85" s="5">
        <v>0.89700000000000002</v>
      </c>
    </row>
    <row r="86" spans="39:41" ht="15" customHeight="1" x14ac:dyDescent="0.25">
      <c r="AM86" s="5">
        <v>95</v>
      </c>
      <c r="AN86" s="5">
        <v>1.645</v>
      </c>
      <c r="AO86" s="5">
        <v>0.86799999999999999</v>
      </c>
    </row>
    <row r="87" spans="39:41" ht="15" customHeight="1" x14ac:dyDescent="0.25">
      <c r="AM87" s="5">
        <v>99</v>
      </c>
      <c r="AN87" s="5">
        <v>2.3260000000000001</v>
      </c>
      <c r="AO87" s="5">
        <v>0.81399999999999995</v>
      </c>
    </row>
    <row r="88" spans="39:41" ht="15" customHeight="1" x14ac:dyDescent="0.25">
      <c r="AM88" s="5">
        <v>99.9</v>
      </c>
      <c r="AN88" s="5">
        <v>3.0910000000000002</v>
      </c>
      <c r="AO88" s="5">
        <v>0.753</v>
      </c>
    </row>
    <row r="89" spans="39:41" ht="15" customHeight="1" x14ac:dyDescent="0.25">
      <c r="AM89" s="5">
        <v>99.99</v>
      </c>
      <c r="AN89" s="5">
        <v>3.7189999999999999</v>
      </c>
      <c r="AO89" s="5">
        <v>0.70199999999999996</v>
      </c>
    </row>
  </sheetData>
  <mergeCells count="14">
    <mergeCell ref="AU26:AU27"/>
    <mergeCell ref="AM25:AP25"/>
    <mergeCell ref="AR26:AR27"/>
    <mergeCell ref="AS26:AT26"/>
    <mergeCell ref="O14:O15"/>
    <mergeCell ref="AM26:AM27"/>
    <mergeCell ref="AP26:AP27"/>
    <mergeCell ref="AN26:AO26"/>
    <mergeCell ref="V30:Y30"/>
    <mergeCell ref="O16:O17"/>
    <mergeCell ref="U14:U21"/>
    <mergeCell ref="O8:O13"/>
    <mergeCell ref="P4:S4"/>
    <mergeCell ref="V4:Y4"/>
  </mergeCells>
  <dataValidations count="3">
    <dataValidation type="list" allowBlank="1" showInputMessage="1" showErrorMessage="1" sqref="Q18" xr:uid="{6049E1B4-134E-4CB4-AECC-1299A06D278C}">
      <formula1>$AM$28:$AM$31</formula1>
    </dataValidation>
    <dataValidation type="list" allowBlank="1" showInputMessage="1" showErrorMessage="1" sqref="Q20" xr:uid="{2FBF2B91-9A56-4CB6-8336-9D77F807C990}">
      <formula1>$AO$56:$AO$67</formula1>
    </dataValidation>
    <dataValidation type="list" allowBlank="1" showInputMessage="1" showErrorMessage="1" sqref="Q21" xr:uid="{64DF663D-EC83-4151-98BB-EF7989E2B05B}">
      <formula1>$AM$84:$AM$89</formula1>
    </dataValidation>
  </dataValidation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 2</vt:lpstr>
      <vt:lpstr>Fatigue Calculator (Imperial)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Caiden Logan Bonney</cp:lastModifiedBy>
  <cp:revision/>
  <dcterms:created xsi:type="dcterms:W3CDTF">2024-12-06T05:04:22Z</dcterms:created>
  <dcterms:modified xsi:type="dcterms:W3CDTF">2025-02-11T01:37:14Z</dcterms:modified>
  <cp:category/>
  <cp:contentStatus/>
</cp:coreProperties>
</file>