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inan Clemente\Desktop\index\projeto_apresentacao_senac\"/>
    </mc:Choice>
  </mc:AlternateContent>
  <xr:revisionPtr revIDLastSave="0" documentId="13_ncr:1_{4A35FBB2-645D-49D5-BEC2-833457E0DE1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esiner básico" sheetId="16" r:id="rId1"/>
    <sheet name="Home" sheetId="17" r:id="rId2"/>
    <sheet name="Eletrodomésticos" sheetId="18" r:id="rId3"/>
    <sheet name="Automotivo" sheetId="19" r:id="rId4"/>
    <sheet name="Bolsas e Malas" sheetId="20" r:id="rId5"/>
    <sheet name="Alimentos e Bebidas" sheetId="22" r:id="rId6"/>
    <sheet name="Eletrônicos" sheetId="21" r:id="rId7"/>
    <sheet name="Ranking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7" l="1"/>
  <c r="M42" i="19"/>
  <c r="I42" i="19"/>
  <c r="I41" i="18"/>
  <c r="B15" i="18"/>
  <c r="U21" i="21"/>
  <c r="U19" i="21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16" i="21"/>
  <c r="Q15" i="21"/>
  <c r="U33" i="21" s="1"/>
  <c r="B38" i="18"/>
  <c r="B15" i="22"/>
  <c r="K15" i="22"/>
  <c r="O15" i="22" s="1"/>
  <c r="S15" i="22"/>
  <c r="U15" i="22" s="1"/>
  <c r="O53" i="22"/>
  <c r="S23" i="22"/>
  <c r="K22" i="22"/>
  <c r="M22" i="22" s="1"/>
  <c r="O51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S19" i="22"/>
  <c r="J94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Q95" i="23"/>
  <c r="Q96" i="23"/>
  <c r="Q97" i="23"/>
  <c r="Q98" i="23"/>
  <c r="Q99" i="23"/>
  <c r="Q100" i="23"/>
  <c r="Q94" i="23"/>
  <c r="U79" i="23"/>
  <c r="U80" i="23"/>
  <c r="U81" i="23"/>
  <c r="U82" i="23"/>
  <c r="U78" i="23"/>
  <c r="L78" i="23"/>
  <c r="L79" i="23"/>
  <c r="L80" i="23"/>
  <c r="L81" i="23"/>
  <c r="L82" i="23"/>
  <c r="L83" i="23"/>
  <c r="L84" i="23"/>
  <c r="L85" i="23"/>
  <c r="L86" i="23"/>
  <c r="L87" i="23"/>
  <c r="O52" i="22"/>
  <c r="O66" i="22"/>
  <c r="O63" i="22"/>
  <c r="O57" i="22"/>
  <c r="O54" i="22"/>
  <c r="N18" i="20"/>
  <c r="H15" i="18"/>
  <c r="H16" i="18"/>
  <c r="E94" i="17" l="1"/>
  <c r="M15" i="22"/>
  <c r="O45" i="22"/>
  <c r="K16" i="22"/>
  <c r="S16" i="22"/>
  <c r="U16" i="22" s="1"/>
  <c r="O46" i="22"/>
  <c r="K17" i="22"/>
  <c r="M17" i="22" s="1"/>
  <c r="S17" i="22"/>
  <c r="U17" i="22" s="1"/>
  <c r="O47" i="22"/>
  <c r="K18" i="22"/>
  <c r="O18" i="22" s="1"/>
  <c r="S18" i="22"/>
  <c r="U18" i="22" s="1"/>
  <c r="O48" i="22"/>
  <c r="K19" i="22"/>
  <c r="M19" i="22" s="1"/>
  <c r="U19" i="22"/>
  <c r="O49" i="22"/>
  <c r="K20" i="22"/>
  <c r="M20" i="22" s="1"/>
  <c r="S20" i="22"/>
  <c r="U20" i="22" s="1"/>
  <c r="O50" i="22"/>
  <c r="K21" i="22"/>
  <c r="M21" i="22" s="1"/>
  <c r="S21" i="22"/>
  <c r="U21" i="22" s="1"/>
  <c r="O22" i="22"/>
  <c r="S22" i="22"/>
  <c r="U22" i="22" s="1"/>
  <c r="K23" i="22"/>
  <c r="M23" i="22" s="1"/>
  <c r="U23" i="22"/>
  <c r="K24" i="22"/>
  <c r="S24" i="22"/>
  <c r="U24" i="22" s="1"/>
  <c r="K25" i="22"/>
  <c r="M25" i="22" s="1"/>
  <c r="S25" i="22"/>
  <c r="U25" i="22" s="1"/>
  <c r="O55" i="22"/>
  <c r="K26" i="22"/>
  <c r="O26" i="22" s="1"/>
  <c r="S26" i="22"/>
  <c r="U26" i="22" s="1"/>
  <c r="O56" i="22"/>
  <c r="K27" i="22"/>
  <c r="M27" i="22" s="1"/>
  <c r="S27" i="22"/>
  <c r="U27" i="22" s="1"/>
  <c r="K28" i="22"/>
  <c r="S28" i="22"/>
  <c r="U28" i="22" s="1"/>
  <c r="O58" i="22"/>
  <c r="K29" i="22"/>
  <c r="M29" i="22" s="1"/>
  <c r="S29" i="22"/>
  <c r="U29" i="22" s="1"/>
  <c r="O59" i="22"/>
  <c r="K30" i="22"/>
  <c r="O30" i="22" s="1"/>
  <c r="S30" i="22"/>
  <c r="U30" i="22" s="1"/>
  <c r="O60" i="22"/>
  <c r="K31" i="22"/>
  <c r="M31" i="22" s="1"/>
  <c r="S31" i="22"/>
  <c r="U31" i="22" s="1"/>
  <c r="O61" i="22"/>
  <c r="K32" i="22"/>
  <c r="M32" i="22" s="1"/>
  <c r="S32" i="22"/>
  <c r="U32" i="22" s="1"/>
  <c r="O62" i="22"/>
  <c r="K33" i="22"/>
  <c r="M33" i="22" s="1"/>
  <c r="S33" i="22"/>
  <c r="U33" i="22" s="1"/>
  <c r="K34" i="22"/>
  <c r="O34" i="22" s="1"/>
  <c r="S34" i="22"/>
  <c r="U34" i="22" s="1"/>
  <c r="O64" i="22"/>
  <c r="K35" i="22"/>
  <c r="M35" i="22" s="1"/>
  <c r="S35" i="22"/>
  <c r="U35" i="22" s="1"/>
  <c r="O65" i="22"/>
  <c r="K36" i="22"/>
  <c r="M36" i="22" s="1"/>
  <c r="S36" i="22"/>
  <c r="U36" i="22" s="1"/>
  <c r="K37" i="22"/>
  <c r="M37" i="22" s="1"/>
  <c r="S37" i="22"/>
  <c r="U37" i="22" s="1"/>
  <c r="O67" i="22"/>
  <c r="K38" i="22"/>
  <c r="O38" i="22" s="1"/>
  <c r="S38" i="22"/>
  <c r="U38" i="22" s="1"/>
  <c r="K39" i="22"/>
  <c r="O39" i="22" s="1"/>
  <c r="S39" i="22"/>
  <c r="U39" i="22" s="1"/>
  <c r="K40" i="22"/>
  <c r="O40" i="22" s="1"/>
  <c r="S40" i="22"/>
  <c r="U40" i="22" s="1"/>
  <c r="K41" i="22"/>
  <c r="O41" i="22" s="1"/>
  <c r="S41" i="22"/>
  <c r="U41" i="22" s="1"/>
  <c r="B15" i="21"/>
  <c r="H15" i="21"/>
  <c r="I15" i="21"/>
  <c r="M15" i="21" s="1"/>
  <c r="U29" i="21" s="1"/>
  <c r="H16" i="21"/>
  <c r="I16" i="21"/>
  <c r="H17" i="21"/>
  <c r="I17" i="21"/>
  <c r="M17" i="21" s="1"/>
  <c r="H18" i="21"/>
  <c r="I18" i="21"/>
  <c r="H19" i="21"/>
  <c r="R19" i="21" s="1"/>
  <c r="I19" i="21"/>
  <c r="H20" i="21"/>
  <c r="I20" i="21"/>
  <c r="M20" i="21" s="1"/>
  <c r="H21" i="21"/>
  <c r="I21" i="21"/>
  <c r="H22" i="21"/>
  <c r="R22" i="21" s="1"/>
  <c r="I22" i="21"/>
  <c r="M22" i="21" s="1"/>
  <c r="H23" i="21"/>
  <c r="R23" i="21" s="1"/>
  <c r="I23" i="21"/>
  <c r="M23" i="21" s="1"/>
  <c r="H24" i="21"/>
  <c r="I24" i="21"/>
  <c r="M24" i="21" s="1"/>
  <c r="H25" i="21"/>
  <c r="R25" i="21" s="1"/>
  <c r="I25" i="21"/>
  <c r="B26" i="21"/>
  <c r="H26" i="21"/>
  <c r="R26" i="21" s="1"/>
  <c r="I26" i="21"/>
  <c r="M26" i="21" s="1"/>
  <c r="H27" i="21"/>
  <c r="R27" i="21" s="1"/>
  <c r="I27" i="21"/>
  <c r="M27" i="21" s="1"/>
  <c r="H28" i="21"/>
  <c r="R28" i="21" s="1"/>
  <c r="I28" i="21"/>
  <c r="M28" i="21" s="1"/>
  <c r="H29" i="21"/>
  <c r="R29" i="21" s="1"/>
  <c r="I29" i="21"/>
  <c r="M29" i="21" s="1"/>
  <c r="H30" i="21"/>
  <c r="R30" i="21" s="1"/>
  <c r="I30" i="21"/>
  <c r="H31" i="21"/>
  <c r="R31" i="21" s="1"/>
  <c r="I31" i="21"/>
  <c r="H32" i="21"/>
  <c r="I32" i="21"/>
  <c r="B33" i="21"/>
  <c r="H33" i="21"/>
  <c r="R33" i="21" s="1"/>
  <c r="I33" i="21"/>
  <c r="M33" i="21" s="1"/>
  <c r="B34" i="21"/>
  <c r="H34" i="21"/>
  <c r="R34" i="21" s="1"/>
  <c r="I34" i="21"/>
  <c r="M34" i="21" s="1"/>
  <c r="B35" i="21"/>
  <c r="H35" i="21"/>
  <c r="R35" i="21" s="1"/>
  <c r="I35" i="21"/>
  <c r="M35" i="21" s="1"/>
  <c r="H36" i="21"/>
  <c r="R36" i="21" s="1"/>
  <c r="I36" i="21"/>
  <c r="H37" i="21"/>
  <c r="R37" i="21" s="1"/>
  <c r="I37" i="21"/>
  <c r="H38" i="21"/>
  <c r="T100" i="23" s="1"/>
  <c r="I38" i="21"/>
  <c r="B39" i="21"/>
  <c r="H39" i="21"/>
  <c r="R39" i="21" s="1"/>
  <c r="I39" i="21"/>
  <c r="M39" i="21" s="1"/>
  <c r="B40" i="21"/>
  <c r="H40" i="21"/>
  <c r="R40" i="21" s="1"/>
  <c r="I40" i="21"/>
  <c r="M40" i="21" s="1"/>
  <c r="H41" i="21"/>
  <c r="R41" i="21" s="1"/>
  <c r="I41" i="21"/>
  <c r="B41" i="21" s="1"/>
  <c r="F15" i="20"/>
  <c r="G15" i="20"/>
  <c r="K15" i="20"/>
  <c r="N15" i="20"/>
  <c r="R15" i="20"/>
  <c r="F16" i="20"/>
  <c r="G16" i="20"/>
  <c r="K16" i="20"/>
  <c r="N16" i="20"/>
  <c r="R16" i="20"/>
  <c r="F17" i="20"/>
  <c r="G17" i="20"/>
  <c r="K17" i="20"/>
  <c r="N17" i="20"/>
  <c r="R17" i="20"/>
  <c r="F18" i="20"/>
  <c r="G18" i="20"/>
  <c r="K18" i="20"/>
  <c r="R18" i="20"/>
  <c r="F19" i="20"/>
  <c r="G19" i="20"/>
  <c r="K19" i="20"/>
  <c r="N19" i="20"/>
  <c r="R19" i="20"/>
  <c r="F20" i="20"/>
  <c r="G20" i="20"/>
  <c r="K20" i="20"/>
  <c r="N20" i="20"/>
  <c r="R20" i="20"/>
  <c r="F21" i="20"/>
  <c r="G21" i="20"/>
  <c r="K21" i="20"/>
  <c r="N21" i="20"/>
  <c r="R21" i="20"/>
  <c r="F22" i="20"/>
  <c r="G22" i="20"/>
  <c r="K22" i="20"/>
  <c r="N22" i="20"/>
  <c r="R22" i="20"/>
  <c r="F23" i="20"/>
  <c r="G23" i="20"/>
  <c r="K23" i="20"/>
  <c r="N23" i="20"/>
  <c r="R23" i="20"/>
  <c r="F24" i="20"/>
  <c r="G24" i="20"/>
  <c r="K24" i="20"/>
  <c r="N24" i="20"/>
  <c r="R24" i="20"/>
  <c r="F25" i="20"/>
  <c r="G25" i="20"/>
  <c r="K25" i="20"/>
  <c r="N25" i="20"/>
  <c r="R25" i="20"/>
  <c r="B54" i="20"/>
  <c r="D54" i="20"/>
  <c r="F26" i="20"/>
  <c r="G26" i="20"/>
  <c r="K26" i="20"/>
  <c r="N26" i="20"/>
  <c r="R26" i="20"/>
  <c r="F27" i="20"/>
  <c r="G27" i="20"/>
  <c r="K27" i="20"/>
  <c r="N27" i="20"/>
  <c r="R27" i="20"/>
  <c r="B56" i="20"/>
  <c r="D56" i="20"/>
  <c r="F28" i="20"/>
  <c r="G28" i="20"/>
  <c r="K28" i="20"/>
  <c r="N28" i="20"/>
  <c r="R28" i="20"/>
  <c r="F29" i="20"/>
  <c r="G29" i="20"/>
  <c r="K29" i="20"/>
  <c r="N29" i="20"/>
  <c r="R29" i="20"/>
  <c r="B58" i="20"/>
  <c r="D58" i="20"/>
  <c r="F30" i="20"/>
  <c r="G30" i="20"/>
  <c r="K30" i="20"/>
  <c r="N30" i="20"/>
  <c r="R30" i="20"/>
  <c r="F31" i="20"/>
  <c r="G31" i="20"/>
  <c r="K31" i="20"/>
  <c r="N31" i="20"/>
  <c r="R31" i="20"/>
  <c r="F32" i="20"/>
  <c r="G32" i="20"/>
  <c r="K32" i="20"/>
  <c r="N32" i="20"/>
  <c r="R32" i="20"/>
  <c r="F33" i="20"/>
  <c r="G33" i="20"/>
  <c r="K33" i="20"/>
  <c r="N33" i="20"/>
  <c r="R33" i="20"/>
  <c r="F34" i="20"/>
  <c r="G34" i="20"/>
  <c r="K34" i="20"/>
  <c r="N34" i="20"/>
  <c r="R34" i="20"/>
  <c r="F35" i="20"/>
  <c r="G35" i="20"/>
  <c r="K35" i="20"/>
  <c r="N35" i="20"/>
  <c r="R35" i="20"/>
  <c r="F36" i="20"/>
  <c r="G36" i="20"/>
  <c r="K36" i="20"/>
  <c r="N36" i="20"/>
  <c r="R36" i="20"/>
  <c r="F37" i="20"/>
  <c r="G37" i="20"/>
  <c r="K37" i="20"/>
  <c r="N37" i="20"/>
  <c r="R37" i="20"/>
  <c r="F38" i="20"/>
  <c r="G38" i="20"/>
  <c r="K38" i="20"/>
  <c r="N38" i="20"/>
  <c r="R38" i="20"/>
  <c r="F39" i="20"/>
  <c r="G39" i="20"/>
  <c r="K39" i="20"/>
  <c r="N39" i="20"/>
  <c r="R39" i="20"/>
  <c r="F40" i="20"/>
  <c r="G40" i="20"/>
  <c r="K40" i="20"/>
  <c r="N40" i="20"/>
  <c r="R40" i="20"/>
  <c r="F41" i="20"/>
  <c r="G41" i="20"/>
  <c r="K41" i="20"/>
  <c r="N41" i="20"/>
  <c r="R41" i="20"/>
  <c r="F42" i="20"/>
  <c r="G42" i="20"/>
  <c r="K42" i="20"/>
  <c r="N42" i="20"/>
  <c r="R42" i="20"/>
  <c r="F43" i="20"/>
  <c r="G43" i="20"/>
  <c r="K43" i="20"/>
  <c r="N43" i="20"/>
  <c r="R43" i="20"/>
  <c r="F44" i="20"/>
  <c r="G44" i="20"/>
  <c r="K44" i="20"/>
  <c r="N44" i="20"/>
  <c r="R44" i="20"/>
  <c r="F45" i="20"/>
  <c r="G45" i="20"/>
  <c r="K45" i="20"/>
  <c r="N45" i="20"/>
  <c r="R45" i="20"/>
  <c r="F46" i="20"/>
  <c r="G46" i="20"/>
  <c r="K46" i="20"/>
  <c r="N46" i="20"/>
  <c r="R46" i="20"/>
  <c r="F47" i="20"/>
  <c r="G47" i="20"/>
  <c r="K47" i="20"/>
  <c r="N47" i="20"/>
  <c r="R47" i="20"/>
  <c r="F48" i="20"/>
  <c r="G48" i="20"/>
  <c r="K48" i="20"/>
  <c r="N48" i="20"/>
  <c r="R48" i="20"/>
  <c r="F49" i="20"/>
  <c r="G49" i="20"/>
  <c r="K49" i="20"/>
  <c r="N49" i="20"/>
  <c r="R49" i="20"/>
  <c r="F50" i="20"/>
  <c r="G50" i="20"/>
  <c r="K50" i="20"/>
  <c r="N50" i="20"/>
  <c r="R50" i="20"/>
  <c r="F51" i="20"/>
  <c r="G51" i="20"/>
  <c r="K51" i="20"/>
  <c r="N51" i="20"/>
  <c r="R51" i="20"/>
  <c r="A15" i="19"/>
  <c r="H15" i="19"/>
  <c r="M15" i="19"/>
  <c r="O15" i="19"/>
  <c r="A16" i="19"/>
  <c r="H16" i="19"/>
  <c r="K16" i="19" s="1"/>
  <c r="M16" i="19"/>
  <c r="O16" i="19"/>
  <c r="A17" i="19"/>
  <c r="H17" i="19"/>
  <c r="M17" i="19"/>
  <c r="O17" i="19"/>
  <c r="A18" i="19"/>
  <c r="H18" i="19"/>
  <c r="K18" i="19" s="1"/>
  <c r="M18" i="19"/>
  <c r="O18" i="19"/>
  <c r="A19" i="19"/>
  <c r="H19" i="19"/>
  <c r="M19" i="19"/>
  <c r="O19" i="19"/>
  <c r="A20" i="19"/>
  <c r="H20" i="19"/>
  <c r="K20" i="19" s="1"/>
  <c r="M20" i="19"/>
  <c r="O20" i="19"/>
  <c r="A21" i="19"/>
  <c r="H21" i="19"/>
  <c r="K21" i="19" s="1"/>
  <c r="M21" i="19"/>
  <c r="O21" i="19"/>
  <c r="A22" i="19"/>
  <c r="H22" i="19"/>
  <c r="M22" i="19"/>
  <c r="O22" i="19"/>
  <c r="A23" i="19"/>
  <c r="H23" i="19"/>
  <c r="M23" i="19"/>
  <c r="O23" i="19"/>
  <c r="A24" i="19"/>
  <c r="H24" i="19"/>
  <c r="K24" i="19" s="1"/>
  <c r="M24" i="19"/>
  <c r="O24" i="19"/>
  <c r="A25" i="19"/>
  <c r="H25" i="19"/>
  <c r="M25" i="19"/>
  <c r="O25" i="19"/>
  <c r="A26" i="19"/>
  <c r="H26" i="19"/>
  <c r="K26" i="19" s="1"/>
  <c r="M26" i="19"/>
  <c r="O26" i="19"/>
  <c r="A27" i="19"/>
  <c r="H27" i="19"/>
  <c r="K27" i="19" s="1"/>
  <c r="M27" i="19"/>
  <c r="O27" i="19"/>
  <c r="A28" i="19"/>
  <c r="H28" i="19"/>
  <c r="M28" i="19"/>
  <c r="O28" i="19"/>
  <c r="A29" i="19"/>
  <c r="H29" i="19"/>
  <c r="M29" i="19"/>
  <c r="O29" i="19"/>
  <c r="A30" i="19"/>
  <c r="H30" i="19"/>
  <c r="K30" i="19" s="1"/>
  <c r="M30" i="19"/>
  <c r="O30" i="19"/>
  <c r="A31" i="19"/>
  <c r="H31" i="19"/>
  <c r="K31" i="19" s="1"/>
  <c r="M31" i="19"/>
  <c r="O31" i="19"/>
  <c r="A32" i="19"/>
  <c r="H32" i="19"/>
  <c r="K32" i="19" s="1"/>
  <c r="M32" i="19"/>
  <c r="O32" i="19"/>
  <c r="A33" i="19"/>
  <c r="H33" i="19"/>
  <c r="K33" i="19" s="1"/>
  <c r="M33" i="19"/>
  <c r="O33" i="19"/>
  <c r="A34" i="19"/>
  <c r="H34" i="19"/>
  <c r="K34" i="19" s="1"/>
  <c r="M34" i="19"/>
  <c r="O34" i="19"/>
  <c r="A35" i="19"/>
  <c r="H35" i="19"/>
  <c r="K35" i="19" s="1"/>
  <c r="M35" i="19"/>
  <c r="O35" i="19"/>
  <c r="A36" i="19"/>
  <c r="H36" i="19"/>
  <c r="K36" i="19" s="1"/>
  <c r="M36" i="19"/>
  <c r="O36" i="19"/>
  <c r="A37" i="19"/>
  <c r="H37" i="19"/>
  <c r="K37" i="19" s="1"/>
  <c r="M37" i="19"/>
  <c r="O37" i="19"/>
  <c r="A38" i="19"/>
  <c r="H38" i="19"/>
  <c r="K38" i="19" s="1"/>
  <c r="M38" i="19"/>
  <c r="O38" i="19"/>
  <c r="A39" i="19"/>
  <c r="H39" i="19"/>
  <c r="M39" i="19"/>
  <c r="O39" i="19"/>
  <c r="A40" i="19"/>
  <c r="H40" i="19"/>
  <c r="K40" i="19" s="1"/>
  <c r="M40" i="19"/>
  <c r="O40" i="19"/>
  <c r="A41" i="19"/>
  <c r="H41" i="19"/>
  <c r="M41" i="19"/>
  <c r="O41" i="19"/>
  <c r="C44" i="18"/>
  <c r="K15" i="18"/>
  <c r="M15" i="18"/>
  <c r="O15" i="18" s="1"/>
  <c r="Q15" i="18"/>
  <c r="S15" i="18" s="1"/>
  <c r="F45" i="18"/>
  <c r="B16" i="18"/>
  <c r="K16" i="18"/>
  <c r="M16" i="18"/>
  <c r="O16" i="18" s="1"/>
  <c r="Q16" i="18"/>
  <c r="S16" i="18" s="1"/>
  <c r="F46" i="18"/>
  <c r="B17" i="18"/>
  <c r="H17" i="18"/>
  <c r="M17" i="18"/>
  <c r="O17" i="18" s="1"/>
  <c r="Q17" i="18"/>
  <c r="F47" i="18"/>
  <c r="B18" i="18"/>
  <c r="H18" i="18"/>
  <c r="E80" i="23" s="1"/>
  <c r="M18" i="18"/>
  <c r="O18" i="18" s="1"/>
  <c r="Q18" i="18"/>
  <c r="F48" i="18"/>
  <c r="B19" i="18"/>
  <c r="H19" i="18"/>
  <c r="K19" i="18" s="1"/>
  <c r="M19" i="18"/>
  <c r="O19" i="18" s="1"/>
  <c r="Q19" i="18"/>
  <c r="F49" i="18"/>
  <c r="B20" i="18"/>
  <c r="H20" i="18"/>
  <c r="M20" i="18"/>
  <c r="O20" i="18" s="1"/>
  <c r="Q20" i="18"/>
  <c r="F50" i="18"/>
  <c r="B21" i="18"/>
  <c r="H21" i="18"/>
  <c r="K21" i="18" s="1"/>
  <c r="M21" i="18"/>
  <c r="O21" i="18" s="1"/>
  <c r="Q21" i="18"/>
  <c r="F51" i="18"/>
  <c r="B22" i="18"/>
  <c r="H22" i="18"/>
  <c r="E81" i="23" s="1"/>
  <c r="M22" i="18"/>
  <c r="O22" i="18" s="1"/>
  <c r="Q22" i="18"/>
  <c r="F52" i="18"/>
  <c r="B23" i="18"/>
  <c r="H23" i="18"/>
  <c r="M23" i="18"/>
  <c r="O23" i="18" s="1"/>
  <c r="Q23" i="18"/>
  <c r="B24" i="18"/>
  <c r="H24" i="18"/>
  <c r="K24" i="18" s="1"/>
  <c r="M24" i="18"/>
  <c r="O24" i="18" s="1"/>
  <c r="Q24" i="18"/>
  <c r="B25" i="18"/>
  <c r="H25" i="18"/>
  <c r="K25" i="18" s="1"/>
  <c r="M25" i="18"/>
  <c r="O25" i="18" s="1"/>
  <c r="Q25" i="18"/>
  <c r="B26" i="18"/>
  <c r="H26" i="18"/>
  <c r="M26" i="18"/>
  <c r="O26" i="18" s="1"/>
  <c r="Q26" i="18"/>
  <c r="B27" i="18"/>
  <c r="H27" i="18"/>
  <c r="K27" i="18" s="1"/>
  <c r="M27" i="18"/>
  <c r="O27" i="18" s="1"/>
  <c r="Q27" i="18"/>
  <c r="B28" i="18"/>
  <c r="H28" i="18"/>
  <c r="M28" i="18"/>
  <c r="O28" i="18" s="1"/>
  <c r="Q28" i="18"/>
  <c r="B29" i="18"/>
  <c r="H29" i="18"/>
  <c r="M29" i="18"/>
  <c r="O29" i="18" s="1"/>
  <c r="Q29" i="18"/>
  <c r="B30" i="18"/>
  <c r="H30" i="18"/>
  <c r="M30" i="18"/>
  <c r="O30" i="18" s="1"/>
  <c r="Q30" i="18"/>
  <c r="B31" i="18"/>
  <c r="H31" i="18"/>
  <c r="K31" i="18" s="1"/>
  <c r="M31" i="18"/>
  <c r="O31" i="18" s="1"/>
  <c r="Q31" i="18"/>
  <c r="B32" i="18"/>
  <c r="H32" i="18"/>
  <c r="K32" i="18" s="1"/>
  <c r="M32" i="18"/>
  <c r="O32" i="18" s="1"/>
  <c r="Q32" i="18"/>
  <c r="B33" i="18"/>
  <c r="H33" i="18"/>
  <c r="K33" i="18" s="1"/>
  <c r="M33" i="18"/>
  <c r="O33" i="18" s="1"/>
  <c r="Q33" i="18"/>
  <c r="B34" i="18"/>
  <c r="H34" i="18"/>
  <c r="K34" i="18" s="1"/>
  <c r="M34" i="18"/>
  <c r="O34" i="18" s="1"/>
  <c r="Q34" i="18"/>
  <c r="B35" i="18"/>
  <c r="H35" i="18"/>
  <c r="E87" i="23" s="1"/>
  <c r="M35" i="18"/>
  <c r="O35" i="18" s="1"/>
  <c r="Q35" i="18"/>
  <c r="B36" i="18"/>
  <c r="H36" i="18"/>
  <c r="K36" i="18" s="1"/>
  <c r="M36" i="18"/>
  <c r="O36" i="18" s="1"/>
  <c r="Q36" i="18"/>
  <c r="B37" i="18"/>
  <c r="H37" i="18"/>
  <c r="K37" i="18" s="1"/>
  <c r="M37" i="18"/>
  <c r="O37" i="18" s="1"/>
  <c r="Q37" i="18"/>
  <c r="H38" i="18"/>
  <c r="K38" i="18" s="1"/>
  <c r="M38" i="18"/>
  <c r="O38" i="18" s="1"/>
  <c r="Q38" i="18"/>
  <c r="B39" i="18"/>
  <c r="H39" i="18"/>
  <c r="M39" i="18"/>
  <c r="O39" i="18" s="1"/>
  <c r="Q39" i="18"/>
  <c r="B40" i="18"/>
  <c r="H40" i="18"/>
  <c r="K40" i="18" s="1"/>
  <c r="M40" i="18"/>
  <c r="O40" i="18" s="1"/>
  <c r="Q40" i="18"/>
  <c r="E90" i="17" s="1"/>
  <c r="D94" i="17" l="1"/>
  <c r="E93" i="17"/>
  <c r="E92" i="17"/>
  <c r="D92" i="17"/>
  <c r="E91" i="17"/>
  <c r="D91" i="17"/>
  <c r="D90" i="17"/>
  <c r="C90" i="17"/>
  <c r="B94" i="17"/>
  <c r="B93" i="17"/>
  <c r="B92" i="17"/>
  <c r="C91" i="17"/>
  <c r="H42" i="19"/>
  <c r="B91" i="17"/>
  <c r="B90" i="17"/>
  <c r="H41" i="18"/>
  <c r="S20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19" i="18"/>
  <c r="S40" i="18"/>
  <c r="S38" i="18"/>
  <c r="S21" i="18"/>
  <c r="S17" i="18"/>
  <c r="S39" i="18"/>
  <c r="S22" i="18"/>
  <c r="S18" i="18"/>
  <c r="U23" i="21"/>
  <c r="U25" i="21"/>
  <c r="R21" i="21"/>
  <c r="T99" i="23"/>
  <c r="E78" i="23"/>
  <c r="O78" i="23"/>
  <c r="T96" i="23"/>
  <c r="T97" i="23"/>
  <c r="T98" i="23"/>
  <c r="T95" i="23"/>
  <c r="O86" i="23"/>
  <c r="M16" i="22"/>
  <c r="H98" i="23"/>
  <c r="H106" i="23"/>
  <c r="H114" i="23"/>
  <c r="H102" i="23"/>
  <c r="H110" i="23"/>
  <c r="H99" i="23"/>
  <c r="H115" i="23"/>
  <c r="H108" i="23"/>
  <c r="H101" i="23"/>
  <c r="H103" i="23"/>
  <c r="H96" i="23"/>
  <c r="H112" i="23"/>
  <c r="H105" i="23"/>
  <c r="H107" i="23"/>
  <c r="H100" i="23"/>
  <c r="H116" i="23"/>
  <c r="H109" i="23"/>
  <c r="H95" i="23"/>
  <c r="H111" i="23"/>
  <c r="H104" i="23"/>
  <c r="H97" i="23"/>
  <c r="H113" i="23"/>
  <c r="X79" i="23"/>
  <c r="X82" i="23"/>
  <c r="X80" i="23"/>
  <c r="X81" i="23"/>
  <c r="E88" i="23"/>
  <c r="O81" i="23"/>
  <c r="O80" i="23"/>
  <c r="O79" i="23"/>
  <c r="U24" i="19"/>
  <c r="O87" i="23"/>
  <c r="O84" i="23"/>
  <c r="O83" i="23"/>
  <c r="O85" i="23"/>
  <c r="O82" i="23"/>
  <c r="E79" i="23"/>
  <c r="E82" i="23"/>
  <c r="E86" i="23"/>
  <c r="E84" i="23"/>
  <c r="E85" i="23"/>
  <c r="E83" i="23"/>
  <c r="U23" i="19"/>
  <c r="U17" i="19"/>
  <c r="U15" i="19"/>
  <c r="U19" i="19"/>
  <c r="U18" i="19"/>
  <c r="U21" i="19"/>
  <c r="U20" i="19"/>
  <c r="U22" i="19"/>
  <c r="U16" i="19"/>
  <c r="B38" i="21"/>
  <c r="M38" i="21"/>
  <c r="B32" i="21"/>
  <c r="M32" i="21"/>
  <c r="B30" i="21"/>
  <c r="M30" i="21"/>
  <c r="B36" i="21"/>
  <c r="M36" i="21"/>
  <c r="B18" i="21"/>
  <c r="M18" i="21"/>
  <c r="B16" i="21"/>
  <c r="M16" i="21"/>
  <c r="B31" i="21"/>
  <c r="M31" i="21"/>
  <c r="B37" i="21"/>
  <c r="M37" i="21"/>
  <c r="B25" i="21"/>
  <c r="M25" i="21"/>
  <c r="B21" i="21"/>
  <c r="U17" i="21" s="1"/>
  <c r="M21" i="21"/>
  <c r="B19" i="21"/>
  <c r="M19" i="21"/>
  <c r="S15" i="20"/>
  <c r="A47" i="22"/>
  <c r="M24" i="22"/>
  <c r="O24" i="22"/>
  <c r="M28" i="22"/>
  <c r="O28" i="22"/>
  <c r="T94" i="23"/>
  <c r="K39" i="19"/>
  <c r="M86" i="23" s="1"/>
  <c r="K29" i="19"/>
  <c r="M84" i="23" s="1"/>
  <c r="K22" i="19"/>
  <c r="M81" i="23" s="1"/>
  <c r="K19" i="19"/>
  <c r="M80" i="23" s="1"/>
  <c r="K25" i="19"/>
  <c r="M82" i="23" s="1"/>
  <c r="K15" i="19"/>
  <c r="M78" i="23" s="1"/>
  <c r="R17" i="21"/>
  <c r="R32" i="21"/>
  <c r="R38" i="21"/>
  <c r="R24" i="21"/>
  <c r="R18" i="21"/>
  <c r="R16" i="21"/>
  <c r="X78" i="23"/>
  <c r="K39" i="18"/>
  <c r="K35" i="18"/>
  <c r="C87" i="23" s="1"/>
  <c r="K30" i="18"/>
  <c r="K28" i="18"/>
  <c r="K26" i="18"/>
  <c r="D47" i="18" s="1"/>
  <c r="K23" i="18"/>
  <c r="K22" i="18"/>
  <c r="C81" i="23" s="1"/>
  <c r="K18" i="18"/>
  <c r="K17" i="18"/>
  <c r="K20" i="18"/>
  <c r="K29" i="18"/>
  <c r="B78" i="23"/>
  <c r="B81" i="23"/>
  <c r="B83" i="23"/>
  <c r="B87" i="23"/>
  <c r="B79" i="23"/>
  <c r="B84" i="23"/>
  <c r="B88" i="23"/>
  <c r="B80" i="23"/>
  <c r="B85" i="23"/>
  <c r="B82" i="23"/>
  <c r="B86" i="23"/>
  <c r="M41" i="22"/>
  <c r="M39" i="22"/>
  <c r="O33" i="22"/>
  <c r="O32" i="22"/>
  <c r="M30" i="22"/>
  <c r="M18" i="22"/>
  <c r="O36" i="22"/>
  <c r="O20" i="22"/>
  <c r="O16" i="22"/>
  <c r="B17" i="21"/>
  <c r="M38" i="22"/>
  <c r="M34" i="22"/>
  <c r="O29" i="22"/>
  <c r="O25" i="22"/>
  <c r="O21" i="22"/>
  <c r="O17" i="22"/>
  <c r="M40" i="22"/>
  <c r="O37" i="22"/>
  <c r="M26" i="22"/>
  <c r="B20" i="21"/>
  <c r="O35" i="22"/>
  <c r="O31" i="22"/>
  <c r="O27" i="22"/>
  <c r="O23" i="22"/>
  <c r="O19" i="22"/>
  <c r="K15" i="21"/>
  <c r="U27" i="21" s="1"/>
  <c r="B28" i="21"/>
  <c r="K26" i="21"/>
  <c r="T49" i="20"/>
  <c r="I23" i="20"/>
  <c r="K23" i="21"/>
  <c r="K27" i="21"/>
  <c r="B23" i="21"/>
  <c r="K22" i="21"/>
  <c r="K17" i="21"/>
  <c r="P44" i="20"/>
  <c r="B27" i="21"/>
  <c r="B24" i="21"/>
  <c r="K19" i="21"/>
  <c r="I49" i="20"/>
  <c r="R20" i="21"/>
  <c r="T16" i="20"/>
  <c r="K28" i="21"/>
  <c r="K24" i="21"/>
  <c r="K20" i="21"/>
  <c r="T33" i="20"/>
  <c r="P32" i="20"/>
  <c r="K25" i="21"/>
  <c r="B22" i="21"/>
  <c r="K21" i="21"/>
  <c r="K18" i="21"/>
  <c r="K16" i="21"/>
  <c r="B47" i="21"/>
  <c r="T44" i="20"/>
  <c r="P43" i="20"/>
  <c r="I15" i="20"/>
  <c r="M41" i="21"/>
  <c r="B29" i="21"/>
  <c r="R15" i="21"/>
  <c r="U35" i="21" s="1"/>
  <c r="I41" i="20"/>
  <c r="K41" i="21"/>
  <c r="K40" i="21"/>
  <c r="K39" i="21"/>
  <c r="K38" i="21"/>
  <c r="R100" i="23" s="1"/>
  <c r="K37" i="21"/>
  <c r="K36" i="21"/>
  <c r="K35" i="21"/>
  <c r="K34" i="21"/>
  <c r="K33" i="21"/>
  <c r="K32" i="21"/>
  <c r="K31" i="21"/>
  <c r="K30" i="21"/>
  <c r="K29" i="21"/>
  <c r="D47" i="21"/>
  <c r="I16" i="20"/>
  <c r="T30" i="20"/>
  <c r="T42" i="20"/>
  <c r="P33" i="20"/>
  <c r="T26" i="20"/>
  <c r="T46" i="20"/>
  <c r="I37" i="20"/>
  <c r="T32" i="20"/>
  <c r="T45" i="20"/>
  <c r="I42" i="20"/>
  <c r="P37" i="20"/>
  <c r="P29" i="20"/>
  <c r="I27" i="20"/>
  <c r="I30" i="20"/>
  <c r="T38" i="20"/>
  <c r="T20" i="20"/>
  <c r="P51" i="20"/>
  <c r="P48" i="20"/>
  <c r="I45" i="20"/>
  <c r="T41" i="20"/>
  <c r="P40" i="20"/>
  <c r="T37" i="20"/>
  <c r="T34" i="20"/>
  <c r="T28" i="20"/>
  <c r="P25" i="20"/>
  <c r="T23" i="20"/>
  <c r="P22" i="20"/>
  <c r="T19" i="20"/>
  <c r="P47" i="20"/>
  <c r="P41" i="20"/>
  <c r="P36" i="20"/>
  <c r="I26" i="20"/>
  <c r="P23" i="20"/>
  <c r="P19" i="20"/>
  <c r="T18" i="20"/>
  <c r="T50" i="20"/>
  <c r="I33" i="20"/>
  <c r="T24" i="20"/>
  <c r="I50" i="20"/>
  <c r="I46" i="20"/>
  <c r="T43" i="20"/>
  <c r="T40" i="20"/>
  <c r="P39" i="20"/>
  <c r="T36" i="20"/>
  <c r="P35" i="20"/>
  <c r="T29" i="20"/>
  <c r="T25" i="20"/>
  <c r="T22" i="20"/>
  <c r="P21" i="20"/>
  <c r="I19" i="20"/>
  <c r="P15" i="20"/>
  <c r="P49" i="20"/>
  <c r="P45" i="20"/>
  <c r="T39" i="20"/>
  <c r="T35" i="20"/>
  <c r="P31" i="20"/>
  <c r="I29" i="20"/>
  <c r="I28" i="20"/>
  <c r="P27" i="20"/>
  <c r="I25" i="20"/>
  <c r="I24" i="20"/>
  <c r="T21" i="20"/>
  <c r="P17" i="20"/>
  <c r="T48" i="20"/>
  <c r="I38" i="20"/>
  <c r="I34" i="20"/>
  <c r="T31" i="20"/>
  <c r="T27" i="20"/>
  <c r="I20" i="20"/>
  <c r="T17" i="20"/>
  <c r="T51" i="20"/>
  <c r="T47" i="20"/>
  <c r="I48" i="20"/>
  <c r="I44" i="20"/>
  <c r="I40" i="20"/>
  <c r="I36" i="20"/>
  <c r="I32" i="20"/>
  <c r="I22" i="20"/>
  <c r="I18" i="20"/>
  <c r="I51" i="20"/>
  <c r="P50" i="20"/>
  <c r="I47" i="20"/>
  <c r="P46" i="20"/>
  <c r="I43" i="20"/>
  <c r="P42" i="20"/>
  <c r="I39" i="20"/>
  <c r="P38" i="20"/>
  <c r="I35" i="20"/>
  <c r="P34" i="20"/>
  <c r="I31" i="20"/>
  <c r="P30" i="20"/>
  <c r="P28" i="20"/>
  <c r="P26" i="20"/>
  <c r="P24" i="20"/>
  <c r="I21" i="20"/>
  <c r="P20" i="20"/>
  <c r="I17" i="20"/>
  <c r="P16" i="20"/>
  <c r="K28" i="19"/>
  <c r="M83" i="23" s="1"/>
  <c r="K23" i="19"/>
  <c r="M85" i="23" s="1"/>
  <c r="K41" i="19"/>
  <c r="M87" i="23" s="1"/>
  <c r="K17" i="19"/>
  <c r="M79" i="23" s="1"/>
  <c r="D51" i="18"/>
  <c r="H43" i="18" l="1"/>
  <c r="C94" i="17"/>
  <c r="H43" i="19"/>
  <c r="H44" i="19"/>
  <c r="R99" i="23"/>
  <c r="R98" i="23"/>
  <c r="R95" i="23"/>
  <c r="R97" i="23"/>
  <c r="R96" i="23"/>
  <c r="V82" i="23"/>
  <c r="V79" i="23"/>
  <c r="V80" i="23"/>
  <c r="V81" i="23"/>
  <c r="C84" i="23"/>
  <c r="C86" i="23"/>
  <c r="C79" i="23"/>
  <c r="C82" i="23"/>
  <c r="C83" i="23"/>
  <c r="C88" i="23"/>
  <c r="O15" i="21"/>
  <c r="U31" i="21" s="1"/>
  <c r="O29" i="21"/>
  <c r="O36" i="21"/>
  <c r="O28" i="21"/>
  <c r="O17" i="21"/>
  <c r="O20" i="21"/>
  <c r="O30" i="21"/>
  <c r="O37" i="21"/>
  <c r="O22" i="21"/>
  <c r="O21" i="21"/>
  <c r="O23" i="21"/>
  <c r="O24" i="21"/>
  <c r="O31" i="21"/>
  <c r="O38" i="21"/>
  <c r="O16" i="21"/>
  <c r="O19" i="21"/>
  <c r="O35" i="21"/>
  <c r="O33" i="21"/>
  <c r="O32" i="21"/>
  <c r="O26" i="21"/>
  <c r="O18" i="21"/>
  <c r="O25" i="21"/>
  <c r="O27" i="21"/>
  <c r="O34" i="21"/>
  <c r="M14" i="23"/>
  <c r="M15" i="23"/>
  <c r="O15" i="23" s="1"/>
  <c r="M16" i="23"/>
  <c r="O16" i="23" s="1"/>
  <c r="M17" i="23"/>
  <c r="O17" i="23" s="1"/>
  <c r="M18" i="23"/>
  <c r="O18" i="23" s="1"/>
  <c r="D48" i="18"/>
  <c r="C85" i="23"/>
  <c r="D52" i="18"/>
  <c r="V78" i="23"/>
  <c r="R94" i="23"/>
  <c r="D45" i="18"/>
  <c r="D50" i="18"/>
  <c r="D46" i="18"/>
  <c r="D49" i="18"/>
  <c r="C80" i="23"/>
  <c r="C78" i="23"/>
  <c r="O40" i="21"/>
  <c r="O41" i="21"/>
  <c r="O39" i="21"/>
  <c r="O41" i="18" l="1"/>
  <c r="O43" i="18" s="1"/>
  <c r="L14" i="23"/>
  <c r="O14" i="23"/>
  <c r="L16" i="23"/>
  <c r="L15" i="23"/>
  <c r="L17" i="23"/>
  <c r="L18" i="23"/>
  <c r="W14" i="23"/>
  <c r="Y14" i="23" s="1"/>
  <c r="W18" i="23"/>
  <c r="Y18" i="23" s="1"/>
  <c r="W17" i="23"/>
  <c r="W15" i="23"/>
  <c r="R46" i="23"/>
  <c r="T46" i="23" s="1"/>
  <c r="R43" i="23"/>
  <c r="R45" i="23"/>
  <c r="T45" i="23" s="1"/>
  <c r="R47" i="23"/>
  <c r="T47" i="23" s="1"/>
  <c r="R44" i="23"/>
  <c r="T44" i="23" s="1"/>
  <c r="W16" i="23"/>
  <c r="C16" i="23"/>
  <c r="C14" i="23"/>
  <c r="E14" i="23" s="1"/>
  <c r="C17" i="23"/>
  <c r="E17" i="23" s="1"/>
  <c r="C15" i="23"/>
  <c r="E15" i="23" s="1"/>
  <c r="C18" i="23"/>
  <c r="Q43" i="23" l="1"/>
  <c r="T43" i="23"/>
  <c r="V16" i="23"/>
  <c r="Y16" i="23"/>
  <c r="V15" i="23"/>
  <c r="Y15" i="23"/>
  <c r="V17" i="23"/>
  <c r="Y17" i="23"/>
  <c r="V14" i="23"/>
  <c r="B18" i="23"/>
  <c r="E18" i="23"/>
  <c r="B16" i="23"/>
  <c r="E16" i="23"/>
  <c r="B14" i="23"/>
  <c r="V18" i="23"/>
  <c r="Q46" i="23"/>
  <c r="Q47" i="23"/>
  <c r="Q45" i="23"/>
  <c r="Q44" i="23"/>
  <c r="B17" i="23"/>
  <c r="B15" i="23"/>
  <c r="P18" i="20"/>
  <c r="C92" i="17" s="1"/>
  <c r="C47" i="22"/>
  <c r="H94" i="23"/>
  <c r="Q25" i="22" l="1"/>
  <c r="Q15" i="22"/>
  <c r="Q16" i="22"/>
  <c r="Q38" i="22"/>
  <c r="Q28" i="22"/>
  <c r="Q40" i="22"/>
  <c r="Q36" i="22"/>
  <c r="Q35" i="22"/>
  <c r="Q21" i="22"/>
  <c r="Q31" i="22"/>
  <c r="Q18" i="22"/>
  <c r="Q19" i="22"/>
  <c r="Q39" i="22"/>
  <c r="Q37" i="22"/>
  <c r="Q27" i="22"/>
  <c r="Q24" i="22"/>
  <c r="Q26" i="22"/>
  <c r="Q30" i="22"/>
  <c r="Q32" i="22"/>
  <c r="Q20" i="22"/>
  <c r="Q17" i="22"/>
  <c r="Q23" i="22"/>
  <c r="Q33" i="22"/>
  <c r="Q41" i="22"/>
  <c r="Q34" i="22"/>
  <c r="H45" i="23"/>
  <c r="H43" i="23"/>
  <c r="J43" i="23" s="1"/>
  <c r="H46" i="23"/>
  <c r="Q29" i="22"/>
  <c r="H44" i="23"/>
  <c r="J44" i="23" s="1"/>
  <c r="H47" i="23"/>
  <c r="J47" i="23" s="1"/>
  <c r="Q22" i="22"/>
  <c r="C93" i="17" l="1"/>
  <c r="G45" i="23"/>
  <c r="J45" i="23"/>
  <c r="G46" i="23"/>
  <c r="J46" i="23"/>
  <c r="G43" i="23"/>
  <c r="G47" i="23"/>
  <c r="G44" i="23"/>
</calcChain>
</file>

<file path=xl/sharedStrings.xml><?xml version="1.0" encoding="utf-8"?>
<sst xmlns="http://schemas.openxmlformats.org/spreadsheetml/2006/main" count="683" uniqueCount="285">
  <si>
    <t>Código</t>
  </si>
  <si>
    <t>Produto</t>
  </si>
  <si>
    <t>Categoria</t>
  </si>
  <si>
    <t>Marca</t>
  </si>
  <si>
    <t>qtde</t>
  </si>
  <si>
    <t>Valor Unitário</t>
  </si>
  <si>
    <t>Geladeiras e Freezers</t>
  </si>
  <si>
    <t>Fogões e Fornos</t>
  </si>
  <si>
    <t>Micro-ondas</t>
  </si>
  <si>
    <t>Cooktops</t>
  </si>
  <si>
    <t>Coifas e depuradores</t>
  </si>
  <si>
    <t>Lava Louças</t>
  </si>
  <si>
    <t>Adegas Climátizadas</t>
  </si>
  <si>
    <t>Maquina de lavar</t>
  </si>
  <si>
    <t>Lava e Seca</t>
  </si>
  <si>
    <t>Geladeira Top Freezers</t>
  </si>
  <si>
    <t>Geladeira Side Inverse</t>
  </si>
  <si>
    <t>Frigobar Retrô</t>
  </si>
  <si>
    <t>Fogão 5 bocas</t>
  </si>
  <si>
    <t>Fogão Gás 4 boca</t>
  </si>
  <si>
    <t>Fogão 4 bocas</t>
  </si>
  <si>
    <t>Cooktop</t>
  </si>
  <si>
    <t xml:space="preserve">Cooktop </t>
  </si>
  <si>
    <t xml:space="preserve">Coifa </t>
  </si>
  <si>
    <t>Depurador de Ar</t>
  </si>
  <si>
    <t>Eletrolux</t>
  </si>
  <si>
    <t>Adega 16 garrafas</t>
  </si>
  <si>
    <t>Adega 12 garrafas</t>
  </si>
  <si>
    <t>Brastamp</t>
  </si>
  <si>
    <t>Adega Menma</t>
  </si>
  <si>
    <t>Forno Elétrico</t>
  </si>
  <si>
    <t>Britânia</t>
  </si>
  <si>
    <t>Lavadoura de roupas</t>
  </si>
  <si>
    <t>Valor Bruto</t>
  </si>
  <si>
    <t>Quantidade Inicial</t>
  </si>
  <si>
    <t>Coqueiro</t>
  </si>
  <si>
    <t>Heinz</t>
  </si>
  <si>
    <t>Sagatiba</t>
  </si>
  <si>
    <t>Néctar</t>
  </si>
  <si>
    <t>Santa Monica</t>
  </si>
  <si>
    <t>YOKI</t>
  </si>
  <si>
    <t>Pringles</t>
  </si>
  <si>
    <t>Toddynho</t>
  </si>
  <si>
    <t>SEVEN BOYS</t>
  </si>
  <si>
    <t>Negresco</t>
  </si>
  <si>
    <t>Gallo</t>
  </si>
  <si>
    <t>Andorinha</t>
  </si>
  <si>
    <t>KICALDO</t>
  </si>
  <si>
    <t>Barilla</t>
  </si>
  <si>
    <t>La Pastina</t>
  </si>
  <si>
    <t>Kitano</t>
  </si>
  <si>
    <t xml:space="preserve">Knorr </t>
  </si>
  <si>
    <t>Native</t>
  </si>
  <si>
    <t>Nescau</t>
  </si>
  <si>
    <t>Red Bull</t>
  </si>
  <si>
    <t>Prata</t>
  </si>
  <si>
    <t>Fanta</t>
  </si>
  <si>
    <t>Johnnie Walker</t>
  </si>
  <si>
    <t>MARCAS</t>
  </si>
  <si>
    <t>Produto Desejado</t>
  </si>
  <si>
    <t>Codigo</t>
  </si>
  <si>
    <t>GELEIAS E MEL</t>
  </si>
  <si>
    <t>LANCHES E DOCES</t>
  </si>
  <si>
    <t>Alimentos Enlatados</t>
  </si>
  <si>
    <t>ÓLEOS, AZEITES E VINAGRES</t>
  </si>
  <si>
    <t>Molhos e codimentos</t>
  </si>
  <si>
    <t>LATICÍNIOS</t>
  </si>
  <si>
    <t>Bebidas alcoólicas</t>
  </si>
  <si>
    <t>MOLHOS E CONDIMENTOS</t>
  </si>
  <si>
    <t>Café e outras bebidas</t>
  </si>
  <si>
    <t>GRÃOS, ARROZ E MASSAS</t>
  </si>
  <si>
    <t>TEMPEROS E ESPECIARIAS</t>
  </si>
  <si>
    <t>Lanches e doces</t>
  </si>
  <si>
    <t xml:space="preserve">ALIMENTOS ENLATADOS </t>
  </si>
  <si>
    <t>CATEGORIAS</t>
  </si>
  <si>
    <t>COMIDA PARA BEBES</t>
  </si>
  <si>
    <t>CEREAIS E GRANOLAS</t>
  </si>
  <si>
    <t>CAFÉ E OUTRAS BEBIDAS</t>
  </si>
  <si>
    <t>Óleos, azeites e vinagres</t>
  </si>
  <si>
    <t>Quantidade</t>
  </si>
  <si>
    <t>Valor do produto</t>
  </si>
  <si>
    <t>Grãos arroz e massas</t>
  </si>
  <si>
    <t>Desconto</t>
  </si>
  <si>
    <t>Critérios</t>
  </si>
  <si>
    <t>Desconto com Critérios</t>
  </si>
  <si>
    <t>Knorr</t>
  </si>
  <si>
    <t>Temperos e Especiarias</t>
  </si>
  <si>
    <t>Cereais e Granolas</t>
  </si>
  <si>
    <t>Porcentagem</t>
  </si>
  <si>
    <t>Desconto do dia</t>
  </si>
  <si>
    <t>Vendas do dia</t>
  </si>
  <si>
    <t>Valor Total</t>
  </si>
  <si>
    <t>Valor Unitario</t>
  </si>
  <si>
    <t>QTDE</t>
  </si>
  <si>
    <t>Nome</t>
  </si>
  <si>
    <t>Departamento Automotivo</t>
  </si>
  <si>
    <t>categoria</t>
  </si>
  <si>
    <t>Qtde</t>
  </si>
  <si>
    <t>Valor com desconto</t>
  </si>
  <si>
    <t>Pneu aro 17</t>
  </si>
  <si>
    <t>Firestone</t>
  </si>
  <si>
    <t>Pneu aro 14</t>
  </si>
  <si>
    <t>Tabela de Desconto</t>
  </si>
  <si>
    <t>Goodride</t>
  </si>
  <si>
    <t>Porcentagem %</t>
  </si>
  <si>
    <t>Pneu aro 15</t>
  </si>
  <si>
    <t>Westlake</t>
  </si>
  <si>
    <t>Pneu aro 16</t>
  </si>
  <si>
    <t>Som automotivo</t>
  </si>
  <si>
    <t>Pioneer</t>
  </si>
  <si>
    <t>Pósitron</t>
  </si>
  <si>
    <t>Taramps</t>
  </si>
  <si>
    <t>Jbl</t>
  </si>
  <si>
    <t>Amplificador</t>
  </si>
  <si>
    <t>Orion</t>
  </si>
  <si>
    <t>Luxcar</t>
  </si>
  <si>
    <t>Auto falante</t>
  </si>
  <si>
    <t>CentralSul</t>
  </si>
  <si>
    <t>Qtde Total Por Marca</t>
  </si>
  <si>
    <t>DVD automotivo</t>
  </si>
  <si>
    <t>Alarme automotivo</t>
  </si>
  <si>
    <t>Mídia Receiver</t>
  </si>
  <si>
    <t>Central multimídia</t>
  </si>
  <si>
    <t>Reparador de pneu</t>
  </si>
  <si>
    <t>Espuma limpadora</t>
  </si>
  <si>
    <t>LUxcar</t>
  </si>
  <si>
    <t>Limpador Multiuso</t>
  </si>
  <si>
    <t>DEPARTAMENTO DE ELETRÔNICOS</t>
  </si>
  <si>
    <t>Desconto Total</t>
  </si>
  <si>
    <t>Vendas Totais</t>
  </si>
  <si>
    <t xml:space="preserve">Mouse </t>
  </si>
  <si>
    <t>Multilazer</t>
  </si>
  <si>
    <t>Dell</t>
  </si>
  <si>
    <t>Exbom</t>
  </si>
  <si>
    <t>Logitech</t>
  </si>
  <si>
    <t>Havit</t>
  </si>
  <si>
    <t>Teclado</t>
  </si>
  <si>
    <t>Wacon</t>
  </si>
  <si>
    <t>Fortrek</t>
  </si>
  <si>
    <t>Head Fone</t>
  </si>
  <si>
    <t>Monitor</t>
  </si>
  <si>
    <t>Led</t>
  </si>
  <si>
    <t>Pen Drive</t>
  </si>
  <si>
    <t>Gamer</t>
  </si>
  <si>
    <t>Bluetoth</t>
  </si>
  <si>
    <t>Com Fio</t>
  </si>
  <si>
    <t>Gabinete</t>
  </si>
  <si>
    <t>16GB</t>
  </si>
  <si>
    <t>Farm</t>
  </si>
  <si>
    <t>bolsa de viagem dobrável</t>
  </si>
  <si>
    <t>bolsa viagem sacola impérmeavel</t>
  </si>
  <si>
    <t>mala de mão</t>
  </si>
  <si>
    <t>Reserva</t>
  </si>
  <si>
    <t>mala de viagem unissex</t>
  </si>
  <si>
    <t>Colcci</t>
  </si>
  <si>
    <t>mala de viagem com alça</t>
  </si>
  <si>
    <t>mala de bordo+frasqueira</t>
  </si>
  <si>
    <t>mala de viagem</t>
  </si>
  <si>
    <t>Swissland</t>
  </si>
  <si>
    <t>mala rígida de fibra</t>
  </si>
  <si>
    <t>Kat</t>
  </si>
  <si>
    <t>pacote de malas de viagem</t>
  </si>
  <si>
    <t>conjunto de malas de viagem</t>
  </si>
  <si>
    <t>mochila térmica</t>
  </si>
  <si>
    <t>mochila escolar</t>
  </si>
  <si>
    <t>mochila de rodinhas</t>
  </si>
  <si>
    <t>mochila mala viagem</t>
  </si>
  <si>
    <t>mochila de costas</t>
  </si>
  <si>
    <t>mochila masculina antifurto</t>
  </si>
  <si>
    <t>mochila bolsa notebook home</t>
  </si>
  <si>
    <t>mochila executiva linha office</t>
  </si>
  <si>
    <t>3 peças conjunto de mochila</t>
  </si>
  <si>
    <t>mochila maternidade</t>
  </si>
  <si>
    <t>mochila impermeável</t>
  </si>
  <si>
    <t>mochila casual</t>
  </si>
  <si>
    <t>mochila bolsa escola,trabalho</t>
  </si>
  <si>
    <t>mochila reforçada executiva</t>
  </si>
  <si>
    <t xml:space="preserve">mochila unissex poliester </t>
  </si>
  <si>
    <t>necessaire</t>
  </si>
  <si>
    <t>Promoção</t>
  </si>
  <si>
    <t>bolsa de mão vintage</t>
  </si>
  <si>
    <t>mochila masculina casual de viagem</t>
  </si>
  <si>
    <t>Fone de ouvido Bluetoth</t>
  </si>
  <si>
    <t>bolsa saco feminina</t>
  </si>
  <si>
    <t>Minnie Chaveiro</t>
  </si>
  <si>
    <t>kit 4 bolsas monograma</t>
  </si>
  <si>
    <t>Sem Brinde</t>
  </si>
  <si>
    <t>bolsa casual feminina</t>
  </si>
  <si>
    <t>bolsa feminina mini bag</t>
  </si>
  <si>
    <t>Conjunto 4 Lapis Grafitte</t>
  </si>
  <si>
    <t>bolsa feminina alça transversal</t>
  </si>
  <si>
    <t>Brindes</t>
  </si>
  <si>
    <t>kit bolsa grande+báu+carteira</t>
  </si>
  <si>
    <t xml:space="preserve">bolsa de ombro feminina </t>
  </si>
  <si>
    <t>Estoque</t>
  </si>
  <si>
    <t>bolsa de mão feminina grande</t>
  </si>
  <si>
    <t>Saídas</t>
  </si>
  <si>
    <t>Data</t>
  </si>
  <si>
    <t>Brinde</t>
  </si>
  <si>
    <t>Estoque Liquidado</t>
  </si>
  <si>
    <t>DEPARTAMENTO DE MOCHILAS, MALAS E BOLSAS</t>
  </si>
  <si>
    <t>DEPARTAMENTO DE ELETRODOMÉSTICOS</t>
  </si>
  <si>
    <t>DEPARTAMENTO DE ALIMENTOS E BEBIDAS</t>
  </si>
  <si>
    <t>Composição do Produto</t>
  </si>
  <si>
    <t>Kikaldo</t>
  </si>
  <si>
    <t>Seven boys</t>
  </si>
  <si>
    <t>Yoki</t>
  </si>
  <si>
    <t>Desconto mensal</t>
  </si>
  <si>
    <t>Valor total Bruto</t>
  </si>
  <si>
    <t>Atualização do Estoque</t>
  </si>
  <si>
    <t>Estoque Final Mensal</t>
  </si>
  <si>
    <t>Eletrodomésticos</t>
  </si>
  <si>
    <t>Bolsas e Malas</t>
  </si>
  <si>
    <t xml:space="preserve">Estoque final do mês </t>
  </si>
  <si>
    <t>Eletrônicos</t>
  </si>
  <si>
    <t>Automotivo</t>
  </si>
  <si>
    <t>Alimentos e Bebidas</t>
  </si>
  <si>
    <t>Ranking</t>
  </si>
  <si>
    <t>Valor Agregado</t>
  </si>
  <si>
    <t>Produtos</t>
  </si>
  <si>
    <t>Marcas</t>
  </si>
  <si>
    <t>Valor Agregado dos Produtos</t>
  </si>
  <si>
    <t>Qtde de Produtos</t>
  </si>
  <si>
    <t>Philco</t>
  </si>
  <si>
    <t>Fogatti</t>
  </si>
  <si>
    <t>Kicaldo</t>
  </si>
  <si>
    <t>Maquinas de Lavar</t>
  </si>
  <si>
    <t>Electrolux</t>
  </si>
  <si>
    <t>Colormaq</t>
  </si>
  <si>
    <t>Midea</t>
  </si>
  <si>
    <t>Panasonic</t>
  </si>
  <si>
    <t>Bivolt</t>
  </si>
  <si>
    <t>Fischer</t>
  </si>
  <si>
    <t>Dako</t>
  </si>
  <si>
    <t>Whisky</t>
  </si>
  <si>
    <t>Refrigerante</t>
  </si>
  <si>
    <t>Água</t>
  </si>
  <si>
    <t>Energético</t>
  </si>
  <si>
    <t>Cereal</t>
  </si>
  <si>
    <t>Granolas</t>
  </si>
  <si>
    <t>Sardinha</t>
  </si>
  <si>
    <t>Canela em Pó</t>
  </si>
  <si>
    <t>Arroz</t>
  </si>
  <si>
    <t>Macarrão</t>
  </si>
  <si>
    <t>Feijão</t>
  </si>
  <si>
    <t>Ketchup</t>
  </si>
  <si>
    <t>Azeite</t>
  </si>
  <si>
    <t>Oleo</t>
  </si>
  <si>
    <t>Biscoito Recheado</t>
  </si>
  <si>
    <t>Bolinho</t>
  </si>
  <si>
    <t>Achocolatado</t>
  </si>
  <si>
    <t>Batata</t>
  </si>
  <si>
    <t>Café</t>
  </si>
  <si>
    <t>Suco</t>
  </si>
  <si>
    <t>Cachaça</t>
  </si>
  <si>
    <t>Maionese</t>
  </si>
  <si>
    <t>Milho</t>
  </si>
  <si>
    <t>ALIMENTOS</t>
  </si>
  <si>
    <t>Desconto Diário</t>
  </si>
  <si>
    <t>Estoque Diário</t>
  </si>
  <si>
    <t>Vendas Diária</t>
  </si>
  <si>
    <t>CATEGORIA</t>
  </si>
  <si>
    <t>PORCENTAGEM</t>
  </si>
  <si>
    <t>DESCONTO DIÁRIO</t>
  </si>
  <si>
    <t>DESCONTO COM CRITÉRIOS</t>
  </si>
  <si>
    <t>CRITÉRIOS</t>
  </si>
  <si>
    <t>DESC.</t>
  </si>
  <si>
    <t>Valor do Produto</t>
  </si>
  <si>
    <t>HOME</t>
  </si>
  <si>
    <t>ELETRODOMÉSTICOS</t>
  </si>
  <si>
    <t>AUTOMOTIVO</t>
  </si>
  <si>
    <t>BOLSAS E MALAS</t>
  </si>
  <si>
    <t>ELETRÔNICOS</t>
  </si>
  <si>
    <t>RANKING</t>
  </si>
  <si>
    <t>ALIMENTOS E
BEBIDAS</t>
  </si>
  <si>
    <t>Tipo</t>
  </si>
  <si>
    <t>Efetuar compra</t>
  </si>
  <si>
    <t>Aplicar desconto</t>
  </si>
  <si>
    <t>Departamento</t>
  </si>
  <si>
    <t>Eletromésticos</t>
  </si>
  <si>
    <t>Bolsas e  Malas</t>
  </si>
  <si>
    <t>Valor Bruto em produto</t>
  </si>
  <si>
    <t>Valor Bruto em produto pos desconto</t>
  </si>
  <si>
    <t>Quantidade inicial</t>
  </si>
  <si>
    <t>Quantidade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</si>
</sst>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;;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gency FB"/>
      <family val="2"/>
    </font>
    <font>
      <sz val="36"/>
      <color theme="1"/>
      <name val="Agency FB"/>
      <family val="2"/>
    </font>
    <font>
      <sz val="11"/>
      <color theme="1"/>
      <name val="Agency FB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20"/>
      <color rgb="FF190933"/>
      <name val="Agency FB"/>
      <family val="2"/>
    </font>
    <font>
      <b/>
      <sz val="11"/>
      <color rgb="FF190933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rgb="FF190933"/>
      <name val="Arial"/>
      <family val="2"/>
    </font>
    <font>
      <b/>
      <sz val="11"/>
      <color theme="1"/>
      <name val="Arial"/>
      <family val="2"/>
    </font>
    <font>
      <b/>
      <sz val="48"/>
      <color theme="0"/>
      <name val="Century Gothic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0"/>
      <name val="Century Gothic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A1E887"/>
        <bgColor indexed="64"/>
      </patternFill>
    </fill>
    <fill>
      <patternFill patternType="solid">
        <fgColor rgb="FFF7F0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BEE1"/>
        <bgColor indexed="64"/>
      </patternFill>
    </fill>
    <fill>
      <patternFill patternType="solid">
        <fgColor rgb="FF8FCB9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5CDD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0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Protection="1"/>
    <xf numFmtId="0" fontId="4" fillId="0" borderId="0" xfId="0" applyFo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Protection="1"/>
    <xf numFmtId="0" fontId="6" fillId="7" borderId="9" xfId="0" applyFont="1" applyFill="1" applyBorder="1" applyProtection="1"/>
    <xf numFmtId="0" fontId="6" fillId="7" borderId="27" xfId="0" applyFont="1" applyFill="1" applyBorder="1" applyProtection="1"/>
    <xf numFmtId="1" fontId="0" fillId="0" borderId="3" xfId="0" applyNumberFormat="1" applyBorder="1" applyProtection="1"/>
    <xf numFmtId="1" fontId="0" fillId="0" borderId="1" xfId="0" applyNumberFormat="1" applyBorder="1" applyProtection="1"/>
    <xf numFmtId="1" fontId="0" fillId="0" borderId="16" xfId="0" applyNumberFormat="1" applyFill="1" applyBorder="1" applyProtection="1"/>
    <xf numFmtId="9" fontId="0" fillId="0" borderId="1" xfId="2" applyFont="1" applyBorder="1" applyAlignment="1" applyProtection="1">
      <alignment horizontal="center"/>
    </xf>
    <xf numFmtId="9" fontId="0" fillId="0" borderId="1" xfId="2" applyNumberFormat="1" applyFont="1" applyBorder="1" applyAlignment="1" applyProtection="1">
      <alignment horizontal="center"/>
    </xf>
    <xf numFmtId="44" fontId="4" fillId="0" borderId="0" xfId="1" applyFont="1"/>
    <xf numFmtId="0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NumberFormat="1" applyProtection="1"/>
    <xf numFmtId="0" fontId="4" fillId="0" borderId="0" xfId="0" applyNumberFormat="1" applyFont="1"/>
    <xf numFmtId="0" fontId="0" fillId="0" borderId="1" xfId="0" applyBorder="1" applyAlignment="1" applyProtection="1">
      <alignment horizontal="center"/>
    </xf>
    <xf numFmtId="0" fontId="6" fillId="11" borderId="27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0" fillId="0" borderId="0" xfId="0" applyFont="1"/>
    <xf numFmtId="0" fontId="10" fillId="0" borderId="0" xfId="0" applyFont="1" applyProtection="1"/>
    <xf numFmtId="0" fontId="12" fillId="10" borderId="4" xfId="0" applyFont="1" applyFill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44" fontId="10" fillId="0" borderId="0" xfId="0" applyNumberFormat="1" applyFont="1" applyProtection="1"/>
    <xf numFmtId="0" fontId="10" fillId="8" borderId="36" xfId="0" applyFont="1" applyFill="1" applyBorder="1" applyAlignment="1" applyProtection="1">
      <alignment horizontal="center"/>
    </xf>
    <xf numFmtId="0" fontId="10" fillId="8" borderId="20" xfId="0" applyFont="1" applyFill="1" applyBorder="1" applyAlignment="1" applyProtection="1">
      <alignment horizontal="center"/>
    </xf>
    <xf numFmtId="0" fontId="10" fillId="0" borderId="21" xfId="0" applyFont="1" applyBorder="1" applyAlignment="1" applyProtection="1">
      <alignment horizontal="center"/>
    </xf>
    <xf numFmtId="0" fontId="10" fillId="8" borderId="38" xfId="0" applyFont="1" applyFill="1" applyBorder="1" applyAlignment="1" applyProtection="1">
      <alignment horizontal="center"/>
    </xf>
    <xf numFmtId="0" fontId="12" fillId="10" borderId="9" xfId="0" applyFont="1" applyFill="1" applyBorder="1" applyAlignment="1" applyProtection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6" fillId="10" borderId="4" xfId="0" applyFont="1" applyFill="1" applyBorder="1" applyAlignment="1" applyProtection="1">
      <alignment horizontal="center"/>
    </xf>
    <xf numFmtId="9" fontId="10" fillId="0" borderId="39" xfId="2" applyFont="1" applyBorder="1" applyAlignment="1" applyProtection="1">
      <alignment horizontal="center"/>
    </xf>
    <xf numFmtId="9" fontId="10" fillId="0" borderId="22" xfId="2" applyFont="1" applyBorder="1" applyAlignment="1" applyProtection="1">
      <alignment horizontal="center"/>
    </xf>
    <xf numFmtId="0" fontId="13" fillId="0" borderId="45" xfId="0" applyFont="1" applyBorder="1" applyAlignment="1" applyProtection="1">
      <alignment horizontal="center"/>
    </xf>
    <xf numFmtId="0" fontId="13" fillId="0" borderId="46" xfId="0" applyFont="1" applyBorder="1" applyAlignment="1" applyProtection="1">
      <alignment horizontal="center"/>
    </xf>
    <xf numFmtId="0" fontId="13" fillId="0" borderId="47" xfId="0" applyFont="1" applyBorder="1" applyAlignment="1" applyProtection="1">
      <alignment horizontal="center"/>
    </xf>
    <xf numFmtId="0" fontId="15" fillId="2" borderId="3" xfId="0" applyFont="1" applyFill="1" applyBorder="1"/>
    <xf numFmtId="0" fontId="10" fillId="0" borderId="16" xfId="0" applyFont="1" applyFill="1" applyBorder="1" applyAlignment="1">
      <alignment horizontal="center"/>
    </xf>
    <xf numFmtId="164" fontId="10" fillId="0" borderId="0" xfId="0" applyNumberFormat="1" applyFont="1"/>
    <xf numFmtId="44" fontId="10" fillId="0" borderId="0" xfId="0" applyNumberFormat="1" applyFont="1"/>
    <xf numFmtId="44" fontId="10" fillId="0" borderId="0" xfId="1" applyFont="1"/>
    <xf numFmtId="0" fontId="15" fillId="2" borderId="16" xfId="0" applyFont="1" applyFill="1" applyBorder="1" applyAlignment="1">
      <alignment horizontal="center"/>
    </xf>
    <xf numFmtId="0" fontId="5" fillId="4" borderId="32" xfId="0" applyFont="1" applyFill="1" applyBorder="1" applyAlignment="1" applyProtection="1">
      <alignment horizontal="center" vertical="top" wrapText="1"/>
    </xf>
    <xf numFmtId="0" fontId="5" fillId="4" borderId="31" xfId="0" applyFont="1" applyFill="1" applyBorder="1" applyAlignment="1" applyProtection="1">
      <alignment horizontal="center" vertical="top" wrapText="1"/>
    </xf>
    <xf numFmtId="0" fontId="5" fillId="4" borderId="0" xfId="0" applyFont="1" applyFill="1" applyBorder="1" applyAlignment="1" applyProtection="1">
      <alignment horizontal="center" vertical="top" wrapText="1"/>
    </xf>
    <xf numFmtId="0" fontId="5" fillId="4" borderId="32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/>
    </xf>
    <xf numFmtId="0" fontId="10" fillId="0" borderId="3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1" xfId="0" applyBorder="1" applyAlignment="1" applyProtection="1"/>
    <xf numFmtId="0" fontId="0" fillId="0" borderId="3" xfId="0" applyBorder="1" applyAlignment="1" applyProtection="1">
      <alignment horizontal="center"/>
    </xf>
    <xf numFmtId="0" fontId="0" fillId="0" borderId="1" xfId="0" applyBorder="1"/>
    <xf numFmtId="0" fontId="6" fillId="11" borderId="27" xfId="0" applyFont="1" applyFill="1" applyBorder="1" applyProtection="1"/>
    <xf numFmtId="0" fontId="0" fillId="0" borderId="3" xfId="0" quotePrefix="1" applyBorder="1" applyAlignment="1" applyProtection="1">
      <alignment horizontal="left"/>
    </xf>
    <xf numFmtId="0" fontId="0" fillId="0" borderId="1" xfId="0" quotePrefix="1" applyBorder="1" applyAlignment="1" applyProtection="1">
      <alignment horizontal="left"/>
    </xf>
    <xf numFmtId="0" fontId="0" fillId="13" borderId="0" xfId="0" applyFill="1"/>
    <xf numFmtId="0" fontId="10" fillId="0" borderId="2" xfId="0" applyFont="1" applyBorder="1" applyAlignment="1" applyProtection="1">
      <alignment vertical="center"/>
    </xf>
    <xf numFmtId="0" fontId="10" fillId="0" borderId="48" xfId="0" applyFont="1" applyBorder="1" applyAlignment="1" applyProtection="1">
      <alignment vertical="center"/>
    </xf>
    <xf numFmtId="0" fontId="10" fillId="0" borderId="5" xfId="0" applyFont="1" applyBorder="1" applyAlignment="1" applyProtection="1">
      <alignment vertical="center"/>
    </xf>
    <xf numFmtId="0" fontId="0" fillId="0" borderId="0" xfId="0" applyNumberFormat="1" applyBorder="1" applyProtection="1"/>
    <xf numFmtId="0" fontId="0" fillId="0" borderId="5" xfId="0" applyBorder="1" applyAlignment="1" applyProtection="1">
      <alignment horizontal="center"/>
    </xf>
    <xf numFmtId="0" fontId="6" fillId="7" borderId="40" xfId="0" applyFont="1" applyFill="1" applyBorder="1" applyProtection="1"/>
    <xf numFmtId="0" fontId="6" fillId="7" borderId="4" xfId="0" applyFont="1" applyFill="1" applyBorder="1" applyAlignment="1" applyProtection="1"/>
    <xf numFmtId="0" fontId="4" fillId="0" borderId="0" xfId="0" applyFont="1" applyBorder="1"/>
    <xf numFmtId="0" fontId="0" fillId="0" borderId="0" xfId="0" applyBorder="1"/>
    <xf numFmtId="0" fontId="0" fillId="0" borderId="7" xfId="0" applyBorder="1"/>
    <xf numFmtId="0" fontId="0" fillId="0" borderId="16" xfId="0" applyBorder="1"/>
    <xf numFmtId="0" fontId="0" fillId="0" borderId="48" xfId="0" applyBorder="1" applyAlignment="1" applyProtection="1">
      <alignment horizontal="center"/>
    </xf>
    <xf numFmtId="0" fontId="0" fillId="16" borderId="1" xfId="0" applyFill="1" applyBorder="1" applyProtection="1"/>
    <xf numFmtId="0" fontId="2" fillId="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3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/>
    <xf numFmtId="0" fontId="1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0" borderId="0" xfId="0" applyNumberFormat="1" applyFont="1" applyBorder="1"/>
    <xf numFmtId="0" fontId="19" fillId="0" borderId="0" xfId="0" applyFont="1"/>
    <xf numFmtId="165" fontId="19" fillId="17" borderId="0" xfId="0" applyNumberFormat="1" applyFont="1" applyFill="1"/>
    <xf numFmtId="0" fontId="20" fillId="0" borderId="1" xfId="0" applyFont="1" applyBorder="1" applyAlignment="1">
      <alignment horizontal="center"/>
    </xf>
    <xf numFmtId="0" fontId="5" fillId="12" borderId="1" xfId="0" applyNumberFormat="1" applyFont="1" applyFill="1" applyBorder="1" applyAlignment="1">
      <alignment horizontal="center"/>
    </xf>
    <xf numFmtId="44" fontId="0" fillId="0" borderId="16" xfId="1" applyFont="1" applyFill="1" applyBorder="1" applyAlignment="1" applyProtection="1">
      <alignment horizontal="center"/>
    </xf>
    <xf numFmtId="44" fontId="0" fillId="0" borderId="0" xfId="1" applyFont="1"/>
    <xf numFmtId="44" fontId="0" fillId="0" borderId="0" xfId="0" applyNumberFormat="1" applyProtection="1"/>
    <xf numFmtId="0" fontId="5" fillId="12" borderId="1" xfId="0" applyNumberFormat="1" applyFont="1" applyFill="1" applyBorder="1"/>
    <xf numFmtId="0" fontId="0" fillId="0" borderId="1" xfId="0" applyNumberFormat="1" applyBorder="1" applyAlignment="1"/>
    <xf numFmtId="164" fontId="0" fillId="0" borderId="1" xfId="0" applyNumberFormat="1" applyBorder="1"/>
    <xf numFmtId="44" fontId="0" fillId="0" borderId="1" xfId="0" applyNumberFormat="1" applyBorder="1"/>
    <xf numFmtId="1" fontId="0" fillId="0" borderId="1" xfId="0" applyNumberFormat="1" applyBorder="1"/>
    <xf numFmtId="0" fontId="14" fillId="13" borderId="17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18" fillId="14" borderId="17" xfId="3" applyFont="1" applyFill="1" applyBorder="1" applyAlignment="1">
      <alignment horizontal="center" vertical="center"/>
    </xf>
    <xf numFmtId="0" fontId="18" fillId="14" borderId="18" xfId="3" applyFont="1" applyFill="1" applyBorder="1" applyAlignment="1">
      <alignment horizontal="center" vertical="center"/>
    </xf>
    <xf numFmtId="0" fontId="18" fillId="14" borderId="19" xfId="3" applyFont="1" applyFill="1" applyBorder="1" applyAlignment="1">
      <alignment horizontal="center" vertical="center"/>
    </xf>
    <xf numFmtId="0" fontId="18" fillId="14" borderId="31" xfId="3" applyFont="1" applyFill="1" applyBorder="1" applyAlignment="1">
      <alignment horizontal="center" vertical="center"/>
    </xf>
    <xf numFmtId="0" fontId="18" fillId="14" borderId="0" xfId="3" applyFont="1" applyFill="1" applyBorder="1" applyAlignment="1">
      <alignment horizontal="center" vertical="center"/>
    </xf>
    <xf numFmtId="0" fontId="18" fillId="14" borderId="35" xfId="3" applyFont="1" applyFill="1" applyBorder="1" applyAlignment="1">
      <alignment horizontal="center" vertical="center"/>
    </xf>
    <xf numFmtId="0" fontId="18" fillId="14" borderId="23" xfId="3" applyFont="1" applyFill="1" applyBorder="1" applyAlignment="1">
      <alignment horizontal="center" vertical="center"/>
    </xf>
    <xf numFmtId="0" fontId="18" fillId="14" borderId="24" xfId="3" applyFont="1" applyFill="1" applyBorder="1" applyAlignment="1">
      <alignment horizontal="center" vertical="center"/>
    </xf>
    <xf numFmtId="0" fontId="18" fillId="14" borderId="25" xfId="3" applyFont="1" applyFill="1" applyBorder="1" applyAlignment="1">
      <alignment horizontal="center" vertical="center"/>
    </xf>
    <xf numFmtId="0" fontId="18" fillId="14" borderId="17" xfId="3" applyFont="1" applyFill="1" applyBorder="1" applyAlignment="1">
      <alignment horizontal="center" vertical="center" wrapText="1"/>
    </xf>
    <xf numFmtId="0" fontId="15" fillId="2" borderId="33" xfId="0" applyFont="1" applyFill="1" applyBorder="1"/>
    <xf numFmtId="0" fontId="15" fillId="2" borderId="0" xfId="0" applyFont="1" applyFill="1" applyBorder="1"/>
    <xf numFmtId="44" fontId="10" fillId="0" borderId="1" xfId="1" applyFont="1" applyBorder="1"/>
    <xf numFmtId="0" fontId="10" fillId="0" borderId="1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44" fontId="20" fillId="0" borderId="1" xfId="1" applyFont="1" applyBorder="1" applyAlignment="1">
      <alignment horizontal="center"/>
    </xf>
    <xf numFmtId="9" fontId="20" fillId="0" borderId="1" xfId="2" applyNumberFormat="1" applyFont="1" applyBorder="1" applyAlignment="1">
      <alignment horizontal="center"/>
    </xf>
    <xf numFmtId="4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9" fontId="20" fillId="0" borderId="1" xfId="2" applyFont="1" applyBorder="1" applyAlignment="1">
      <alignment horizontal="center" vertical="top"/>
    </xf>
    <xf numFmtId="0" fontId="14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15" fillId="2" borderId="9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44" fontId="10" fillId="0" borderId="3" xfId="1" quotePrefix="1" applyFont="1" applyBorder="1" applyAlignment="1">
      <alignment horizontal="center"/>
    </xf>
    <xf numFmtId="44" fontId="10" fillId="0" borderId="1" xfId="1" quotePrefix="1" applyFont="1" applyBorder="1" applyAlignment="1">
      <alignment horizontal="center"/>
    </xf>
    <xf numFmtId="0" fontId="15" fillId="2" borderId="4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 applyProtection="1">
      <alignment horizontal="center"/>
    </xf>
    <xf numFmtId="0" fontId="5" fillId="4" borderId="48" xfId="0" applyFont="1" applyFill="1" applyBorder="1" applyAlignment="1" applyProtection="1">
      <alignment horizontal="center"/>
    </xf>
    <xf numFmtId="9" fontId="0" fillId="0" borderId="13" xfId="0" applyNumberFormat="1" applyBorder="1" applyAlignment="1" applyProtection="1">
      <alignment horizontal="center" vertical="center"/>
    </xf>
    <xf numFmtId="9" fontId="0" fillId="0" borderId="14" xfId="0" applyNumberFormat="1" applyBorder="1" applyAlignment="1" applyProtection="1">
      <alignment horizontal="center" vertical="center"/>
    </xf>
    <xf numFmtId="9" fontId="0" fillId="0" borderId="6" xfId="0" applyNumberFormat="1" applyBorder="1" applyAlignment="1" applyProtection="1">
      <alignment horizontal="center" vertical="center"/>
    </xf>
    <xf numFmtId="9" fontId="0" fillId="0" borderId="8" xfId="0" applyNumberFormat="1" applyBorder="1" applyAlignment="1" applyProtection="1">
      <alignment horizontal="center" vertical="center"/>
    </xf>
    <xf numFmtId="9" fontId="0" fillId="0" borderId="2" xfId="0" applyNumberFormat="1" applyBorder="1" applyAlignment="1" applyProtection="1">
      <alignment horizontal="center" vertical="center"/>
    </xf>
    <xf numFmtId="9" fontId="0" fillId="0" borderId="5" xfId="0" applyNumberFormat="1" applyBorder="1" applyAlignment="1" applyProtection="1">
      <alignment horizontal="center" vertical="center"/>
    </xf>
    <xf numFmtId="0" fontId="5" fillId="3" borderId="33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/>
    </xf>
    <xf numFmtId="0" fontId="0" fillId="16" borderId="5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44" fontId="0" fillId="0" borderId="1" xfId="1" applyFont="1" applyBorder="1" applyAlignment="1" applyProtection="1">
      <alignment horizontal="center"/>
    </xf>
    <xf numFmtId="0" fontId="5" fillId="4" borderId="31" xfId="0" applyFont="1" applyFill="1" applyBorder="1" applyAlignment="1" applyProtection="1">
      <alignment horizontal="center" vertical="center" wrapText="1"/>
    </xf>
    <xf numFmtId="0" fontId="5" fillId="4" borderId="35" xfId="0" applyFont="1" applyFill="1" applyBorder="1" applyAlignment="1" applyProtection="1">
      <alignment horizontal="center" vertical="center" wrapText="1"/>
    </xf>
    <xf numFmtId="4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5" fillId="4" borderId="3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35" xfId="0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5" fillId="3" borderId="17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31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0" fillId="16" borderId="3" xfId="0" applyFill="1" applyBorder="1" applyAlignment="1" applyProtection="1">
      <alignment horizontal="center"/>
    </xf>
    <xf numFmtId="0" fontId="5" fillId="4" borderId="31" xfId="0" applyFont="1" applyFill="1" applyBorder="1" applyAlignment="1" applyProtection="1">
      <alignment horizontal="center" vertical="top" wrapText="1"/>
    </xf>
    <xf numFmtId="0" fontId="5" fillId="4" borderId="35" xfId="0" applyFont="1" applyFill="1" applyBorder="1" applyAlignment="1" applyProtection="1">
      <alignment horizontal="center" vertical="top" wrapText="1"/>
    </xf>
    <xf numFmtId="0" fontId="5" fillId="3" borderId="23" xfId="0" applyFont="1" applyFill="1" applyBorder="1" applyAlignment="1" applyProtection="1">
      <alignment horizontal="center" vertical="center"/>
    </xf>
    <xf numFmtId="0" fontId="5" fillId="8" borderId="1" xfId="0" applyNumberFormat="1" applyFont="1" applyFill="1" applyBorder="1" applyAlignment="1" applyProtection="1">
      <alignment horizontal="center" vertical="center" wrapText="1"/>
    </xf>
    <xf numFmtId="0" fontId="6" fillId="11" borderId="26" xfId="0" applyFont="1" applyFill="1" applyBorder="1" applyAlignment="1" applyProtection="1">
      <alignment horizontal="center"/>
    </xf>
    <xf numFmtId="0" fontId="6" fillId="11" borderId="27" xfId="0" applyFont="1" applyFill="1" applyBorder="1" applyAlignment="1" applyProtection="1">
      <alignment horizontal="center"/>
    </xf>
    <xf numFmtId="44" fontId="0" fillId="0" borderId="3" xfId="1" applyFont="1" applyBorder="1" applyAlignment="1" applyProtection="1">
      <alignment horizontal="center"/>
    </xf>
    <xf numFmtId="0" fontId="0" fillId="0" borderId="3" xfId="0" applyBorder="1" applyAlignment="1" applyProtection="1">
      <alignment horizontal="left"/>
    </xf>
    <xf numFmtId="14" fontId="0" fillId="0" borderId="1" xfId="0" applyNumberFormat="1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</xf>
    <xf numFmtId="9" fontId="0" fillId="0" borderId="2" xfId="2" applyFont="1" applyBorder="1" applyAlignment="1" applyProtection="1">
      <alignment horizontal="center"/>
    </xf>
    <xf numFmtId="9" fontId="0" fillId="0" borderId="48" xfId="2" applyFont="1" applyBorder="1" applyAlignment="1" applyProtection="1">
      <alignment horizontal="center"/>
    </xf>
    <xf numFmtId="9" fontId="0" fillId="0" borderId="5" xfId="2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6" fillId="11" borderId="9" xfId="0" applyFont="1" applyFill="1" applyBorder="1" applyAlignment="1" applyProtection="1">
      <alignment horizontal="center"/>
    </xf>
    <xf numFmtId="0" fontId="6" fillId="11" borderId="10" xfId="0" applyFont="1" applyFill="1" applyBorder="1" applyAlignment="1" applyProtection="1">
      <alignment horizontal="center"/>
    </xf>
    <xf numFmtId="0" fontId="6" fillId="11" borderId="11" xfId="0" applyFont="1" applyFill="1" applyBorder="1" applyAlignment="1" applyProtection="1">
      <alignment horizontal="center"/>
    </xf>
    <xf numFmtId="0" fontId="6" fillId="11" borderId="17" xfId="0" applyFont="1" applyFill="1" applyBorder="1" applyAlignment="1" applyProtection="1">
      <alignment horizontal="center"/>
    </xf>
    <xf numFmtId="0" fontId="6" fillId="11" borderId="18" xfId="0" applyFont="1" applyFill="1" applyBorder="1" applyAlignment="1" applyProtection="1">
      <alignment horizontal="center"/>
    </xf>
    <xf numFmtId="0" fontId="6" fillId="11" borderId="19" xfId="0" applyFont="1" applyFill="1" applyBorder="1" applyAlignment="1" applyProtection="1">
      <alignment horizontal="center"/>
    </xf>
    <xf numFmtId="0" fontId="18" fillId="14" borderId="0" xfId="3" applyFont="1" applyFill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7" fillId="9" borderId="17" xfId="0" applyFont="1" applyFill="1" applyBorder="1" applyAlignment="1" applyProtection="1">
      <alignment horizontal="center" vertical="center"/>
    </xf>
    <xf numFmtId="0" fontId="7" fillId="9" borderId="18" xfId="0" applyFont="1" applyFill="1" applyBorder="1" applyAlignment="1" applyProtection="1">
      <alignment horizontal="center" vertical="center"/>
    </xf>
    <xf numFmtId="0" fontId="7" fillId="9" borderId="19" xfId="0" applyFont="1" applyFill="1" applyBorder="1" applyAlignment="1" applyProtection="1">
      <alignment horizontal="center" vertical="center"/>
    </xf>
    <xf numFmtId="0" fontId="7" fillId="9" borderId="23" xfId="0" applyFont="1" applyFill="1" applyBorder="1" applyAlignment="1" applyProtection="1">
      <alignment horizontal="center" vertical="center"/>
    </xf>
    <xf numFmtId="0" fontId="7" fillId="9" borderId="24" xfId="0" applyFont="1" applyFill="1" applyBorder="1" applyAlignment="1" applyProtection="1">
      <alignment horizontal="center" vertical="center"/>
    </xf>
    <xf numFmtId="0" fontId="7" fillId="9" borderId="25" xfId="0" applyFont="1" applyFill="1" applyBorder="1" applyAlignment="1" applyProtection="1">
      <alignment horizontal="center" vertical="center"/>
    </xf>
    <xf numFmtId="0" fontId="6" fillId="11" borderId="27" xfId="0" applyFont="1" applyFill="1" applyBorder="1" applyAlignment="1" applyProtection="1">
      <alignment horizontal="center" vertical="center"/>
    </xf>
    <xf numFmtId="0" fontId="6" fillId="11" borderId="28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10" fillId="0" borderId="2" xfId="0" quotePrefix="1" applyFont="1" applyBorder="1" applyAlignment="1" applyProtection="1">
      <alignment horizontal="left"/>
    </xf>
    <xf numFmtId="0" fontId="10" fillId="0" borderId="48" xfId="0" quotePrefix="1" applyFont="1" applyBorder="1" applyAlignment="1" applyProtection="1">
      <alignment horizontal="left"/>
    </xf>
    <xf numFmtId="0" fontId="10" fillId="0" borderId="5" xfId="0" quotePrefix="1" applyFont="1" applyBorder="1" applyAlignment="1" applyProtection="1">
      <alignment horizontal="left"/>
    </xf>
    <xf numFmtId="0" fontId="12" fillId="10" borderId="26" xfId="0" applyFont="1" applyFill="1" applyBorder="1" applyAlignment="1" applyProtection="1">
      <alignment horizontal="center"/>
    </xf>
    <xf numFmtId="0" fontId="12" fillId="10" borderId="27" xfId="0" applyFont="1" applyFill="1" applyBorder="1" applyAlignment="1" applyProtection="1">
      <alignment horizontal="center"/>
    </xf>
    <xf numFmtId="0" fontId="12" fillId="10" borderId="28" xfId="0" applyFont="1" applyFill="1" applyBorder="1" applyAlignment="1" applyProtection="1">
      <alignment horizontal="center"/>
    </xf>
    <xf numFmtId="0" fontId="10" fillId="0" borderId="44" xfId="0" quotePrefix="1" applyFont="1" applyBorder="1" applyAlignment="1" applyProtection="1">
      <alignment horizontal="left"/>
    </xf>
    <xf numFmtId="0" fontId="10" fillId="0" borderId="49" xfId="0" quotePrefix="1" applyFont="1" applyBorder="1" applyAlignment="1" applyProtection="1">
      <alignment horizontal="left"/>
    </xf>
    <xf numFmtId="0" fontId="10" fillId="0" borderId="50" xfId="0" quotePrefix="1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/>
    </xf>
    <xf numFmtId="0" fontId="10" fillId="0" borderId="48" xfId="0" applyFont="1" applyBorder="1" applyAlignment="1" applyProtection="1">
      <alignment horizontal="left"/>
    </xf>
    <xf numFmtId="0" fontId="10" fillId="0" borderId="5" xfId="0" applyFont="1" applyBorder="1" applyAlignment="1" applyProtection="1">
      <alignment horizontal="left"/>
    </xf>
    <xf numFmtId="0" fontId="10" fillId="0" borderId="41" xfId="0" quotePrefix="1" applyFont="1" applyBorder="1" applyAlignment="1" applyProtection="1">
      <alignment horizontal="left"/>
    </xf>
    <xf numFmtId="0" fontId="10" fillId="0" borderId="51" xfId="0" quotePrefix="1" applyFont="1" applyBorder="1" applyAlignment="1" applyProtection="1">
      <alignment horizontal="left"/>
    </xf>
    <xf numFmtId="0" fontId="10" fillId="0" borderId="42" xfId="0" quotePrefix="1" applyFont="1" applyBorder="1" applyAlignment="1" applyProtection="1">
      <alignment horizontal="left"/>
    </xf>
    <xf numFmtId="0" fontId="10" fillId="0" borderId="41" xfId="0" applyFont="1" applyBorder="1" applyAlignment="1" applyProtection="1">
      <alignment horizontal="left"/>
    </xf>
    <xf numFmtId="0" fontId="10" fillId="0" borderId="51" xfId="0" applyFont="1" applyBorder="1" applyAlignment="1" applyProtection="1">
      <alignment horizontal="left"/>
    </xf>
    <xf numFmtId="0" fontId="10" fillId="0" borderId="42" xfId="0" applyFont="1" applyBorder="1" applyAlignment="1" applyProtection="1">
      <alignment horizontal="left"/>
    </xf>
    <xf numFmtId="0" fontId="10" fillId="0" borderId="44" xfId="0" applyFont="1" applyBorder="1" applyAlignment="1" applyProtection="1">
      <alignment horizontal="left"/>
    </xf>
    <xf numFmtId="0" fontId="10" fillId="0" borderId="49" xfId="0" applyFont="1" applyBorder="1" applyAlignment="1" applyProtection="1">
      <alignment horizontal="left"/>
    </xf>
    <xf numFmtId="0" fontId="10" fillId="0" borderId="50" xfId="0" applyFont="1" applyBorder="1" applyAlignment="1" applyProtection="1">
      <alignment horizontal="left"/>
    </xf>
    <xf numFmtId="44" fontId="10" fillId="0" borderId="2" xfId="1" applyFont="1" applyBorder="1" applyAlignment="1" applyProtection="1">
      <alignment horizontal="left"/>
    </xf>
    <xf numFmtId="44" fontId="10" fillId="0" borderId="5" xfId="1" applyFont="1" applyBorder="1" applyAlignment="1" applyProtection="1">
      <alignment horizontal="left"/>
    </xf>
    <xf numFmtId="44" fontId="10" fillId="0" borderId="41" xfId="1" applyFont="1" applyBorder="1" applyAlignment="1" applyProtection="1">
      <alignment horizontal="left"/>
    </xf>
    <xf numFmtId="44" fontId="10" fillId="0" borderId="42" xfId="1" applyFont="1" applyBorder="1" applyAlignment="1" applyProtection="1">
      <alignment horizontal="left"/>
    </xf>
    <xf numFmtId="44" fontId="10" fillId="0" borderId="44" xfId="1" applyFont="1" applyBorder="1" applyAlignment="1" applyProtection="1">
      <alignment horizontal="left"/>
    </xf>
    <xf numFmtId="44" fontId="10" fillId="0" borderId="50" xfId="1" applyFont="1" applyBorder="1" applyAlignment="1" applyProtection="1">
      <alignment horizontal="left"/>
    </xf>
    <xf numFmtId="44" fontId="10" fillId="0" borderId="2" xfId="0" applyNumberFormat="1" applyFont="1" applyBorder="1" applyAlignment="1" applyProtection="1">
      <alignment horizontal="left"/>
    </xf>
    <xf numFmtId="44" fontId="10" fillId="0" borderId="5" xfId="0" applyNumberFormat="1" applyFont="1" applyBorder="1" applyAlignment="1" applyProtection="1">
      <alignment horizontal="left"/>
    </xf>
    <xf numFmtId="44" fontId="10" fillId="0" borderId="41" xfId="0" applyNumberFormat="1" applyFont="1" applyBorder="1" applyAlignment="1" applyProtection="1">
      <alignment horizontal="left"/>
    </xf>
    <xf numFmtId="44" fontId="10" fillId="0" borderId="42" xfId="0" applyNumberFormat="1" applyFont="1" applyBorder="1" applyAlignment="1" applyProtection="1">
      <alignment horizontal="left"/>
    </xf>
    <xf numFmtId="44" fontId="10" fillId="0" borderId="44" xfId="0" applyNumberFormat="1" applyFont="1" applyBorder="1" applyAlignment="1" applyProtection="1">
      <alignment horizontal="left"/>
    </xf>
    <xf numFmtId="44" fontId="10" fillId="0" borderId="50" xfId="0" applyNumberFormat="1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44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0" fontId="10" fillId="0" borderId="42" xfId="0" applyFont="1" applyBorder="1" applyAlignment="1" applyProtection="1">
      <alignment horizontal="center"/>
    </xf>
    <xf numFmtId="0" fontId="10" fillId="0" borderId="52" xfId="0" applyFont="1" applyBorder="1" applyAlignment="1" applyProtection="1">
      <alignment horizontal="center"/>
    </xf>
    <xf numFmtId="0" fontId="11" fillId="6" borderId="31" xfId="0" applyFont="1" applyFill="1" applyBorder="1" applyAlignment="1" applyProtection="1">
      <alignment horizontal="center" vertical="center"/>
    </xf>
    <xf numFmtId="0" fontId="11" fillId="6" borderId="0" xfId="0" applyFont="1" applyFill="1" applyBorder="1" applyAlignment="1" applyProtection="1">
      <alignment horizontal="center" vertical="center"/>
    </xf>
    <xf numFmtId="0" fontId="11" fillId="6" borderId="18" xfId="0" applyFont="1" applyFill="1" applyBorder="1" applyAlignment="1" applyProtection="1">
      <alignment horizontal="center" vertical="center"/>
    </xf>
    <xf numFmtId="0" fontId="11" fillId="6" borderId="19" xfId="0" applyFont="1" applyFill="1" applyBorder="1" applyAlignment="1" applyProtection="1">
      <alignment horizontal="center" vertical="center"/>
    </xf>
    <xf numFmtId="0" fontId="11" fillId="6" borderId="23" xfId="0" applyFont="1" applyFill="1" applyBorder="1" applyAlignment="1" applyProtection="1">
      <alignment horizontal="center" vertical="center"/>
    </xf>
    <xf numFmtId="0" fontId="11" fillId="6" borderId="24" xfId="0" applyFont="1" applyFill="1" applyBorder="1" applyAlignment="1" applyProtection="1">
      <alignment horizontal="center" vertical="center"/>
    </xf>
    <xf numFmtId="0" fontId="11" fillId="6" borderId="25" xfId="0" applyFont="1" applyFill="1" applyBorder="1" applyAlignment="1" applyProtection="1">
      <alignment horizontal="center" vertical="center"/>
    </xf>
    <xf numFmtId="0" fontId="13" fillId="0" borderId="38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44" fontId="10" fillId="0" borderId="20" xfId="0" applyNumberFormat="1" applyFont="1" applyBorder="1" applyAlignment="1" applyProtection="1">
      <alignment horizontal="center"/>
    </xf>
    <xf numFmtId="44" fontId="10" fillId="0" borderId="21" xfId="0" applyNumberFormat="1" applyFont="1" applyBorder="1" applyAlignment="1" applyProtection="1">
      <alignment horizontal="center"/>
    </xf>
    <xf numFmtId="0" fontId="13" fillId="6" borderId="26" xfId="0" applyFont="1" applyFill="1" applyBorder="1" applyAlignment="1" applyProtection="1">
      <alignment horizontal="center"/>
    </xf>
    <xf numFmtId="0" fontId="13" fillId="6" borderId="27" xfId="0" applyFont="1" applyFill="1" applyBorder="1" applyAlignment="1" applyProtection="1">
      <alignment horizontal="center"/>
    </xf>
    <xf numFmtId="0" fontId="13" fillId="6" borderId="28" xfId="0" applyFont="1" applyFill="1" applyBorder="1" applyAlignment="1" applyProtection="1">
      <alignment horizontal="center"/>
    </xf>
    <xf numFmtId="0" fontId="16" fillId="10" borderId="26" xfId="0" applyFont="1" applyFill="1" applyBorder="1" applyAlignment="1">
      <alignment horizontal="center"/>
    </xf>
    <xf numFmtId="0" fontId="16" fillId="10" borderId="27" xfId="0" applyFont="1" applyFill="1" applyBorder="1" applyAlignment="1">
      <alignment horizontal="center"/>
    </xf>
    <xf numFmtId="0" fontId="16" fillId="10" borderId="28" xfId="0" applyFont="1" applyFill="1" applyBorder="1" applyAlignment="1">
      <alignment horizontal="center"/>
    </xf>
    <xf numFmtId="0" fontId="13" fillId="0" borderId="38" xfId="0" applyFont="1" applyBorder="1" applyAlignment="1" applyProtection="1">
      <alignment horizontal="left"/>
    </xf>
    <xf numFmtId="0" fontId="13" fillId="0" borderId="3" xfId="0" applyFont="1" applyBorder="1" applyAlignment="1" applyProtection="1">
      <alignment horizontal="left"/>
    </xf>
    <xf numFmtId="0" fontId="13" fillId="0" borderId="36" xfId="0" applyFont="1" applyBorder="1" applyAlignment="1" applyProtection="1">
      <alignment horizontal="left"/>
    </xf>
    <xf numFmtId="0" fontId="13" fillId="0" borderId="1" xfId="0" applyFont="1" applyBorder="1" applyAlignment="1" applyProtection="1">
      <alignment horizontal="left"/>
    </xf>
    <xf numFmtId="0" fontId="10" fillId="0" borderId="47" xfId="0" applyFont="1" applyBorder="1" applyAlignment="1" applyProtection="1">
      <alignment horizontal="center"/>
    </xf>
    <xf numFmtId="0" fontId="12" fillId="10" borderId="40" xfId="0" applyFont="1" applyFill="1" applyBorder="1" applyAlignment="1" applyProtection="1">
      <alignment horizontal="center"/>
    </xf>
    <xf numFmtId="0" fontId="10" fillId="0" borderId="36" xfId="0" quotePrefix="1" applyFont="1" applyBorder="1" applyAlignment="1" applyProtection="1">
      <alignment horizontal="left"/>
    </xf>
    <xf numFmtId="0" fontId="10" fillId="0" borderId="37" xfId="0" quotePrefix="1" applyFont="1" applyBorder="1" applyAlignment="1" applyProtection="1">
      <alignment horizontal="left"/>
    </xf>
    <xf numFmtId="0" fontId="10" fillId="0" borderId="36" xfId="0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left"/>
    </xf>
    <xf numFmtId="0" fontId="10" fillId="0" borderId="20" xfId="0" applyFont="1" applyBorder="1" applyAlignment="1" applyProtection="1">
      <alignment horizontal="left"/>
    </xf>
    <xf numFmtId="0" fontId="10" fillId="0" borderId="21" xfId="0" applyFont="1" applyBorder="1" applyAlignment="1" applyProtection="1">
      <alignment horizontal="left"/>
    </xf>
    <xf numFmtId="9" fontId="10" fillId="0" borderId="1" xfId="0" applyNumberFormat="1" applyFont="1" applyBorder="1" applyAlignment="1" applyProtection="1">
      <alignment horizontal="center" vertical="center"/>
    </xf>
    <xf numFmtId="9" fontId="10" fillId="0" borderId="37" xfId="0" applyNumberFormat="1" applyFont="1" applyBorder="1" applyAlignment="1" applyProtection="1">
      <alignment horizontal="center" vertical="center"/>
    </xf>
    <xf numFmtId="0" fontId="13" fillId="10" borderId="26" xfId="0" applyFont="1" applyFill="1" applyBorder="1" applyAlignment="1" applyProtection="1">
      <alignment horizontal="center"/>
    </xf>
    <xf numFmtId="0" fontId="13" fillId="10" borderId="27" xfId="0" applyFont="1" applyFill="1" applyBorder="1" applyAlignment="1" applyProtection="1">
      <alignment horizontal="center"/>
    </xf>
    <xf numFmtId="0" fontId="13" fillId="10" borderId="28" xfId="0" applyFont="1" applyFill="1" applyBorder="1" applyAlignment="1" applyProtection="1">
      <alignment horizontal="center"/>
    </xf>
    <xf numFmtId="0" fontId="10" fillId="0" borderId="38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9" fontId="10" fillId="0" borderId="1" xfId="0" applyNumberFormat="1" applyFont="1" applyBorder="1" applyAlignment="1" applyProtection="1">
      <alignment horizontal="center"/>
    </xf>
    <xf numFmtId="9" fontId="10" fillId="0" borderId="37" xfId="0" applyNumberFormat="1" applyFont="1" applyBorder="1" applyAlignment="1" applyProtection="1">
      <alignment horizontal="center"/>
    </xf>
    <xf numFmtId="0" fontId="13" fillId="10" borderId="26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0" fillId="0" borderId="29" xfId="0" quotePrefix="1" applyFont="1" applyBorder="1" applyAlignment="1" applyProtection="1">
      <alignment horizontal="left"/>
    </xf>
    <xf numFmtId="0" fontId="10" fillId="0" borderId="30" xfId="0" quotePrefix="1" applyFont="1" applyBorder="1" applyAlignment="1" applyProtection="1">
      <alignment horizontal="left"/>
    </xf>
    <xf numFmtId="9" fontId="10" fillId="0" borderId="3" xfId="0" applyNumberFormat="1" applyFont="1" applyBorder="1" applyAlignment="1" applyProtection="1">
      <alignment horizontal="center"/>
    </xf>
    <xf numFmtId="9" fontId="10" fillId="0" borderId="39" xfId="0" applyNumberFormat="1" applyFont="1" applyBorder="1" applyAlignment="1" applyProtection="1">
      <alignment horizontal="center"/>
    </xf>
    <xf numFmtId="9" fontId="10" fillId="0" borderId="21" xfId="0" applyNumberFormat="1" applyFont="1" applyBorder="1" applyAlignment="1" applyProtection="1">
      <alignment horizontal="center"/>
    </xf>
    <xf numFmtId="9" fontId="10" fillId="0" borderId="22" xfId="0" applyNumberFormat="1" applyFont="1" applyBorder="1" applyAlignment="1" applyProtection="1">
      <alignment horizontal="center"/>
    </xf>
    <xf numFmtId="0" fontId="13" fillId="10" borderId="2" xfId="0" applyFont="1" applyFill="1" applyBorder="1" applyAlignment="1" applyProtection="1">
      <alignment horizontal="center"/>
    </xf>
    <xf numFmtId="0" fontId="13" fillId="10" borderId="48" xfId="0" applyFont="1" applyFill="1" applyBorder="1" applyAlignment="1" applyProtection="1">
      <alignment horizontal="center"/>
    </xf>
    <xf numFmtId="0" fontId="13" fillId="10" borderId="5" xfId="0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48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0" xfId="0" quotePrefix="1" applyFont="1" applyBorder="1" applyAlignment="1" applyProtection="1">
      <alignment horizontal="left"/>
    </xf>
    <xf numFmtId="0" fontId="10" fillId="0" borderId="22" xfId="0" quotePrefix="1" applyFont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0" borderId="21" xfId="0" applyFont="1" applyBorder="1" applyAlignment="1" applyProtection="1">
      <alignment horizontal="left"/>
    </xf>
    <xf numFmtId="0" fontId="13" fillId="10" borderId="9" xfId="0" applyFont="1" applyFill="1" applyBorder="1" applyAlignment="1" applyProtection="1">
      <alignment horizontal="center"/>
    </xf>
    <xf numFmtId="0" fontId="13" fillId="10" borderId="10" xfId="0" applyFont="1" applyFill="1" applyBorder="1" applyAlignment="1" applyProtection="1">
      <alignment horizontal="center"/>
    </xf>
    <xf numFmtId="0" fontId="13" fillId="10" borderId="11" xfId="0" applyFont="1" applyFill="1" applyBorder="1" applyAlignment="1" applyProtection="1">
      <alignment horizontal="center"/>
    </xf>
    <xf numFmtId="9" fontId="0" fillId="0" borderId="2" xfId="0" applyNumberFormat="1" applyBorder="1" applyAlignment="1" applyProtection="1">
      <alignment horizontal="center"/>
    </xf>
    <xf numFmtId="9" fontId="0" fillId="0" borderId="5" xfId="0" applyNumberFormat="1" applyBorder="1" applyAlignment="1" applyProtection="1">
      <alignment horizontal="center"/>
    </xf>
    <xf numFmtId="44" fontId="0" fillId="0" borderId="44" xfId="1" applyFont="1" applyBorder="1" applyAlignment="1" applyProtection="1">
      <alignment horizontal="center"/>
    </xf>
    <xf numFmtId="44" fontId="0" fillId="0" borderId="50" xfId="1" applyFont="1" applyBorder="1" applyAlignment="1" applyProtection="1">
      <alignment horizontal="center"/>
    </xf>
    <xf numFmtId="44" fontId="0" fillId="0" borderId="2" xfId="1" applyFont="1" applyBorder="1" applyAlignment="1" applyProtection="1">
      <alignment horizontal="center"/>
    </xf>
    <xf numFmtId="44" fontId="0" fillId="0" borderId="5" xfId="1" applyFont="1" applyBorder="1" applyAlignment="1" applyProtection="1">
      <alignment horizontal="center"/>
    </xf>
    <xf numFmtId="0" fontId="6" fillId="7" borderId="9" xfId="0" applyFont="1" applyFill="1" applyBorder="1" applyAlignment="1" applyProtection="1">
      <alignment horizontal="center"/>
    </xf>
    <xf numFmtId="0" fontId="6" fillId="7" borderId="10" xfId="0" applyFont="1" applyFill="1" applyBorder="1" applyAlignment="1" applyProtection="1">
      <alignment horizontal="center"/>
    </xf>
    <xf numFmtId="0" fontId="6" fillId="7" borderId="11" xfId="0" applyFont="1" applyFill="1" applyBorder="1" applyAlignment="1" applyProtection="1">
      <alignment horizontal="center"/>
    </xf>
    <xf numFmtId="0" fontId="6" fillId="15" borderId="40" xfId="0" applyFont="1" applyFill="1" applyBorder="1" applyAlignment="1" applyProtection="1">
      <alignment horizontal="center"/>
    </xf>
    <xf numFmtId="0" fontId="6" fillId="15" borderId="28" xfId="0" applyFont="1" applyFill="1" applyBorder="1" applyAlignment="1" applyProtection="1">
      <alignment horizontal="center"/>
    </xf>
    <xf numFmtId="0" fontId="0" fillId="0" borderId="34" xfId="1" quotePrefix="1" applyNumberFormat="1" applyFont="1" applyBorder="1" applyAlignment="1" applyProtection="1">
      <alignment horizontal="center"/>
    </xf>
    <xf numFmtId="0" fontId="0" fillId="0" borderId="16" xfId="1" quotePrefix="1" applyNumberFormat="1" applyFont="1" applyBorder="1" applyAlignment="1" applyProtection="1">
      <alignment horizontal="center"/>
    </xf>
    <xf numFmtId="44" fontId="0" fillId="0" borderId="34" xfId="1" quotePrefix="1" applyFont="1" applyBorder="1" applyAlignment="1" applyProtection="1">
      <alignment horizontal="center"/>
    </xf>
    <xf numFmtId="44" fontId="0" fillId="0" borderId="16" xfId="1" quotePrefix="1" applyFont="1" applyBorder="1" applyAlignment="1" applyProtection="1">
      <alignment horizontal="center"/>
    </xf>
    <xf numFmtId="0" fontId="6" fillId="15" borderId="10" xfId="0" applyFont="1" applyFill="1" applyBorder="1" applyAlignment="1" applyProtection="1">
      <alignment horizontal="center"/>
    </xf>
    <xf numFmtId="0" fontId="6" fillId="15" borderId="11" xfId="0" applyFont="1" applyFill="1" applyBorder="1" applyAlignment="1" applyProtection="1">
      <alignment horizontal="center"/>
    </xf>
    <xf numFmtId="0" fontId="9" fillId="7" borderId="9" xfId="0" applyFont="1" applyFill="1" applyBorder="1" applyAlignment="1" applyProtection="1">
      <alignment horizontal="center"/>
    </xf>
    <xf numFmtId="0" fontId="9" fillId="7" borderId="10" xfId="0" applyFont="1" applyFill="1" applyBorder="1" applyAlignment="1" applyProtection="1">
      <alignment horizontal="center"/>
    </xf>
    <xf numFmtId="0" fontId="9" fillId="7" borderId="11" xfId="0" applyFont="1" applyFill="1" applyBorder="1" applyAlignment="1" applyProtection="1">
      <alignment horizontal="center"/>
    </xf>
    <xf numFmtId="0" fontId="0" fillId="0" borderId="44" xfId="0" applyBorder="1" applyAlignment="1" applyProtection="1">
      <alignment horizontal="center"/>
    </xf>
    <xf numFmtId="0" fontId="0" fillId="0" borderId="49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9" fillId="7" borderId="55" xfId="0" applyFont="1" applyFill="1" applyBorder="1" applyAlignment="1" applyProtection="1">
      <alignment horizontal="center"/>
    </xf>
    <xf numFmtId="0" fontId="9" fillId="7" borderId="49" xfId="0" applyFont="1" applyFill="1" applyBorder="1" applyAlignment="1" applyProtection="1">
      <alignment horizontal="center"/>
    </xf>
    <xf numFmtId="0" fontId="9" fillId="7" borderId="52" xfId="0" applyFont="1" applyFill="1" applyBorder="1" applyAlignment="1" applyProtection="1">
      <alignment horizontal="center"/>
    </xf>
    <xf numFmtId="0" fontId="6" fillId="7" borderId="43" xfId="0" applyFont="1" applyFill="1" applyBorder="1" applyAlignment="1" applyProtection="1">
      <alignment horizontal="center"/>
    </xf>
    <xf numFmtId="44" fontId="0" fillId="0" borderId="3" xfId="0" applyNumberFormat="1" applyBorder="1" applyAlignment="1" applyProtection="1">
      <alignment horizontal="center"/>
    </xf>
    <xf numFmtId="1" fontId="0" fillId="0" borderId="34" xfId="0" applyNumberFormat="1" applyFill="1" applyBorder="1" applyAlignment="1" applyProtection="1">
      <alignment horizontal="center"/>
    </xf>
    <xf numFmtId="1" fontId="0" fillId="0" borderId="16" xfId="0" applyNumberFormat="1" applyFill="1" applyBorder="1" applyAlignment="1" applyProtection="1">
      <alignment horizontal="center"/>
    </xf>
    <xf numFmtId="0" fontId="6" fillId="7" borderId="26" xfId="0" applyFont="1" applyFill="1" applyBorder="1" applyAlignment="1" applyProtection="1">
      <alignment horizontal="center"/>
    </xf>
    <xf numFmtId="0" fontId="6" fillId="7" borderId="28" xfId="0" applyFont="1" applyFill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6" fillId="7" borderId="40" xfId="0" applyFont="1" applyFill="1" applyBorder="1" applyAlignment="1" applyProtection="1">
      <alignment horizontal="center"/>
    </xf>
    <xf numFmtId="0" fontId="0" fillId="0" borderId="1" xfId="0" quotePrefix="1" applyBorder="1" applyAlignment="1" applyProtection="1">
      <alignment horizontal="left"/>
    </xf>
    <xf numFmtId="0" fontId="6" fillId="15" borderId="53" xfId="0" applyFont="1" applyFill="1" applyBorder="1" applyAlignment="1" applyProtection="1">
      <alignment horizontal="center"/>
    </xf>
    <xf numFmtId="0" fontId="6" fillId="15" borderId="54" xfId="0" applyFont="1" applyFill="1" applyBorder="1" applyAlignment="1" applyProtection="1">
      <alignment horizontal="center"/>
    </xf>
    <xf numFmtId="44" fontId="0" fillId="0" borderId="1" xfId="1" quotePrefix="1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8" fillId="5" borderId="17" xfId="0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center" vertical="center"/>
    </xf>
    <xf numFmtId="0" fontId="8" fillId="5" borderId="19" xfId="0" applyFont="1" applyFill="1" applyBorder="1" applyAlignment="1" applyProtection="1">
      <alignment horizontal="center" vertical="center"/>
    </xf>
    <xf numFmtId="0" fontId="8" fillId="5" borderId="23" xfId="0" applyFont="1" applyFill="1" applyBorder="1" applyAlignment="1" applyProtection="1">
      <alignment horizontal="center" vertical="center"/>
    </xf>
    <xf numFmtId="0" fontId="8" fillId="5" borderId="24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</xf>
    <xf numFmtId="0" fontId="8" fillId="5" borderId="35" xfId="0" applyFont="1" applyFill="1" applyBorder="1" applyAlignment="1" applyProtection="1">
      <alignment horizontal="center" vertical="center"/>
    </xf>
    <xf numFmtId="0" fontId="18" fillId="14" borderId="0" xfId="3" applyFont="1" applyFill="1" applyAlignment="1">
      <alignment horizontal="center" vertical="center" wrapText="1"/>
    </xf>
    <xf numFmtId="0" fontId="0" fillId="0" borderId="2" xfId="0" quotePrefix="1" applyBorder="1" applyAlignment="1" applyProtection="1">
      <alignment horizontal="left"/>
    </xf>
    <xf numFmtId="0" fontId="0" fillId="0" borderId="48" xfId="0" quotePrefix="1" applyBorder="1" applyAlignment="1" applyProtection="1">
      <alignment horizontal="left"/>
    </xf>
    <xf numFmtId="0" fontId="0" fillId="0" borderId="5" xfId="0" quotePrefix="1" applyBorder="1" applyAlignment="1" applyProtection="1">
      <alignment horizontal="left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12" borderId="33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44" fontId="0" fillId="0" borderId="1" xfId="1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15" fillId="12" borderId="17" xfId="0" applyFont="1" applyFill="1" applyBorder="1" applyAlignment="1">
      <alignment horizontal="center"/>
    </xf>
    <xf numFmtId="0" fontId="15" fillId="12" borderId="18" xfId="0" applyFont="1" applyFill="1" applyBorder="1" applyAlignment="1">
      <alignment horizontal="center"/>
    </xf>
    <xf numFmtId="0" fontId="15" fillId="12" borderId="19" xfId="0" applyFont="1" applyFill="1" applyBorder="1" applyAlignment="1">
      <alignment horizontal="center"/>
    </xf>
    <xf numFmtId="44" fontId="10" fillId="0" borderId="1" xfId="1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8" fillId="14" borderId="18" xfId="3" applyFont="1" applyFill="1" applyBorder="1" applyAlignment="1">
      <alignment horizontal="center" vertical="center" wrapText="1"/>
    </xf>
    <xf numFmtId="0" fontId="18" fillId="14" borderId="19" xfId="3" applyFont="1" applyFill="1" applyBorder="1" applyAlignment="1">
      <alignment horizontal="center" vertical="center" wrapText="1"/>
    </xf>
    <xf numFmtId="0" fontId="18" fillId="14" borderId="31" xfId="3" applyFont="1" applyFill="1" applyBorder="1" applyAlignment="1">
      <alignment horizontal="center" vertical="center" wrapText="1"/>
    </xf>
    <xf numFmtId="0" fontId="18" fillId="14" borderId="0" xfId="3" applyFont="1" applyFill="1" applyBorder="1" applyAlignment="1">
      <alignment horizontal="center" vertical="center" wrapText="1"/>
    </xf>
    <xf numFmtId="0" fontId="18" fillId="14" borderId="35" xfId="3" applyFont="1" applyFill="1" applyBorder="1" applyAlignment="1">
      <alignment horizontal="center" vertical="center" wrapText="1"/>
    </xf>
    <xf numFmtId="0" fontId="18" fillId="14" borderId="23" xfId="3" applyFont="1" applyFill="1" applyBorder="1" applyAlignment="1">
      <alignment horizontal="center" vertical="center" wrapText="1"/>
    </xf>
    <xf numFmtId="0" fontId="18" fillId="14" borderId="24" xfId="3" applyFont="1" applyFill="1" applyBorder="1" applyAlignment="1">
      <alignment horizontal="center" vertical="center" wrapText="1"/>
    </xf>
    <xf numFmtId="0" fontId="18" fillId="14" borderId="25" xfId="3" applyFont="1" applyFill="1" applyBorder="1" applyAlignment="1">
      <alignment horizontal="center" vertical="center" wrapText="1"/>
    </xf>
    <xf numFmtId="0" fontId="18" fillId="14" borderId="56" xfId="3" applyFont="1" applyFill="1" applyBorder="1" applyAlignment="1">
      <alignment horizontal="center" vertical="center" wrapText="1"/>
    </xf>
    <xf numFmtId="0" fontId="18" fillId="14" borderId="57" xfId="3" applyFont="1" applyFill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5CDDE"/>
      <color rgb="FF8FCB9B"/>
      <color rgb="FFA1E887"/>
      <color rgb="FF06BEE1"/>
      <color rgb="FFFEA8A8"/>
      <color rgb="FFF8B0FA"/>
      <color rgb="FFDBF4A7"/>
      <color rgb="FF166088"/>
      <color rgb="FFF7F0F5"/>
      <color rgb="FFA7E8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563362580365042E-2"/>
          <c:w val="1"/>
          <c:h val="0.7857540518655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Home!$B$89</c:f>
              <c:strCache>
                <c:ptCount val="1"/>
                <c:pt idx="0">
                  <c:v>Valor Bruto em produto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Home!$B$90:$B$94</c:f>
              <c:numCache>
                <c:formatCode>_-[$R$-416]\ * #,##0.00_-;\-[$R$-416]\ * #,##0.00_-;_-[$R$-416]\ * "-"??_-;_-@_-</c:formatCode>
                <c:ptCount val="5"/>
                <c:pt idx="0">
                  <c:v>303334907.13</c:v>
                </c:pt>
                <c:pt idx="1">
                  <c:v>42050418.400000006</c:v>
                </c:pt>
                <c:pt idx="2">
                  <c:v>30222384</c:v>
                </c:pt>
                <c:pt idx="3">
                  <c:v>10835470</c:v>
                </c:pt>
                <c:pt idx="4">
                  <c:v>47417070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CE2-A5C2-39766984C348}"/>
            </c:ext>
          </c:extLst>
        </c:ser>
        <c:ser>
          <c:idx val="1"/>
          <c:order val="1"/>
          <c:tx>
            <c:strRef>
              <c:f>Home!$C$89</c:f>
              <c:strCache>
                <c:ptCount val="1"/>
                <c:pt idx="0">
                  <c:v>Valor Bruto em produto pos desconto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Home!$C$90:$C$94</c:f>
              <c:numCache>
                <c:formatCode>_("R$"* #,##0.00_);_("R$"* \(#,##0.00\);_("R$"* "-"??_);_(@_)</c:formatCode>
                <c:ptCount val="5"/>
                <c:pt idx="0">
                  <c:v>287988627.96090001</c:v>
                </c:pt>
                <c:pt idx="1">
                  <c:v>37420807.681600004</c:v>
                </c:pt>
                <c:pt idx="2">
                  <c:v>26307761.43</c:v>
                </c:pt>
                <c:pt idx="3">
                  <c:v>#N/A</c:v>
                </c:pt>
                <c:pt idx="4">
                  <c:v>43820903.699999996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CE2-A5C2-39766984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59384"/>
        <c:axId val="482559712"/>
      </c:barChart>
      <c:catAx>
        <c:axId val="4825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712"/>
        <c:crosses val="autoZero"/>
        <c:auto val="1"/>
        <c:lblAlgn val="ctr"/>
        <c:lblOffset val="100"/>
        <c:noMultiLvlLbl val="0"/>
      </c:catAx>
      <c:valAx>
        <c:axId val="482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7.563362580365042E-2"/>
          <c:w val="1"/>
          <c:h val="0.7857540518655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Home!$D$89</c:f>
              <c:strCache>
                <c:ptCount val="1"/>
                <c:pt idx="0">
                  <c:v>Quantidade inicial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Home!$D$90:$D$94</c:f>
              <c:numCache>
                <c:formatCode>0</c:formatCode>
                <c:ptCount val="5"/>
                <c:pt idx="0">
                  <c:v>3987</c:v>
                </c:pt>
                <c:pt idx="1">
                  <c:v>3928</c:v>
                </c:pt>
                <c:pt idx="2">
                  <c:v>3711</c:v>
                </c:pt>
                <c:pt idx="3">
                  <c:v>4742</c:v>
                </c:pt>
                <c:pt idx="4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CE2-A5C2-39766984C348}"/>
            </c:ext>
          </c:extLst>
        </c:ser>
        <c:ser>
          <c:idx val="1"/>
          <c:order val="1"/>
          <c:tx>
            <c:strRef>
              <c:f>Home!$E$89</c:f>
              <c:strCache>
                <c:ptCount val="1"/>
                <c:pt idx="0">
                  <c:v>Quantidade Final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Home!$E$90:$E$94</c:f>
              <c:numCache>
                <c:formatCode>0</c:formatCode>
                <c:ptCount val="5"/>
                <c:pt idx="0">
                  <c:v>133</c:v>
                </c:pt>
                <c:pt idx="1">
                  <c:v>2548</c:v>
                </c:pt>
                <c:pt idx="2">
                  <c:v>1989</c:v>
                </c:pt>
                <c:pt idx="3">
                  <c:v>2682</c:v>
                </c:pt>
                <c:pt idx="4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CE2-A5C2-39766984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59384"/>
        <c:axId val="482559712"/>
      </c:barChart>
      <c:catAx>
        <c:axId val="4825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712"/>
        <c:crosses val="autoZero"/>
        <c:auto val="1"/>
        <c:lblAlgn val="ctr"/>
        <c:lblOffset val="100"/>
        <c:noMultiLvlLbl val="0"/>
      </c:catAx>
      <c:valAx>
        <c:axId val="482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Eletrodomésticos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3-49DD-931E-A9BEE068D9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3-49DD-931E-A9BEE068D9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3-49DD-931E-A9BEE068D9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3-49DD-931E-A9BEE068D9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3-49DD-931E-A9BEE068D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Ranking!$B$14:$B$18</c:f>
              <c:strCache>
                <c:ptCount val="5"/>
                <c:pt idx="0">
                  <c:v>Philco</c:v>
                </c:pt>
                <c:pt idx="1">
                  <c:v>Brastamp</c:v>
                </c:pt>
                <c:pt idx="2">
                  <c:v>Electrolux</c:v>
                </c:pt>
                <c:pt idx="3">
                  <c:v>Midea</c:v>
                </c:pt>
                <c:pt idx="4">
                  <c:v>Dako</c:v>
                </c:pt>
              </c:strCache>
            </c:strRef>
          </c:cat>
          <c:val>
            <c:numRef>
              <c:f>Ranking!$C$14:$C$18</c:f>
              <c:numCache>
                <c:formatCode>_("R$"* #,##0.00_);_("R$"* \(#,##0.00\);_("R$"* "-"??_);_(@_)</c:formatCode>
                <c:ptCount val="5"/>
                <c:pt idx="0">
                  <c:v>14472.530700000001</c:v>
                </c:pt>
                <c:pt idx="1">
                  <c:v>13241.75</c:v>
                </c:pt>
                <c:pt idx="2">
                  <c:v>6280.74</c:v>
                </c:pt>
                <c:pt idx="3">
                  <c:v>6162.64</c:v>
                </c:pt>
                <c:pt idx="4">
                  <c:v>2869.1099999999997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3-49DD-931E-A9BEE068D9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solidFill>
        <a:schemeClr val="bg2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Automotivos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4B-40F9-9521-EF003C8CD4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4B-40F9-9521-EF003C8CD4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4B-40F9-9521-EF003C8CD4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4B-40F9-9521-EF003C8CD4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4B-40F9-9521-EF003C8CD4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Ranking!$L$14:$L$18</c:f>
              <c:strCache>
                <c:ptCount val="5"/>
                <c:pt idx="0">
                  <c:v>Pioneer</c:v>
                </c:pt>
                <c:pt idx="1">
                  <c:v>Pósitron</c:v>
                </c:pt>
                <c:pt idx="2">
                  <c:v>Firestone</c:v>
                </c:pt>
                <c:pt idx="3">
                  <c:v>Goodride</c:v>
                </c:pt>
                <c:pt idx="4">
                  <c:v>Westlake</c:v>
                </c:pt>
              </c:strCache>
            </c:strRef>
          </c:cat>
          <c:val>
            <c:numRef>
              <c:f>Ranking!$M$14:$M$18</c:f>
              <c:numCache>
                <c:formatCode>_("R$"* #,##0.00_);_("R$"* \(#,##0.00\);_("R$"* "-"??_);_(@_)</c:formatCode>
                <c:ptCount val="5"/>
                <c:pt idx="0">
                  <c:v>412948.94000000006</c:v>
                </c:pt>
                <c:pt idx="1">
                  <c:v>403420.8</c:v>
                </c:pt>
                <c:pt idx="2">
                  <c:v>211035.9</c:v>
                </c:pt>
                <c:pt idx="3">
                  <c:v>168710.88</c:v>
                </c:pt>
                <c:pt idx="4">
                  <c:v>168266.87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4B-40F9-9521-EF003C8CD4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Bolsas</a:t>
            </a:r>
            <a:r>
              <a:rPr lang="pt-BR" baseline="0"/>
              <a:t> e Malas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22-4791-81D6-70419533AB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22-4791-81D6-70419533AB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22-4791-81D6-70419533AB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22-4791-81D6-70419533AB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22-4791-81D6-70419533A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Ranking!$V$14:$V$18</c:f>
              <c:strCache>
                <c:ptCount val="5"/>
                <c:pt idx="0">
                  <c:v>Farm</c:v>
                </c:pt>
                <c:pt idx="1">
                  <c:v>Colcci</c:v>
                </c:pt>
                <c:pt idx="2">
                  <c:v>Kat</c:v>
                </c:pt>
                <c:pt idx="3">
                  <c:v>Reserva</c:v>
                </c:pt>
                <c:pt idx="4">
                  <c:v>Swissland</c:v>
                </c:pt>
              </c:strCache>
            </c:strRef>
          </c:cat>
          <c:val>
            <c:numRef>
              <c:f>Ranking!$W$14:$W$18</c:f>
              <c:numCache>
                <c:formatCode>_("R$"* #,##0.00_);_("R$"* \(#,##0.00\);_("R$"* "-"??_);_(@_)</c:formatCode>
                <c:ptCount val="5"/>
                <c:pt idx="0">
                  <c:v>189300</c:v>
                </c:pt>
                <c:pt idx="1">
                  <c:v>185523</c:v>
                </c:pt>
                <c:pt idx="2">
                  <c:v>184378</c:v>
                </c:pt>
                <c:pt idx="3">
                  <c:v>157227</c:v>
                </c:pt>
                <c:pt idx="4">
                  <c:v>106804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2-4791-81D6-70419533AB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aseline="0"/>
              <a:t>ELETRÔNICOS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22-4791-81D6-70419533AB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22-4791-81D6-70419533AB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22-4791-81D6-70419533AB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22-4791-81D6-70419533AB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22-4791-81D6-70419533A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Ranking!$Q$43:$Q$47</c:f>
              <c:strCache>
                <c:ptCount val="5"/>
                <c:pt idx="0">
                  <c:v>Exbom</c:v>
                </c:pt>
                <c:pt idx="1">
                  <c:v>Dell</c:v>
                </c:pt>
                <c:pt idx="2">
                  <c:v>Logitech</c:v>
                </c:pt>
                <c:pt idx="3">
                  <c:v>Multilazer</c:v>
                </c:pt>
                <c:pt idx="4">
                  <c:v>Wacon</c:v>
                </c:pt>
              </c:strCache>
            </c:strRef>
          </c:cat>
          <c:val>
            <c:numRef>
              <c:f>Ranking!$R$43:$R$47</c:f>
              <c:numCache>
                <c:formatCode>_("R$"* #,##0.00_);_("R$"* \(#,##0.00\);_("R$"* "-"??_);_(@_)</c:formatCode>
                <c:ptCount val="5"/>
                <c:pt idx="0">
                  <c:v>428665</c:v>
                </c:pt>
                <c:pt idx="1">
                  <c:v>380161</c:v>
                </c:pt>
                <c:pt idx="2">
                  <c:v>377110</c:v>
                </c:pt>
                <c:pt idx="3">
                  <c:v>154110</c:v>
                </c:pt>
                <c:pt idx="4">
                  <c:v>135420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2-4791-81D6-70419533AB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ALIMENTOS E</a:t>
            </a:r>
            <a:r>
              <a:rPr lang="pt-BR" baseline="0"/>
              <a:t> BEBIDAS</a:t>
            </a:r>
          </a:p>
          <a:p>
            <a:pPr>
              <a:defRPr/>
            </a:pPr>
            <a:endParaRPr lang="pt-BR" baseline="0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ABC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C-4E57-B7B7-DBE63193CE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C-4E57-B7B7-DBE63193CE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3C-4E57-B7B7-DBE63193CE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3C-4E57-B7B7-DBE63193CE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3C-4E57-B7B7-DBE63193CE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3C-4E57-B7B7-DBE63193CE2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3C-4E57-B7B7-DBE63193C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Ranking!$H$43:$H$49</c:f>
              <c:numCache>
                <c:formatCode>_("R$"* #,##0.00_);_("R$"* \(#,##0.00\);_("R$"* "-"??_);_(@_)</c:formatCode>
                <c:ptCount val="7"/>
                <c:pt idx="0">
                  <c:v>287</c:v>
                </c:pt>
                <c:pt idx="1">
                  <c:v>230</c:v>
                </c:pt>
                <c:pt idx="2">
                  <c:v>218</c:v>
                </c:pt>
                <c:pt idx="3">
                  <c:v>162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B-4E87-846B-8726B2B742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'Bolsas e Malas'!A1"/><Relationship Id="rId7" Type="http://schemas.openxmlformats.org/officeDocument/2006/relationships/image" Target="../media/image2.png"/><Relationship Id="rId2" Type="http://schemas.openxmlformats.org/officeDocument/2006/relationships/hyperlink" Target="#Automotivos!A1"/><Relationship Id="rId1" Type="http://schemas.openxmlformats.org/officeDocument/2006/relationships/hyperlink" Target="#Eletrodom&#233;sticos!A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#Eletr&#244;nico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hyperlink" Target="word/main_word.docx" TargetMode="External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4" Type="http://schemas.openxmlformats.org/officeDocument/2006/relationships/hyperlink" Target="word/main_word.docx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4" Type="http://schemas.openxmlformats.org/officeDocument/2006/relationships/hyperlink" Target="word/main_word.docx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4" Type="http://schemas.openxmlformats.org/officeDocument/2006/relationships/hyperlink" Target="word/main_word.docx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4" Type="http://schemas.openxmlformats.org/officeDocument/2006/relationships/hyperlink" Target="word/main_word.docx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microsoft.com/office/2007/relationships/hdphoto" Target="../media/hdphoto4.wdp"/><Relationship Id="rId5" Type="http://schemas.openxmlformats.org/officeDocument/2006/relationships/image" Target="../media/image5.png"/><Relationship Id="rId4" Type="http://schemas.openxmlformats.org/officeDocument/2006/relationships/hyperlink" Target="word/main_word.docx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7.xml"/><Relationship Id="rId3" Type="http://schemas.openxmlformats.org/officeDocument/2006/relationships/chart" Target="../charts/chart5.xml"/><Relationship Id="rId7" Type="http://schemas.openxmlformats.org/officeDocument/2006/relationships/hyperlink" Target="word/main_word.docx" TargetMode="External"/><Relationship Id="rId12" Type="http://schemas.openxmlformats.org/officeDocument/2006/relationships/chart" Target="../charts/chart6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3.wdp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8</xdr:col>
      <xdr:colOff>614081</xdr:colOff>
      <xdr:row>5</xdr:row>
      <xdr:rowOff>19050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C01E0DB-7F24-42D4-9DA3-786FB6364F34}"/>
            </a:ext>
          </a:extLst>
        </xdr:cNvPr>
        <xdr:cNvSpPr/>
      </xdr:nvSpPr>
      <xdr:spPr>
        <a:xfrm>
          <a:off x="0" y="9525"/>
          <a:ext cx="13844306" cy="18859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457200" lvl="1" indent="0" algn="l"/>
          <a:r>
            <a:rPr lang="pt-BR" sz="3600" b="1">
              <a:ln>
                <a:solidFill>
                  <a:schemeClr val="bg1">
                    <a:lumMod val="50000"/>
                  </a:schemeClr>
                </a:solidFill>
              </a:ln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  <a:reflection blurRad="6350" stA="55000" endA="50" endPos="85000" dist="60007" dir="5400000" sy="-100000" algn="bl" rotWithShape="0"/>
              </a:effectLst>
              <a:latin typeface="Elephant" panose="02020904090505020303" pitchFamily="18" charset="0"/>
              <a:ea typeface="+mn-ea"/>
              <a:cs typeface="+mn-cs"/>
            </a:rPr>
            <a:t>RAMDOM</a:t>
          </a:r>
          <a:endParaRPr lang="pt-BR" sz="3200" b="1">
            <a:ln>
              <a:solidFill>
                <a:schemeClr val="bg1">
                  <a:lumMod val="50000"/>
                </a:schemeClr>
              </a:solidFill>
            </a:ln>
            <a:solidFill>
              <a:schemeClr val="bg1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  <a:reflection blurRad="6350" stA="55000" endA="50" endPos="85000" dist="60007" dir="5400000" sy="-100000" algn="bl" rotWithShape="0"/>
            </a:effectLst>
            <a:latin typeface="Elephant" panose="02020904090505020303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19049</xdr:colOff>
      <xdr:row>1</xdr:row>
      <xdr:rowOff>0</xdr:rowOff>
    </xdr:from>
    <xdr:to>
      <xdr:col>0</xdr:col>
      <xdr:colOff>814106</xdr:colOff>
      <xdr:row>4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5BE00BA-DACB-4801-9031-D708C06385E1}"/>
            </a:ext>
          </a:extLst>
        </xdr:cNvPr>
        <xdr:cNvSpPr/>
      </xdr:nvSpPr>
      <xdr:spPr>
        <a:xfrm>
          <a:off x="19049" y="1152525"/>
          <a:ext cx="795057" cy="542925"/>
        </a:xfrm>
        <a:prstGeom prst="roundRect">
          <a:avLst>
            <a:gd name="adj" fmla="val 31482"/>
          </a:avLst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Home	</a:t>
          </a:r>
        </a:p>
      </xdr:txBody>
    </xdr:sp>
    <xdr:clientData/>
  </xdr:twoCellAnchor>
  <xdr:twoCellAnchor editAs="oneCell">
    <xdr:from>
      <xdr:col>0</xdr:col>
      <xdr:colOff>895069</xdr:colOff>
      <xdr:row>1</xdr:row>
      <xdr:rowOff>0</xdr:rowOff>
    </xdr:from>
    <xdr:to>
      <xdr:col>2</xdr:col>
      <xdr:colOff>278186</xdr:colOff>
      <xdr:row>4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C7EE8-2AEE-4530-B96F-7ABA6873E95C}"/>
            </a:ext>
          </a:extLst>
        </xdr:cNvPr>
        <xdr:cNvSpPr/>
      </xdr:nvSpPr>
      <xdr:spPr>
        <a:xfrm>
          <a:off x="895069" y="1152525"/>
          <a:ext cx="2497792" cy="542925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Eletrodomésticos</a:t>
          </a:r>
        </a:p>
      </xdr:txBody>
    </xdr:sp>
    <xdr:clientData/>
  </xdr:twoCellAnchor>
  <xdr:twoCellAnchor editAs="oneCell">
    <xdr:from>
      <xdr:col>2</xdr:col>
      <xdr:colOff>521074</xdr:colOff>
      <xdr:row>1</xdr:row>
      <xdr:rowOff>9526</xdr:rowOff>
    </xdr:from>
    <xdr:to>
      <xdr:col>3</xdr:col>
      <xdr:colOff>77882</xdr:colOff>
      <xdr:row>4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626763-59A7-437A-BEB3-1B5119A5E7AF}"/>
            </a:ext>
          </a:extLst>
        </xdr:cNvPr>
        <xdr:cNvSpPr/>
      </xdr:nvSpPr>
      <xdr:spPr>
        <a:xfrm>
          <a:off x="3635749" y="1162051"/>
          <a:ext cx="1538008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Automotivo</a:t>
          </a:r>
        </a:p>
      </xdr:txBody>
    </xdr:sp>
    <xdr:clientData/>
  </xdr:twoCellAnchor>
  <xdr:twoCellAnchor editAs="oneCell">
    <xdr:from>
      <xdr:col>3</xdr:col>
      <xdr:colOff>158845</xdr:colOff>
      <xdr:row>1</xdr:row>
      <xdr:rowOff>9526</xdr:rowOff>
    </xdr:from>
    <xdr:to>
      <xdr:col>3</xdr:col>
      <xdr:colOff>1707498</xdr:colOff>
      <xdr:row>4</xdr:row>
      <xdr:rowOff>0</xdr:rowOff>
    </xdr:to>
    <xdr:sp macro="" textlink="">
      <xdr:nvSpPr>
        <xdr:cNvPr id="6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61BF90-5143-48E1-9C3E-84F017E6E535}"/>
            </a:ext>
          </a:extLst>
        </xdr:cNvPr>
        <xdr:cNvSpPr/>
      </xdr:nvSpPr>
      <xdr:spPr>
        <a:xfrm>
          <a:off x="5254720" y="1162051"/>
          <a:ext cx="1548653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Bolsas</a:t>
          </a:r>
          <a:r>
            <a:rPr lang="pt-BR" sz="1400" baseline="0"/>
            <a:t> e Malas</a:t>
          </a:r>
          <a:endParaRPr lang="pt-BR" sz="1400"/>
        </a:p>
      </xdr:txBody>
    </xdr:sp>
    <xdr:clientData/>
  </xdr:twoCellAnchor>
  <xdr:twoCellAnchor editAs="oneCell">
    <xdr:from>
      <xdr:col>3</xdr:col>
      <xdr:colOff>1788461</xdr:colOff>
      <xdr:row>1</xdr:row>
      <xdr:rowOff>9526</xdr:rowOff>
    </xdr:from>
    <xdr:to>
      <xdr:col>4</xdr:col>
      <xdr:colOff>1348070</xdr:colOff>
      <xdr:row>4</xdr:row>
      <xdr:rowOff>0</xdr:rowOff>
    </xdr:to>
    <xdr:sp macro="" textlink="">
      <xdr:nvSpPr>
        <xdr:cNvPr id="7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B9B709-A8A8-4B0E-B685-CA0E09D73150}"/>
            </a:ext>
          </a:extLst>
        </xdr:cNvPr>
        <xdr:cNvSpPr/>
      </xdr:nvSpPr>
      <xdr:spPr>
        <a:xfrm>
          <a:off x="6884336" y="1162051"/>
          <a:ext cx="1540809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Eletrônicos</a:t>
          </a:r>
        </a:p>
      </xdr:txBody>
    </xdr:sp>
    <xdr:clientData/>
  </xdr:twoCellAnchor>
  <xdr:twoCellAnchor editAs="absolute">
    <xdr:from>
      <xdr:col>4</xdr:col>
      <xdr:colOff>1429033</xdr:colOff>
      <xdr:row>1</xdr:row>
      <xdr:rowOff>14371</xdr:rowOff>
    </xdr:from>
    <xdr:to>
      <xdr:col>5</xdr:col>
      <xdr:colOff>1535488</xdr:colOff>
      <xdr:row>3</xdr:row>
      <xdr:rowOff>176129</xdr:rowOff>
    </xdr:to>
    <xdr:sp macro="" textlink="">
      <xdr:nvSpPr>
        <xdr:cNvPr id="8" name="Retângulo: Cantos Arredondados 4">
          <a:extLst>
            <a:ext uri="{FF2B5EF4-FFF2-40B4-BE49-F238E27FC236}">
              <a16:creationId xmlns:a16="http://schemas.microsoft.com/office/drawing/2014/main" id="{15AC06FD-2BE9-48A8-B8AF-FF8226F5EC26}"/>
            </a:ext>
          </a:extLst>
        </xdr:cNvPr>
        <xdr:cNvSpPr/>
      </xdr:nvSpPr>
      <xdr:spPr>
        <a:xfrm>
          <a:off x="8506108" y="1166896"/>
          <a:ext cx="2087655" cy="523708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Alimentos</a:t>
          </a:r>
          <a:r>
            <a:rPr lang="pt-BR" sz="1400" baseline="0"/>
            <a:t> e Bebidas</a:t>
          </a:r>
          <a:endParaRPr lang="pt-BR" sz="1400"/>
        </a:p>
      </xdr:txBody>
    </xdr:sp>
    <xdr:clientData/>
  </xdr:twoCellAnchor>
  <xdr:twoCellAnchor editAs="absolute">
    <xdr:from>
      <xdr:col>5</xdr:col>
      <xdr:colOff>1616450</xdr:colOff>
      <xdr:row>1</xdr:row>
      <xdr:rowOff>9526</xdr:rowOff>
    </xdr:from>
    <xdr:to>
      <xdr:col>6</xdr:col>
      <xdr:colOff>1177179</xdr:colOff>
      <xdr:row>4</xdr:row>
      <xdr:rowOff>0</xdr:rowOff>
    </xdr:to>
    <xdr:sp macro="" textlink="">
      <xdr:nvSpPr>
        <xdr:cNvPr id="9" name="Retângulo: Cantos Arredondados 4">
          <a:extLst>
            <a:ext uri="{FF2B5EF4-FFF2-40B4-BE49-F238E27FC236}">
              <a16:creationId xmlns:a16="http://schemas.microsoft.com/office/drawing/2014/main" id="{5D9819E1-81CC-4BBE-A2C0-699494922D43}"/>
            </a:ext>
          </a:extLst>
        </xdr:cNvPr>
        <xdr:cNvSpPr/>
      </xdr:nvSpPr>
      <xdr:spPr>
        <a:xfrm>
          <a:off x="10674725" y="1162051"/>
          <a:ext cx="1541929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Resumo</a:t>
          </a:r>
        </a:p>
      </xdr:txBody>
    </xdr:sp>
    <xdr:clientData/>
  </xdr:twoCellAnchor>
  <xdr:twoCellAnchor editAs="absolute">
    <xdr:from>
      <xdr:col>0</xdr:col>
      <xdr:colOff>47624</xdr:colOff>
      <xdr:row>0</xdr:row>
      <xdr:rowOff>1143000</xdr:rowOff>
    </xdr:from>
    <xdr:to>
      <xdr:col>0</xdr:col>
      <xdr:colOff>842681</xdr:colOff>
      <xdr:row>3</xdr:row>
      <xdr:rowOff>171450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0247AEF-343C-4F84-BA2A-E0F374B45E93}"/>
            </a:ext>
          </a:extLst>
        </xdr:cNvPr>
        <xdr:cNvSpPr/>
      </xdr:nvSpPr>
      <xdr:spPr>
        <a:xfrm>
          <a:off x="47624" y="1143000"/>
          <a:ext cx="795057" cy="542925"/>
        </a:xfrm>
        <a:prstGeom prst="roundRect">
          <a:avLst>
            <a:gd name="adj" fmla="val 31482"/>
          </a:avLst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Home	</a:t>
          </a:r>
        </a:p>
      </xdr:txBody>
    </xdr:sp>
    <xdr:clientData/>
  </xdr:twoCellAnchor>
  <xdr:twoCellAnchor editAs="oneCell">
    <xdr:from>
      <xdr:col>6</xdr:col>
      <xdr:colOff>571499</xdr:colOff>
      <xdr:row>0</xdr:row>
      <xdr:rowOff>266700</xdr:rowOff>
    </xdr:from>
    <xdr:to>
      <xdr:col>6</xdr:col>
      <xdr:colOff>1076327</xdr:colOff>
      <xdr:row>0</xdr:row>
      <xdr:rowOff>950700</xdr:rowOff>
    </xdr:to>
    <xdr:pic>
      <xdr:nvPicPr>
        <xdr:cNvPr id="18" name="Imagem 17" descr="Navio pirata">
          <a:extLst>
            <a:ext uri="{FF2B5EF4-FFF2-40B4-BE49-F238E27FC236}">
              <a16:creationId xmlns:a16="http://schemas.microsoft.com/office/drawing/2014/main" id="{4B4CDD2B-9051-4A5D-B3AF-964655623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grayscl/>
          <a:alphaModFix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4" y="266700"/>
          <a:ext cx="504828" cy="684000"/>
        </a:xfrm>
        <a:prstGeom prst="rect">
          <a:avLst/>
        </a:prstGeom>
        <a:effectLst>
          <a:reflection blurRad="6350" stA="50000" endA="275" endPos="40000" dist="101600" dir="5400000" sy="-100000" algn="bl" rotWithShape="0"/>
        </a:effectLst>
      </xdr:spPr>
    </xdr:pic>
    <xdr:clientData/>
  </xdr:twoCellAnchor>
  <xdr:twoCellAnchor editAs="oneCell">
    <xdr:from>
      <xdr:col>2</xdr:col>
      <xdr:colOff>1646427</xdr:colOff>
      <xdr:row>0</xdr:row>
      <xdr:rowOff>176296</xdr:rowOff>
    </xdr:from>
    <xdr:to>
      <xdr:col>3</xdr:col>
      <xdr:colOff>465327</xdr:colOff>
      <xdr:row>0</xdr:row>
      <xdr:rowOff>1014496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635A72A-FABC-4988-9C86-B70272D25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alphaModFix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176" t="12870" r="62255" b="16355"/>
        <a:stretch/>
      </xdr:blipFill>
      <xdr:spPr>
        <a:xfrm>
          <a:off x="4761102" y="176296"/>
          <a:ext cx="800100" cy="8382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666193</xdr:colOff>
      <xdr:row>0</xdr:row>
      <xdr:rowOff>152400</xdr:rowOff>
    </xdr:from>
    <xdr:to>
      <xdr:col>3</xdr:col>
      <xdr:colOff>1523106</xdr:colOff>
      <xdr:row>0</xdr:row>
      <xdr:rowOff>933450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D9218CE-7B53-48C0-A969-5093F19FB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alphaModFix amt="8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8378" t="16801" r="38532" b="27589"/>
        <a:stretch/>
      </xdr:blipFill>
      <xdr:spPr>
        <a:xfrm>
          <a:off x="5762068" y="152400"/>
          <a:ext cx="856913" cy="7810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64435</xdr:colOff>
      <xdr:row>15</xdr:row>
      <xdr:rowOff>22411</xdr:rowOff>
    </xdr:from>
    <xdr:to>
      <xdr:col>11</xdr:col>
      <xdr:colOff>605118</xdr:colOff>
      <xdr:row>40</xdr:row>
      <xdr:rowOff>33616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CA86DC0-C35A-44AE-BCC1-A16E4331D09A}"/>
            </a:ext>
          </a:extLst>
        </xdr:cNvPr>
        <xdr:cNvGrpSpPr/>
      </xdr:nvGrpSpPr>
      <xdr:grpSpPr>
        <a:xfrm>
          <a:off x="5734611" y="3216087"/>
          <a:ext cx="2557742" cy="5334000"/>
          <a:chOff x="2686610" y="1221442"/>
          <a:chExt cx="1344706" cy="4684457"/>
        </a:xfrm>
      </xdr:grpSpPr>
      <xdr:sp macro="" textlink="">
        <xdr:nvSpPr>
          <xdr:cNvPr id="27" name="Texto Explicativo: Seta para a Esquerda 56">
            <a:extLst>
              <a:ext uri="{FF2B5EF4-FFF2-40B4-BE49-F238E27FC236}">
                <a16:creationId xmlns:a16="http://schemas.microsoft.com/office/drawing/2014/main" id="{637DB2E4-33C6-4492-A92F-50D8747C0328}"/>
              </a:ext>
            </a:extLst>
          </xdr:cNvPr>
          <xdr:cNvSpPr/>
        </xdr:nvSpPr>
        <xdr:spPr>
          <a:xfrm>
            <a:off x="2686610" y="1221442"/>
            <a:ext cx="1344706" cy="468445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3B444935-F64A-4237-9DCB-7BB934679ABC}"/>
              </a:ext>
            </a:extLst>
          </xdr:cNvPr>
          <xdr:cNvSpPr txBox="1"/>
        </xdr:nvSpPr>
        <xdr:spPr>
          <a:xfrm>
            <a:off x="2875991" y="1580988"/>
            <a:ext cx="1153083" cy="38990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800">
                <a:latin typeface="Agency FB" panose="020B0503020202020204" pitchFamily="34" charset="0"/>
              </a:rPr>
              <a:t>Neste</a:t>
            </a:r>
            <a:r>
              <a:rPr lang="pt-BR" sz="1800" baseline="0">
                <a:latin typeface="Agency FB" panose="020B0503020202020204" pitchFamily="34" charset="0"/>
              </a:rPr>
              <a:t> </a:t>
            </a:r>
            <a:r>
              <a:rPr lang="pt-BR" sz="1800" i="0" baseline="0">
                <a:latin typeface="Agency FB" panose="020B0503020202020204" pitchFamily="34" charset="0"/>
              </a:rPr>
              <a:t>Gráfico</a:t>
            </a:r>
            <a:r>
              <a:rPr lang="pt-BR" sz="1800" baseline="0">
                <a:latin typeface="Agency FB" panose="020B0503020202020204" pitchFamily="34" charset="0"/>
              </a:rPr>
              <a:t> cruzamos os dados de  </a:t>
            </a:r>
            <a:r>
              <a:rPr lang="pt-BR" sz="1800" u="sng" baseline="0">
                <a:latin typeface="Agency FB" panose="020B0503020202020204" pitchFamily="34" charset="0"/>
              </a:rPr>
              <a:t>Patrimonio Comercial </a:t>
            </a:r>
            <a:r>
              <a:rPr lang="pt-BR" sz="1800" baseline="0">
                <a:latin typeface="Agency FB" panose="020B0503020202020204" pitchFamily="34" charset="0"/>
              </a:rPr>
              <a:t>Bruto 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</a:rPr>
              <a:t>(Produtos com preço normal)</a:t>
            </a:r>
            <a:r>
              <a:rPr lang="pt-BR" sz="1800" baseline="0">
                <a:latin typeface="Agency FB" panose="020B0503020202020204" pitchFamily="34" charset="0"/>
              </a:rPr>
              <a:t> e </a:t>
            </a:r>
            <a:r>
              <a:rPr lang="pt-BR" sz="1800" u="sng" baseline="0">
                <a:latin typeface="Agency FB" panose="020B0503020202020204" pitchFamily="34" charset="0"/>
              </a:rPr>
              <a:t>Patrimonio Comercial Descontado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.(Produtos com desconto)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Ao Visualizar o gráfico temos uma noção de quanto cada departamento manipula em em material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Assim como quanto devemos esperar de acordo com as vendas.</a:t>
            </a:r>
          </a:p>
        </xdr:txBody>
      </xdr:sp>
    </xdr:grpSp>
    <xdr:clientData/>
  </xdr:twoCellAnchor>
  <xdr:twoCellAnchor>
    <xdr:from>
      <xdr:col>17</xdr:col>
      <xdr:colOff>201706</xdr:colOff>
      <xdr:row>15</xdr:row>
      <xdr:rowOff>67235</xdr:rowOff>
    </xdr:from>
    <xdr:to>
      <xdr:col>21</xdr:col>
      <xdr:colOff>112059</xdr:colOff>
      <xdr:row>40</xdr:row>
      <xdr:rowOff>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95A28AF-D301-4622-A1FD-32DA9E58BD7A}"/>
            </a:ext>
          </a:extLst>
        </xdr:cNvPr>
        <xdr:cNvGrpSpPr/>
      </xdr:nvGrpSpPr>
      <xdr:grpSpPr>
        <a:xfrm>
          <a:off x="11878235" y="3260911"/>
          <a:ext cx="2599765" cy="5255560"/>
          <a:chOff x="9532646" y="2353234"/>
          <a:chExt cx="1398573" cy="4688539"/>
        </a:xfrm>
      </xdr:grpSpPr>
      <xdr:sp macro="" textlink="">
        <xdr:nvSpPr>
          <xdr:cNvPr id="29" name="Texto Explicativo: Seta para a Esquerda 56">
            <a:extLst>
              <a:ext uri="{FF2B5EF4-FFF2-40B4-BE49-F238E27FC236}">
                <a16:creationId xmlns:a16="http://schemas.microsoft.com/office/drawing/2014/main" id="{0B9F9B7F-CAEE-45D0-9311-07684EAD8FA5}"/>
              </a:ext>
            </a:extLst>
          </xdr:cNvPr>
          <xdr:cNvSpPr/>
        </xdr:nvSpPr>
        <xdr:spPr>
          <a:xfrm>
            <a:off x="9532646" y="2353234"/>
            <a:ext cx="1398573" cy="46885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4A3D1CB-7A28-4236-A831-8462458DA912}"/>
              </a:ext>
            </a:extLst>
          </xdr:cNvPr>
          <xdr:cNvSpPr txBox="1"/>
        </xdr:nvSpPr>
        <xdr:spPr>
          <a:xfrm>
            <a:off x="9740855" y="2585346"/>
            <a:ext cx="1027598" cy="38435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Este Gráfico Cruza os dados de Quantidade Total 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(itens presentes na loja)</a:t>
            </a:r>
            <a:r>
              <a:rPr lang="pt-BR" sz="1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 e a Quantidade Pos Vendas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(itens após um período de vendas)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Neste Campo podemos criar uma perspectiva mais clara de qual setor obteve mais vendas 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Assim como qual setor conseguiu  administrar melhor seu estoque</a:t>
            </a:r>
          </a:p>
        </xdr:txBody>
      </xdr:sp>
    </xdr:grpSp>
    <xdr:clientData/>
  </xdr:twoCellAnchor>
  <xdr:twoCellAnchor>
    <xdr:from>
      <xdr:col>1</xdr:col>
      <xdr:colOff>649940</xdr:colOff>
      <xdr:row>45</xdr:row>
      <xdr:rowOff>0</xdr:rowOff>
    </xdr:from>
    <xdr:to>
      <xdr:col>11</xdr:col>
      <xdr:colOff>22412</xdr:colOff>
      <xdr:row>63</xdr:row>
      <xdr:rowOff>190500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4DF28C9-E0CE-451D-B2DA-9352109C1F12}"/>
            </a:ext>
          </a:extLst>
        </xdr:cNvPr>
        <xdr:cNvGrpSpPr/>
      </xdr:nvGrpSpPr>
      <xdr:grpSpPr>
        <a:xfrm>
          <a:off x="1322293" y="9581029"/>
          <a:ext cx="6387354" cy="4022912"/>
          <a:chOff x="0" y="14220264"/>
          <a:chExt cx="2680726" cy="4833738"/>
        </a:xfrm>
      </xdr:grpSpPr>
      <xdr:sp macro="" textlink="">
        <xdr:nvSpPr>
          <xdr:cNvPr id="31" name="Forma Livre: Forma 30">
            <a:extLst>
              <a:ext uri="{FF2B5EF4-FFF2-40B4-BE49-F238E27FC236}">
                <a16:creationId xmlns:a16="http://schemas.microsoft.com/office/drawing/2014/main" id="{3193968F-5D35-4FBC-B1AD-D87F8061C61D}"/>
              </a:ext>
            </a:extLst>
          </xdr:cNvPr>
          <xdr:cNvSpPr/>
        </xdr:nvSpPr>
        <xdr:spPr>
          <a:xfrm>
            <a:off x="0" y="14220264"/>
            <a:ext cx="2680726" cy="4833738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393700" dist="304800" dir="9540000" sx="106000" sy="106000" algn="tl" rotWithShape="0">
              <a:prstClr val="black">
                <a:alpha val="2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B8CC0928-469B-4C0B-B6FB-51E116BAFBAD}"/>
              </a:ext>
            </a:extLst>
          </xdr:cNvPr>
          <xdr:cNvSpPr txBox="1"/>
        </xdr:nvSpPr>
        <xdr:spPr>
          <a:xfrm>
            <a:off x="413234" y="14465807"/>
            <a:ext cx="2099363" cy="4394389"/>
          </a:xfrm>
          <a:prstGeom prst="snip2Diag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r>
              <a:rPr lang="pt-BR" sz="2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A baixo da logomarca, clicle na nas caixas de titulo para navegar entre cada departamento e se achar necessário visualizar uma explicação mais detalhada das tabelas basta clicar no </a:t>
            </a:r>
            <a:r>
              <a:rPr lang="pt-BR" sz="2800" baseline="0">
                <a:solidFill>
                  <a:srgbClr val="002060"/>
                </a:solidFill>
                <a:latin typeface="Agency FB" panose="020B0503020202020204" pitchFamily="34" charset="0"/>
                <a:ea typeface="+mn-ea"/>
                <a:cs typeface="+mn-cs"/>
              </a:rPr>
              <a:t>ícone Word </a:t>
            </a:r>
            <a:r>
              <a:rPr lang="pt-BR" sz="2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ou no </a:t>
            </a:r>
            <a:r>
              <a:rPr lang="pt-BR" sz="2800" baseline="0">
                <a:solidFill>
                  <a:srgbClr val="002060"/>
                </a:solidFill>
                <a:latin typeface="Agency FB" panose="020B0503020202020204" pitchFamily="34" charset="0"/>
                <a:ea typeface="+mn-ea"/>
                <a:cs typeface="+mn-cs"/>
              </a:rPr>
              <a:t>ícone Power Point.</a:t>
            </a:r>
          </a:p>
        </xdr:txBody>
      </xdr:sp>
    </xdr:grpSp>
    <xdr:clientData/>
  </xdr:twoCellAnchor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D556BE1-9E1C-479F-9C36-0B3844113320}"/>
            </a:ext>
          </a:extLst>
        </xdr:cNvPr>
        <xdr:cNvGrpSpPr/>
      </xdr:nvGrpSpPr>
      <xdr:grpSpPr>
        <a:xfrm>
          <a:off x="5355011" y="94544"/>
          <a:ext cx="4471146" cy="1668281"/>
          <a:chOff x="5063658" y="94544"/>
          <a:chExt cx="4515969" cy="1432958"/>
        </a:xfrm>
      </xdr:grpSpPr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5816243A-B534-4E31-A895-CD33BEBCD765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54AD435B-E9E1-47EE-AF36-20B1DBE78F3A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9ADE558E-203E-4A66-BB23-522D9258631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FBEB19ED-4C78-46A8-BA1A-97266349CB4B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40" name="Imagem 39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E30101EF-2809-40AB-9939-7E6C9C0D332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" name="Imagem 40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831D7506-5C35-4112-B104-8E7FAA62E796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42" name="Imagem 4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A52380-0B06-4464-8620-2835E584D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43" name="Imagem 42" descr="PowerPoint | Brands of the World™ | Download vector logos and logotypes">
          <a:extLst>
            <a:ext uri="{FF2B5EF4-FFF2-40B4-BE49-F238E27FC236}">
              <a16:creationId xmlns:a16="http://schemas.microsoft.com/office/drawing/2014/main" id="{FD29A48D-F569-4F8B-8BC5-3065CBB00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280149</xdr:colOff>
      <xdr:row>52</xdr:row>
      <xdr:rowOff>190500</xdr:rowOff>
    </xdr:from>
    <xdr:to>
      <xdr:col>13</xdr:col>
      <xdr:colOff>100855</xdr:colOff>
      <xdr:row>57</xdr:row>
      <xdr:rowOff>156882</xdr:rowOff>
    </xdr:to>
    <xdr:sp macro="" textlink="">
      <xdr:nvSpPr>
        <xdr:cNvPr id="20" name="Seta: para Baixo 19">
          <a:extLst>
            <a:ext uri="{FF2B5EF4-FFF2-40B4-BE49-F238E27FC236}">
              <a16:creationId xmlns:a16="http://schemas.microsoft.com/office/drawing/2014/main" id="{8B8A88C6-88B1-482D-99AA-1FE7E813D960}"/>
            </a:ext>
          </a:extLst>
        </xdr:cNvPr>
        <xdr:cNvSpPr/>
      </xdr:nvSpPr>
      <xdr:spPr>
        <a:xfrm rot="16200000">
          <a:off x="7743266" y="11194677"/>
          <a:ext cx="1030941" cy="1165412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123267</xdr:colOff>
      <xdr:row>44</xdr:row>
      <xdr:rowOff>190499</xdr:rowOff>
    </xdr:from>
    <xdr:ext cx="2061880" cy="2238644"/>
    <xdr:pic>
      <xdr:nvPicPr>
        <xdr:cNvPr id="44" name="Imagem 4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1B8C33-7C84-4A6D-8F8C-981B5CB4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6208" y="9558617"/>
          <a:ext cx="2061880" cy="2238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144235</xdr:colOff>
      <xdr:row>53</xdr:row>
      <xdr:rowOff>105125</xdr:rowOff>
    </xdr:from>
    <xdr:ext cx="2314628" cy="2326552"/>
    <xdr:pic>
      <xdr:nvPicPr>
        <xdr:cNvPr id="45" name="Imagem 44" descr="PowerPoint | Brands of the World™ | Download vector logos and logotypes">
          <a:extLst>
            <a:ext uri="{FF2B5EF4-FFF2-40B4-BE49-F238E27FC236}">
              <a16:creationId xmlns:a16="http://schemas.microsoft.com/office/drawing/2014/main" id="{EF639E91-7935-4C4E-81B4-99E39F602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7176" y="11389449"/>
          <a:ext cx="2314628" cy="232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207308</xdr:colOff>
      <xdr:row>15</xdr:row>
      <xdr:rowOff>23531</xdr:rowOff>
    </xdr:from>
    <xdr:to>
      <xdr:col>8</xdr:col>
      <xdr:colOff>0</xdr:colOff>
      <xdr:row>39</xdr:row>
      <xdr:rowOff>201706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1C7DCF-7C79-48FA-8899-B4287D46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33618</xdr:colOff>
      <xdr:row>15</xdr:row>
      <xdr:rowOff>11206</xdr:rowOff>
    </xdr:from>
    <xdr:to>
      <xdr:col>17</xdr:col>
      <xdr:colOff>123265</xdr:colOff>
      <xdr:row>40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511755-86F5-4E1F-A29D-EFD67DCC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364318</xdr:colOff>
      <xdr:row>0</xdr:row>
      <xdr:rowOff>94545</xdr:rowOff>
    </xdr:from>
    <xdr:to>
      <xdr:col>14</xdr:col>
      <xdr:colOff>173817</xdr:colOff>
      <xdr:row>8</xdr:row>
      <xdr:rowOff>59532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376FB246-C859-4D6E-B131-EF46320259F2}"/>
            </a:ext>
          </a:extLst>
        </xdr:cNvPr>
        <xdr:cNvGrpSpPr/>
      </xdr:nvGrpSpPr>
      <xdr:grpSpPr>
        <a:xfrm>
          <a:off x="5262889" y="94545"/>
          <a:ext cx="5238749" cy="1597844"/>
          <a:chOff x="5063658" y="94544"/>
          <a:chExt cx="4515969" cy="1432958"/>
        </a:xfrm>
      </xdr:grpSpPr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580BEA82-25BA-4E57-9172-0B53AA0E60F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A64D7A1E-5F9E-4525-98BE-9319944ED575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17CA4903-D6E4-412B-AA2F-4F28BD201A4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C2F421DB-BB2B-4756-A5A4-AEF423C6E76D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48" name="Imagem 47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E20A369B-FABA-4689-83BC-5C8BD4D94FF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9" name="Imagem 48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2A86605A-EB7F-434D-9F3A-1A0D93842F4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123265</xdr:colOff>
      <xdr:row>0</xdr:row>
      <xdr:rowOff>156881</xdr:rowOff>
    </xdr:from>
    <xdr:ext cx="681190" cy="739588"/>
    <xdr:pic>
      <xdr:nvPicPr>
        <xdr:cNvPr id="50" name="Imagem 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23F40-FD44-4DBA-9049-3BF25B96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5688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44823</xdr:colOff>
      <xdr:row>3</xdr:row>
      <xdr:rowOff>190499</xdr:rowOff>
    </xdr:from>
    <xdr:ext cx="829234" cy="833505"/>
    <xdr:pic>
      <xdr:nvPicPr>
        <xdr:cNvPr id="51" name="Imagem 50" descr="PowerPoint | Brands of the World™ | Download vector logos and logotypes">
          <a:extLst>
            <a:ext uri="{FF2B5EF4-FFF2-40B4-BE49-F238E27FC236}">
              <a16:creationId xmlns:a16="http://schemas.microsoft.com/office/drawing/2014/main" id="{8A110D9D-8522-4769-A115-5BE81B60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76199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DB192A6A-629D-4799-9239-3A7FF75AA3F3}"/>
            </a:ext>
          </a:extLst>
        </xdr:cNvPr>
        <xdr:cNvGrpSpPr/>
      </xdr:nvGrpSpPr>
      <xdr:grpSpPr>
        <a:xfrm>
          <a:off x="5063658" y="94544"/>
          <a:ext cx="5165910" cy="1668281"/>
          <a:chOff x="5063658" y="94544"/>
          <a:chExt cx="4515969" cy="1432958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721EE4CF-A6CD-4B7A-9A30-26F0C393147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7545568F-A902-42B4-AD59-CABD9F7FD746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E9BD07FB-7B86-4722-B172-3A74258F5F28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7BBE7286-C435-4C08-9173-CA66CFF25FB6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7" name="Imagem 36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23760471-6FA1-4347-A1D5-95E03C4F6E0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8" name="Imagem 37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4F87A75-1C0A-445C-A3A9-6DB1906CC7D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9" name="Imagem 3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0FD040-890C-4318-97F5-7D7301A6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40" name="Imagem 39" descr="PowerPoint | Brands of the World™ | Download vector logos and logotypes">
          <a:extLst>
            <a:ext uri="{FF2B5EF4-FFF2-40B4-BE49-F238E27FC236}">
              <a16:creationId xmlns:a16="http://schemas.microsoft.com/office/drawing/2014/main" id="{3F858914-6C24-4CDD-81A4-A16E1A83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0EC3350-10DA-463F-AF86-14D686799DBE}"/>
            </a:ext>
          </a:extLst>
        </xdr:cNvPr>
        <xdr:cNvGrpSpPr/>
      </xdr:nvGrpSpPr>
      <xdr:grpSpPr>
        <a:xfrm>
          <a:off x="5001962" y="94544"/>
          <a:ext cx="4454275" cy="1591729"/>
          <a:chOff x="5063658" y="94544"/>
          <a:chExt cx="4515969" cy="1432958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1ABDA66B-1075-49D2-BF78-39C1F9EC357A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99402582-9864-4184-91EC-BDC748CE40F7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4172F18-7E70-4114-AF26-85C3128B971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1BB2A0B-C355-4253-BAA2-ADE4B8CD9952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4" name="Imagem 33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A2705D9-3BE9-4D02-9C2D-FB0027A4D2B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5" name="Imagem 34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BE84E4E5-D0B9-40A7-AE6A-A3AF69D3EF3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6" name="Imagem 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928499-FAA1-4B3C-BA35-D3DCEBA76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7" name="Imagem 36" descr="PowerPoint | Brands of the World™ | Download vector logos and logotypes">
          <a:extLst>
            <a:ext uri="{FF2B5EF4-FFF2-40B4-BE49-F238E27FC236}">
              <a16:creationId xmlns:a16="http://schemas.microsoft.com/office/drawing/2014/main" id="{771C9C91-1A84-480F-BC30-4FD729597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F4DD9D1B-9CAB-4819-A096-9D6A8173C142}"/>
            </a:ext>
          </a:extLst>
        </xdr:cNvPr>
        <xdr:cNvGrpSpPr/>
      </xdr:nvGrpSpPr>
      <xdr:grpSpPr>
        <a:xfrm>
          <a:off x="5063658" y="94544"/>
          <a:ext cx="4515969" cy="1668281"/>
          <a:chOff x="5063658" y="94544"/>
          <a:chExt cx="4515969" cy="1432958"/>
        </a:xfrm>
      </xdr:grpSpPr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497D4FF4-27DA-4BBA-9D3C-EEFE5422113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5C1EF19C-0E94-431A-B2BA-F43D077ACD5F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BBBF706F-9C8B-4BF0-95B0-E9C4376482A3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738D5316-1E7E-428D-BF44-924F11E9915B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91" name="Imagem 90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1D7789CA-972E-40AE-BB86-6DE4658525A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" name="Imagem 95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AB15E65-508F-447F-9A54-13CCE4914B6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106" name="Imagem 10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BF3160-B876-4E00-9394-D3AD7F81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661148</xdr:colOff>
      <xdr:row>53</xdr:row>
      <xdr:rowOff>156883</xdr:rowOff>
    </xdr:from>
    <xdr:to>
      <xdr:col>18</xdr:col>
      <xdr:colOff>293595</xdr:colOff>
      <xdr:row>55</xdr:row>
      <xdr:rowOff>46047</xdr:rowOff>
    </xdr:to>
    <xdr:sp macro="" textlink="">
      <xdr:nvSpPr>
        <xdr:cNvPr id="7172" name="AutoShape 4" descr="PowerPoint Vector Logo - Download Free SVG Icon | Worldvectorlogo">
          <a:extLst>
            <a:ext uri="{FF2B5EF4-FFF2-40B4-BE49-F238E27FC236}">
              <a16:creationId xmlns:a16="http://schemas.microsoft.com/office/drawing/2014/main" id="{69162E22-9C77-4EEF-B1D9-97E3C3BAAF54}"/>
            </a:ext>
          </a:extLst>
        </xdr:cNvPr>
        <xdr:cNvSpPr>
          <a:spLocks noChangeAspect="1" noChangeArrowheads="1"/>
        </xdr:cNvSpPr>
      </xdr:nvSpPr>
      <xdr:spPr bwMode="auto">
        <a:xfrm>
          <a:off x="12091148" y="99396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111" name="Imagem 110" descr="PowerPoint | Brands of the World™ | Download vector logos and logotypes">
          <a:extLst>
            <a:ext uri="{FF2B5EF4-FFF2-40B4-BE49-F238E27FC236}">
              <a16:creationId xmlns:a16="http://schemas.microsoft.com/office/drawing/2014/main" id="{409D05FD-85A1-4995-A5DC-E97D6E5B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F8D07D3-AC1C-4C35-9A3C-B605D4E24B73}"/>
            </a:ext>
          </a:extLst>
        </xdr:cNvPr>
        <xdr:cNvGrpSpPr/>
      </xdr:nvGrpSpPr>
      <xdr:grpSpPr>
        <a:xfrm>
          <a:off x="5016404" y="94544"/>
          <a:ext cx="4468716" cy="1548662"/>
          <a:chOff x="5063658" y="94544"/>
          <a:chExt cx="4515969" cy="1432958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46B8122-145E-4501-9906-227CF3CFF330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22CF922-1FE3-486E-A7BE-BFC194E23551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DB828FE-170D-4841-A022-CA8F302D3482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6E4840B-E74B-49BA-860B-5E5286B5C36A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4" name="Imagem 33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60F70CA7-B504-4B9A-9ECF-74C49CAA27A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5" name="Imagem 34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529676A1-DB02-406B-9A40-355C2BF7112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6" name="Imagem 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4A490E-6DED-4140-9341-5CDAC50FD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7" name="Imagem 36" descr="PowerPoint | Brands of the World™ | Download vector logos and logotypes">
          <a:extLst>
            <a:ext uri="{FF2B5EF4-FFF2-40B4-BE49-F238E27FC236}">
              <a16:creationId xmlns:a16="http://schemas.microsoft.com/office/drawing/2014/main" id="{A8623C42-D769-4FFE-8D4B-3C3420A79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</xdr:colOff>
      <xdr:row>18</xdr:row>
      <xdr:rowOff>221422</xdr:rowOff>
    </xdr:from>
    <xdr:to>
      <xdr:col>6</xdr:col>
      <xdr:colOff>-1</xdr:colOff>
      <xdr:row>36</xdr:row>
      <xdr:rowOff>225135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D82F1CE-9F64-48A7-9EF4-9DDD4198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18584</xdr:colOff>
      <xdr:row>18</xdr:row>
      <xdr:rowOff>207817</xdr:rowOff>
    </xdr:from>
    <xdr:to>
      <xdr:col>16</xdr:col>
      <xdr:colOff>0</xdr:colOff>
      <xdr:row>37</xdr:row>
      <xdr:rowOff>34637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9909BF3-6061-497C-A4A0-FD464CEE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34636</xdr:colOff>
      <xdr:row>18</xdr:row>
      <xdr:rowOff>207818</xdr:rowOff>
    </xdr:from>
    <xdr:to>
      <xdr:col>25</xdr:col>
      <xdr:colOff>692726</xdr:colOff>
      <xdr:row>36</xdr:row>
      <xdr:rowOff>215610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AD3D1A0-2E79-4AEE-B183-70854359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28141</xdr:colOff>
      <xdr:row>0</xdr:row>
      <xdr:rowOff>94543</xdr:rowOff>
    </xdr:from>
    <xdr:to>
      <xdr:col>14</xdr:col>
      <xdr:colOff>530367</xdr:colOff>
      <xdr:row>8</xdr:row>
      <xdr:rowOff>42213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6B53B80-7603-4A44-A2C9-DCCB65762631}"/>
            </a:ext>
          </a:extLst>
        </xdr:cNvPr>
        <xdr:cNvGrpSpPr/>
      </xdr:nvGrpSpPr>
      <xdr:grpSpPr>
        <a:xfrm>
          <a:off x="6020232" y="94543"/>
          <a:ext cx="4658590" cy="1748761"/>
          <a:chOff x="5063658" y="108595"/>
          <a:chExt cx="4515969" cy="1418907"/>
        </a:xfrm>
      </xdr:grpSpPr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FF69956C-9099-48E7-856B-4575EF0AA75C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40D7E008-3938-4F41-91E2-1DC2E141CB52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E742D725-04FD-4A35-A6A6-52CD7C38FD94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9C83019-A748-4AC5-AAE2-40A4243DFF04}"/>
              </a:ext>
            </a:extLst>
          </xdr:cNvPr>
          <xdr:cNvGrpSpPr/>
        </xdr:nvGrpSpPr>
        <xdr:grpSpPr>
          <a:xfrm>
            <a:off x="6744330" y="108595"/>
            <a:ext cx="1897935" cy="710257"/>
            <a:chOff x="6781488" y="126251"/>
            <a:chExt cx="2243528" cy="709543"/>
          </a:xfrm>
        </xdr:grpSpPr>
        <xdr:pic>
          <xdr:nvPicPr>
            <xdr:cNvPr id="29" name="Imagem 28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A22BA983-ACC7-4DCD-A5BE-A4A73DF5175F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893243" y="126251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0" name="Imagem 29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D3CF6857-CA39-4F3D-897D-B81B09266736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733239" y="305485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1" name="Imagem 3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7DB7EA7-DCFC-407D-A9D9-8088F6C7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2" name="Imagem 31" descr="PowerPoint | Brands of the World™ | Download vector logos and logotypes">
          <a:extLst>
            <a:ext uri="{FF2B5EF4-FFF2-40B4-BE49-F238E27FC236}">
              <a16:creationId xmlns:a16="http://schemas.microsoft.com/office/drawing/2014/main" id="{FE77B9F4-F3C1-468C-8185-9EF793E43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0</xdr:colOff>
      <xdr:row>47</xdr:row>
      <xdr:rowOff>190500</xdr:rowOff>
    </xdr:from>
    <xdr:to>
      <xdr:col>21</xdr:col>
      <xdr:colOff>86589</xdr:colOff>
      <xdr:row>65</xdr:row>
      <xdr:rowOff>198291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539C54E-22DF-4371-879F-4B3C4C5D2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675409</xdr:colOff>
      <xdr:row>48</xdr:row>
      <xdr:rowOff>2</xdr:rowOff>
    </xdr:from>
    <xdr:to>
      <xdr:col>11</xdr:col>
      <xdr:colOff>34636</xdr:colOff>
      <xdr:row>66</xdr:row>
      <xdr:rowOff>7793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3012E9C-2495-4083-9220-1B492820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zoomScaleNormal="100" workbookViewId="0">
      <selection activeCell="B15" sqref="B15"/>
    </sheetView>
  </sheetViews>
  <sheetFormatPr defaultRowHeight="15" x14ac:dyDescent="0.25"/>
  <cols>
    <col min="1" max="1" width="17" customWidth="1"/>
    <col min="2" max="6" width="29.7109375" customWidth="1"/>
    <col min="7" max="7" width="18.7109375" bestFit="1" customWidth="1"/>
    <col min="8" max="8" width="14.140625" customWidth="1"/>
    <col min="9" max="9" width="19.140625" bestFit="1" customWidth="1"/>
    <col min="10" max="10" width="13.5703125" bestFit="1" customWidth="1"/>
    <col min="11" max="11" width="22.85546875" bestFit="1" customWidth="1"/>
    <col min="12" max="12" width="15.140625" bestFit="1" customWidth="1"/>
    <col min="14" max="14" width="29" customWidth="1"/>
    <col min="16" max="16" width="19.7109375" customWidth="1"/>
    <col min="17" max="17" width="12.42578125" customWidth="1"/>
    <col min="18" max="18" width="11.28515625" customWidth="1"/>
  </cols>
  <sheetData>
    <row r="1" spans="1:1" s="2" customFormat="1" ht="90.75" customHeight="1" x14ac:dyDescent="0.65">
      <c r="A1" s="1"/>
    </row>
    <row r="2" spans="1:1" s="2" customFormat="1" ht="14.25" x14ac:dyDescent="0.2"/>
    <row r="3" spans="1:1" s="2" customFormat="1" ht="14.25" x14ac:dyDescent="0.2"/>
    <row r="4" spans="1:1" s="2" customFormat="1" ht="14.25" x14ac:dyDescent="0.2"/>
    <row r="5" spans="1:1" s="2" customFormat="1" ht="14.25" x14ac:dyDescent="0.2"/>
  </sheetData>
  <protectedRanges>
    <protectedRange sqref="A45:T1048576 S6:T44" name="corpo_home"/>
    <protectedRange sqref="A6:R44" name="corpo_eletrodomesticos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2"/>
  <sheetViews>
    <sheetView tabSelected="1" zoomScale="85" zoomScaleNormal="85" workbookViewId="0">
      <selection activeCell="C93" sqref="C93"/>
    </sheetView>
  </sheetViews>
  <sheetFormatPr defaultColWidth="10" defaultRowHeight="16.5" customHeight="1" x14ac:dyDescent="0.25"/>
  <cols>
    <col min="3" max="3" width="10" customWidth="1"/>
    <col min="4" max="5" width="12.28515625" bestFit="1" customWidth="1"/>
    <col min="14" max="14" width="9.42578125" customWidth="1"/>
  </cols>
  <sheetData>
    <row r="1" spans="1:22" s="2" customFormat="1" ht="16.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/>
    </row>
    <row r="2" spans="1:22" s="2" customFormat="1" ht="16.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</row>
    <row r="3" spans="1:22" s="2" customFormat="1" ht="16.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</row>
    <row r="4" spans="1:22" s="2" customFormat="1" ht="16.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4"/>
    </row>
    <row r="5" spans="1:22" s="2" customFormat="1" ht="16.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</row>
    <row r="6" spans="1:22" ht="16.5" customHeight="1" x14ac:dyDescent="0.2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4"/>
    </row>
    <row r="7" spans="1:22" ht="16.5" customHeight="1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4"/>
    </row>
    <row r="8" spans="1:22" ht="16.5" customHeight="1" thickBot="1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4"/>
    </row>
    <row r="9" spans="1:22" ht="16.5" customHeight="1" x14ac:dyDescent="0.25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114" t="s">
        <v>274</v>
      </c>
      <c r="N9" s="106"/>
      <c r="O9" s="107"/>
      <c r="P9" s="105" t="s">
        <v>272</v>
      </c>
      <c r="Q9" s="106"/>
      <c r="R9" s="107"/>
      <c r="S9" s="105" t="s">
        <v>273</v>
      </c>
      <c r="T9" s="106"/>
      <c r="U9" s="107"/>
      <c r="V9" s="105"/>
    </row>
    <row r="10" spans="1:22" ht="16.5" customHeight="1" x14ac:dyDescent="0.25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108"/>
      <c r="N10" s="109"/>
      <c r="O10" s="110"/>
      <c r="P10" s="108"/>
      <c r="Q10" s="109"/>
      <c r="R10" s="110"/>
      <c r="S10" s="108"/>
      <c r="T10" s="109"/>
      <c r="U10" s="110"/>
      <c r="V10" s="108"/>
    </row>
    <row r="11" spans="1:22" ht="16.5" customHeight="1" thickBot="1" x14ac:dyDescent="0.3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3"/>
      <c r="V11" s="111"/>
    </row>
    <row r="12" spans="1:22" ht="16.5" customHeight="1" x14ac:dyDescent="0.2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2" ht="16.5" customHeight="1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ht="16.5" customHeight="1" x14ac:dyDescent="0.2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ht="16.5" customHeigh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ht="16.5" customHeight="1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2" ht="16.5" customHeight="1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2" ht="16.5" customHeight="1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2" ht="16.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2" ht="16.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spans="1:22" ht="16.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spans="1:22" ht="16.5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2" ht="16.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2" ht="16.5" customHeight="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 spans="1:22" ht="16.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 spans="1:22" ht="16.5" customHeight="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spans="1:22" ht="16.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spans="1:22" ht="16.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 spans="1:22" ht="16.5" customHeight="1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 spans="1:22" ht="16.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 spans="1:22" ht="16.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 spans="1:22" ht="16.5" customHeight="1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 spans="1:22" ht="16.5" customHeight="1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 spans="1:22" ht="16.5" customHeight="1" x14ac:dyDescent="0.2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 spans="1:22" ht="16.5" customHeight="1" x14ac:dyDescent="0.2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 spans="1:22" ht="16.5" customHeight="1" x14ac:dyDescent="0.2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 spans="1:22" ht="16.5" customHeight="1" x14ac:dyDescent="0.2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 spans="1:22" ht="16.5" customHeight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1:22" ht="16.5" customHeigh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 spans="1:22" ht="16.5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 spans="1:22" ht="16.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 spans="1:22" ht="16.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ht="16.5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ht="16.5" customHeight="1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ht="16.5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ht="16.5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ht="16.5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ht="16.5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1:22" ht="16.5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1:22" ht="16.5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 spans="1:22" ht="16.5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 spans="1:22" ht="16.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 spans="1:22" ht="16.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1:22" ht="16.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1:22" ht="16.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1:22" ht="16.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1:22" ht="16.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 ht="16.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1:22" ht="16.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2" ht="16.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1:22" ht="16.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 spans="1:22" ht="16.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 spans="1:22" ht="16.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 spans="1:22" ht="16.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 spans="1:22" ht="16.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 spans="1:22" ht="16.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 spans="1:22" ht="16.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 spans="1:22" ht="16.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 spans="1:22" ht="16.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8" spans="1:22" ht="16.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22" ht="16.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22" ht="16.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customHeight="1" x14ac:dyDescent="0.25">
      <c r="A89" s="90" t="s">
        <v>278</v>
      </c>
      <c r="B89" s="90" t="s">
        <v>281</v>
      </c>
      <c r="C89" s="94" t="s">
        <v>282</v>
      </c>
      <c r="D89" s="94" t="s">
        <v>283</v>
      </c>
      <c r="E89" s="94" t="s">
        <v>284</v>
      </c>
      <c r="J89" s="16"/>
      <c r="K89" s="16"/>
      <c r="L89" s="16"/>
      <c r="M89" s="16"/>
      <c r="N89" s="16"/>
      <c r="O89" s="16"/>
    </row>
    <row r="90" spans="1:15" ht="16.5" customHeight="1" x14ac:dyDescent="0.25">
      <c r="A90" s="95" t="s">
        <v>279</v>
      </c>
      <c r="B90" s="96">
        <f ca="1">PRODUCT(SUM(Eletrodomésticos!H15:H40),SUM(Eletrodomésticos!I15:J40))</f>
        <v>303334907.13</v>
      </c>
      <c r="C90" s="97">
        <f ca="1">PRODUCT(SUM(Eletrodomésticos!H15:H40),SUM(Eletrodomésticos!O15:P40))</f>
        <v>287988627.96090001</v>
      </c>
      <c r="D90" s="98">
        <f ca="1">SUM(Eletrodomésticos!H15:H40)</f>
        <v>3987</v>
      </c>
      <c r="E90" s="98">
        <f ca="1">SUM(Eletrodomésticos!Q40)</f>
        <v>133</v>
      </c>
      <c r="J90" s="16"/>
      <c r="K90" s="16"/>
      <c r="L90" s="16"/>
      <c r="M90" s="16"/>
      <c r="N90" s="16"/>
      <c r="O90" s="16"/>
    </row>
    <row r="91" spans="1:15" ht="16.5" customHeight="1" x14ac:dyDescent="0.25">
      <c r="A91" s="95" t="s">
        <v>215</v>
      </c>
      <c r="B91" s="96">
        <f ca="1">PRODUCT(SUM(Automotivo!H15:H41),SUM(Automotivo!I15:J41))</f>
        <v>42050418.400000006</v>
      </c>
      <c r="C91" s="97">
        <f ca="1">PRODUCT(SUM(Automotivo!H15:H41),SUM(Automotivo!M15:N41))</f>
        <v>37420807.681600004</v>
      </c>
      <c r="D91" s="98">
        <f ca="1">SUM(Automotivo!H15:H41)</f>
        <v>3928</v>
      </c>
      <c r="E91" s="98">
        <f ca="1">SUM(Automotivo!O15:O41)</f>
        <v>2548</v>
      </c>
      <c r="J91" s="16"/>
      <c r="K91" s="16"/>
      <c r="L91" s="16"/>
      <c r="M91" s="16"/>
      <c r="N91" s="16"/>
      <c r="O91" s="16"/>
    </row>
    <row r="92" spans="1:15" ht="16.5" customHeight="1" x14ac:dyDescent="0.25">
      <c r="A92" s="95" t="s">
        <v>280</v>
      </c>
      <c r="B92" s="96">
        <f ca="1">PRODUCT(SUM('Bolsas e Malas'!F15:F51),SUM('Bolsas e Malas'!G15:H51))</f>
        <v>30222384</v>
      </c>
      <c r="C92" s="97">
        <f ca="1">PRODUCT(SUM('Bolsas e Malas'!F15:F51),SUM('Bolsas e Malas'!P15:Q51))</f>
        <v>26307761.43</v>
      </c>
      <c r="D92" s="98">
        <f ca="1">SUM('Bolsas e Malas'!F15:F51)</f>
        <v>3711</v>
      </c>
      <c r="E92" s="98">
        <f ca="1">SUM('Bolsas e Malas'!F15:F51)-SUM('Bolsas e Malas'!R15:R51)</f>
        <v>1989</v>
      </c>
      <c r="J92" s="16"/>
      <c r="K92" s="16"/>
      <c r="L92" s="16"/>
      <c r="M92" s="16"/>
      <c r="N92" s="16"/>
      <c r="O92" s="16"/>
    </row>
    <row r="93" spans="1:15" ht="16.5" customHeight="1" x14ac:dyDescent="0.25">
      <c r="A93" s="95" t="s">
        <v>216</v>
      </c>
      <c r="B93" s="96">
        <f ca="1">PRODUCT(SUM('Alimentos e Bebidas'!J15:J41),SUM('Alimentos e Bebidas'!K15:L41))</f>
        <v>10835470</v>
      </c>
      <c r="C93" s="97" t="e">
        <f ca="1">PRODUCT(SUM('Alimentos e Bebidas'!J15:J41),SUM('Alimentos e Bebidas'!Q15:R41))</f>
        <v>#N/A</v>
      </c>
      <c r="D93" s="98">
        <f>SUM('Alimentos e Bebidas'!J15:J41)</f>
        <v>4742</v>
      </c>
      <c r="E93" s="98">
        <f ca="1">SUM('Alimentos e Bebidas'!S15:T41)</f>
        <v>2682</v>
      </c>
      <c r="J93" s="16"/>
      <c r="K93" s="16"/>
      <c r="L93" s="16"/>
      <c r="M93" s="16"/>
      <c r="N93" s="16"/>
      <c r="O93" s="16"/>
    </row>
    <row r="94" spans="1:15" ht="16.5" customHeight="1" x14ac:dyDescent="0.25">
      <c r="A94" s="95" t="s">
        <v>214</v>
      </c>
      <c r="B94" s="96">
        <f ca="1">PRODUCT(SUM(Eletrônicos!H15:H41),SUM(Eletrônicos!I15:J41))</f>
        <v>47417070</v>
      </c>
      <c r="C94" s="97">
        <f ca="1">PRODUCT(SUM(Eletrônicos!H15:H41),SUM(Eletrônicos!M15:N41))</f>
        <v>43820903.699999996</v>
      </c>
      <c r="D94" s="98">
        <f ca="1">SUM(Eletrônicos!H15:H41)</f>
        <v>4170</v>
      </c>
      <c r="E94" s="98">
        <f ca="1">SUM(Eletrônicos!Q15:Q41)</f>
        <v>2505</v>
      </c>
      <c r="J94" s="16"/>
      <c r="K94" s="16"/>
      <c r="L94" s="16"/>
      <c r="M94" s="16"/>
      <c r="N94" s="16"/>
      <c r="O94" s="16"/>
    </row>
    <row r="95" spans="1:15" ht="16.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 ht="16.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ht="16.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 ht="16.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 ht="16.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ht="16.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ht="16.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 ht="16.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1:15" ht="16.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 ht="16.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 ht="16.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 ht="16.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 ht="16.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1" ht="16.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</row>
    <row r="130" spans="1:11" ht="16.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</row>
    <row r="131" spans="1:11" ht="16.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</row>
    <row r="132" spans="1:11" ht="16.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</row>
  </sheetData>
  <protectedRanges>
    <protectedRange sqref="W6:Z11 C89:C94 A12:A88 A90:A150 B89:B94 J12:Z150 D12:I88 D95:I150 B12:C88 B95:C150 E89:G94" name="Intervalo1"/>
    <protectedRange sqref="A6:V11" name="corpo_home_1"/>
  </protectedRanges>
  <mergeCells count="9">
    <mergeCell ref="A1:V8"/>
    <mergeCell ref="A9:C11"/>
    <mergeCell ref="D9:F11"/>
    <mergeCell ref="G9:I11"/>
    <mergeCell ref="J9:L11"/>
    <mergeCell ref="M9:O11"/>
    <mergeCell ref="P9:R11"/>
    <mergeCell ref="S9:U11"/>
    <mergeCell ref="V9:V11"/>
  </mergeCells>
  <hyperlinks>
    <hyperlink ref="M9:O11" location="'Alimentos e Bebidas'!A1" display="'Alimentos e Bebidas'!A1" xr:uid="{75ABB670-4A25-4734-AF09-F4499AB5C7E8}"/>
    <hyperlink ref="P9:R11" location="Eletrônicos!A1" display="ELETRÔNICOS" xr:uid="{C7755E65-915E-4D93-8A93-AFF4EB55DA89}"/>
    <hyperlink ref="J9:L11" location="'Bolsas e Malas'!A1" display="BOLSAS E MALAS" xr:uid="{4CC5C898-ACEC-429D-8BA3-1C6898372E43}"/>
    <hyperlink ref="G9:I11" location="Automotivo!A1" display="AUTOMOTIVO" xr:uid="{14F92AFE-0E14-4484-BC22-A70C184EC9BA}"/>
    <hyperlink ref="D9:F11" location="Eletrodomésticos!A1" display="ELETRODOMÉSTICOS" xr:uid="{98D5D640-81CF-4084-8A65-B466A08DEB02}"/>
    <hyperlink ref="A9:C11" location="Home!A1" display="HOME" xr:uid="{F54E85DE-81E5-42F0-A581-31B58589EE8A}"/>
    <hyperlink ref="S9:V11" location="Ranking!A1" display="RANKING" xr:uid="{0E89B95D-7F45-4E93-8CAB-B776717BCCBE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6"/>
  <sheetViews>
    <sheetView zoomScale="70" zoomScaleNormal="70" workbookViewId="0">
      <selection activeCell="J9" sqref="J9:L11"/>
    </sheetView>
  </sheetViews>
  <sheetFormatPr defaultColWidth="10" defaultRowHeight="15" customHeight="1" x14ac:dyDescent="0.2"/>
  <cols>
    <col min="1" max="2" width="10" style="27"/>
    <col min="3" max="3" width="13.42578125" style="27" customWidth="1"/>
    <col min="4" max="7" width="10" style="27"/>
    <col min="8" max="8" width="14.85546875" style="27" bestFit="1" customWidth="1"/>
    <col min="9" max="9" width="16.42578125" style="27" bestFit="1" customWidth="1"/>
    <col min="10" max="14" width="10" style="27"/>
    <col min="15" max="15" width="20" style="27" bestFit="1" customWidth="1"/>
    <col min="16" max="16384" width="10" style="27"/>
  </cols>
  <sheetData>
    <row r="1" spans="1:21" ht="16.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ht="16.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4"/>
    </row>
    <row r="3" spans="1:21" ht="16.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</row>
    <row r="4" spans="1:21" ht="16.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16.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/>
    </row>
    <row r="6" spans="1:21" ht="16.5" customHeight="1" x14ac:dyDescent="0.2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1:21" ht="16.5" customHeight="1" x14ac:dyDescent="0.2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</row>
    <row r="8" spans="1:21" ht="16.5" customHeight="1" thickBot="1" x14ac:dyDescent="0.25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4"/>
    </row>
    <row r="9" spans="1:21" ht="16.5" customHeight="1" x14ac:dyDescent="0.2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114" t="s">
        <v>274</v>
      </c>
      <c r="N9" s="106"/>
      <c r="O9" s="107"/>
      <c r="P9" s="105" t="s">
        <v>272</v>
      </c>
      <c r="Q9" s="106"/>
      <c r="R9" s="107"/>
      <c r="S9" s="105" t="s">
        <v>273</v>
      </c>
      <c r="T9" s="106"/>
      <c r="U9" s="107"/>
    </row>
    <row r="10" spans="1:21" ht="16.5" customHeight="1" x14ac:dyDescent="0.2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108"/>
      <c r="N10" s="109"/>
      <c r="O10" s="110"/>
      <c r="P10" s="108"/>
      <c r="Q10" s="109"/>
      <c r="R10" s="110"/>
      <c r="S10" s="108"/>
      <c r="T10" s="109"/>
      <c r="U10" s="110"/>
    </row>
    <row r="11" spans="1:21" ht="16.5" customHeight="1" thickBot="1" x14ac:dyDescent="0.25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3"/>
    </row>
    <row r="12" spans="1:21" ht="16.5" customHeight="1" x14ac:dyDescent="0.2">
      <c r="A12" s="135" t="s">
        <v>201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7"/>
    </row>
    <row r="13" spans="1:21" ht="16.5" customHeight="1" thickBot="1" x14ac:dyDescent="0.25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40"/>
    </row>
    <row r="14" spans="1:21" ht="16.5" customHeight="1" x14ac:dyDescent="0.2">
      <c r="A14" s="46" t="s">
        <v>0</v>
      </c>
      <c r="B14" s="122" t="s">
        <v>1</v>
      </c>
      <c r="C14" s="123"/>
      <c r="D14" s="122" t="s">
        <v>2</v>
      </c>
      <c r="E14" s="123"/>
      <c r="F14" s="122" t="s">
        <v>3</v>
      </c>
      <c r="G14" s="123"/>
      <c r="H14" s="51" t="s">
        <v>4</v>
      </c>
      <c r="I14" s="122" t="s">
        <v>5</v>
      </c>
      <c r="J14" s="123"/>
      <c r="K14" s="122" t="s">
        <v>208</v>
      </c>
      <c r="L14" s="123"/>
      <c r="M14" s="122" t="s">
        <v>207</v>
      </c>
      <c r="N14" s="123"/>
      <c r="O14" s="122" t="s">
        <v>82</v>
      </c>
      <c r="P14" s="130"/>
      <c r="Q14" s="122" t="s">
        <v>210</v>
      </c>
      <c r="R14" s="130"/>
      <c r="S14" s="122" t="s">
        <v>209</v>
      </c>
      <c r="T14" s="123"/>
      <c r="U14" s="123"/>
    </row>
    <row r="15" spans="1:21" ht="31.35" customHeight="1" x14ac:dyDescent="0.25">
      <c r="A15" s="89">
        <v>180</v>
      </c>
      <c r="B15" s="119" t="str">
        <f>CONCATENATE(D15," ",F15)</f>
        <v>Adega 12 garrafas Brastamp</v>
      </c>
      <c r="C15" s="120"/>
      <c r="D15" s="121" t="s">
        <v>27</v>
      </c>
      <c r="E15" s="121"/>
      <c r="F15" s="121" t="s">
        <v>28</v>
      </c>
      <c r="G15" s="121"/>
      <c r="H15" s="89">
        <f ca="1">RANDBETWEEN(100,200)</f>
        <v>104</v>
      </c>
      <c r="I15" s="124">
        <v>989</v>
      </c>
      <c r="J15" s="124"/>
      <c r="K15" s="125">
        <f t="shared" ref="K15:K40" ca="1" si="0">PRODUCT(H15,I15)</f>
        <v>102856</v>
      </c>
      <c r="L15" s="125"/>
      <c r="M15" s="126">
        <f t="shared" ref="M15:M40" ca="1" si="1">RANDBETWEEN(1,10)/100</f>
        <v>0.06</v>
      </c>
      <c r="N15" s="126"/>
      <c r="O15" s="127">
        <f ca="1">I15-PRODUCT(I15,M15)</f>
        <v>929.66</v>
      </c>
      <c r="P15" s="127"/>
      <c r="Q15" s="128">
        <f t="shared" ref="Q15:Q40" ca="1" si="2">RANDBETWEEN(90,180)</f>
        <v>127</v>
      </c>
      <c r="R15" s="129"/>
      <c r="S15" s="131" t="str">
        <f ca="1">IF(Q15&gt;=H15,$C$55,$C$54)</f>
        <v>Aplicar desconto</v>
      </c>
      <c r="T15" s="131"/>
      <c r="U15" s="131"/>
    </row>
    <row r="16" spans="1:21" ht="31.35" customHeight="1" x14ac:dyDescent="0.2">
      <c r="A16" s="89">
        <v>180</v>
      </c>
      <c r="B16" s="118" t="str">
        <f t="shared" ref="B16:B40" si="3">CONCATENATE(D16," ",F16)</f>
        <v>Adega 16 garrafas Philco</v>
      </c>
      <c r="C16" s="118"/>
      <c r="D16" s="121" t="s">
        <v>26</v>
      </c>
      <c r="E16" s="121"/>
      <c r="F16" s="121" t="s">
        <v>223</v>
      </c>
      <c r="G16" s="121"/>
      <c r="H16" s="89">
        <f ca="1">RANDBETWEEN(100,200)</f>
        <v>102</v>
      </c>
      <c r="I16" s="124">
        <v>3534</v>
      </c>
      <c r="J16" s="124"/>
      <c r="K16" s="125">
        <f t="shared" ca="1" si="0"/>
        <v>360468</v>
      </c>
      <c r="L16" s="125"/>
      <c r="M16" s="126">
        <f t="shared" ca="1" si="1"/>
        <v>0.09</v>
      </c>
      <c r="N16" s="126"/>
      <c r="O16" s="127">
        <f t="shared" ref="O16:O40" ca="1" si="4">I16-PRODUCT(I16,M16)</f>
        <v>3215.94</v>
      </c>
      <c r="P16" s="127"/>
      <c r="Q16" s="128">
        <f t="shared" ca="1" si="2"/>
        <v>111</v>
      </c>
      <c r="R16" s="129"/>
      <c r="S16" s="131" t="str">
        <f t="shared" ref="S16:S40" ca="1" si="5">IF(Q16&gt;=H16,$C$55,$C$54)</f>
        <v>Aplicar desconto</v>
      </c>
      <c r="T16" s="131"/>
      <c r="U16" s="131"/>
    </row>
    <row r="17" spans="1:21" ht="31.35" customHeight="1" x14ac:dyDescent="0.2">
      <c r="A17" s="89">
        <v>180</v>
      </c>
      <c r="B17" s="118" t="str">
        <f t="shared" si="3"/>
        <v>Adega Menma Philco</v>
      </c>
      <c r="C17" s="118"/>
      <c r="D17" s="121" t="s">
        <v>29</v>
      </c>
      <c r="E17" s="121"/>
      <c r="F17" s="121" t="s">
        <v>223</v>
      </c>
      <c r="G17" s="121"/>
      <c r="H17" s="89">
        <f t="shared" ref="H17:H40" ca="1" si="6">RANDBETWEEN(100,200)</f>
        <v>130</v>
      </c>
      <c r="I17" s="124">
        <v>10590</v>
      </c>
      <c r="J17" s="124"/>
      <c r="K17" s="125">
        <f t="shared" ca="1" si="0"/>
        <v>1376700</v>
      </c>
      <c r="L17" s="125"/>
      <c r="M17" s="126">
        <f t="shared" ca="1" si="1"/>
        <v>0.06</v>
      </c>
      <c r="N17" s="126"/>
      <c r="O17" s="127">
        <f t="shared" ca="1" si="4"/>
        <v>9954.6</v>
      </c>
      <c r="P17" s="127"/>
      <c r="Q17" s="128">
        <f t="shared" ca="1" si="2"/>
        <v>170</v>
      </c>
      <c r="R17" s="129"/>
      <c r="S17" s="131" t="str">
        <f t="shared" ca="1" si="5"/>
        <v>Aplicar desconto</v>
      </c>
      <c r="T17" s="131"/>
      <c r="U17" s="131"/>
    </row>
    <row r="18" spans="1:21" ht="31.35" customHeight="1" x14ac:dyDescent="0.2">
      <c r="A18" s="89">
        <v>160</v>
      </c>
      <c r="B18" s="118" t="str">
        <f t="shared" si="3"/>
        <v>Coifa  Fogatti</v>
      </c>
      <c r="C18" s="118"/>
      <c r="D18" s="121" t="s">
        <v>23</v>
      </c>
      <c r="E18" s="121"/>
      <c r="F18" s="121" t="s">
        <v>224</v>
      </c>
      <c r="G18" s="121"/>
      <c r="H18" s="89">
        <f t="shared" ca="1" si="6"/>
        <v>188</v>
      </c>
      <c r="I18" s="124">
        <v>1730</v>
      </c>
      <c r="J18" s="124"/>
      <c r="K18" s="125">
        <f t="shared" ca="1" si="0"/>
        <v>325240</v>
      </c>
      <c r="L18" s="125"/>
      <c r="M18" s="126">
        <f t="shared" ca="1" si="1"/>
        <v>0.02</v>
      </c>
      <c r="N18" s="126"/>
      <c r="O18" s="127">
        <f t="shared" ca="1" si="4"/>
        <v>1695.4</v>
      </c>
      <c r="P18" s="127"/>
      <c r="Q18" s="128">
        <f t="shared" ca="1" si="2"/>
        <v>150</v>
      </c>
      <c r="R18" s="129"/>
      <c r="S18" s="131" t="str">
        <f t="shared" ca="1" si="5"/>
        <v>Efetuar compra</v>
      </c>
      <c r="T18" s="131"/>
      <c r="U18" s="131"/>
    </row>
    <row r="19" spans="1:21" ht="31.35" customHeight="1" x14ac:dyDescent="0.2">
      <c r="A19" s="89">
        <v>160</v>
      </c>
      <c r="B19" s="118" t="str">
        <f t="shared" si="3"/>
        <v>Coifa  Philco</v>
      </c>
      <c r="C19" s="118"/>
      <c r="D19" s="121" t="s">
        <v>23</v>
      </c>
      <c r="E19" s="121"/>
      <c r="F19" s="121" t="s">
        <v>223</v>
      </c>
      <c r="G19" s="121"/>
      <c r="H19" s="89">
        <f t="shared" ca="1" si="6"/>
        <v>158</v>
      </c>
      <c r="I19" s="124">
        <v>1399.99</v>
      </c>
      <c r="J19" s="124"/>
      <c r="K19" s="125">
        <f t="shared" ca="1" si="0"/>
        <v>221198.42</v>
      </c>
      <c r="L19" s="125"/>
      <c r="M19" s="126">
        <f t="shared" ca="1" si="1"/>
        <v>7.0000000000000007E-2</v>
      </c>
      <c r="N19" s="126"/>
      <c r="O19" s="127">
        <f t="shared" ca="1" si="4"/>
        <v>1301.9907000000001</v>
      </c>
      <c r="P19" s="127"/>
      <c r="Q19" s="128">
        <f t="shared" ca="1" si="2"/>
        <v>125</v>
      </c>
      <c r="R19" s="129"/>
      <c r="S19" s="131" t="str">
        <f t="shared" ca="1" si="5"/>
        <v>Efetuar compra</v>
      </c>
      <c r="T19" s="131"/>
      <c r="U19" s="131"/>
    </row>
    <row r="20" spans="1:21" ht="31.35" customHeight="1" x14ac:dyDescent="0.2">
      <c r="A20" s="89">
        <v>150</v>
      </c>
      <c r="B20" s="118" t="str">
        <f t="shared" si="3"/>
        <v>Cooktop  Bivolt</v>
      </c>
      <c r="C20" s="118"/>
      <c r="D20" s="121" t="s">
        <v>22</v>
      </c>
      <c r="E20" s="121"/>
      <c r="F20" s="121" t="s">
        <v>231</v>
      </c>
      <c r="G20" s="121"/>
      <c r="H20" s="89">
        <f t="shared" ca="1" si="6"/>
        <v>191</v>
      </c>
      <c r="I20" s="124">
        <v>1449</v>
      </c>
      <c r="J20" s="124"/>
      <c r="K20" s="125">
        <f t="shared" ca="1" si="0"/>
        <v>276759</v>
      </c>
      <c r="L20" s="125"/>
      <c r="M20" s="126">
        <f t="shared" ca="1" si="1"/>
        <v>0.04</v>
      </c>
      <c r="N20" s="126"/>
      <c r="O20" s="127">
        <f t="shared" ca="1" si="4"/>
        <v>1391.04</v>
      </c>
      <c r="P20" s="127"/>
      <c r="Q20" s="128">
        <f t="shared" ca="1" si="2"/>
        <v>136</v>
      </c>
      <c r="R20" s="129"/>
      <c r="S20" s="131" t="str">
        <f t="shared" ca="1" si="5"/>
        <v>Efetuar compra</v>
      </c>
      <c r="T20" s="131"/>
      <c r="U20" s="131"/>
    </row>
    <row r="21" spans="1:21" ht="31.35" customHeight="1" x14ac:dyDescent="0.2">
      <c r="A21" s="89">
        <v>150</v>
      </c>
      <c r="B21" s="118" t="str">
        <f t="shared" si="3"/>
        <v>Cooktop Bivolt</v>
      </c>
      <c r="C21" s="118"/>
      <c r="D21" s="121" t="s">
        <v>21</v>
      </c>
      <c r="E21" s="121"/>
      <c r="F21" s="121" t="s">
        <v>231</v>
      </c>
      <c r="G21" s="121"/>
      <c r="H21" s="89">
        <f t="shared" ca="1" si="6"/>
        <v>136</v>
      </c>
      <c r="I21" s="124">
        <v>297</v>
      </c>
      <c r="J21" s="124"/>
      <c r="K21" s="125">
        <f t="shared" ca="1" si="0"/>
        <v>40392</v>
      </c>
      <c r="L21" s="125"/>
      <c r="M21" s="126">
        <f t="shared" ca="1" si="1"/>
        <v>0.08</v>
      </c>
      <c r="N21" s="126"/>
      <c r="O21" s="127">
        <f t="shared" ca="1" si="4"/>
        <v>273.24</v>
      </c>
      <c r="P21" s="127"/>
      <c r="Q21" s="128">
        <f t="shared" ca="1" si="2"/>
        <v>124</v>
      </c>
      <c r="R21" s="129"/>
      <c r="S21" s="131" t="str">
        <f t="shared" ca="1" si="5"/>
        <v>Efetuar compra</v>
      </c>
      <c r="T21" s="131"/>
      <c r="U21" s="131"/>
    </row>
    <row r="22" spans="1:21" ht="31.35" customHeight="1" x14ac:dyDescent="0.2">
      <c r="A22" s="89">
        <v>150</v>
      </c>
      <c r="B22" s="118" t="str">
        <f t="shared" si="3"/>
        <v>Cooktop Fischer</v>
      </c>
      <c r="C22" s="118"/>
      <c r="D22" s="121" t="s">
        <v>21</v>
      </c>
      <c r="E22" s="121"/>
      <c r="F22" s="121" t="s">
        <v>232</v>
      </c>
      <c r="G22" s="121"/>
      <c r="H22" s="89">
        <f t="shared" ca="1" si="6"/>
        <v>138</v>
      </c>
      <c r="I22" s="124">
        <v>2279</v>
      </c>
      <c r="J22" s="124"/>
      <c r="K22" s="125">
        <f t="shared" ca="1" si="0"/>
        <v>314502</v>
      </c>
      <c r="L22" s="125"/>
      <c r="M22" s="126">
        <f t="shared" ca="1" si="1"/>
        <v>0.02</v>
      </c>
      <c r="N22" s="126"/>
      <c r="O22" s="127">
        <f t="shared" ca="1" si="4"/>
        <v>2233.42</v>
      </c>
      <c r="P22" s="127"/>
      <c r="Q22" s="128">
        <f t="shared" ca="1" si="2"/>
        <v>95</v>
      </c>
      <c r="R22" s="129"/>
      <c r="S22" s="131" t="str">
        <f t="shared" ca="1" si="5"/>
        <v>Efetuar compra</v>
      </c>
      <c r="T22" s="131"/>
      <c r="U22" s="131"/>
    </row>
    <row r="23" spans="1:21" ht="31.35" customHeight="1" x14ac:dyDescent="0.2">
      <c r="A23" s="89">
        <v>160</v>
      </c>
      <c r="B23" s="118" t="str">
        <f t="shared" si="3"/>
        <v>Depurador de Ar Dako</v>
      </c>
      <c r="C23" s="118"/>
      <c r="D23" s="121" t="s">
        <v>24</v>
      </c>
      <c r="E23" s="121"/>
      <c r="F23" s="121" t="s">
        <v>233</v>
      </c>
      <c r="G23" s="121"/>
      <c r="H23" s="89">
        <f t="shared" ca="1" si="6"/>
        <v>110</v>
      </c>
      <c r="I23" s="124">
        <v>289</v>
      </c>
      <c r="J23" s="124"/>
      <c r="K23" s="125">
        <f t="shared" ca="1" si="0"/>
        <v>31790</v>
      </c>
      <c r="L23" s="125"/>
      <c r="M23" s="126">
        <f t="shared" ca="1" si="1"/>
        <v>0.08</v>
      </c>
      <c r="N23" s="126"/>
      <c r="O23" s="127">
        <f t="shared" ca="1" si="4"/>
        <v>265.88</v>
      </c>
      <c r="P23" s="127"/>
      <c r="Q23" s="128">
        <f t="shared" ca="1" si="2"/>
        <v>166</v>
      </c>
      <c r="R23" s="129"/>
      <c r="S23" s="131" t="str">
        <f t="shared" ca="1" si="5"/>
        <v>Aplicar desconto</v>
      </c>
      <c r="T23" s="131"/>
      <c r="U23" s="131"/>
    </row>
    <row r="24" spans="1:21" ht="31.35" customHeight="1" x14ac:dyDescent="0.2">
      <c r="A24" s="89">
        <v>130</v>
      </c>
      <c r="B24" s="118" t="str">
        <f t="shared" si="3"/>
        <v>Fogão 4 bocas Dako</v>
      </c>
      <c r="C24" s="118"/>
      <c r="D24" s="121" t="s">
        <v>20</v>
      </c>
      <c r="E24" s="121"/>
      <c r="F24" s="121" t="s">
        <v>233</v>
      </c>
      <c r="G24" s="121"/>
      <c r="H24" s="89">
        <f t="shared" ca="1" si="6"/>
        <v>198</v>
      </c>
      <c r="I24" s="124">
        <v>1039</v>
      </c>
      <c r="J24" s="124"/>
      <c r="K24" s="125">
        <f t="shared" ca="1" si="0"/>
        <v>205722</v>
      </c>
      <c r="L24" s="125"/>
      <c r="M24" s="126">
        <f t="shared" ca="1" si="1"/>
        <v>0.06</v>
      </c>
      <c r="N24" s="126"/>
      <c r="O24" s="127">
        <f t="shared" ca="1" si="4"/>
        <v>976.66</v>
      </c>
      <c r="P24" s="127"/>
      <c r="Q24" s="128">
        <f t="shared" ca="1" si="2"/>
        <v>134</v>
      </c>
      <c r="R24" s="129"/>
      <c r="S24" s="131" t="str">
        <f t="shared" ca="1" si="5"/>
        <v>Efetuar compra</v>
      </c>
      <c r="T24" s="131"/>
      <c r="U24" s="131"/>
    </row>
    <row r="25" spans="1:21" ht="31.35" customHeight="1" x14ac:dyDescent="0.2">
      <c r="A25" s="89">
        <v>130</v>
      </c>
      <c r="B25" s="118" t="str">
        <f t="shared" si="3"/>
        <v>Fogão 5 bocas Dako</v>
      </c>
      <c r="C25" s="118"/>
      <c r="D25" s="121" t="s">
        <v>18</v>
      </c>
      <c r="E25" s="121"/>
      <c r="F25" s="121" t="s">
        <v>233</v>
      </c>
      <c r="G25" s="121"/>
      <c r="H25" s="89">
        <f t="shared" ca="1" si="6"/>
        <v>151</v>
      </c>
      <c r="I25" s="124">
        <v>1749</v>
      </c>
      <c r="J25" s="124"/>
      <c r="K25" s="125">
        <f t="shared" ca="1" si="0"/>
        <v>264099</v>
      </c>
      <c r="L25" s="125"/>
      <c r="M25" s="126">
        <f t="shared" ca="1" si="1"/>
        <v>7.0000000000000007E-2</v>
      </c>
      <c r="N25" s="126"/>
      <c r="O25" s="127">
        <f t="shared" ca="1" si="4"/>
        <v>1626.57</v>
      </c>
      <c r="P25" s="127"/>
      <c r="Q25" s="128">
        <f t="shared" ca="1" si="2"/>
        <v>112</v>
      </c>
      <c r="R25" s="129"/>
      <c r="S25" s="131" t="str">
        <f t="shared" ca="1" si="5"/>
        <v>Efetuar compra</v>
      </c>
      <c r="T25" s="131"/>
      <c r="U25" s="131"/>
    </row>
    <row r="26" spans="1:21" ht="31.35" customHeight="1" x14ac:dyDescent="0.2">
      <c r="A26" s="89">
        <v>130</v>
      </c>
      <c r="B26" s="118" t="str">
        <f t="shared" si="3"/>
        <v>Fogão Gás 4 boca Britânia</v>
      </c>
      <c r="C26" s="118"/>
      <c r="D26" s="121" t="s">
        <v>19</v>
      </c>
      <c r="E26" s="121"/>
      <c r="F26" s="121" t="s">
        <v>31</v>
      </c>
      <c r="G26" s="121"/>
      <c r="H26" s="89">
        <f t="shared" ca="1" si="6"/>
        <v>104</v>
      </c>
      <c r="I26" s="124">
        <v>1390</v>
      </c>
      <c r="J26" s="124"/>
      <c r="K26" s="125">
        <f t="shared" ca="1" si="0"/>
        <v>144560</v>
      </c>
      <c r="L26" s="125"/>
      <c r="M26" s="126">
        <f t="shared" ca="1" si="1"/>
        <v>0.04</v>
      </c>
      <c r="N26" s="126"/>
      <c r="O26" s="127">
        <f t="shared" ca="1" si="4"/>
        <v>1334.4</v>
      </c>
      <c r="P26" s="127"/>
      <c r="Q26" s="128">
        <f t="shared" ca="1" si="2"/>
        <v>101</v>
      </c>
      <c r="R26" s="129"/>
      <c r="S26" s="131" t="str">
        <f t="shared" ca="1" si="5"/>
        <v>Efetuar compra</v>
      </c>
      <c r="T26" s="131"/>
      <c r="U26" s="131"/>
    </row>
    <row r="27" spans="1:21" ht="31.35" customHeight="1" x14ac:dyDescent="0.2">
      <c r="A27" s="89">
        <v>140</v>
      </c>
      <c r="B27" s="118" t="str">
        <f t="shared" si="3"/>
        <v>Forno Elétrico Britânia</v>
      </c>
      <c r="C27" s="118"/>
      <c r="D27" s="121" t="s">
        <v>30</v>
      </c>
      <c r="E27" s="121"/>
      <c r="F27" s="121" t="s">
        <v>31</v>
      </c>
      <c r="G27" s="121"/>
      <c r="H27" s="89">
        <f t="shared" ca="1" si="6"/>
        <v>157</v>
      </c>
      <c r="I27" s="124">
        <v>179</v>
      </c>
      <c r="J27" s="124"/>
      <c r="K27" s="125">
        <f t="shared" ca="1" si="0"/>
        <v>28103</v>
      </c>
      <c r="L27" s="125"/>
      <c r="M27" s="126">
        <f t="shared" ca="1" si="1"/>
        <v>0.04</v>
      </c>
      <c r="N27" s="126"/>
      <c r="O27" s="127">
        <f t="shared" ca="1" si="4"/>
        <v>171.84</v>
      </c>
      <c r="P27" s="127"/>
      <c r="Q27" s="128">
        <f t="shared" ca="1" si="2"/>
        <v>149</v>
      </c>
      <c r="R27" s="129"/>
      <c r="S27" s="131" t="str">
        <f t="shared" ca="1" si="5"/>
        <v>Efetuar compra</v>
      </c>
      <c r="T27" s="131"/>
      <c r="U27" s="131"/>
    </row>
    <row r="28" spans="1:21" ht="31.35" customHeight="1" x14ac:dyDescent="0.2">
      <c r="A28" s="89">
        <v>120</v>
      </c>
      <c r="B28" s="118" t="str">
        <f t="shared" si="3"/>
        <v>Frigobar Retrô Midea</v>
      </c>
      <c r="C28" s="118"/>
      <c r="D28" s="121" t="s">
        <v>17</v>
      </c>
      <c r="E28" s="121"/>
      <c r="F28" s="121" t="s">
        <v>229</v>
      </c>
      <c r="G28" s="121"/>
      <c r="H28" s="89">
        <f t="shared" ca="1" si="6"/>
        <v>105</v>
      </c>
      <c r="I28" s="124">
        <v>1709</v>
      </c>
      <c r="J28" s="124"/>
      <c r="K28" s="125">
        <f t="shared" ca="1" si="0"/>
        <v>179445</v>
      </c>
      <c r="L28" s="125"/>
      <c r="M28" s="126">
        <f t="shared" ca="1" si="1"/>
        <v>0.01</v>
      </c>
      <c r="N28" s="126"/>
      <c r="O28" s="127">
        <f t="shared" ca="1" si="4"/>
        <v>1691.91</v>
      </c>
      <c r="P28" s="127"/>
      <c r="Q28" s="128">
        <f t="shared" ca="1" si="2"/>
        <v>136</v>
      </c>
      <c r="R28" s="129"/>
      <c r="S28" s="131" t="str">
        <f t="shared" ca="1" si="5"/>
        <v>Aplicar desconto</v>
      </c>
      <c r="T28" s="131"/>
      <c r="U28" s="131"/>
    </row>
    <row r="29" spans="1:21" ht="31.35" customHeight="1" x14ac:dyDescent="0.2">
      <c r="A29" s="89">
        <v>120</v>
      </c>
      <c r="B29" s="118" t="str">
        <f t="shared" si="3"/>
        <v>Geladeira Side Inverse Brastamp</v>
      </c>
      <c r="C29" s="118"/>
      <c r="D29" s="121" t="s">
        <v>16</v>
      </c>
      <c r="E29" s="121"/>
      <c r="F29" s="121" t="s">
        <v>28</v>
      </c>
      <c r="G29" s="121"/>
      <c r="H29" s="89">
        <f t="shared" ca="1" si="6"/>
        <v>158</v>
      </c>
      <c r="I29" s="124">
        <v>6299</v>
      </c>
      <c r="J29" s="124"/>
      <c r="K29" s="125">
        <f t="shared" ca="1" si="0"/>
        <v>995242</v>
      </c>
      <c r="L29" s="125"/>
      <c r="M29" s="126">
        <f t="shared" ca="1" si="1"/>
        <v>0.09</v>
      </c>
      <c r="N29" s="126"/>
      <c r="O29" s="127">
        <f t="shared" ca="1" si="4"/>
        <v>5732.09</v>
      </c>
      <c r="P29" s="127"/>
      <c r="Q29" s="128">
        <f t="shared" ca="1" si="2"/>
        <v>163</v>
      </c>
      <c r="R29" s="129"/>
      <c r="S29" s="131" t="str">
        <f t="shared" ca="1" si="5"/>
        <v>Aplicar desconto</v>
      </c>
      <c r="T29" s="131"/>
      <c r="U29" s="131"/>
    </row>
    <row r="30" spans="1:21" ht="31.35" customHeight="1" x14ac:dyDescent="0.2">
      <c r="A30" s="89">
        <v>120</v>
      </c>
      <c r="B30" s="118" t="str">
        <f t="shared" si="3"/>
        <v>Geladeira Top Freezers Electrolux</v>
      </c>
      <c r="C30" s="118"/>
      <c r="D30" s="121" t="s">
        <v>15</v>
      </c>
      <c r="E30" s="121"/>
      <c r="F30" s="121" t="s">
        <v>227</v>
      </c>
      <c r="G30" s="121"/>
      <c r="H30" s="89">
        <f t="shared" ca="1" si="6"/>
        <v>175</v>
      </c>
      <c r="I30" s="124">
        <v>3054</v>
      </c>
      <c r="J30" s="124"/>
      <c r="K30" s="125">
        <f t="shared" ca="1" si="0"/>
        <v>534450</v>
      </c>
      <c r="L30" s="125"/>
      <c r="M30" s="126">
        <f t="shared" ca="1" si="1"/>
        <v>0.1</v>
      </c>
      <c r="N30" s="126"/>
      <c r="O30" s="127">
        <f t="shared" ca="1" si="4"/>
        <v>2748.6</v>
      </c>
      <c r="P30" s="127"/>
      <c r="Q30" s="128">
        <f t="shared" ca="1" si="2"/>
        <v>106</v>
      </c>
      <c r="R30" s="129"/>
      <c r="S30" s="131" t="str">
        <f t="shared" ca="1" si="5"/>
        <v>Efetuar compra</v>
      </c>
      <c r="T30" s="131"/>
      <c r="U30" s="131"/>
    </row>
    <row r="31" spans="1:21" ht="31.35" customHeight="1" x14ac:dyDescent="0.2">
      <c r="A31" s="89">
        <v>100</v>
      </c>
      <c r="B31" s="118" t="str">
        <f t="shared" si="3"/>
        <v>Lava e Seca Midea</v>
      </c>
      <c r="C31" s="118"/>
      <c r="D31" s="121" t="s">
        <v>14</v>
      </c>
      <c r="E31" s="121"/>
      <c r="F31" s="121" t="s">
        <v>229</v>
      </c>
      <c r="G31" s="121"/>
      <c r="H31" s="89">
        <f t="shared" ca="1" si="6"/>
        <v>177</v>
      </c>
      <c r="I31" s="124">
        <v>3409</v>
      </c>
      <c r="J31" s="124"/>
      <c r="K31" s="125">
        <f t="shared" ca="1" si="0"/>
        <v>603393</v>
      </c>
      <c r="L31" s="125"/>
      <c r="M31" s="126">
        <f t="shared" ca="1" si="1"/>
        <v>0.03</v>
      </c>
      <c r="N31" s="126"/>
      <c r="O31" s="127">
        <f t="shared" ca="1" si="4"/>
        <v>3306.73</v>
      </c>
      <c r="P31" s="127"/>
      <c r="Q31" s="128">
        <f t="shared" ca="1" si="2"/>
        <v>168</v>
      </c>
      <c r="R31" s="129"/>
      <c r="S31" s="131" t="str">
        <f t="shared" ca="1" si="5"/>
        <v>Efetuar compra</v>
      </c>
      <c r="T31" s="131"/>
      <c r="U31" s="131"/>
    </row>
    <row r="32" spans="1:21" ht="31.35" customHeight="1" x14ac:dyDescent="0.2">
      <c r="A32" s="89">
        <v>170</v>
      </c>
      <c r="B32" s="118" t="str">
        <f t="shared" si="3"/>
        <v>Lava Louças Brastamp</v>
      </c>
      <c r="C32" s="118"/>
      <c r="D32" s="121" t="s">
        <v>11</v>
      </c>
      <c r="E32" s="121"/>
      <c r="F32" s="121" t="s">
        <v>28</v>
      </c>
      <c r="G32" s="121"/>
      <c r="H32" s="89">
        <f t="shared" ca="1" si="6"/>
        <v>144</v>
      </c>
      <c r="I32" s="124">
        <v>7000</v>
      </c>
      <c r="J32" s="124"/>
      <c r="K32" s="125">
        <f t="shared" ca="1" si="0"/>
        <v>1008000</v>
      </c>
      <c r="L32" s="125"/>
      <c r="M32" s="126">
        <f t="shared" ca="1" si="1"/>
        <v>0.06</v>
      </c>
      <c r="N32" s="126"/>
      <c r="O32" s="127">
        <f t="shared" ca="1" si="4"/>
        <v>6580</v>
      </c>
      <c r="P32" s="127"/>
      <c r="Q32" s="128">
        <f t="shared" ca="1" si="2"/>
        <v>166</v>
      </c>
      <c r="R32" s="129"/>
      <c r="S32" s="131" t="str">
        <f t="shared" ca="1" si="5"/>
        <v>Aplicar desconto</v>
      </c>
      <c r="T32" s="131"/>
      <c r="U32" s="131"/>
    </row>
    <row r="33" spans="1:21" ht="31.35" customHeight="1" x14ac:dyDescent="0.2">
      <c r="A33" s="89">
        <v>170</v>
      </c>
      <c r="B33" s="118" t="str">
        <f t="shared" si="3"/>
        <v>Lava Louças Eletrolux</v>
      </c>
      <c r="C33" s="118"/>
      <c r="D33" s="121" t="s">
        <v>11</v>
      </c>
      <c r="E33" s="121"/>
      <c r="F33" s="121" t="s">
        <v>25</v>
      </c>
      <c r="G33" s="121"/>
      <c r="H33" s="89">
        <f t="shared" ca="1" si="6"/>
        <v>139</v>
      </c>
      <c r="I33" s="124">
        <v>10990</v>
      </c>
      <c r="J33" s="124"/>
      <c r="K33" s="125">
        <f t="shared" ca="1" si="0"/>
        <v>1527610</v>
      </c>
      <c r="L33" s="125"/>
      <c r="M33" s="126">
        <f t="shared" ca="1" si="1"/>
        <v>0.02</v>
      </c>
      <c r="N33" s="126"/>
      <c r="O33" s="127">
        <f t="shared" ca="1" si="4"/>
        <v>10770.2</v>
      </c>
      <c r="P33" s="127"/>
      <c r="Q33" s="128">
        <f t="shared" ca="1" si="2"/>
        <v>104</v>
      </c>
      <c r="R33" s="129"/>
      <c r="S33" s="131" t="str">
        <f t="shared" ca="1" si="5"/>
        <v>Efetuar compra</v>
      </c>
      <c r="T33" s="131"/>
      <c r="U33" s="131"/>
    </row>
    <row r="34" spans="1:21" ht="31.35" customHeight="1" x14ac:dyDescent="0.2">
      <c r="A34" s="89">
        <v>170</v>
      </c>
      <c r="B34" s="118" t="str">
        <f t="shared" si="3"/>
        <v>Lava Louças Eletrolux</v>
      </c>
      <c r="C34" s="118"/>
      <c r="D34" s="121" t="s">
        <v>11</v>
      </c>
      <c r="E34" s="121"/>
      <c r="F34" s="121" t="s">
        <v>25</v>
      </c>
      <c r="G34" s="121"/>
      <c r="H34" s="89">
        <f t="shared" ca="1" si="6"/>
        <v>187</v>
      </c>
      <c r="I34" s="124">
        <v>9790</v>
      </c>
      <c r="J34" s="124"/>
      <c r="K34" s="125">
        <f t="shared" ca="1" si="0"/>
        <v>1830730</v>
      </c>
      <c r="L34" s="125"/>
      <c r="M34" s="126">
        <f t="shared" ca="1" si="1"/>
        <v>0.03</v>
      </c>
      <c r="N34" s="126"/>
      <c r="O34" s="127">
        <f t="shared" ca="1" si="4"/>
        <v>9496.2999999999993</v>
      </c>
      <c r="P34" s="127"/>
      <c r="Q34" s="128">
        <f t="shared" ca="1" si="2"/>
        <v>159</v>
      </c>
      <c r="R34" s="129"/>
      <c r="S34" s="131" t="str">
        <f t="shared" ca="1" si="5"/>
        <v>Efetuar compra</v>
      </c>
      <c r="T34" s="131"/>
      <c r="U34" s="131"/>
    </row>
    <row r="35" spans="1:21" ht="31.35" customHeight="1" x14ac:dyDescent="0.2">
      <c r="A35" s="89">
        <v>100</v>
      </c>
      <c r="B35" s="118" t="str">
        <f t="shared" si="3"/>
        <v>Lavadoura de roupas Colormaq</v>
      </c>
      <c r="C35" s="118"/>
      <c r="D35" s="121" t="s">
        <v>32</v>
      </c>
      <c r="E35" s="121"/>
      <c r="F35" s="121" t="s">
        <v>228</v>
      </c>
      <c r="G35" s="121"/>
      <c r="H35" s="89">
        <f t="shared" ca="1" si="6"/>
        <v>186</v>
      </c>
      <c r="I35" s="124">
        <v>599</v>
      </c>
      <c r="J35" s="124"/>
      <c r="K35" s="125">
        <f t="shared" ca="1" si="0"/>
        <v>111414</v>
      </c>
      <c r="L35" s="125"/>
      <c r="M35" s="126">
        <f t="shared" ca="1" si="1"/>
        <v>0.03</v>
      </c>
      <c r="N35" s="126"/>
      <c r="O35" s="127">
        <f t="shared" ca="1" si="4"/>
        <v>581.03</v>
      </c>
      <c r="P35" s="127"/>
      <c r="Q35" s="128">
        <f t="shared" ca="1" si="2"/>
        <v>177</v>
      </c>
      <c r="R35" s="129"/>
      <c r="S35" s="131" t="str">
        <f t="shared" ca="1" si="5"/>
        <v>Efetuar compra</v>
      </c>
      <c r="T35" s="131"/>
      <c r="U35" s="131"/>
    </row>
    <row r="36" spans="1:21" ht="31.35" customHeight="1" x14ac:dyDescent="0.2">
      <c r="A36" s="89">
        <v>100</v>
      </c>
      <c r="B36" s="118" t="str">
        <f t="shared" si="3"/>
        <v>Maquina de lavar Electrolux</v>
      </c>
      <c r="C36" s="118"/>
      <c r="D36" s="121" t="s">
        <v>13</v>
      </c>
      <c r="E36" s="121"/>
      <c r="F36" s="121" t="s">
        <v>227</v>
      </c>
      <c r="G36" s="121"/>
      <c r="H36" s="89">
        <f t="shared" ca="1" si="6"/>
        <v>184</v>
      </c>
      <c r="I36" s="124">
        <v>1899</v>
      </c>
      <c r="J36" s="124"/>
      <c r="K36" s="125">
        <f t="shared" ca="1" si="0"/>
        <v>349416</v>
      </c>
      <c r="L36" s="125"/>
      <c r="M36" s="126">
        <f t="shared" ca="1" si="1"/>
        <v>0.09</v>
      </c>
      <c r="N36" s="126"/>
      <c r="O36" s="127">
        <f t="shared" ca="1" si="4"/>
        <v>1728.09</v>
      </c>
      <c r="P36" s="127"/>
      <c r="Q36" s="128">
        <f t="shared" ca="1" si="2"/>
        <v>136</v>
      </c>
      <c r="R36" s="129"/>
      <c r="S36" s="131" t="str">
        <f t="shared" ca="1" si="5"/>
        <v>Efetuar compra</v>
      </c>
      <c r="T36" s="131"/>
      <c r="U36" s="131"/>
    </row>
    <row r="37" spans="1:21" ht="31.35" customHeight="1" x14ac:dyDescent="0.2">
      <c r="A37" s="89">
        <v>100</v>
      </c>
      <c r="B37" s="118" t="str">
        <f t="shared" si="3"/>
        <v>Maquina de lavar Electrolux</v>
      </c>
      <c r="C37" s="118"/>
      <c r="D37" s="121" t="s">
        <v>13</v>
      </c>
      <c r="E37" s="121"/>
      <c r="F37" s="121" t="s">
        <v>227</v>
      </c>
      <c r="G37" s="121"/>
      <c r="H37" s="89">
        <f t="shared" ca="1" si="6"/>
        <v>187</v>
      </c>
      <c r="I37" s="124">
        <v>1899</v>
      </c>
      <c r="J37" s="124"/>
      <c r="K37" s="125">
        <f t="shared" ca="1" si="0"/>
        <v>355113</v>
      </c>
      <c r="L37" s="125"/>
      <c r="M37" s="126">
        <f t="shared" ca="1" si="1"/>
        <v>0.05</v>
      </c>
      <c r="N37" s="126"/>
      <c r="O37" s="127">
        <f t="shared" ca="1" si="4"/>
        <v>1804.05</v>
      </c>
      <c r="P37" s="127"/>
      <c r="Q37" s="128">
        <f t="shared" ca="1" si="2"/>
        <v>170</v>
      </c>
      <c r="R37" s="129"/>
      <c r="S37" s="131" t="str">
        <f t="shared" ca="1" si="5"/>
        <v>Efetuar compra</v>
      </c>
      <c r="T37" s="131"/>
      <c r="U37" s="131"/>
    </row>
    <row r="38" spans="1:21" ht="31.35" customHeight="1" x14ac:dyDescent="0.2">
      <c r="A38" s="89">
        <v>140</v>
      </c>
      <c r="B38" s="118" t="str">
        <f t="shared" si="3"/>
        <v>Micro-ondas Midea</v>
      </c>
      <c r="C38" s="118"/>
      <c r="D38" s="121" t="s">
        <v>8</v>
      </c>
      <c r="E38" s="121"/>
      <c r="F38" s="121" t="s">
        <v>229</v>
      </c>
      <c r="G38" s="121"/>
      <c r="H38" s="89">
        <f t="shared" ca="1" si="6"/>
        <v>167</v>
      </c>
      <c r="I38" s="124">
        <v>1200</v>
      </c>
      <c r="J38" s="124"/>
      <c r="K38" s="125">
        <f t="shared" ca="1" si="0"/>
        <v>200400</v>
      </c>
      <c r="L38" s="125"/>
      <c r="M38" s="126">
        <f t="shared" ca="1" si="1"/>
        <v>0.03</v>
      </c>
      <c r="N38" s="126"/>
      <c r="O38" s="127">
        <f t="shared" ca="1" si="4"/>
        <v>1164</v>
      </c>
      <c r="P38" s="127"/>
      <c r="Q38" s="128">
        <f t="shared" ca="1" si="2"/>
        <v>136</v>
      </c>
      <c r="R38" s="129"/>
      <c r="S38" s="131" t="str">
        <f t="shared" ca="1" si="5"/>
        <v>Efetuar compra</v>
      </c>
      <c r="T38" s="131"/>
      <c r="U38" s="131"/>
    </row>
    <row r="39" spans="1:21" ht="31.35" customHeight="1" x14ac:dyDescent="0.2">
      <c r="A39" s="89">
        <v>140</v>
      </c>
      <c r="B39" s="118" t="str">
        <f t="shared" si="3"/>
        <v>Micro-ondas Panasonic</v>
      </c>
      <c r="C39" s="118"/>
      <c r="D39" s="121" t="s">
        <v>8</v>
      </c>
      <c r="E39" s="121"/>
      <c r="F39" s="121" t="s">
        <v>230</v>
      </c>
      <c r="G39" s="121"/>
      <c r="H39" s="89">
        <f t="shared" ca="1" si="6"/>
        <v>168</v>
      </c>
      <c r="I39" s="124">
        <v>790</v>
      </c>
      <c r="J39" s="124"/>
      <c r="K39" s="125">
        <f t="shared" ca="1" si="0"/>
        <v>132720</v>
      </c>
      <c r="L39" s="125"/>
      <c r="M39" s="126">
        <f t="shared" ca="1" si="1"/>
        <v>0.03</v>
      </c>
      <c r="N39" s="126"/>
      <c r="O39" s="127">
        <f t="shared" ca="1" si="4"/>
        <v>766.3</v>
      </c>
      <c r="P39" s="127"/>
      <c r="Q39" s="128">
        <f t="shared" ca="1" si="2"/>
        <v>138</v>
      </c>
      <c r="R39" s="129"/>
      <c r="S39" s="131" t="str">
        <f t="shared" ca="1" si="5"/>
        <v>Efetuar compra</v>
      </c>
      <c r="T39" s="131"/>
      <c r="U39" s="131"/>
    </row>
    <row r="40" spans="1:21" ht="31.35" customHeight="1" x14ac:dyDescent="0.2">
      <c r="A40" s="89">
        <v>140</v>
      </c>
      <c r="B40" s="118" t="str">
        <f t="shared" si="3"/>
        <v>Micro-ondas Panasonic</v>
      </c>
      <c r="C40" s="118"/>
      <c r="D40" s="121" t="s">
        <v>8</v>
      </c>
      <c r="E40" s="121"/>
      <c r="F40" s="121" t="s">
        <v>230</v>
      </c>
      <c r="G40" s="121"/>
      <c r="H40" s="89">
        <f t="shared" ca="1" si="6"/>
        <v>143</v>
      </c>
      <c r="I40" s="124">
        <v>529</v>
      </c>
      <c r="J40" s="124"/>
      <c r="K40" s="125">
        <f t="shared" ca="1" si="0"/>
        <v>75647</v>
      </c>
      <c r="L40" s="125"/>
      <c r="M40" s="126">
        <f t="shared" ca="1" si="1"/>
        <v>7.0000000000000007E-2</v>
      </c>
      <c r="N40" s="126"/>
      <c r="O40" s="127">
        <f t="shared" ca="1" si="4"/>
        <v>491.97</v>
      </c>
      <c r="P40" s="127"/>
      <c r="Q40" s="128">
        <f t="shared" ca="1" si="2"/>
        <v>133</v>
      </c>
      <c r="R40" s="129"/>
      <c r="S40" s="131" t="str">
        <f t="shared" ca="1" si="5"/>
        <v>Efetuar compra</v>
      </c>
      <c r="T40" s="131"/>
      <c r="U40" s="131"/>
    </row>
    <row r="41" spans="1:21" ht="16.5" customHeight="1" x14ac:dyDescent="0.2">
      <c r="E41" s="47"/>
      <c r="F41" s="48"/>
      <c r="G41" s="49"/>
      <c r="H41" s="27">
        <f ca="1">SUM(H15:H40)</f>
        <v>3987</v>
      </c>
      <c r="I41" s="48">
        <f>SUM(I15:J40)</f>
        <v>76080.990000000005</v>
      </c>
      <c r="O41" s="49">
        <f ca="1">SUM(O15:P40)</f>
        <v>72231.910700000008</v>
      </c>
    </row>
    <row r="42" spans="1:21" ht="16.5" customHeight="1" x14ac:dyDescent="0.2"/>
    <row r="43" spans="1:21" ht="16.5" customHeight="1" thickBot="1" x14ac:dyDescent="0.25">
      <c r="F43" s="50"/>
      <c r="H43" s="27">
        <f ca="1">PRODUCT(H41,I41)</f>
        <v>303334907.13</v>
      </c>
      <c r="O43" s="27">
        <f ca="1">PRODUCT(H41,O41)</f>
        <v>287988627.96090001</v>
      </c>
    </row>
    <row r="44" spans="1:21" ht="16.5" customHeight="1" thickBot="1" x14ac:dyDescent="0.25">
      <c r="A44" s="142" t="s">
        <v>2</v>
      </c>
      <c r="B44" s="143"/>
      <c r="C44" s="58" t="str">
        <f>PROPER("código")</f>
        <v>Código</v>
      </c>
      <c r="D44" s="146" t="s">
        <v>33</v>
      </c>
      <c r="E44" s="143"/>
      <c r="F44" s="115" t="s">
        <v>34</v>
      </c>
      <c r="G44" s="116"/>
    </row>
    <row r="45" spans="1:21" ht="16.5" customHeight="1" x14ac:dyDescent="0.2">
      <c r="A45" s="141" t="s">
        <v>226</v>
      </c>
      <c r="B45" s="141"/>
      <c r="C45" s="57">
        <v>100</v>
      </c>
      <c r="D45" s="144">
        <f t="shared" ref="D45:D52" ca="1" si="7">SUMIF($A$15:$A$40,C45,$K$15:$K$40)</f>
        <v>1419336</v>
      </c>
      <c r="E45" s="144"/>
      <c r="F45" s="117">
        <f t="shared" ref="F45:F52" si="8">COUNTIF($A$15:$A$75,C45)</f>
        <v>4</v>
      </c>
      <c r="G45" s="117"/>
    </row>
    <row r="46" spans="1:21" ht="16.5" customHeight="1" x14ac:dyDescent="0.2">
      <c r="A46" s="118" t="s">
        <v>6</v>
      </c>
      <c r="B46" s="118"/>
      <c r="C46" s="39">
        <v>120</v>
      </c>
      <c r="D46" s="145">
        <f t="shared" ca="1" si="7"/>
        <v>1709137</v>
      </c>
      <c r="E46" s="145"/>
      <c r="F46" s="117">
        <f t="shared" si="8"/>
        <v>3</v>
      </c>
      <c r="G46" s="117"/>
      <c r="S46" s="38"/>
    </row>
    <row r="47" spans="1:21" ht="16.5" customHeight="1" x14ac:dyDescent="0.2">
      <c r="A47" s="118" t="s">
        <v>7</v>
      </c>
      <c r="B47" s="118"/>
      <c r="C47" s="39">
        <v>130</v>
      </c>
      <c r="D47" s="145">
        <f t="shared" ca="1" si="7"/>
        <v>614381</v>
      </c>
      <c r="E47" s="145"/>
      <c r="F47" s="117">
        <f t="shared" si="8"/>
        <v>3</v>
      </c>
      <c r="G47" s="117"/>
    </row>
    <row r="48" spans="1:21" ht="16.5" customHeight="1" x14ac:dyDescent="0.2">
      <c r="A48" s="118" t="s">
        <v>8</v>
      </c>
      <c r="B48" s="118"/>
      <c r="C48" s="39">
        <v>140</v>
      </c>
      <c r="D48" s="145">
        <f t="shared" ca="1" si="7"/>
        <v>436870</v>
      </c>
      <c r="E48" s="145"/>
      <c r="F48" s="117">
        <f t="shared" si="8"/>
        <v>4</v>
      </c>
      <c r="G48" s="117"/>
    </row>
    <row r="49" spans="1:7" ht="16.5" customHeight="1" x14ac:dyDescent="0.2">
      <c r="A49" s="118" t="s">
        <v>9</v>
      </c>
      <c r="B49" s="118"/>
      <c r="C49" s="39">
        <v>150</v>
      </c>
      <c r="D49" s="145">
        <f t="shared" ca="1" si="7"/>
        <v>631653</v>
      </c>
      <c r="E49" s="145"/>
      <c r="F49" s="117">
        <f t="shared" si="8"/>
        <v>3</v>
      </c>
      <c r="G49" s="117"/>
    </row>
    <row r="50" spans="1:7" ht="16.5" customHeight="1" x14ac:dyDescent="0.2">
      <c r="A50" s="118" t="s">
        <v>10</v>
      </c>
      <c r="B50" s="118"/>
      <c r="C50" s="39">
        <v>160</v>
      </c>
      <c r="D50" s="145">
        <f t="shared" ca="1" si="7"/>
        <v>578228.42000000004</v>
      </c>
      <c r="E50" s="145"/>
      <c r="F50" s="117">
        <f t="shared" si="8"/>
        <v>3</v>
      </c>
      <c r="G50" s="117"/>
    </row>
    <row r="51" spans="1:7" ht="16.5" customHeight="1" x14ac:dyDescent="0.2">
      <c r="A51" s="118" t="s">
        <v>11</v>
      </c>
      <c r="B51" s="118"/>
      <c r="C51" s="39">
        <v>170</v>
      </c>
      <c r="D51" s="145">
        <f t="shared" ca="1" si="7"/>
        <v>4366340</v>
      </c>
      <c r="E51" s="145"/>
      <c r="F51" s="117">
        <f t="shared" si="8"/>
        <v>3</v>
      </c>
      <c r="G51" s="117"/>
    </row>
    <row r="52" spans="1:7" ht="16.5" customHeight="1" x14ac:dyDescent="0.2">
      <c r="A52" s="118" t="s">
        <v>12</v>
      </c>
      <c r="B52" s="118"/>
      <c r="C52" s="39">
        <v>180</v>
      </c>
      <c r="D52" s="145">
        <f t="shared" ca="1" si="7"/>
        <v>1840024</v>
      </c>
      <c r="E52" s="145"/>
      <c r="F52" s="117">
        <f t="shared" si="8"/>
        <v>3</v>
      </c>
      <c r="G52" s="117"/>
    </row>
    <row r="53" spans="1:7" ht="16.5" customHeight="1" x14ac:dyDescent="0.2"/>
    <row r="54" spans="1:7" ht="15" customHeight="1" x14ac:dyDescent="0.2">
      <c r="C54" s="88" t="s">
        <v>276</v>
      </c>
    </row>
    <row r="55" spans="1:7" ht="15" customHeight="1" x14ac:dyDescent="0.2">
      <c r="C55" s="88" t="s">
        <v>277</v>
      </c>
    </row>
    <row r="56" spans="1:7" ht="15" customHeight="1" x14ac:dyDescent="0.2">
      <c r="C56" s="87"/>
    </row>
  </sheetData>
  <protectedRanges>
    <protectedRange sqref="S41:S46 S12:S13 I47:T75 A53:H75 T12:T46" name="corpo_home"/>
    <protectedRange sqref="D14:D40 A12:B43 H14:I40 R12:R13 F14:F40 K14:K40 M14:M40 C12:P13 Q12:Q40 I41:R46 C41:H43 A44:A52 C44:F52 S14:S40 O14:O40" name="corpo_eletrodomesticos"/>
    <protectedRange sqref="A6:T11" name="corpo_home_1_3"/>
  </protectedRanges>
  <mergeCells count="279">
    <mergeCell ref="S39:U39"/>
    <mergeCell ref="S40:U40"/>
    <mergeCell ref="S14:U14"/>
    <mergeCell ref="A1:U8"/>
    <mergeCell ref="S9:U11"/>
    <mergeCell ref="A12:U13"/>
    <mergeCell ref="A51:B51"/>
    <mergeCell ref="A52:B52"/>
    <mergeCell ref="A45:B45"/>
    <mergeCell ref="A44:B44"/>
    <mergeCell ref="D45:E45"/>
    <mergeCell ref="D46:E46"/>
    <mergeCell ref="D47:E47"/>
    <mergeCell ref="D48:E48"/>
    <mergeCell ref="D49:E49"/>
    <mergeCell ref="D50:E50"/>
    <mergeCell ref="D51:E51"/>
    <mergeCell ref="D52:E52"/>
    <mergeCell ref="D44:E44"/>
    <mergeCell ref="A46:B46"/>
    <mergeCell ref="A47:B47"/>
    <mergeCell ref="A48:B48"/>
    <mergeCell ref="A49:B49"/>
    <mergeCell ref="A50:B50"/>
    <mergeCell ref="A9:C11"/>
    <mergeCell ref="D9:F11"/>
    <mergeCell ref="G9:I11"/>
    <mergeCell ref="J9:L11"/>
    <mergeCell ref="M9:O11"/>
    <mergeCell ref="P9:R11"/>
    <mergeCell ref="S15:U15"/>
    <mergeCell ref="S16:U16"/>
    <mergeCell ref="S17:U17"/>
    <mergeCell ref="K15:L15"/>
    <mergeCell ref="K16:L16"/>
    <mergeCell ref="K17:L17"/>
    <mergeCell ref="S18:U18"/>
    <mergeCell ref="S34:U34"/>
    <mergeCell ref="S35:U35"/>
    <mergeCell ref="S36:U36"/>
    <mergeCell ref="S37:U37"/>
    <mergeCell ref="S38:U38"/>
    <mergeCell ref="S29:U29"/>
    <mergeCell ref="S30:U30"/>
    <mergeCell ref="S31:U31"/>
    <mergeCell ref="S32:U32"/>
    <mergeCell ref="S33:U33"/>
    <mergeCell ref="S24:U24"/>
    <mergeCell ref="S25:U25"/>
    <mergeCell ref="S26:U26"/>
    <mergeCell ref="S27:U27"/>
    <mergeCell ref="S28:U28"/>
    <mergeCell ref="S19:U19"/>
    <mergeCell ref="S20:U20"/>
    <mergeCell ref="S21:U21"/>
    <mergeCell ref="S22:U22"/>
    <mergeCell ref="S23:U23"/>
    <mergeCell ref="O40:P40"/>
    <mergeCell ref="O14:P14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O33:P33"/>
    <mergeCell ref="O34:P34"/>
    <mergeCell ref="O35:P35"/>
    <mergeCell ref="Q36:R36"/>
    <mergeCell ref="Q37:R37"/>
    <mergeCell ref="Q38:R38"/>
    <mergeCell ref="Q39:R39"/>
    <mergeCell ref="Q40:R40"/>
    <mergeCell ref="Q31:R31"/>
    <mergeCell ref="Q32:R32"/>
    <mergeCell ref="M38:N38"/>
    <mergeCell ref="M39:N39"/>
    <mergeCell ref="Q26:R26"/>
    <mergeCell ref="Q27:R27"/>
    <mergeCell ref="Q28:R28"/>
    <mergeCell ref="Q29:R29"/>
    <mergeCell ref="Q30:R30"/>
    <mergeCell ref="O38:P38"/>
    <mergeCell ref="O39:P39"/>
    <mergeCell ref="Q33:R33"/>
    <mergeCell ref="Q34:R34"/>
    <mergeCell ref="Q35:R35"/>
    <mergeCell ref="M28:N28"/>
    <mergeCell ref="M29:N29"/>
    <mergeCell ref="M30:N30"/>
    <mergeCell ref="M31:N31"/>
    <mergeCell ref="M32:N32"/>
    <mergeCell ref="O36:P36"/>
    <mergeCell ref="O37:P37"/>
    <mergeCell ref="O28:P28"/>
    <mergeCell ref="O29:P29"/>
    <mergeCell ref="O30:P30"/>
    <mergeCell ref="O31:P31"/>
    <mergeCell ref="O32:P32"/>
    <mergeCell ref="K38:L38"/>
    <mergeCell ref="K39:L39"/>
    <mergeCell ref="K30:L30"/>
    <mergeCell ref="K31:L31"/>
    <mergeCell ref="K32:L32"/>
    <mergeCell ref="M40:N40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M33:N33"/>
    <mergeCell ref="M34:N34"/>
    <mergeCell ref="M35:N35"/>
    <mergeCell ref="M36:N36"/>
    <mergeCell ref="M37:N37"/>
    <mergeCell ref="K20:L20"/>
    <mergeCell ref="K21:L21"/>
    <mergeCell ref="K22:L22"/>
    <mergeCell ref="K23:L23"/>
    <mergeCell ref="K24:L24"/>
    <mergeCell ref="K40:L40"/>
    <mergeCell ref="K14:L14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K35:L35"/>
    <mergeCell ref="K36:L36"/>
    <mergeCell ref="K37:L37"/>
    <mergeCell ref="K18:L18"/>
    <mergeCell ref="K19:L19"/>
    <mergeCell ref="I37:J37"/>
    <mergeCell ref="I38:J38"/>
    <mergeCell ref="I39:J39"/>
    <mergeCell ref="I40:J40"/>
    <mergeCell ref="I14:J14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K33:L33"/>
    <mergeCell ref="K34:L34"/>
    <mergeCell ref="K25:L25"/>
    <mergeCell ref="K26:L26"/>
    <mergeCell ref="K27:L27"/>
    <mergeCell ref="K28:L28"/>
    <mergeCell ref="K29:L29"/>
    <mergeCell ref="F37:G37"/>
    <mergeCell ref="F38:G38"/>
    <mergeCell ref="F40:G40"/>
    <mergeCell ref="F14:G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F32:G32"/>
    <mergeCell ref="F33:G33"/>
    <mergeCell ref="F34:G34"/>
    <mergeCell ref="F35:G35"/>
    <mergeCell ref="F36:G36"/>
    <mergeCell ref="F27:G27"/>
    <mergeCell ref="F28:G28"/>
    <mergeCell ref="F29:G29"/>
    <mergeCell ref="F30:G30"/>
    <mergeCell ref="F31:G31"/>
    <mergeCell ref="D39:E39"/>
    <mergeCell ref="D40:E40"/>
    <mergeCell ref="D14:E14"/>
    <mergeCell ref="F15:G15"/>
    <mergeCell ref="F39:G39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D34:E34"/>
    <mergeCell ref="D35:E35"/>
    <mergeCell ref="D36:E36"/>
    <mergeCell ref="D37:E37"/>
    <mergeCell ref="D38:E38"/>
    <mergeCell ref="D28:E28"/>
    <mergeCell ref="D29:E29"/>
    <mergeCell ref="D31:E31"/>
    <mergeCell ref="D32:E32"/>
    <mergeCell ref="D33:E33"/>
    <mergeCell ref="B40:C40"/>
    <mergeCell ref="B14:C14"/>
    <mergeCell ref="D30:E30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34:C34"/>
    <mergeCell ref="B35:C35"/>
    <mergeCell ref="B36:C36"/>
    <mergeCell ref="B38:C38"/>
    <mergeCell ref="B39:C39"/>
    <mergeCell ref="B29:C29"/>
    <mergeCell ref="B30:C30"/>
    <mergeCell ref="B31:C31"/>
    <mergeCell ref="B32:C32"/>
    <mergeCell ref="B33:C33"/>
    <mergeCell ref="B37:C37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</mergeCells>
  <conditionalFormatting sqref="Q15:Q40">
    <cfRule type="expression" dxfId="4" priority="5">
      <formula>AND(Q15&lt;H15)</formula>
    </cfRule>
  </conditionalFormatting>
  <hyperlinks>
    <hyperlink ref="S9:U11" location="Ranking!A1" display="RANKING" xr:uid="{897C9343-F42E-4783-9456-7A84BDE4B50C}"/>
    <hyperlink ref="P9:R11" location="Eletrônicos!A1" display="ELETRÔNICOS" xr:uid="{56D7929C-CB14-42C7-9BEF-C60C35AB19D4}"/>
    <hyperlink ref="M9:O11" location="'Alimentos e Bebidas'!A1" display="ALIMENTOS E BEBIDAS" xr:uid="{01F22B4D-40B1-4A1F-8B26-5B2F2A4BEDF5}"/>
    <hyperlink ref="J9:L11" location="'Bolsas e Malas'!A1" display="BOLSAS E MALAS" xr:uid="{436E62F7-213F-4E9F-B8AC-66764F54E8F4}"/>
    <hyperlink ref="G9:I11" location="Automotivo!A1" display="AUTOMOTIVO" xr:uid="{0411E7A0-85E9-45A1-838F-FF97A1F5C76F}"/>
    <hyperlink ref="D9:F11" location="Eletrodomésticos!A1" display="ELETRODOMÉSTICOS" xr:uid="{1D2EF8D8-FB83-4E2D-88C1-C48242998335}"/>
    <hyperlink ref="A9:C11" location="Home!A1" display="HOME" xr:uid="{C5169932-C771-4433-A031-905CBD0DEB4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3"/>
  <sheetViews>
    <sheetView zoomScale="85" zoomScaleNormal="85" workbookViewId="0">
      <selection activeCell="D9" sqref="D9:F11"/>
    </sheetView>
  </sheetViews>
  <sheetFormatPr defaultColWidth="10.140625" defaultRowHeight="15.75" customHeight="1" x14ac:dyDescent="0.25"/>
  <cols>
    <col min="8" max="8" width="14.140625" bestFit="1" customWidth="1"/>
    <col min="9" max="9" width="13.5703125" bestFit="1" customWidth="1"/>
    <col min="13" max="13" width="12.28515625" bestFit="1" customWidth="1"/>
  </cols>
  <sheetData>
    <row r="1" spans="1:22" s="2" customFormat="1" ht="16.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/>
    </row>
    <row r="2" spans="1:22" s="2" customFormat="1" ht="16.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</row>
    <row r="3" spans="1:22" s="2" customFormat="1" ht="16.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</row>
    <row r="4" spans="1:22" s="2" customFormat="1" ht="16.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4"/>
    </row>
    <row r="5" spans="1:22" s="2" customFormat="1" ht="16.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</row>
    <row r="6" spans="1:22" ht="16.5" customHeight="1" x14ac:dyDescent="0.2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4"/>
    </row>
    <row r="7" spans="1:22" ht="16.5" customHeight="1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4"/>
    </row>
    <row r="8" spans="1:22" ht="16.5" customHeight="1" thickBot="1" x14ac:dyDescent="0.3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4"/>
    </row>
    <row r="9" spans="1:22" ht="16.5" customHeight="1" x14ac:dyDescent="0.25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114" t="s">
        <v>274</v>
      </c>
      <c r="N9" s="106"/>
      <c r="O9" s="107"/>
      <c r="P9" s="105" t="s">
        <v>272</v>
      </c>
      <c r="Q9" s="106"/>
      <c r="R9" s="107"/>
      <c r="S9" s="105" t="s">
        <v>273</v>
      </c>
      <c r="T9" s="106"/>
      <c r="U9" s="107"/>
      <c r="V9" s="105"/>
    </row>
    <row r="10" spans="1:22" ht="16.5" customHeight="1" x14ac:dyDescent="0.25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108"/>
      <c r="N10" s="109"/>
      <c r="O10" s="110"/>
      <c r="P10" s="108"/>
      <c r="Q10" s="109"/>
      <c r="R10" s="110"/>
      <c r="S10" s="108"/>
      <c r="T10" s="109"/>
      <c r="U10" s="110"/>
      <c r="V10" s="108"/>
    </row>
    <row r="11" spans="1:22" ht="16.5" customHeight="1" thickBot="1" x14ac:dyDescent="0.3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3"/>
      <c r="V11" s="111"/>
    </row>
    <row r="12" spans="1:22" ht="16.5" customHeight="1" x14ac:dyDescent="0.25">
      <c r="A12" s="176" t="s">
        <v>95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8"/>
      <c r="P12" s="158" t="s">
        <v>102</v>
      </c>
      <c r="Q12" s="159"/>
      <c r="R12" s="159"/>
      <c r="S12" s="176" t="s">
        <v>118</v>
      </c>
      <c r="T12" s="177"/>
      <c r="U12" s="177"/>
      <c r="V12" s="178"/>
    </row>
    <row r="13" spans="1:22" ht="16.5" customHeight="1" thickBot="1" x14ac:dyDescent="0.3">
      <c r="A13" s="185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1"/>
      <c r="P13" s="160"/>
      <c r="Q13" s="161"/>
      <c r="R13" s="161"/>
      <c r="S13" s="179"/>
      <c r="T13" s="159"/>
      <c r="U13" s="180"/>
      <c r="V13" s="181"/>
    </row>
    <row r="14" spans="1:22" ht="16.5" customHeight="1" thickBot="1" x14ac:dyDescent="0.3">
      <c r="A14" s="171" t="s">
        <v>94</v>
      </c>
      <c r="B14" s="172"/>
      <c r="C14" s="172"/>
      <c r="D14" s="171" t="s">
        <v>96</v>
      </c>
      <c r="E14" s="173"/>
      <c r="F14" s="55" t="s">
        <v>3</v>
      </c>
      <c r="G14" s="55" t="s">
        <v>0</v>
      </c>
      <c r="H14" s="55" t="s">
        <v>97</v>
      </c>
      <c r="I14" s="167" t="s">
        <v>5</v>
      </c>
      <c r="J14" s="168"/>
      <c r="K14" s="53" t="s">
        <v>91</v>
      </c>
      <c r="L14" s="54"/>
      <c r="M14" s="183" t="s">
        <v>98</v>
      </c>
      <c r="N14" s="184"/>
      <c r="O14" s="52" t="s">
        <v>213</v>
      </c>
      <c r="P14" s="56" t="s">
        <v>3</v>
      </c>
      <c r="Q14" s="150" t="s">
        <v>104</v>
      </c>
      <c r="R14" s="151"/>
      <c r="S14" s="147" t="s">
        <v>3</v>
      </c>
      <c r="T14" s="147"/>
      <c r="U14" s="148" t="s">
        <v>97</v>
      </c>
      <c r="V14" s="149"/>
    </row>
    <row r="15" spans="1:22" ht="16.5" customHeight="1" x14ac:dyDescent="0.25">
      <c r="A15" s="170" t="str">
        <f t="shared" ref="A15:A41" si="0">CONCATENATE(F15,"  ",D15)</f>
        <v>Firestone  Pneu aro 17</v>
      </c>
      <c r="B15" s="170"/>
      <c r="C15" s="170"/>
      <c r="D15" s="170" t="s">
        <v>99</v>
      </c>
      <c r="E15" s="170"/>
      <c r="F15" s="7" t="s">
        <v>100</v>
      </c>
      <c r="G15" s="23">
        <v>454</v>
      </c>
      <c r="H15" s="23">
        <f t="shared" ref="H15:H41" ca="1" si="1">RANDBETWEEN(87,199)</f>
        <v>150</v>
      </c>
      <c r="I15" s="166">
        <v>968.02</v>
      </c>
      <c r="J15" s="166"/>
      <c r="K15" s="166">
        <f t="shared" ref="K15:K41" ca="1" si="2">PRODUCT(I15,H15)</f>
        <v>145203</v>
      </c>
      <c r="L15" s="166"/>
      <c r="M15" s="169">
        <f t="shared" ref="M15:M41" si="3">I15-PRODUCT(I15,IF(OR(F15=$P$15,F15=$P$16),$Q$15,IF(F15=$P$17,$Q$17,IF(OR(F15=$P$18,F15=$P$19),$Q$18,IF(OR(F15=$P$20,F15=$P$21),$Q$20,IF(F15=$P$22,$Q$22,IF(OR(F15=$P$23,F15=$P$24),$Q$23,"INEXISTENTE")))))))</f>
        <v>851.85760000000005</v>
      </c>
      <c r="N15" s="169"/>
      <c r="O15" s="23">
        <f t="shared" ref="O15:O41" ca="1" si="4">RANDBETWEEN(50,140)</f>
        <v>135</v>
      </c>
      <c r="P15" s="78" t="s">
        <v>100</v>
      </c>
      <c r="Q15" s="152">
        <v>0.12</v>
      </c>
      <c r="R15" s="153"/>
      <c r="S15" s="182" t="s">
        <v>100</v>
      </c>
      <c r="T15" s="182"/>
      <c r="U15" s="174">
        <f ca="1">SUMIF($F$15:$F$41,S15,$H$15:$H$41)</f>
        <v>291</v>
      </c>
      <c r="V15" s="175"/>
    </row>
    <row r="16" spans="1:22" ht="16.5" customHeight="1" x14ac:dyDescent="0.25">
      <c r="A16" s="170" t="str">
        <f t="shared" si="0"/>
        <v>Firestone  Pneu aro 14</v>
      </c>
      <c r="B16" s="170"/>
      <c r="C16" s="170"/>
      <c r="D16" s="170" t="s">
        <v>101</v>
      </c>
      <c r="E16" s="170"/>
      <c r="F16" s="7" t="s">
        <v>100</v>
      </c>
      <c r="G16" s="23">
        <v>452</v>
      </c>
      <c r="H16" s="23">
        <f t="shared" ca="1" si="1"/>
        <v>141</v>
      </c>
      <c r="I16" s="166">
        <v>466.9</v>
      </c>
      <c r="J16" s="166"/>
      <c r="K16" s="166">
        <f t="shared" ca="1" si="2"/>
        <v>65832.899999999994</v>
      </c>
      <c r="L16" s="166"/>
      <c r="M16" s="169">
        <f t="shared" si="3"/>
        <v>410.87199999999996</v>
      </c>
      <c r="N16" s="169"/>
      <c r="O16" s="23">
        <f t="shared" ca="1" si="4"/>
        <v>55</v>
      </c>
      <c r="P16" s="78" t="s">
        <v>103</v>
      </c>
      <c r="Q16" s="154"/>
      <c r="R16" s="155"/>
      <c r="S16" s="162" t="s">
        <v>103</v>
      </c>
      <c r="T16" s="163"/>
      <c r="U16" s="164">
        <f ca="1">SUMIF($F$15:$F$41,S16,$H$15:$H$41)</f>
        <v>315</v>
      </c>
      <c r="V16" s="165"/>
    </row>
    <row r="17" spans="1:22" ht="16.5" customHeight="1" x14ac:dyDescent="0.25">
      <c r="A17" s="170" t="str">
        <f t="shared" si="0"/>
        <v>Goodride  Pneu aro 17</v>
      </c>
      <c r="B17" s="170"/>
      <c r="C17" s="170"/>
      <c r="D17" s="170" t="s">
        <v>99</v>
      </c>
      <c r="E17" s="170"/>
      <c r="F17" s="7" t="s">
        <v>103</v>
      </c>
      <c r="G17" s="23">
        <v>743</v>
      </c>
      <c r="H17" s="23">
        <f t="shared" ca="1" si="1"/>
        <v>124</v>
      </c>
      <c r="I17" s="166">
        <v>755.04</v>
      </c>
      <c r="J17" s="166"/>
      <c r="K17" s="166">
        <f t="shared" ca="1" si="2"/>
        <v>93624.959999999992</v>
      </c>
      <c r="L17" s="166"/>
      <c r="M17" s="169">
        <f t="shared" si="3"/>
        <v>664.43520000000001</v>
      </c>
      <c r="N17" s="169"/>
      <c r="O17" s="23">
        <f t="shared" ca="1" si="4"/>
        <v>97</v>
      </c>
      <c r="P17" s="78" t="s">
        <v>106</v>
      </c>
      <c r="Q17" s="156">
        <v>0.13</v>
      </c>
      <c r="R17" s="157"/>
      <c r="S17" s="162" t="s">
        <v>106</v>
      </c>
      <c r="T17" s="163"/>
      <c r="U17" s="164">
        <f t="shared" ref="U17:U24" ca="1" si="5">SUMIF($F$15:$F$41,S17,$H$15:$H$41)</f>
        <v>492</v>
      </c>
      <c r="V17" s="165"/>
    </row>
    <row r="18" spans="1:22" ht="16.5" customHeight="1" x14ac:dyDescent="0.25">
      <c r="A18" s="170" t="str">
        <f t="shared" si="0"/>
        <v>Goodride  Pneu aro 14</v>
      </c>
      <c r="B18" s="170"/>
      <c r="C18" s="170"/>
      <c r="D18" s="170" t="s">
        <v>101</v>
      </c>
      <c r="E18" s="170"/>
      <c r="F18" s="7" t="s">
        <v>103</v>
      </c>
      <c r="G18" s="23">
        <v>134</v>
      </c>
      <c r="H18" s="23">
        <f t="shared" ca="1" si="1"/>
        <v>191</v>
      </c>
      <c r="I18" s="166">
        <v>393.12</v>
      </c>
      <c r="J18" s="166"/>
      <c r="K18" s="166">
        <f t="shared" ca="1" si="2"/>
        <v>75085.919999999998</v>
      </c>
      <c r="L18" s="166"/>
      <c r="M18" s="169">
        <f t="shared" si="3"/>
        <v>345.94560000000001</v>
      </c>
      <c r="N18" s="169"/>
      <c r="O18" s="23">
        <f t="shared" ca="1" si="4"/>
        <v>112</v>
      </c>
      <c r="P18" s="78" t="s">
        <v>109</v>
      </c>
      <c r="Q18" s="152">
        <v>0.11</v>
      </c>
      <c r="R18" s="153"/>
      <c r="S18" s="162" t="s">
        <v>109</v>
      </c>
      <c r="T18" s="163"/>
      <c r="U18" s="164">
        <f t="shared" ca="1" si="5"/>
        <v>575</v>
      </c>
      <c r="V18" s="165"/>
    </row>
    <row r="19" spans="1:22" ht="16.5" customHeight="1" x14ac:dyDescent="0.25">
      <c r="A19" s="170" t="str">
        <f t="shared" si="0"/>
        <v>Westlake  Pneu aro 15</v>
      </c>
      <c r="B19" s="170"/>
      <c r="C19" s="170"/>
      <c r="D19" s="170" t="s">
        <v>105</v>
      </c>
      <c r="E19" s="170"/>
      <c r="F19" s="7" t="s">
        <v>106</v>
      </c>
      <c r="G19" s="23">
        <v>953</v>
      </c>
      <c r="H19" s="23">
        <f t="shared" ca="1" si="1"/>
        <v>194</v>
      </c>
      <c r="I19" s="166">
        <v>367.63</v>
      </c>
      <c r="J19" s="166"/>
      <c r="K19" s="166">
        <f t="shared" ca="1" si="2"/>
        <v>71320.22</v>
      </c>
      <c r="L19" s="166"/>
      <c r="M19" s="169">
        <f t="shared" si="3"/>
        <v>319.8381</v>
      </c>
      <c r="N19" s="169"/>
      <c r="O19" s="23">
        <f t="shared" ca="1" si="4"/>
        <v>100</v>
      </c>
      <c r="P19" s="78" t="s">
        <v>111</v>
      </c>
      <c r="Q19" s="154"/>
      <c r="R19" s="155"/>
      <c r="S19" s="162" t="s">
        <v>111</v>
      </c>
      <c r="T19" s="163"/>
      <c r="U19" s="164">
        <f t="shared" ca="1" si="5"/>
        <v>553</v>
      </c>
      <c r="V19" s="165"/>
    </row>
    <row r="20" spans="1:22" ht="16.5" customHeight="1" x14ac:dyDescent="0.25">
      <c r="A20" s="170" t="str">
        <f t="shared" si="0"/>
        <v>Westlake  Pneu aro 16</v>
      </c>
      <c r="B20" s="170"/>
      <c r="C20" s="170"/>
      <c r="D20" s="170" t="s">
        <v>107</v>
      </c>
      <c r="E20" s="170"/>
      <c r="F20" s="7" t="s">
        <v>106</v>
      </c>
      <c r="G20" s="23">
        <v>243</v>
      </c>
      <c r="H20" s="23">
        <f t="shared" ca="1" si="1"/>
        <v>109</v>
      </c>
      <c r="I20" s="166">
        <v>357.93</v>
      </c>
      <c r="J20" s="166"/>
      <c r="K20" s="166">
        <f t="shared" ca="1" si="2"/>
        <v>39014.370000000003</v>
      </c>
      <c r="L20" s="166"/>
      <c r="M20" s="169">
        <f t="shared" si="3"/>
        <v>311.39909999999998</v>
      </c>
      <c r="N20" s="169"/>
      <c r="O20" s="23">
        <f t="shared" ca="1" si="4"/>
        <v>86</v>
      </c>
      <c r="P20" s="78" t="s">
        <v>112</v>
      </c>
      <c r="Q20" s="152">
        <v>0.09</v>
      </c>
      <c r="R20" s="153"/>
      <c r="S20" s="162" t="s">
        <v>112</v>
      </c>
      <c r="T20" s="163"/>
      <c r="U20" s="164">
        <f t="shared" ca="1" si="5"/>
        <v>203</v>
      </c>
      <c r="V20" s="165"/>
    </row>
    <row r="21" spans="1:22" ht="16.5" customHeight="1" x14ac:dyDescent="0.25">
      <c r="A21" s="170" t="str">
        <f t="shared" si="0"/>
        <v>Westlake  Pneu aro 14</v>
      </c>
      <c r="B21" s="170"/>
      <c r="C21" s="170"/>
      <c r="D21" s="170" t="s">
        <v>101</v>
      </c>
      <c r="E21" s="170"/>
      <c r="F21" s="7" t="s">
        <v>106</v>
      </c>
      <c r="G21" s="23">
        <v>657</v>
      </c>
      <c r="H21" s="23">
        <f t="shared" ca="1" si="1"/>
        <v>189</v>
      </c>
      <c r="I21" s="166">
        <v>306.52</v>
      </c>
      <c r="J21" s="166"/>
      <c r="K21" s="166">
        <f t="shared" ca="1" si="2"/>
        <v>57932.28</v>
      </c>
      <c r="L21" s="166"/>
      <c r="M21" s="169">
        <f t="shared" si="3"/>
        <v>266.67239999999998</v>
      </c>
      <c r="N21" s="169"/>
      <c r="O21" s="23">
        <f t="shared" ca="1" si="4"/>
        <v>125</v>
      </c>
      <c r="P21" s="78" t="s">
        <v>114</v>
      </c>
      <c r="Q21" s="154"/>
      <c r="R21" s="155"/>
      <c r="S21" s="162" t="s">
        <v>114</v>
      </c>
      <c r="T21" s="163"/>
      <c r="U21" s="164">
        <f t="shared" ca="1" si="5"/>
        <v>450</v>
      </c>
      <c r="V21" s="165"/>
    </row>
    <row r="22" spans="1:22" ht="16.5" customHeight="1" x14ac:dyDescent="0.25">
      <c r="A22" s="170" t="str">
        <f t="shared" si="0"/>
        <v>Pioneer  Som automotivo</v>
      </c>
      <c r="B22" s="170"/>
      <c r="C22" s="170"/>
      <c r="D22" s="170" t="s">
        <v>108</v>
      </c>
      <c r="E22" s="170"/>
      <c r="F22" s="7" t="s">
        <v>109</v>
      </c>
      <c r="G22" s="23">
        <v>143</v>
      </c>
      <c r="H22" s="23">
        <f t="shared" ca="1" si="1"/>
        <v>94</v>
      </c>
      <c r="I22" s="166">
        <v>251.99</v>
      </c>
      <c r="J22" s="166"/>
      <c r="K22" s="166">
        <f t="shared" ca="1" si="2"/>
        <v>23687.06</v>
      </c>
      <c r="L22" s="166"/>
      <c r="M22" s="169">
        <f t="shared" si="3"/>
        <v>224.27110000000002</v>
      </c>
      <c r="N22" s="169"/>
      <c r="O22" s="23">
        <f t="shared" ca="1" si="4"/>
        <v>64</v>
      </c>
      <c r="P22" s="78" t="s">
        <v>110</v>
      </c>
      <c r="Q22" s="156">
        <v>0.1</v>
      </c>
      <c r="R22" s="157"/>
      <c r="S22" s="162" t="s">
        <v>110</v>
      </c>
      <c r="T22" s="163"/>
      <c r="U22" s="164">
        <f t="shared" ca="1" si="5"/>
        <v>660</v>
      </c>
      <c r="V22" s="165"/>
    </row>
    <row r="23" spans="1:22" ht="16.5" customHeight="1" x14ac:dyDescent="0.25">
      <c r="A23" s="170" t="str">
        <f t="shared" si="0"/>
        <v>Pósitron  Som automotivo</v>
      </c>
      <c r="B23" s="170"/>
      <c r="C23" s="170"/>
      <c r="D23" s="170" t="s">
        <v>108</v>
      </c>
      <c r="E23" s="170"/>
      <c r="F23" s="7" t="s">
        <v>110</v>
      </c>
      <c r="G23" s="23">
        <v>589</v>
      </c>
      <c r="H23" s="23">
        <f t="shared" ca="1" si="1"/>
        <v>159</v>
      </c>
      <c r="I23" s="166">
        <v>152</v>
      </c>
      <c r="J23" s="166"/>
      <c r="K23" s="166">
        <f t="shared" ca="1" si="2"/>
        <v>24168</v>
      </c>
      <c r="L23" s="166"/>
      <c r="M23" s="169">
        <f t="shared" si="3"/>
        <v>136.80000000000001</v>
      </c>
      <c r="N23" s="169"/>
      <c r="O23" s="23">
        <f t="shared" ca="1" si="4"/>
        <v>118</v>
      </c>
      <c r="P23" s="78" t="s">
        <v>115</v>
      </c>
      <c r="Q23" s="152">
        <v>7.0000000000000007E-2</v>
      </c>
      <c r="R23" s="153"/>
      <c r="S23" s="162" t="s">
        <v>115</v>
      </c>
      <c r="T23" s="163"/>
      <c r="U23" s="164">
        <f t="shared" ca="1" si="5"/>
        <v>298</v>
      </c>
      <c r="V23" s="165"/>
    </row>
    <row r="24" spans="1:22" ht="16.5" customHeight="1" x14ac:dyDescent="0.25">
      <c r="A24" s="170" t="str">
        <f t="shared" si="0"/>
        <v>Pioneer  Som automotivo</v>
      </c>
      <c r="B24" s="170"/>
      <c r="C24" s="170"/>
      <c r="D24" s="170" t="s">
        <v>108</v>
      </c>
      <c r="E24" s="170"/>
      <c r="F24" s="7" t="s">
        <v>109</v>
      </c>
      <c r="G24" s="23">
        <v>879</v>
      </c>
      <c r="H24" s="23">
        <f t="shared" ca="1" si="1"/>
        <v>173</v>
      </c>
      <c r="I24" s="166">
        <v>379</v>
      </c>
      <c r="J24" s="166"/>
      <c r="K24" s="166">
        <f t="shared" ca="1" si="2"/>
        <v>65567</v>
      </c>
      <c r="L24" s="166"/>
      <c r="M24" s="169">
        <f t="shared" si="3"/>
        <v>337.31</v>
      </c>
      <c r="N24" s="169"/>
      <c r="O24" s="23">
        <f t="shared" ca="1" si="4"/>
        <v>79</v>
      </c>
      <c r="P24" s="78" t="s">
        <v>117</v>
      </c>
      <c r="Q24" s="154"/>
      <c r="R24" s="155"/>
      <c r="S24" s="162" t="s">
        <v>117</v>
      </c>
      <c r="T24" s="163"/>
      <c r="U24" s="164">
        <f t="shared" ca="1" si="5"/>
        <v>91</v>
      </c>
      <c r="V24" s="165"/>
    </row>
    <row r="25" spans="1:22" ht="16.5" customHeight="1" x14ac:dyDescent="0.25">
      <c r="A25" s="170" t="str">
        <f t="shared" si="0"/>
        <v>Taramps  Amplificador</v>
      </c>
      <c r="B25" s="170"/>
      <c r="C25" s="170"/>
      <c r="D25" s="170" t="s">
        <v>113</v>
      </c>
      <c r="E25" s="170"/>
      <c r="F25" s="7" t="s">
        <v>111</v>
      </c>
      <c r="G25" s="23">
        <v>766</v>
      </c>
      <c r="H25" s="23">
        <f t="shared" ca="1" si="1"/>
        <v>90</v>
      </c>
      <c r="I25" s="166">
        <v>247.99</v>
      </c>
      <c r="J25" s="166"/>
      <c r="K25" s="166">
        <f t="shared" ca="1" si="2"/>
        <v>22319.100000000002</v>
      </c>
      <c r="L25" s="166"/>
      <c r="M25" s="169">
        <f t="shared" si="3"/>
        <v>220.71110000000002</v>
      </c>
      <c r="N25" s="169"/>
      <c r="O25" s="23">
        <f t="shared" ca="1" si="4"/>
        <v>56</v>
      </c>
      <c r="S25" s="2"/>
      <c r="T25" s="2"/>
    </row>
    <row r="26" spans="1:22" ht="16.5" customHeight="1" x14ac:dyDescent="0.25">
      <c r="A26" s="170" t="str">
        <f t="shared" si="0"/>
        <v>Taramps  Amplificador</v>
      </c>
      <c r="B26" s="170"/>
      <c r="C26" s="170"/>
      <c r="D26" s="170" t="s">
        <v>113</v>
      </c>
      <c r="E26" s="170"/>
      <c r="F26" s="7" t="s">
        <v>111</v>
      </c>
      <c r="G26" s="23">
        <v>345</v>
      </c>
      <c r="H26" s="23">
        <f t="shared" ca="1" si="1"/>
        <v>164</v>
      </c>
      <c r="I26" s="166">
        <v>469.77</v>
      </c>
      <c r="J26" s="166"/>
      <c r="K26" s="166">
        <f t="shared" ca="1" si="2"/>
        <v>77042.28</v>
      </c>
      <c r="L26" s="166"/>
      <c r="M26" s="169">
        <f t="shared" si="3"/>
        <v>418.09529999999995</v>
      </c>
      <c r="N26" s="169"/>
      <c r="O26" s="23">
        <f t="shared" ca="1" si="4"/>
        <v>83</v>
      </c>
      <c r="S26" s="2"/>
    </row>
    <row r="27" spans="1:22" ht="16.5" customHeight="1" x14ac:dyDescent="0.25">
      <c r="A27" s="170" t="str">
        <f t="shared" si="0"/>
        <v>Taramps  Amplificador</v>
      </c>
      <c r="B27" s="170"/>
      <c r="C27" s="170"/>
      <c r="D27" s="170" t="s">
        <v>113</v>
      </c>
      <c r="E27" s="170"/>
      <c r="F27" s="7" t="s">
        <v>111</v>
      </c>
      <c r="G27" s="23">
        <v>240</v>
      </c>
      <c r="H27" s="23">
        <f t="shared" ca="1" si="1"/>
        <v>118</v>
      </c>
      <c r="I27" s="166">
        <v>249.9</v>
      </c>
      <c r="J27" s="166"/>
      <c r="K27" s="166">
        <f t="shared" ca="1" si="2"/>
        <v>29488.2</v>
      </c>
      <c r="L27" s="166"/>
      <c r="M27" s="169">
        <f t="shared" si="3"/>
        <v>222.411</v>
      </c>
      <c r="N27" s="169"/>
      <c r="O27" s="23">
        <f t="shared" ca="1" si="4"/>
        <v>63</v>
      </c>
      <c r="S27" s="2"/>
    </row>
    <row r="28" spans="1:22" ht="16.5" customHeight="1" x14ac:dyDescent="0.25">
      <c r="A28" s="170" t="str">
        <f t="shared" si="0"/>
        <v>Jbl  Auto falante</v>
      </c>
      <c r="B28" s="170"/>
      <c r="C28" s="170"/>
      <c r="D28" s="170" t="s">
        <v>116</v>
      </c>
      <c r="E28" s="170"/>
      <c r="F28" s="7" t="s">
        <v>112</v>
      </c>
      <c r="G28" s="23">
        <v>296</v>
      </c>
      <c r="H28" s="23">
        <f t="shared" ca="1" si="1"/>
        <v>103</v>
      </c>
      <c r="I28" s="166">
        <v>114.02</v>
      </c>
      <c r="J28" s="166"/>
      <c r="K28" s="166">
        <f t="shared" ca="1" si="2"/>
        <v>11744.06</v>
      </c>
      <c r="L28" s="166"/>
      <c r="M28" s="169">
        <f t="shared" si="3"/>
        <v>103.7582</v>
      </c>
      <c r="N28" s="169"/>
      <c r="O28" s="23">
        <f t="shared" ca="1" si="4"/>
        <v>111</v>
      </c>
    </row>
    <row r="29" spans="1:22" ht="16.5" customHeight="1" x14ac:dyDescent="0.25">
      <c r="A29" s="170" t="str">
        <f t="shared" si="0"/>
        <v>Orion  Auto falante</v>
      </c>
      <c r="B29" s="170"/>
      <c r="C29" s="170"/>
      <c r="D29" s="170" t="s">
        <v>116</v>
      </c>
      <c r="E29" s="170"/>
      <c r="F29" s="7" t="s">
        <v>114</v>
      </c>
      <c r="G29" s="23">
        <v>148</v>
      </c>
      <c r="H29" s="23">
        <f t="shared" ca="1" si="1"/>
        <v>183</v>
      </c>
      <c r="I29" s="166">
        <v>105.85</v>
      </c>
      <c r="J29" s="166"/>
      <c r="K29" s="166">
        <f t="shared" ca="1" si="2"/>
        <v>19370.55</v>
      </c>
      <c r="L29" s="166"/>
      <c r="M29" s="169">
        <f t="shared" si="3"/>
        <v>96.323499999999996</v>
      </c>
      <c r="N29" s="169"/>
      <c r="O29" s="23">
        <f t="shared" ca="1" si="4"/>
        <v>95</v>
      </c>
    </row>
    <row r="30" spans="1:22" ht="16.5" customHeight="1" x14ac:dyDescent="0.25">
      <c r="A30" s="170" t="str">
        <f t="shared" si="0"/>
        <v>Orion  Auto falante</v>
      </c>
      <c r="B30" s="170"/>
      <c r="C30" s="170"/>
      <c r="D30" s="170" t="s">
        <v>116</v>
      </c>
      <c r="E30" s="170"/>
      <c r="F30" s="7" t="s">
        <v>114</v>
      </c>
      <c r="G30" s="23">
        <v>101</v>
      </c>
      <c r="H30" s="23">
        <f t="shared" ca="1" si="1"/>
        <v>171</v>
      </c>
      <c r="I30" s="166">
        <v>58.79</v>
      </c>
      <c r="J30" s="166"/>
      <c r="K30" s="166">
        <f t="shared" ca="1" si="2"/>
        <v>10053.09</v>
      </c>
      <c r="L30" s="166"/>
      <c r="M30" s="169">
        <f t="shared" si="3"/>
        <v>53.498899999999999</v>
      </c>
      <c r="N30" s="169"/>
      <c r="O30" s="23">
        <f t="shared" ca="1" si="4"/>
        <v>116</v>
      </c>
    </row>
    <row r="31" spans="1:22" ht="16.5" customHeight="1" x14ac:dyDescent="0.25">
      <c r="A31" s="170" t="str">
        <f t="shared" si="0"/>
        <v>Jbl  Auto falante</v>
      </c>
      <c r="B31" s="170"/>
      <c r="C31" s="170"/>
      <c r="D31" s="170" t="s">
        <v>116</v>
      </c>
      <c r="E31" s="170"/>
      <c r="F31" s="7" t="s">
        <v>112</v>
      </c>
      <c r="G31" s="23">
        <v>109</v>
      </c>
      <c r="H31" s="23">
        <f t="shared" ca="1" si="1"/>
        <v>100</v>
      </c>
      <c r="I31" s="166">
        <v>249</v>
      </c>
      <c r="J31" s="166"/>
      <c r="K31" s="166">
        <f t="shared" ca="1" si="2"/>
        <v>24900</v>
      </c>
      <c r="L31" s="166"/>
      <c r="M31" s="169">
        <f t="shared" si="3"/>
        <v>226.59</v>
      </c>
      <c r="N31" s="169"/>
      <c r="O31" s="23">
        <f t="shared" ca="1" si="4"/>
        <v>115</v>
      </c>
    </row>
    <row r="32" spans="1:22" ht="16.5" customHeight="1" x14ac:dyDescent="0.25">
      <c r="A32" s="170" t="str">
        <f t="shared" si="0"/>
        <v>Pósitron  DVD automotivo</v>
      </c>
      <c r="B32" s="170"/>
      <c r="C32" s="170"/>
      <c r="D32" s="170" t="s">
        <v>119</v>
      </c>
      <c r="E32" s="170"/>
      <c r="F32" s="7" t="s">
        <v>110</v>
      </c>
      <c r="G32" s="23">
        <v>678</v>
      </c>
      <c r="H32" s="23">
        <f t="shared" ca="1" si="1"/>
        <v>147</v>
      </c>
      <c r="I32" s="166">
        <v>1035</v>
      </c>
      <c r="J32" s="166"/>
      <c r="K32" s="166">
        <f t="shared" ca="1" si="2"/>
        <v>152145</v>
      </c>
      <c r="L32" s="166"/>
      <c r="M32" s="169">
        <f t="shared" si="3"/>
        <v>931.5</v>
      </c>
      <c r="N32" s="169"/>
      <c r="O32" s="23">
        <f t="shared" ca="1" si="4"/>
        <v>113</v>
      </c>
    </row>
    <row r="33" spans="1:22" ht="16.5" customHeight="1" x14ac:dyDescent="0.25">
      <c r="A33" s="170" t="str">
        <f t="shared" si="0"/>
        <v>Taramps  Alarme automotivo</v>
      </c>
      <c r="B33" s="170"/>
      <c r="C33" s="170"/>
      <c r="D33" s="170" t="s">
        <v>120</v>
      </c>
      <c r="E33" s="170"/>
      <c r="F33" s="7" t="s">
        <v>111</v>
      </c>
      <c r="G33" s="23">
        <v>855</v>
      </c>
      <c r="H33" s="23">
        <f t="shared" ca="1" si="1"/>
        <v>181</v>
      </c>
      <c r="I33" s="166">
        <v>65</v>
      </c>
      <c r="J33" s="166"/>
      <c r="K33" s="166">
        <f t="shared" ca="1" si="2"/>
        <v>11765</v>
      </c>
      <c r="L33" s="166"/>
      <c r="M33" s="169">
        <f t="shared" si="3"/>
        <v>57.85</v>
      </c>
      <c r="N33" s="169"/>
      <c r="O33" s="23">
        <f t="shared" ca="1" si="4"/>
        <v>137</v>
      </c>
    </row>
    <row r="34" spans="1:22" ht="16.5" customHeight="1" x14ac:dyDescent="0.25">
      <c r="A34" s="170" t="str">
        <f t="shared" si="0"/>
        <v>Pósitron  Alarme automotivo</v>
      </c>
      <c r="B34" s="170"/>
      <c r="C34" s="170"/>
      <c r="D34" s="170" t="s">
        <v>120</v>
      </c>
      <c r="E34" s="170"/>
      <c r="F34" s="7" t="s">
        <v>110</v>
      </c>
      <c r="G34" s="23">
        <v>356</v>
      </c>
      <c r="H34" s="23">
        <f t="shared" ca="1" si="1"/>
        <v>160</v>
      </c>
      <c r="I34" s="166">
        <v>251.18</v>
      </c>
      <c r="J34" s="166"/>
      <c r="K34" s="166">
        <f t="shared" ca="1" si="2"/>
        <v>40188.800000000003</v>
      </c>
      <c r="L34" s="166"/>
      <c r="M34" s="169">
        <f t="shared" si="3"/>
        <v>226.06200000000001</v>
      </c>
      <c r="N34" s="169"/>
      <c r="O34" s="23">
        <f t="shared" ca="1" si="4"/>
        <v>116</v>
      </c>
    </row>
    <row r="35" spans="1:22" ht="16.5" customHeight="1" x14ac:dyDescent="0.25">
      <c r="A35" s="170" t="str">
        <f t="shared" si="0"/>
        <v>Orion  Mídia Receiver</v>
      </c>
      <c r="B35" s="170"/>
      <c r="C35" s="170"/>
      <c r="D35" s="170" t="s">
        <v>121</v>
      </c>
      <c r="E35" s="170"/>
      <c r="F35" s="7" t="s">
        <v>114</v>
      </c>
      <c r="G35" s="23">
        <v>138</v>
      </c>
      <c r="H35" s="23">
        <f t="shared" ca="1" si="1"/>
        <v>96</v>
      </c>
      <c r="I35" s="166">
        <v>367</v>
      </c>
      <c r="J35" s="166"/>
      <c r="K35" s="166">
        <f t="shared" ca="1" si="2"/>
        <v>35232</v>
      </c>
      <c r="L35" s="166"/>
      <c r="M35" s="169">
        <f t="shared" si="3"/>
        <v>333.97</v>
      </c>
      <c r="N35" s="169"/>
      <c r="O35" s="23">
        <f t="shared" ca="1" si="4"/>
        <v>103</v>
      </c>
    </row>
    <row r="36" spans="1:22" ht="16.5" customHeight="1" x14ac:dyDescent="0.25">
      <c r="A36" s="170" t="str">
        <f t="shared" si="0"/>
        <v>Pioneer  Mídia Receiver</v>
      </c>
      <c r="B36" s="170"/>
      <c r="C36" s="170"/>
      <c r="D36" s="170" t="s">
        <v>121</v>
      </c>
      <c r="E36" s="170"/>
      <c r="F36" s="7" t="s">
        <v>109</v>
      </c>
      <c r="G36" s="23">
        <v>712</v>
      </c>
      <c r="H36" s="23">
        <f t="shared" ca="1" si="1"/>
        <v>123</v>
      </c>
      <c r="I36" s="166">
        <v>872.06</v>
      </c>
      <c r="J36" s="166"/>
      <c r="K36" s="166">
        <f t="shared" ca="1" si="2"/>
        <v>107263.37999999999</v>
      </c>
      <c r="L36" s="166"/>
      <c r="M36" s="169">
        <f t="shared" si="3"/>
        <v>776.13339999999994</v>
      </c>
      <c r="N36" s="169"/>
      <c r="O36" s="23">
        <f t="shared" ca="1" si="4"/>
        <v>56</v>
      </c>
    </row>
    <row r="37" spans="1:22" ht="16.5" customHeight="1" x14ac:dyDescent="0.25">
      <c r="A37" s="170" t="str">
        <f t="shared" si="0"/>
        <v>Pioneer  Central multimídia</v>
      </c>
      <c r="B37" s="170"/>
      <c r="C37" s="170"/>
      <c r="D37" s="170" t="s">
        <v>122</v>
      </c>
      <c r="E37" s="170"/>
      <c r="F37" s="7" t="s">
        <v>109</v>
      </c>
      <c r="G37" s="23">
        <v>853</v>
      </c>
      <c r="H37" s="23">
        <f t="shared" ca="1" si="1"/>
        <v>185</v>
      </c>
      <c r="I37" s="166">
        <v>1169.9000000000001</v>
      </c>
      <c r="J37" s="166"/>
      <c r="K37" s="166">
        <f t="shared" ca="1" si="2"/>
        <v>216431.50000000003</v>
      </c>
      <c r="L37" s="166"/>
      <c r="M37" s="169">
        <f t="shared" si="3"/>
        <v>1041.211</v>
      </c>
      <c r="N37" s="169"/>
      <c r="O37" s="23">
        <f t="shared" ca="1" si="4"/>
        <v>71</v>
      </c>
    </row>
    <row r="38" spans="1:22" ht="16.5" customHeight="1" x14ac:dyDescent="0.25">
      <c r="A38" s="170" t="str">
        <f t="shared" si="0"/>
        <v>Pósitron  Central multimídia</v>
      </c>
      <c r="B38" s="170"/>
      <c r="C38" s="170"/>
      <c r="D38" s="170" t="s">
        <v>122</v>
      </c>
      <c r="E38" s="170"/>
      <c r="F38" s="7" t="s">
        <v>110</v>
      </c>
      <c r="G38" s="23">
        <v>579</v>
      </c>
      <c r="H38" s="23">
        <f t="shared" ca="1" si="1"/>
        <v>194</v>
      </c>
      <c r="I38" s="166">
        <v>963.5</v>
      </c>
      <c r="J38" s="166"/>
      <c r="K38" s="166">
        <f t="shared" ca="1" si="2"/>
        <v>186919</v>
      </c>
      <c r="L38" s="166"/>
      <c r="M38" s="169">
        <f t="shared" si="3"/>
        <v>867.15</v>
      </c>
      <c r="N38" s="169"/>
      <c r="O38" s="23">
        <f t="shared" ca="1" si="4"/>
        <v>97</v>
      </c>
    </row>
    <row r="39" spans="1:22" ht="16.5" customHeight="1" x14ac:dyDescent="0.25">
      <c r="A39" s="170" t="str">
        <f t="shared" si="0"/>
        <v>Luxcar  Reparador de pneu</v>
      </c>
      <c r="B39" s="170"/>
      <c r="C39" s="170"/>
      <c r="D39" s="170" t="s">
        <v>123</v>
      </c>
      <c r="E39" s="170"/>
      <c r="F39" s="7" t="s">
        <v>115</v>
      </c>
      <c r="G39" s="23">
        <v>222</v>
      </c>
      <c r="H39" s="23">
        <f t="shared" ca="1" si="1"/>
        <v>185</v>
      </c>
      <c r="I39" s="166">
        <v>44.93</v>
      </c>
      <c r="J39" s="166"/>
      <c r="K39" s="166">
        <f t="shared" ca="1" si="2"/>
        <v>8312.0499999999993</v>
      </c>
      <c r="L39" s="166"/>
      <c r="M39" s="169">
        <f t="shared" si="3"/>
        <v>41.7849</v>
      </c>
      <c r="N39" s="169"/>
      <c r="O39" s="23">
        <f t="shared" ca="1" si="4"/>
        <v>66</v>
      </c>
      <c r="P39" s="2"/>
      <c r="T39" s="2"/>
      <c r="U39" s="2"/>
      <c r="V39" s="2"/>
    </row>
    <row r="40" spans="1:22" ht="16.5" customHeight="1" x14ac:dyDescent="0.25">
      <c r="A40" s="170" t="str">
        <f t="shared" si="0"/>
        <v>LUxcar  Espuma limpadora</v>
      </c>
      <c r="B40" s="170"/>
      <c r="C40" s="170"/>
      <c r="D40" s="170" t="s">
        <v>124</v>
      </c>
      <c r="E40" s="170"/>
      <c r="F40" s="7" t="s">
        <v>125</v>
      </c>
      <c r="G40" s="23">
        <v>158</v>
      </c>
      <c r="H40" s="23">
        <f t="shared" ca="1" si="1"/>
        <v>113</v>
      </c>
      <c r="I40" s="166">
        <v>17.25</v>
      </c>
      <c r="J40" s="166"/>
      <c r="K40" s="166">
        <f t="shared" ca="1" si="2"/>
        <v>1949.25</v>
      </c>
      <c r="L40" s="166"/>
      <c r="M40" s="169">
        <f t="shared" si="3"/>
        <v>16.0425</v>
      </c>
      <c r="N40" s="169"/>
      <c r="O40" s="23">
        <f t="shared" ca="1" si="4"/>
        <v>56</v>
      </c>
      <c r="P40" s="2"/>
      <c r="T40" s="2"/>
      <c r="U40" s="2"/>
      <c r="V40" s="2"/>
    </row>
    <row r="41" spans="1:22" ht="16.5" customHeight="1" x14ac:dyDescent="0.25">
      <c r="A41" s="170" t="str">
        <f t="shared" si="0"/>
        <v>CentralSul  Limpador Multiuso</v>
      </c>
      <c r="B41" s="170"/>
      <c r="C41" s="170"/>
      <c r="D41" s="170" t="s">
        <v>126</v>
      </c>
      <c r="E41" s="170"/>
      <c r="F41" s="7" t="s">
        <v>117</v>
      </c>
      <c r="G41" s="23">
        <v>333</v>
      </c>
      <c r="H41" s="23">
        <f t="shared" ca="1" si="1"/>
        <v>91</v>
      </c>
      <c r="I41" s="166">
        <v>26.01</v>
      </c>
      <c r="J41" s="166"/>
      <c r="K41" s="166">
        <f t="shared" ca="1" si="2"/>
        <v>2366.9100000000003</v>
      </c>
      <c r="L41" s="166"/>
      <c r="M41" s="169">
        <f t="shared" si="3"/>
        <v>24.189300000000003</v>
      </c>
      <c r="N41" s="169"/>
      <c r="O41" s="23">
        <f t="shared" ca="1" si="4"/>
        <v>123</v>
      </c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3"/>
      <c r="B42" s="3"/>
      <c r="C42" s="3"/>
      <c r="D42" s="3"/>
      <c r="F42" s="3"/>
      <c r="G42" s="3"/>
      <c r="H42" s="91">
        <f ca="1">SUM(H15:H41)</f>
        <v>3928</v>
      </c>
      <c r="I42" s="92">
        <f>SUM(I15:J41)</f>
        <v>10705.300000000001</v>
      </c>
      <c r="J42" s="3"/>
      <c r="K42" s="3"/>
      <c r="L42" s="3"/>
      <c r="M42" s="93">
        <f>SUM(M15:N41)</f>
        <v>9526.6822000000011</v>
      </c>
      <c r="N42" s="15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2"/>
      <c r="C43" s="2"/>
      <c r="D43" s="2"/>
      <c r="E43" s="2"/>
      <c r="F43" s="2"/>
      <c r="G43" s="2"/>
      <c r="H43" s="15">
        <f ca="1">PRODUCT(H42:I42)</f>
        <v>42050418.400000006</v>
      </c>
      <c r="I43" s="1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2"/>
      <c r="C44" s="2"/>
      <c r="D44" s="2"/>
      <c r="E44" s="2"/>
      <c r="F44" s="2"/>
      <c r="G44" s="2"/>
      <c r="H44" s="15">
        <f ca="1">PRODUCT(H42,M42)</f>
        <v>37420807.681600004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</sheetData>
  <protectedRanges>
    <protectedRange sqref="J12:N12 P12:R24 L13 O12:O41 D14:D41 K14:K41 M14:M41 P39:P133 T39:V133 F14:I41 Q41:S133 A12:A133 B12:I13 B42:O133 T25 U12 V12:V13 S12:T13 S15:S27 U15:U24" name="corpo_home"/>
    <protectedRange sqref="A6:V11" name="corpo_home_1_2"/>
  </protectedRanges>
  <mergeCells count="180">
    <mergeCell ref="M40:N40"/>
    <mergeCell ref="M41:N41"/>
    <mergeCell ref="M14:N14"/>
    <mergeCell ref="A12:O13"/>
    <mergeCell ref="M35:N35"/>
    <mergeCell ref="M36:N36"/>
    <mergeCell ref="M37:N37"/>
    <mergeCell ref="M38:N38"/>
    <mergeCell ref="M39:N39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A9:C11"/>
    <mergeCell ref="A1:V8"/>
    <mergeCell ref="U15:V15"/>
    <mergeCell ref="S12:V13"/>
    <mergeCell ref="S15:T15"/>
    <mergeCell ref="D22:E22"/>
    <mergeCell ref="D23:E23"/>
    <mergeCell ref="D24:E24"/>
    <mergeCell ref="D25:E25"/>
    <mergeCell ref="A15:C15"/>
    <mergeCell ref="A16:C16"/>
    <mergeCell ref="A17:C17"/>
    <mergeCell ref="A18:C18"/>
    <mergeCell ref="A19:C19"/>
    <mergeCell ref="A20:C20"/>
    <mergeCell ref="A21:C21"/>
    <mergeCell ref="A22:C22"/>
    <mergeCell ref="S9:U11"/>
    <mergeCell ref="V9:V11"/>
    <mergeCell ref="A23:C23"/>
    <mergeCell ref="A24:C24"/>
    <mergeCell ref="D30:E30"/>
    <mergeCell ref="D32:E32"/>
    <mergeCell ref="D33:E33"/>
    <mergeCell ref="I41:J41"/>
    <mergeCell ref="I39:J39"/>
    <mergeCell ref="I40:J40"/>
    <mergeCell ref="A14:C14"/>
    <mergeCell ref="D34:E34"/>
    <mergeCell ref="D15:E15"/>
    <mergeCell ref="D16:E16"/>
    <mergeCell ref="D17:E17"/>
    <mergeCell ref="D18:E18"/>
    <mergeCell ref="D19:E19"/>
    <mergeCell ref="D20:E20"/>
    <mergeCell ref="D21:E21"/>
    <mergeCell ref="D31:E31"/>
    <mergeCell ref="D14:E14"/>
    <mergeCell ref="A25:C25"/>
    <mergeCell ref="A26:C26"/>
    <mergeCell ref="A27:C27"/>
    <mergeCell ref="I15:J15"/>
    <mergeCell ref="I16:J16"/>
    <mergeCell ref="K39:L39"/>
    <mergeCell ref="K40:L40"/>
    <mergeCell ref="K41:L41"/>
    <mergeCell ref="A41:C41"/>
    <mergeCell ref="A37:C37"/>
    <mergeCell ref="A28:C28"/>
    <mergeCell ref="A29:C29"/>
    <mergeCell ref="A30:C30"/>
    <mergeCell ref="A31:C31"/>
    <mergeCell ref="A32:C32"/>
    <mergeCell ref="A38:C38"/>
    <mergeCell ref="A39:C39"/>
    <mergeCell ref="D41:E41"/>
    <mergeCell ref="I28:J28"/>
    <mergeCell ref="I29:J29"/>
    <mergeCell ref="D36:E36"/>
    <mergeCell ref="D37:E37"/>
    <mergeCell ref="D38:E38"/>
    <mergeCell ref="D39:E39"/>
    <mergeCell ref="D40:E40"/>
    <mergeCell ref="A40:C40"/>
    <mergeCell ref="A35:C35"/>
    <mergeCell ref="K37:L37"/>
    <mergeCell ref="K38:L38"/>
    <mergeCell ref="D35:E35"/>
    <mergeCell ref="D28:E28"/>
    <mergeCell ref="A36:C36"/>
    <mergeCell ref="I36:J36"/>
    <mergeCell ref="K32:L32"/>
    <mergeCell ref="K33:L33"/>
    <mergeCell ref="K34:L34"/>
    <mergeCell ref="K35:L35"/>
    <mergeCell ref="K36:L36"/>
    <mergeCell ref="D26:E26"/>
    <mergeCell ref="D27:E27"/>
    <mergeCell ref="D29:E29"/>
    <mergeCell ref="I37:J37"/>
    <mergeCell ref="I38:J38"/>
    <mergeCell ref="A33:C33"/>
    <mergeCell ref="A34:C34"/>
    <mergeCell ref="I33:J33"/>
    <mergeCell ref="I34:J34"/>
    <mergeCell ref="I35:J35"/>
    <mergeCell ref="M9:O11"/>
    <mergeCell ref="I32:J32"/>
    <mergeCell ref="K27:L27"/>
    <mergeCell ref="K28:L28"/>
    <mergeCell ref="K29:L29"/>
    <mergeCell ref="K20:L20"/>
    <mergeCell ref="K21:L21"/>
    <mergeCell ref="K22:L22"/>
    <mergeCell ref="K23:L23"/>
    <mergeCell ref="K24:L24"/>
    <mergeCell ref="K15:L15"/>
    <mergeCell ref="K16:L16"/>
    <mergeCell ref="K17:L17"/>
    <mergeCell ref="K18:L18"/>
    <mergeCell ref="K19:L19"/>
    <mergeCell ref="M23:N23"/>
    <mergeCell ref="M24:N24"/>
    <mergeCell ref="I17:J17"/>
    <mergeCell ref="I18:J18"/>
    <mergeCell ref="M15:N15"/>
    <mergeCell ref="M16:N16"/>
    <mergeCell ref="M17:N17"/>
    <mergeCell ref="M18:N18"/>
    <mergeCell ref="M19:N19"/>
    <mergeCell ref="I19:J19"/>
    <mergeCell ref="I20:J20"/>
    <mergeCell ref="I21:J21"/>
    <mergeCell ref="I22:J22"/>
    <mergeCell ref="I23:J23"/>
    <mergeCell ref="I14:J14"/>
    <mergeCell ref="D9:F11"/>
    <mergeCell ref="G9:I11"/>
    <mergeCell ref="J9:L11"/>
    <mergeCell ref="U20:V20"/>
    <mergeCell ref="U21:V21"/>
    <mergeCell ref="I30:J30"/>
    <mergeCell ref="I31:J31"/>
    <mergeCell ref="K30:L30"/>
    <mergeCell ref="K31:L31"/>
    <mergeCell ref="U22:V22"/>
    <mergeCell ref="U23:V23"/>
    <mergeCell ref="U24:V24"/>
    <mergeCell ref="I24:J24"/>
    <mergeCell ref="I25:J25"/>
    <mergeCell ref="I26:J26"/>
    <mergeCell ref="I27:J27"/>
    <mergeCell ref="K25:L25"/>
    <mergeCell ref="K26:L26"/>
    <mergeCell ref="S14:T14"/>
    <mergeCell ref="U14:V14"/>
    <mergeCell ref="Q14:R14"/>
    <mergeCell ref="P9:R11"/>
    <mergeCell ref="Q20:R21"/>
    <mergeCell ref="Q22:R22"/>
    <mergeCell ref="Q23:R24"/>
    <mergeCell ref="P12:R13"/>
    <mergeCell ref="Q15:R16"/>
    <mergeCell ref="Q17:R17"/>
    <mergeCell ref="Q18:R19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U16:V16"/>
    <mergeCell ref="U17:V17"/>
    <mergeCell ref="U18:V18"/>
    <mergeCell ref="U19:V19"/>
  </mergeCells>
  <hyperlinks>
    <hyperlink ref="A9:C11" location="Home!A1" display="HOME" xr:uid="{F00CAE19-820C-44F7-B589-3CFA2F7A068A}"/>
    <hyperlink ref="D9:F11" location="Eletrodomésticos!A1" display="ELETRODOMÉSTICOS" xr:uid="{3B902E75-EF67-45FC-907F-42DA8E1E8B1C}"/>
    <hyperlink ref="G9:I11" location="Automotivo!A1" display="AUTOMOTIVO" xr:uid="{0F39948A-1695-439A-842A-59D0347430E9}"/>
    <hyperlink ref="J9:L11" location="'Bolsas e Malas'!A1" display="BOLSAS E MALAS" xr:uid="{A224D1EB-85C4-41DC-8304-D6855D532D86}"/>
    <hyperlink ref="M9:O11" location="'Alimentos e Bebidas'!A1" display="'Alimentos e Bebidas'!A1" xr:uid="{10E4EC89-1882-4E1A-ADB0-F01BAF2DC156}"/>
    <hyperlink ref="P9:R11" location="Eletrônicos!A1" display="ELETRÔNICOS" xr:uid="{6E40BBF2-254D-4192-9B96-BDF158EDDDEE}"/>
    <hyperlink ref="S9:V11" location="Ranking!A1" display="RANKING" xr:uid="{A003D92F-938F-4B3D-93C9-4A4E37C72038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9"/>
  <sheetViews>
    <sheetView zoomScale="89" zoomScaleNormal="89" workbookViewId="0">
      <selection activeCell="A9" sqref="A9:C11"/>
    </sheetView>
  </sheetViews>
  <sheetFormatPr defaultColWidth="10" defaultRowHeight="15.75" customHeight="1" x14ac:dyDescent="0.25"/>
  <sheetData>
    <row r="1" spans="1:36" s="2" customFormat="1" ht="15.75" customHeight="1" x14ac:dyDescent="0.2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/>
    </row>
    <row r="2" spans="1:36" s="2" customFormat="1" ht="15.75" customHeight="1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4"/>
      <c r="V2"/>
    </row>
    <row r="3" spans="1:36" s="2" customFormat="1" ht="15.75" customHeight="1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  <c r="V3"/>
    </row>
    <row r="4" spans="1:36" s="2" customFormat="1" ht="15.75" customHeight="1" x14ac:dyDescent="0.25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  <c r="V4"/>
    </row>
    <row r="5" spans="1:36" s="2" customFormat="1" ht="15.75" customHeight="1" x14ac:dyDescent="0.25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/>
      <c r="V5"/>
    </row>
    <row r="6" spans="1:36" ht="15.75" customHeight="1" x14ac:dyDescent="0.2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W6" s="2"/>
      <c r="X6" s="2"/>
      <c r="Y6" s="2"/>
      <c r="Z6" s="2"/>
      <c r="AA6" s="2"/>
    </row>
    <row r="7" spans="1:36" ht="15.75" customHeight="1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W7" s="2"/>
      <c r="X7" s="2"/>
      <c r="Y7" s="2"/>
      <c r="Z7" s="2"/>
      <c r="AA7" s="2"/>
    </row>
    <row r="8" spans="1:36" ht="15.75" customHeight="1" thickBot="1" x14ac:dyDescent="0.3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4"/>
      <c r="W8" s="22"/>
      <c r="X8" s="22"/>
      <c r="Y8" s="22"/>
      <c r="Z8" s="22"/>
      <c r="AA8" s="22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15.75" customHeight="1" x14ac:dyDescent="0.25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114" t="s">
        <v>274</v>
      </c>
      <c r="N9" s="106"/>
      <c r="O9" s="107"/>
      <c r="P9" s="203" t="s">
        <v>272</v>
      </c>
      <c r="Q9" s="203"/>
      <c r="R9" s="203"/>
      <c r="S9" s="114" t="s">
        <v>273</v>
      </c>
      <c r="T9" s="106"/>
      <c r="U9" s="107"/>
      <c r="W9" s="22"/>
      <c r="X9" s="22"/>
      <c r="Y9" s="22"/>
      <c r="Z9" s="22"/>
      <c r="AA9" s="22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15.75" customHeight="1" x14ac:dyDescent="0.25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108"/>
      <c r="N10" s="109"/>
      <c r="O10" s="110"/>
      <c r="P10" s="203"/>
      <c r="Q10" s="203"/>
      <c r="R10" s="203"/>
      <c r="S10" s="108"/>
      <c r="T10" s="109"/>
      <c r="U10" s="110"/>
      <c r="W10" s="22"/>
      <c r="X10" s="22"/>
      <c r="Y10" s="22"/>
      <c r="Z10" s="22"/>
      <c r="AA10" s="22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15.75" customHeight="1" thickBot="1" x14ac:dyDescent="0.3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203"/>
      <c r="Q11" s="203"/>
      <c r="R11" s="203"/>
      <c r="S11" s="111"/>
      <c r="T11" s="112"/>
      <c r="U11" s="113"/>
      <c r="W11" s="22"/>
      <c r="X11" s="22"/>
      <c r="Y11" s="22"/>
      <c r="Z11" s="22"/>
      <c r="AA11" s="22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15.75" customHeight="1" x14ac:dyDescent="0.25">
      <c r="A12" s="205" t="s">
        <v>200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7"/>
      <c r="V12" s="22"/>
      <c r="W12" s="22"/>
      <c r="X12" s="22"/>
      <c r="Y12" s="22"/>
      <c r="Z12" s="22"/>
      <c r="AA12" s="22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ht="15.75" customHeight="1" thickBot="1" x14ac:dyDescent="0.3">
      <c r="A13" s="208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10"/>
      <c r="V13" s="22"/>
      <c r="W13" s="22"/>
      <c r="X13" s="22"/>
      <c r="Y13" s="22"/>
      <c r="Z13" s="22"/>
      <c r="AA13" s="22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ht="15.75" customHeight="1" thickBot="1" x14ac:dyDescent="0.3">
      <c r="A14" s="187" t="s">
        <v>1</v>
      </c>
      <c r="B14" s="188"/>
      <c r="C14" s="188"/>
      <c r="D14" s="188"/>
      <c r="E14" s="24" t="s">
        <v>3</v>
      </c>
      <c r="F14" s="62" t="s">
        <v>93</v>
      </c>
      <c r="G14" s="188" t="s">
        <v>92</v>
      </c>
      <c r="H14" s="188"/>
      <c r="I14" s="188" t="s">
        <v>91</v>
      </c>
      <c r="J14" s="188"/>
      <c r="K14" s="188" t="s">
        <v>198</v>
      </c>
      <c r="L14" s="188"/>
      <c r="M14" s="188"/>
      <c r="N14" s="188" t="s">
        <v>197</v>
      </c>
      <c r="O14" s="188"/>
      <c r="P14" s="188" t="s">
        <v>179</v>
      </c>
      <c r="Q14" s="188"/>
      <c r="R14" s="24" t="s">
        <v>196</v>
      </c>
      <c r="S14" s="211" t="s">
        <v>194</v>
      </c>
      <c r="T14" s="211"/>
      <c r="U14" s="212"/>
      <c r="X14" s="22"/>
      <c r="Y14" s="22"/>
      <c r="Z14" s="22"/>
      <c r="AA14" s="22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ht="15.75" customHeight="1" x14ac:dyDescent="0.25">
      <c r="A15" s="190" t="s">
        <v>195</v>
      </c>
      <c r="B15" s="190"/>
      <c r="C15" s="190"/>
      <c r="D15" s="190"/>
      <c r="E15" s="5" t="s">
        <v>154</v>
      </c>
      <c r="F15" s="6">
        <f t="shared" ref="F15:F51" ca="1" si="0">RANDBETWEEN(30,200)</f>
        <v>90</v>
      </c>
      <c r="G15" s="189">
        <f ca="1">RANDBETWEEN(100,500)</f>
        <v>101</v>
      </c>
      <c r="H15" s="189"/>
      <c r="I15" s="189">
        <f t="shared" ref="I15:I51" ca="1" si="1">PRODUCT(F15,G15)</f>
        <v>9090</v>
      </c>
      <c r="J15" s="189"/>
      <c r="K15" s="190" t="str">
        <f t="shared" ref="K15:K51" si="2">IF(OR(E15=$G$54,E15=$G$55),$H$54,IF(E15=$G$56,$H$56,IF(E15=$G$57,$H$57,IF(E15=$G$58,$H$58))))</f>
        <v>Conjunto 4 Lapis Grafitte</v>
      </c>
      <c r="L15" s="190"/>
      <c r="M15" s="190"/>
      <c r="N15" s="192">
        <f t="shared" ref="N15:N51" ca="1" si="3">DATE(2016,6,RANDBETWEEN(1,25))</f>
        <v>42541</v>
      </c>
      <c r="O15" s="192"/>
      <c r="P15" s="189">
        <f t="shared" ref="P15:P51" ca="1" si="4">G15-PRODUCT(G15,IF(N15&lt;=$D$54,$B$55,IF(N15&gt;$B$58,$B$59,$B$57)))</f>
        <v>70.7</v>
      </c>
      <c r="Q15" s="189"/>
      <c r="R15" s="6">
        <f ca="1">RANDBETWEEN(0,180)</f>
        <v>52</v>
      </c>
      <c r="S15" s="213" t="str">
        <f ca="1">IF(F15&lt;=R15,O$54,CONCATENATE(SUM(F15-R15)," ","Produtos Em Estoque"))</f>
        <v>38 Produtos Em Estoque</v>
      </c>
      <c r="T15" s="213"/>
      <c r="U15" s="213"/>
      <c r="X15" s="22"/>
      <c r="Y15" s="22"/>
      <c r="Z15" s="22"/>
      <c r="AA15" s="22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ht="15.75" customHeight="1" x14ac:dyDescent="0.25">
      <c r="A16" s="170" t="s">
        <v>193</v>
      </c>
      <c r="B16" s="170"/>
      <c r="C16" s="170"/>
      <c r="D16" s="170"/>
      <c r="E16" s="7" t="s">
        <v>148</v>
      </c>
      <c r="F16" s="23">
        <f t="shared" ca="1" si="0"/>
        <v>196</v>
      </c>
      <c r="G16" s="166">
        <f ca="1">RANDBETWEEN(100,500)</f>
        <v>322</v>
      </c>
      <c r="H16" s="166"/>
      <c r="I16" s="166">
        <f t="shared" ca="1" si="1"/>
        <v>63112</v>
      </c>
      <c r="J16" s="166"/>
      <c r="K16" s="170" t="str">
        <f t="shared" si="2"/>
        <v>Minnie Chaveiro</v>
      </c>
      <c r="L16" s="170"/>
      <c r="M16" s="170"/>
      <c r="N16" s="191">
        <f t="shared" ca="1" si="3"/>
        <v>42533</v>
      </c>
      <c r="O16" s="191"/>
      <c r="P16" s="166">
        <f t="shared" ca="1" si="4"/>
        <v>312.33999999999997</v>
      </c>
      <c r="Q16" s="166"/>
      <c r="R16" s="23">
        <f t="shared" ref="R16:R51" ca="1" si="5">RANDBETWEEN(0,100)</f>
        <v>31</v>
      </c>
      <c r="S16" s="61"/>
      <c r="T16" s="23" t="str">
        <f t="shared" ref="T16:T51" ca="1" si="6">IF(F16&lt;=R16,O$54,CONCATENATE(SUM(F16-R16)," ","Produtos Em Estoque"))</f>
        <v>165 Produtos Em Estoque</v>
      </c>
      <c r="U16" s="7"/>
      <c r="X16" s="22"/>
      <c r="Y16" s="22"/>
      <c r="Z16" s="22"/>
      <c r="AA16" s="22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ht="15.75" customHeight="1" x14ac:dyDescent="0.25">
      <c r="A17" s="170" t="s">
        <v>192</v>
      </c>
      <c r="B17" s="170"/>
      <c r="C17" s="170"/>
      <c r="D17" s="170"/>
      <c r="E17" s="7" t="s">
        <v>160</v>
      </c>
      <c r="F17" s="23">
        <f t="shared" ca="1" si="0"/>
        <v>65</v>
      </c>
      <c r="G17" s="166">
        <f ca="1">RANDBETWEEN(400,1500)</f>
        <v>418</v>
      </c>
      <c r="H17" s="166"/>
      <c r="I17" s="166">
        <f t="shared" ca="1" si="1"/>
        <v>27170</v>
      </c>
      <c r="J17" s="166"/>
      <c r="K17" s="170" t="str">
        <f t="shared" si="2"/>
        <v>Fone de ouvido Bluetoth</v>
      </c>
      <c r="L17" s="170"/>
      <c r="M17" s="170"/>
      <c r="N17" s="191">
        <f t="shared" ca="1" si="3"/>
        <v>42522</v>
      </c>
      <c r="O17" s="191"/>
      <c r="P17" s="166">
        <f t="shared" ca="1" si="4"/>
        <v>376.2</v>
      </c>
      <c r="Q17" s="166"/>
      <c r="R17" s="23">
        <f t="shared" ca="1" si="5"/>
        <v>91</v>
      </c>
      <c r="S17" s="61"/>
      <c r="T17" s="23" t="str">
        <f t="shared" ca="1" si="6"/>
        <v>Estoque Liquidado</v>
      </c>
      <c r="U17" s="7"/>
      <c r="X17" s="22"/>
      <c r="Y17" s="22"/>
      <c r="Z17" s="22"/>
      <c r="AA17" s="22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15.75" customHeight="1" x14ac:dyDescent="0.25">
      <c r="A18" s="170" t="s">
        <v>190</v>
      </c>
      <c r="B18" s="170"/>
      <c r="C18" s="170"/>
      <c r="D18" s="170"/>
      <c r="E18" s="7" t="s">
        <v>154</v>
      </c>
      <c r="F18" s="23">
        <f t="shared" ca="1" si="0"/>
        <v>64</v>
      </c>
      <c r="G18" s="166">
        <f ca="1">RANDBETWEEN(100,500)</f>
        <v>157</v>
      </c>
      <c r="H18" s="166"/>
      <c r="I18" s="166">
        <f t="shared" ca="1" si="1"/>
        <v>10048</v>
      </c>
      <c r="J18" s="166"/>
      <c r="K18" s="170" t="str">
        <f t="shared" si="2"/>
        <v>Conjunto 4 Lapis Grafitte</v>
      </c>
      <c r="L18" s="170"/>
      <c r="M18" s="170"/>
      <c r="N18" s="191">
        <f t="shared" ca="1" si="3"/>
        <v>42543</v>
      </c>
      <c r="O18" s="191"/>
      <c r="P18" s="166">
        <f t="shared" ca="1" si="4"/>
        <v>109.9</v>
      </c>
      <c r="Q18" s="166"/>
      <c r="R18" s="23">
        <f t="shared" ca="1" si="5"/>
        <v>1</v>
      </c>
      <c r="S18" s="61"/>
      <c r="T18" s="23" t="str">
        <f t="shared" ca="1" si="6"/>
        <v>63 Produtos Em Estoque</v>
      </c>
      <c r="U18" s="7"/>
      <c r="X18" s="22"/>
      <c r="Y18" s="22"/>
      <c r="Z18" s="22"/>
      <c r="AA18" s="22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5.75" customHeight="1" x14ac:dyDescent="0.25">
      <c r="A19" s="170" t="s">
        <v>188</v>
      </c>
      <c r="B19" s="170"/>
      <c r="C19" s="170"/>
      <c r="D19" s="170"/>
      <c r="E19" s="7" t="s">
        <v>154</v>
      </c>
      <c r="F19" s="23">
        <f t="shared" ca="1" si="0"/>
        <v>193</v>
      </c>
      <c r="G19" s="166">
        <f ca="1">RANDBETWEEN(100,500)</f>
        <v>285</v>
      </c>
      <c r="H19" s="166"/>
      <c r="I19" s="166">
        <f t="shared" ca="1" si="1"/>
        <v>55005</v>
      </c>
      <c r="J19" s="166"/>
      <c r="K19" s="170" t="str">
        <f t="shared" si="2"/>
        <v>Conjunto 4 Lapis Grafitte</v>
      </c>
      <c r="L19" s="170"/>
      <c r="M19" s="170"/>
      <c r="N19" s="191">
        <f t="shared" ca="1" si="3"/>
        <v>42540</v>
      </c>
      <c r="O19" s="191"/>
      <c r="P19" s="166">
        <f t="shared" ca="1" si="4"/>
        <v>276.45</v>
      </c>
      <c r="Q19" s="166"/>
      <c r="R19" s="23">
        <f t="shared" ca="1" si="5"/>
        <v>84</v>
      </c>
      <c r="S19" s="61"/>
      <c r="T19" s="23" t="str">
        <f t="shared" ca="1" si="6"/>
        <v>109 Produtos Em Estoque</v>
      </c>
      <c r="U19" s="7"/>
      <c r="X19" s="22"/>
      <c r="Y19" s="22"/>
      <c r="Z19" s="22"/>
      <c r="AA19" s="22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5.75" customHeight="1" x14ac:dyDescent="0.25">
      <c r="A20" s="170" t="s">
        <v>187</v>
      </c>
      <c r="B20" s="170"/>
      <c r="C20" s="170"/>
      <c r="D20" s="170"/>
      <c r="E20" s="7" t="s">
        <v>152</v>
      </c>
      <c r="F20" s="23">
        <f t="shared" ca="1" si="0"/>
        <v>104</v>
      </c>
      <c r="G20" s="166">
        <f ca="1">RANDBETWEEN(100,500)</f>
        <v>247</v>
      </c>
      <c r="H20" s="166"/>
      <c r="I20" s="166">
        <f t="shared" ca="1" si="1"/>
        <v>25688</v>
      </c>
      <c r="J20" s="166"/>
      <c r="K20" s="170" t="str">
        <f t="shared" si="2"/>
        <v>Conjunto 4 Lapis Grafitte</v>
      </c>
      <c r="L20" s="170"/>
      <c r="M20" s="170"/>
      <c r="N20" s="191">
        <f t="shared" ca="1" si="3"/>
        <v>42535</v>
      </c>
      <c r="O20" s="191"/>
      <c r="P20" s="166">
        <f t="shared" ca="1" si="4"/>
        <v>239.59</v>
      </c>
      <c r="Q20" s="166"/>
      <c r="R20" s="23">
        <f t="shared" ca="1" si="5"/>
        <v>67</v>
      </c>
      <c r="S20" s="61"/>
      <c r="T20" s="23" t="str">
        <f t="shared" ca="1" si="6"/>
        <v>37 Produtos Em Estoque</v>
      </c>
      <c r="U20" s="7"/>
      <c r="X20" s="22"/>
      <c r="Y20" s="22"/>
      <c r="Z20" s="22"/>
      <c r="AA20" s="22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5.75" customHeight="1" x14ac:dyDescent="0.25">
      <c r="A21" s="170" t="s">
        <v>185</v>
      </c>
      <c r="B21" s="170"/>
      <c r="C21" s="170"/>
      <c r="D21" s="170"/>
      <c r="E21" s="7" t="s">
        <v>160</v>
      </c>
      <c r="F21" s="23">
        <f t="shared" ca="1" si="0"/>
        <v>66</v>
      </c>
      <c r="G21" s="166">
        <f ca="1">RANDBETWEEN(100,500)</f>
        <v>128</v>
      </c>
      <c r="H21" s="166"/>
      <c r="I21" s="166">
        <f t="shared" ca="1" si="1"/>
        <v>8448</v>
      </c>
      <c r="J21" s="166"/>
      <c r="K21" s="170" t="str">
        <f t="shared" si="2"/>
        <v>Fone de ouvido Bluetoth</v>
      </c>
      <c r="L21" s="170"/>
      <c r="M21" s="170"/>
      <c r="N21" s="191">
        <f t="shared" ca="1" si="3"/>
        <v>42522</v>
      </c>
      <c r="O21" s="191"/>
      <c r="P21" s="166">
        <f t="shared" ca="1" si="4"/>
        <v>115.2</v>
      </c>
      <c r="Q21" s="166"/>
      <c r="R21" s="23">
        <f t="shared" ca="1" si="5"/>
        <v>19</v>
      </c>
      <c r="S21" s="61"/>
      <c r="T21" s="23" t="str">
        <f t="shared" ca="1" si="6"/>
        <v>47 Produtos Em Estoque</v>
      </c>
      <c r="U21" s="7"/>
      <c r="X21" s="22"/>
      <c r="Y21" s="22"/>
      <c r="Z21" s="22"/>
      <c r="AA21" s="22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ht="15.75" customHeight="1" x14ac:dyDescent="0.25">
      <c r="A22" s="170" t="s">
        <v>183</v>
      </c>
      <c r="B22" s="170"/>
      <c r="C22" s="170"/>
      <c r="D22" s="170"/>
      <c r="E22" s="7" t="s">
        <v>148</v>
      </c>
      <c r="F22" s="23">
        <f t="shared" ca="1" si="0"/>
        <v>84</v>
      </c>
      <c r="G22" s="166">
        <f ca="1">RANDBETWEEN(100,500)</f>
        <v>301</v>
      </c>
      <c r="H22" s="166"/>
      <c r="I22" s="166">
        <f t="shared" ca="1" si="1"/>
        <v>25284</v>
      </c>
      <c r="J22" s="166"/>
      <c r="K22" s="170" t="str">
        <f t="shared" si="2"/>
        <v>Minnie Chaveiro</v>
      </c>
      <c r="L22" s="170"/>
      <c r="M22" s="170"/>
      <c r="N22" s="191">
        <f t="shared" ca="1" si="3"/>
        <v>42541</v>
      </c>
      <c r="O22" s="191"/>
      <c r="P22" s="166">
        <f t="shared" ca="1" si="4"/>
        <v>210.7</v>
      </c>
      <c r="Q22" s="166"/>
      <c r="R22" s="23">
        <f t="shared" ca="1" si="5"/>
        <v>3</v>
      </c>
      <c r="S22" s="61"/>
      <c r="T22" s="23" t="str">
        <f t="shared" ca="1" si="6"/>
        <v>81 Produtos Em Estoque</v>
      </c>
      <c r="U22" s="7"/>
      <c r="X22" s="22"/>
      <c r="Y22" s="22"/>
      <c r="Z22" s="22"/>
      <c r="AA22" s="22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ht="15.75" customHeight="1" x14ac:dyDescent="0.25">
      <c r="A23" s="170" t="s">
        <v>181</v>
      </c>
      <c r="B23" s="170"/>
      <c r="C23" s="170"/>
      <c r="D23" s="170"/>
      <c r="E23" s="7" t="s">
        <v>154</v>
      </c>
      <c r="F23" s="23">
        <f t="shared" ca="1" si="0"/>
        <v>134</v>
      </c>
      <c r="G23" s="166">
        <f ca="1">RANDBETWEEN(50,200)</f>
        <v>139</v>
      </c>
      <c r="H23" s="166"/>
      <c r="I23" s="166">
        <f t="shared" ca="1" si="1"/>
        <v>18626</v>
      </c>
      <c r="J23" s="166"/>
      <c r="K23" s="170" t="str">
        <f t="shared" si="2"/>
        <v>Conjunto 4 Lapis Grafitte</v>
      </c>
      <c r="L23" s="170"/>
      <c r="M23" s="170"/>
      <c r="N23" s="191">
        <f t="shared" ca="1" si="3"/>
        <v>42526</v>
      </c>
      <c r="O23" s="191"/>
      <c r="P23" s="166">
        <f t="shared" ca="1" si="4"/>
        <v>125.1</v>
      </c>
      <c r="Q23" s="166"/>
      <c r="R23" s="23">
        <f t="shared" ca="1" si="5"/>
        <v>32</v>
      </c>
      <c r="S23" s="61"/>
      <c r="T23" s="23" t="str">
        <f t="shared" ca="1" si="6"/>
        <v>102 Produtos Em Estoque</v>
      </c>
      <c r="U23" s="7"/>
      <c r="X23" s="22"/>
      <c r="Y23" s="22"/>
      <c r="Z23" s="22"/>
      <c r="AA23" s="22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15.75" customHeight="1" x14ac:dyDescent="0.25">
      <c r="A24" s="170" t="s">
        <v>180</v>
      </c>
      <c r="B24" s="170"/>
      <c r="C24" s="170"/>
      <c r="D24" s="170"/>
      <c r="E24" s="7" t="s">
        <v>152</v>
      </c>
      <c r="F24" s="23">
        <f t="shared" ca="1" si="0"/>
        <v>106</v>
      </c>
      <c r="G24" s="166">
        <f ca="1">RANDBETWEEN(100,500)</f>
        <v>296</v>
      </c>
      <c r="H24" s="166"/>
      <c r="I24" s="166">
        <f t="shared" ca="1" si="1"/>
        <v>31376</v>
      </c>
      <c r="J24" s="166"/>
      <c r="K24" s="170" t="str">
        <f t="shared" si="2"/>
        <v>Conjunto 4 Lapis Grafitte</v>
      </c>
      <c r="L24" s="170"/>
      <c r="M24" s="170"/>
      <c r="N24" s="191">
        <f t="shared" ca="1" si="3"/>
        <v>42541</v>
      </c>
      <c r="O24" s="191"/>
      <c r="P24" s="166">
        <f t="shared" ca="1" si="4"/>
        <v>207.2</v>
      </c>
      <c r="Q24" s="166"/>
      <c r="R24" s="23">
        <f t="shared" ca="1" si="5"/>
        <v>4</v>
      </c>
      <c r="S24" s="61"/>
      <c r="T24" s="23" t="str">
        <f t="shared" ca="1" si="6"/>
        <v>102 Produtos Em Estoque</v>
      </c>
      <c r="U24" s="7"/>
      <c r="X24" s="22"/>
      <c r="Y24" s="22"/>
      <c r="Z24" s="22"/>
      <c r="AA24" s="22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ht="15.75" customHeight="1" x14ac:dyDescent="0.25">
      <c r="A25" s="170" t="s">
        <v>178</v>
      </c>
      <c r="B25" s="170"/>
      <c r="C25" s="170"/>
      <c r="D25" s="170"/>
      <c r="E25" s="7" t="s">
        <v>148</v>
      </c>
      <c r="F25" s="23">
        <f t="shared" ca="1" si="0"/>
        <v>167</v>
      </c>
      <c r="G25" s="166">
        <f t="shared" ref="G25:G31" ca="1" si="7">RANDBETWEEN(50,200)</f>
        <v>176</v>
      </c>
      <c r="H25" s="166"/>
      <c r="I25" s="166">
        <f t="shared" ca="1" si="1"/>
        <v>29392</v>
      </c>
      <c r="J25" s="166"/>
      <c r="K25" s="170" t="str">
        <f t="shared" si="2"/>
        <v>Minnie Chaveiro</v>
      </c>
      <c r="L25" s="170"/>
      <c r="M25" s="170"/>
      <c r="N25" s="191">
        <f t="shared" ca="1" si="3"/>
        <v>42544</v>
      </c>
      <c r="O25" s="191"/>
      <c r="P25" s="166">
        <f t="shared" ca="1" si="4"/>
        <v>123.2</v>
      </c>
      <c r="Q25" s="166"/>
      <c r="R25" s="23">
        <f t="shared" ca="1" si="5"/>
        <v>48</v>
      </c>
      <c r="S25" s="61"/>
      <c r="T25" s="23" t="str">
        <f t="shared" ca="1" si="6"/>
        <v>119 Produtos Em Estoque</v>
      </c>
      <c r="U25" s="7"/>
      <c r="X25" s="22"/>
      <c r="Y25" s="22"/>
      <c r="Z25" s="22"/>
      <c r="AA25" s="22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15.75" customHeight="1" x14ac:dyDescent="0.25">
      <c r="A26" s="170" t="s">
        <v>177</v>
      </c>
      <c r="B26" s="170"/>
      <c r="C26" s="170"/>
      <c r="D26" s="170"/>
      <c r="E26" s="7" t="s">
        <v>154</v>
      </c>
      <c r="F26" s="23">
        <f t="shared" ca="1" si="0"/>
        <v>55</v>
      </c>
      <c r="G26" s="166">
        <f t="shared" ca="1" si="7"/>
        <v>161</v>
      </c>
      <c r="H26" s="166"/>
      <c r="I26" s="166">
        <f t="shared" ca="1" si="1"/>
        <v>8855</v>
      </c>
      <c r="J26" s="166"/>
      <c r="K26" s="170" t="str">
        <f t="shared" si="2"/>
        <v>Conjunto 4 Lapis Grafitte</v>
      </c>
      <c r="L26" s="170"/>
      <c r="M26" s="170"/>
      <c r="N26" s="191">
        <f t="shared" ca="1" si="3"/>
        <v>42534</v>
      </c>
      <c r="O26" s="191"/>
      <c r="P26" s="166">
        <f t="shared" ca="1" si="4"/>
        <v>156.16999999999999</v>
      </c>
      <c r="Q26" s="166"/>
      <c r="R26" s="23">
        <f t="shared" ca="1" si="5"/>
        <v>67</v>
      </c>
      <c r="S26" s="61"/>
      <c r="T26" s="23" t="str">
        <f t="shared" ca="1" si="6"/>
        <v>Estoque Liquidado</v>
      </c>
      <c r="U26" s="7"/>
      <c r="X26" s="22"/>
      <c r="Y26" s="22"/>
      <c r="Z26" s="22"/>
      <c r="AA26" s="22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ht="15.75" customHeight="1" x14ac:dyDescent="0.25">
      <c r="A27" s="170" t="s">
        <v>176</v>
      </c>
      <c r="B27" s="170"/>
      <c r="C27" s="170"/>
      <c r="D27" s="170"/>
      <c r="E27" s="7" t="s">
        <v>158</v>
      </c>
      <c r="F27" s="23">
        <f t="shared" ca="1" si="0"/>
        <v>61</v>
      </c>
      <c r="G27" s="166">
        <f t="shared" ca="1" si="7"/>
        <v>87</v>
      </c>
      <c r="H27" s="166"/>
      <c r="I27" s="166">
        <f t="shared" ca="1" si="1"/>
        <v>5307</v>
      </c>
      <c r="J27" s="166"/>
      <c r="K27" s="170" t="str">
        <f t="shared" si="2"/>
        <v>Sem Brinde</v>
      </c>
      <c r="L27" s="170"/>
      <c r="M27" s="170"/>
      <c r="N27" s="191">
        <f t="shared" ca="1" si="3"/>
        <v>42534</v>
      </c>
      <c r="O27" s="191"/>
      <c r="P27" s="166">
        <f t="shared" ca="1" si="4"/>
        <v>84.39</v>
      </c>
      <c r="Q27" s="166"/>
      <c r="R27" s="23">
        <f t="shared" ca="1" si="5"/>
        <v>60</v>
      </c>
      <c r="S27" s="61"/>
      <c r="T27" s="23" t="str">
        <f t="shared" ca="1" si="6"/>
        <v>1 Produtos Em Estoque</v>
      </c>
      <c r="U27" s="7"/>
      <c r="X27" s="22"/>
      <c r="Y27" s="22"/>
      <c r="Z27" s="22"/>
      <c r="AA27" s="22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ht="15.75" customHeight="1" x14ac:dyDescent="0.25">
      <c r="A28" s="170" t="s">
        <v>175</v>
      </c>
      <c r="B28" s="170"/>
      <c r="C28" s="170"/>
      <c r="D28" s="170"/>
      <c r="E28" s="7" t="s">
        <v>158</v>
      </c>
      <c r="F28" s="23">
        <f t="shared" ca="1" si="0"/>
        <v>178</v>
      </c>
      <c r="G28" s="166">
        <f t="shared" ca="1" si="7"/>
        <v>99</v>
      </c>
      <c r="H28" s="166"/>
      <c r="I28" s="166">
        <f t="shared" ca="1" si="1"/>
        <v>17622</v>
      </c>
      <c r="J28" s="166"/>
      <c r="K28" s="170" t="str">
        <f t="shared" si="2"/>
        <v>Sem Brinde</v>
      </c>
      <c r="L28" s="170"/>
      <c r="M28" s="170"/>
      <c r="N28" s="191">
        <f t="shared" ca="1" si="3"/>
        <v>42534</v>
      </c>
      <c r="O28" s="191"/>
      <c r="P28" s="166">
        <f t="shared" ca="1" si="4"/>
        <v>96.03</v>
      </c>
      <c r="Q28" s="166"/>
      <c r="R28" s="23">
        <f t="shared" ca="1" si="5"/>
        <v>99</v>
      </c>
      <c r="S28" s="61"/>
      <c r="T28" s="23" t="str">
        <f t="shared" ca="1" si="6"/>
        <v>79 Produtos Em Estoque</v>
      </c>
      <c r="U28" s="7"/>
      <c r="X28" s="22"/>
      <c r="Y28" s="22"/>
      <c r="Z28" s="22"/>
      <c r="AA28" s="22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ht="15.75" customHeight="1" x14ac:dyDescent="0.25">
      <c r="A29" s="170" t="s">
        <v>174</v>
      </c>
      <c r="B29" s="170"/>
      <c r="C29" s="170"/>
      <c r="D29" s="170"/>
      <c r="E29" s="7" t="s">
        <v>148</v>
      </c>
      <c r="F29" s="23">
        <f t="shared" ca="1" si="0"/>
        <v>58</v>
      </c>
      <c r="G29" s="166">
        <f t="shared" ca="1" si="7"/>
        <v>166</v>
      </c>
      <c r="H29" s="166"/>
      <c r="I29" s="166">
        <f t="shared" ca="1" si="1"/>
        <v>9628</v>
      </c>
      <c r="J29" s="166"/>
      <c r="K29" s="170" t="str">
        <f t="shared" si="2"/>
        <v>Minnie Chaveiro</v>
      </c>
      <c r="L29" s="170"/>
      <c r="M29" s="170"/>
      <c r="N29" s="191">
        <f t="shared" ca="1" si="3"/>
        <v>42523</v>
      </c>
      <c r="O29" s="191"/>
      <c r="P29" s="166">
        <f t="shared" ca="1" si="4"/>
        <v>149.4</v>
      </c>
      <c r="Q29" s="166"/>
      <c r="R29" s="23">
        <f t="shared" ca="1" si="5"/>
        <v>51</v>
      </c>
      <c r="S29" s="61"/>
      <c r="T29" s="23" t="str">
        <f t="shared" ca="1" si="6"/>
        <v>7 Produtos Em Estoque</v>
      </c>
      <c r="U29" s="7"/>
      <c r="X29" s="22"/>
      <c r="Y29" s="22"/>
      <c r="Z29" s="22"/>
      <c r="AA29" s="22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15.75" customHeight="1" x14ac:dyDescent="0.25">
      <c r="A30" s="170" t="s">
        <v>173</v>
      </c>
      <c r="B30" s="170"/>
      <c r="C30" s="170"/>
      <c r="D30" s="170"/>
      <c r="E30" s="7" t="s">
        <v>148</v>
      </c>
      <c r="F30" s="23">
        <f t="shared" ca="1" si="0"/>
        <v>45</v>
      </c>
      <c r="G30" s="166">
        <f t="shared" ca="1" si="7"/>
        <v>85</v>
      </c>
      <c r="H30" s="166"/>
      <c r="I30" s="166">
        <f t="shared" ca="1" si="1"/>
        <v>3825</v>
      </c>
      <c r="J30" s="166"/>
      <c r="K30" s="170" t="str">
        <f t="shared" si="2"/>
        <v>Minnie Chaveiro</v>
      </c>
      <c r="L30" s="170"/>
      <c r="M30" s="170"/>
      <c r="N30" s="191">
        <f t="shared" ca="1" si="3"/>
        <v>42528</v>
      </c>
      <c r="O30" s="191"/>
      <c r="P30" s="166">
        <f t="shared" ca="1" si="4"/>
        <v>76.5</v>
      </c>
      <c r="Q30" s="166"/>
      <c r="R30" s="23">
        <f t="shared" ca="1" si="5"/>
        <v>13</v>
      </c>
      <c r="S30" s="61"/>
      <c r="T30" s="23" t="str">
        <f t="shared" ca="1" si="6"/>
        <v>32 Produtos Em Estoque</v>
      </c>
      <c r="U30" s="7"/>
      <c r="X30" s="22"/>
      <c r="Y30" s="22"/>
      <c r="Z30" s="22"/>
      <c r="AA30" s="22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ht="15.75" customHeight="1" x14ac:dyDescent="0.25">
      <c r="A31" s="170" t="s">
        <v>172</v>
      </c>
      <c r="B31" s="170"/>
      <c r="C31" s="170"/>
      <c r="D31" s="170"/>
      <c r="E31" s="7" t="s">
        <v>158</v>
      </c>
      <c r="F31" s="23">
        <f t="shared" ca="1" si="0"/>
        <v>158</v>
      </c>
      <c r="G31" s="166">
        <f t="shared" ca="1" si="7"/>
        <v>170</v>
      </c>
      <c r="H31" s="166"/>
      <c r="I31" s="166">
        <f t="shared" ca="1" si="1"/>
        <v>26860</v>
      </c>
      <c r="J31" s="166"/>
      <c r="K31" s="170" t="str">
        <f t="shared" si="2"/>
        <v>Sem Brinde</v>
      </c>
      <c r="L31" s="170"/>
      <c r="M31" s="170"/>
      <c r="N31" s="191">
        <f t="shared" ca="1" si="3"/>
        <v>42525</v>
      </c>
      <c r="O31" s="191"/>
      <c r="P31" s="166">
        <f t="shared" ca="1" si="4"/>
        <v>153</v>
      </c>
      <c r="Q31" s="166"/>
      <c r="R31" s="23">
        <f t="shared" ca="1" si="5"/>
        <v>1</v>
      </c>
      <c r="S31" s="61"/>
      <c r="T31" s="23" t="str">
        <f t="shared" ca="1" si="6"/>
        <v>157 Produtos Em Estoque</v>
      </c>
      <c r="U31" s="7"/>
      <c r="X31" s="22"/>
      <c r="Y31" s="22"/>
      <c r="Z31" s="22"/>
      <c r="AA31" s="22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15.75" customHeight="1" x14ac:dyDescent="0.25">
      <c r="A32" s="170" t="s">
        <v>171</v>
      </c>
      <c r="B32" s="170"/>
      <c r="C32" s="170"/>
      <c r="D32" s="170"/>
      <c r="E32" s="7" t="s">
        <v>160</v>
      </c>
      <c r="F32" s="23">
        <f t="shared" ca="1" si="0"/>
        <v>62</v>
      </c>
      <c r="G32" s="166">
        <f ca="1">RANDBETWEEN(250,700)</f>
        <v>394</v>
      </c>
      <c r="H32" s="166"/>
      <c r="I32" s="166">
        <f t="shared" ca="1" si="1"/>
        <v>24428</v>
      </c>
      <c r="J32" s="166"/>
      <c r="K32" s="170" t="str">
        <f t="shared" si="2"/>
        <v>Fone de ouvido Bluetoth</v>
      </c>
      <c r="L32" s="170"/>
      <c r="M32" s="170"/>
      <c r="N32" s="191">
        <f t="shared" ca="1" si="3"/>
        <v>42541</v>
      </c>
      <c r="O32" s="191"/>
      <c r="P32" s="166">
        <f t="shared" ca="1" si="4"/>
        <v>275.8</v>
      </c>
      <c r="Q32" s="166"/>
      <c r="R32" s="23">
        <f t="shared" ca="1" si="5"/>
        <v>20</v>
      </c>
      <c r="S32" s="61"/>
      <c r="T32" s="23" t="str">
        <f t="shared" ca="1" si="6"/>
        <v>42 Produtos Em Estoque</v>
      </c>
      <c r="U32" s="7"/>
      <c r="X32" s="22"/>
      <c r="Y32" s="22"/>
      <c r="Z32" s="22"/>
      <c r="AA32" s="22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15.75" customHeight="1" x14ac:dyDescent="0.25">
      <c r="A33" s="170" t="s">
        <v>170</v>
      </c>
      <c r="B33" s="170"/>
      <c r="C33" s="170"/>
      <c r="D33" s="170"/>
      <c r="E33" s="7" t="s">
        <v>152</v>
      </c>
      <c r="F33" s="23">
        <f t="shared" ca="1" si="0"/>
        <v>188</v>
      </c>
      <c r="G33" s="166">
        <f t="shared" ref="G33:G40" ca="1" si="8">RANDBETWEEN(50,200)</f>
        <v>126</v>
      </c>
      <c r="H33" s="166"/>
      <c r="I33" s="166">
        <f t="shared" ca="1" si="1"/>
        <v>23688</v>
      </c>
      <c r="J33" s="166"/>
      <c r="K33" s="170" t="str">
        <f t="shared" si="2"/>
        <v>Conjunto 4 Lapis Grafitte</v>
      </c>
      <c r="L33" s="170"/>
      <c r="M33" s="170"/>
      <c r="N33" s="191">
        <f t="shared" ca="1" si="3"/>
        <v>42526</v>
      </c>
      <c r="O33" s="191"/>
      <c r="P33" s="166">
        <f t="shared" ca="1" si="4"/>
        <v>113.4</v>
      </c>
      <c r="Q33" s="166"/>
      <c r="R33" s="23">
        <f t="shared" ca="1" si="5"/>
        <v>61</v>
      </c>
      <c r="S33" s="61"/>
      <c r="T33" s="23" t="str">
        <f t="shared" ca="1" si="6"/>
        <v>127 Produtos Em Estoque</v>
      </c>
      <c r="U33" s="7"/>
      <c r="X33" s="22"/>
      <c r="Y33" s="22"/>
      <c r="Z33" s="22"/>
      <c r="AA33" s="22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15.75" customHeight="1" x14ac:dyDescent="0.25">
      <c r="A34" s="170" t="s">
        <v>169</v>
      </c>
      <c r="B34" s="170"/>
      <c r="C34" s="170"/>
      <c r="D34" s="170"/>
      <c r="E34" s="7" t="s">
        <v>152</v>
      </c>
      <c r="F34" s="23">
        <f t="shared" ca="1" si="0"/>
        <v>115</v>
      </c>
      <c r="G34" s="166">
        <f t="shared" ca="1" si="8"/>
        <v>111</v>
      </c>
      <c r="H34" s="166"/>
      <c r="I34" s="166">
        <f t="shared" ca="1" si="1"/>
        <v>12765</v>
      </c>
      <c r="J34" s="166"/>
      <c r="K34" s="170" t="str">
        <f t="shared" si="2"/>
        <v>Conjunto 4 Lapis Grafitte</v>
      </c>
      <c r="L34" s="170"/>
      <c r="M34" s="170"/>
      <c r="N34" s="191">
        <f t="shared" ca="1" si="3"/>
        <v>42546</v>
      </c>
      <c r="O34" s="191"/>
      <c r="P34" s="166">
        <f t="shared" ca="1" si="4"/>
        <v>77.7</v>
      </c>
      <c r="Q34" s="166"/>
      <c r="R34" s="23">
        <f t="shared" ca="1" si="5"/>
        <v>59</v>
      </c>
      <c r="S34" s="61"/>
      <c r="T34" s="23" t="str">
        <f t="shared" ca="1" si="6"/>
        <v>56 Produtos Em Estoque</v>
      </c>
      <c r="U34" s="7"/>
      <c r="X34" s="22"/>
      <c r="Y34" s="22"/>
      <c r="Z34" s="22"/>
      <c r="AA34" s="22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15.75" customHeight="1" x14ac:dyDescent="0.25">
      <c r="A35" s="170" t="s">
        <v>168</v>
      </c>
      <c r="B35" s="170"/>
      <c r="C35" s="170"/>
      <c r="D35" s="170"/>
      <c r="E35" s="7" t="s">
        <v>152</v>
      </c>
      <c r="F35" s="23">
        <f t="shared" ca="1" si="0"/>
        <v>62</v>
      </c>
      <c r="G35" s="166">
        <f t="shared" ca="1" si="8"/>
        <v>60</v>
      </c>
      <c r="H35" s="166"/>
      <c r="I35" s="166">
        <f t="shared" ca="1" si="1"/>
        <v>3720</v>
      </c>
      <c r="J35" s="166"/>
      <c r="K35" s="170" t="str">
        <f t="shared" si="2"/>
        <v>Conjunto 4 Lapis Grafitte</v>
      </c>
      <c r="L35" s="170"/>
      <c r="M35" s="170"/>
      <c r="N35" s="191">
        <f t="shared" ca="1" si="3"/>
        <v>42534</v>
      </c>
      <c r="O35" s="191"/>
      <c r="P35" s="166">
        <f t="shared" ca="1" si="4"/>
        <v>58.2</v>
      </c>
      <c r="Q35" s="166"/>
      <c r="R35" s="23">
        <f t="shared" ca="1" si="5"/>
        <v>89</v>
      </c>
      <c r="S35" s="61"/>
      <c r="T35" s="23" t="str">
        <f t="shared" ca="1" si="6"/>
        <v>Estoque Liquidado</v>
      </c>
      <c r="U35" s="7"/>
      <c r="X35" s="22"/>
      <c r="Y35" s="22"/>
      <c r="Z35" s="22"/>
      <c r="AA35" s="22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ht="15.75" customHeight="1" x14ac:dyDescent="0.25">
      <c r="A36" s="170" t="s">
        <v>167</v>
      </c>
      <c r="B36" s="170"/>
      <c r="C36" s="170"/>
      <c r="D36" s="170"/>
      <c r="E36" s="7" t="s">
        <v>154</v>
      </c>
      <c r="F36" s="23">
        <f t="shared" ca="1" si="0"/>
        <v>68</v>
      </c>
      <c r="G36" s="166">
        <f t="shared" ca="1" si="8"/>
        <v>168</v>
      </c>
      <c r="H36" s="166"/>
      <c r="I36" s="166">
        <f t="shared" ca="1" si="1"/>
        <v>11424</v>
      </c>
      <c r="J36" s="166"/>
      <c r="K36" s="170" t="str">
        <f t="shared" si="2"/>
        <v>Conjunto 4 Lapis Grafitte</v>
      </c>
      <c r="L36" s="170"/>
      <c r="M36" s="170"/>
      <c r="N36" s="191">
        <f t="shared" ca="1" si="3"/>
        <v>42546</v>
      </c>
      <c r="O36" s="191"/>
      <c r="P36" s="166">
        <f t="shared" ca="1" si="4"/>
        <v>117.6</v>
      </c>
      <c r="Q36" s="166"/>
      <c r="R36" s="23">
        <f t="shared" ca="1" si="5"/>
        <v>79</v>
      </c>
      <c r="S36" s="61"/>
      <c r="T36" s="23" t="str">
        <f t="shared" ca="1" si="6"/>
        <v>Estoque Liquidado</v>
      </c>
      <c r="U36" s="7"/>
      <c r="X36" s="22"/>
      <c r="Y36" s="22"/>
      <c r="Z36" s="22"/>
      <c r="AA36" s="22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15.75" customHeight="1" x14ac:dyDescent="0.25">
      <c r="A37" s="170" t="s">
        <v>166</v>
      </c>
      <c r="B37" s="170"/>
      <c r="C37" s="170"/>
      <c r="D37" s="170"/>
      <c r="E37" s="7" t="s">
        <v>154</v>
      </c>
      <c r="F37" s="23">
        <f t="shared" ca="1" si="0"/>
        <v>80</v>
      </c>
      <c r="G37" s="166">
        <f t="shared" ca="1" si="8"/>
        <v>67</v>
      </c>
      <c r="H37" s="166"/>
      <c r="I37" s="166">
        <f t="shared" ca="1" si="1"/>
        <v>5360</v>
      </c>
      <c r="J37" s="166"/>
      <c r="K37" s="170" t="str">
        <f t="shared" si="2"/>
        <v>Conjunto 4 Lapis Grafitte</v>
      </c>
      <c r="L37" s="170"/>
      <c r="M37" s="170"/>
      <c r="N37" s="191">
        <f t="shared" ca="1" si="3"/>
        <v>42523</v>
      </c>
      <c r="O37" s="191"/>
      <c r="P37" s="166">
        <f t="shared" ca="1" si="4"/>
        <v>60.3</v>
      </c>
      <c r="Q37" s="166"/>
      <c r="R37" s="23">
        <f t="shared" ca="1" si="5"/>
        <v>80</v>
      </c>
      <c r="S37" s="61"/>
      <c r="T37" s="23" t="str">
        <f t="shared" ca="1" si="6"/>
        <v>Estoque Liquidado</v>
      </c>
      <c r="U37" s="7"/>
      <c r="X37" s="22"/>
      <c r="Y37" s="22"/>
      <c r="Z37" s="22"/>
      <c r="AA37" s="22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5.75" customHeight="1" x14ac:dyDescent="0.25">
      <c r="A38" s="170" t="s">
        <v>165</v>
      </c>
      <c r="B38" s="170"/>
      <c r="C38" s="170"/>
      <c r="D38" s="170"/>
      <c r="E38" s="7" t="s">
        <v>158</v>
      </c>
      <c r="F38" s="23">
        <f t="shared" ca="1" si="0"/>
        <v>183</v>
      </c>
      <c r="G38" s="166">
        <f t="shared" ca="1" si="8"/>
        <v>71</v>
      </c>
      <c r="H38" s="166"/>
      <c r="I38" s="166">
        <f t="shared" ca="1" si="1"/>
        <v>12993</v>
      </c>
      <c r="J38" s="166"/>
      <c r="K38" s="170" t="str">
        <f t="shared" si="2"/>
        <v>Sem Brinde</v>
      </c>
      <c r="L38" s="170"/>
      <c r="M38" s="170"/>
      <c r="N38" s="191">
        <f t="shared" ca="1" si="3"/>
        <v>42536</v>
      </c>
      <c r="O38" s="191"/>
      <c r="P38" s="166">
        <f t="shared" ca="1" si="4"/>
        <v>68.87</v>
      </c>
      <c r="Q38" s="166"/>
      <c r="R38" s="23">
        <f t="shared" ca="1" si="5"/>
        <v>15</v>
      </c>
      <c r="S38" s="61"/>
      <c r="T38" s="23" t="str">
        <f t="shared" ca="1" si="6"/>
        <v>168 Produtos Em Estoque</v>
      </c>
      <c r="U38" s="7"/>
      <c r="X38" s="22"/>
      <c r="Y38" s="22"/>
      <c r="Z38" s="22"/>
      <c r="AA38" s="22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15.75" customHeight="1" x14ac:dyDescent="0.25">
      <c r="A39" s="170" t="s">
        <v>164</v>
      </c>
      <c r="B39" s="170"/>
      <c r="C39" s="170"/>
      <c r="D39" s="170"/>
      <c r="E39" s="7" t="s">
        <v>158</v>
      </c>
      <c r="F39" s="23">
        <f t="shared" ca="1" si="0"/>
        <v>30</v>
      </c>
      <c r="G39" s="166">
        <f t="shared" ca="1" si="8"/>
        <v>63</v>
      </c>
      <c r="H39" s="166"/>
      <c r="I39" s="166">
        <f t="shared" ca="1" si="1"/>
        <v>1890</v>
      </c>
      <c r="J39" s="166"/>
      <c r="K39" s="170" t="str">
        <f t="shared" si="2"/>
        <v>Sem Brinde</v>
      </c>
      <c r="L39" s="170"/>
      <c r="M39" s="170"/>
      <c r="N39" s="191">
        <f t="shared" ca="1" si="3"/>
        <v>42527</v>
      </c>
      <c r="O39" s="191"/>
      <c r="P39" s="166">
        <f t="shared" ca="1" si="4"/>
        <v>56.7</v>
      </c>
      <c r="Q39" s="166"/>
      <c r="R39" s="23">
        <f t="shared" ca="1" si="5"/>
        <v>5</v>
      </c>
      <c r="S39" s="61"/>
      <c r="T39" s="23" t="str">
        <f t="shared" ca="1" si="6"/>
        <v>25 Produtos Em Estoque</v>
      </c>
      <c r="U39" s="7"/>
      <c r="X39" s="22"/>
      <c r="Y39" s="22"/>
      <c r="Z39" s="22"/>
      <c r="AA39" s="22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15.75" customHeight="1" x14ac:dyDescent="0.25">
      <c r="A40" s="170" t="s">
        <v>163</v>
      </c>
      <c r="B40" s="170"/>
      <c r="C40" s="170"/>
      <c r="D40" s="170"/>
      <c r="E40" s="7" t="s">
        <v>152</v>
      </c>
      <c r="F40" s="23">
        <f t="shared" ca="1" si="0"/>
        <v>90</v>
      </c>
      <c r="G40" s="166">
        <f t="shared" ca="1" si="8"/>
        <v>151</v>
      </c>
      <c r="H40" s="166"/>
      <c r="I40" s="166">
        <f t="shared" ca="1" si="1"/>
        <v>13590</v>
      </c>
      <c r="J40" s="166"/>
      <c r="K40" s="170" t="str">
        <f t="shared" si="2"/>
        <v>Conjunto 4 Lapis Grafitte</v>
      </c>
      <c r="L40" s="170"/>
      <c r="M40" s="170"/>
      <c r="N40" s="191">
        <f t="shared" ca="1" si="3"/>
        <v>42536</v>
      </c>
      <c r="O40" s="191"/>
      <c r="P40" s="166">
        <f t="shared" ca="1" si="4"/>
        <v>146.47</v>
      </c>
      <c r="Q40" s="166"/>
      <c r="R40" s="23">
        <f t="shared" ca="1" si="5"/>
        <v>69</v>
      </c>
      <c r="S40" s="61"/>
      <c r="T40" s="23" t="str">
        <f t="shared" ca="1" si="6"/>
        <v>21 Produtos Em Estoque</v>
      </c>
      <c r="U40" s="7"/>
      <c r="X40" s="22"/>
      <c r="Y40" s="22"/>
      <c r="Z40" s="22"/>
      <c r="AA40" s="22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15.75" customHeight="1" x14ac:dyDescent="0.25">
      <c r="A41" s="170" t="s">
        <v>162</v>
      </c>
      <c r="B41" s="170"/>
      <c r="C41" s="170"/>
      <c r="D41" s="170"/>
      <c r="E41" s="7" t="s">
        <v>160</v>
      </c>
      <c r="F41" s="23">
        <f t="shared" ca="1" si="0"/>
        <v>30</v>
      </c>
      <c r="G41" s="166">
        <f ca="1">RANDBETWEEN(450,950)</f>
        <v>566</v>
      </c>
      <c r="H41" s="166"/>
      <c r="I41" s="166">
        <f t="shared" ca="1" si="1"/>
        <v>16980</v>
      </c>
      <c r="J41" s="166"/>
      <c r="K41" s="170" t="str">
        <f t="shared" si="2"/>
        <v>Fone de ouvido Bluetoth</v>
      </c>
      <c r="L41" s="170"/>
      <c r="M41" s="170"/>
      <c r="N41" s="191">
        <f t="shared" ca="1" si="3"/>
        <v>42537</v>
      </c>
      <c r="O41" s="191"/>
      <c r="P41" s="166">
        <f t="shared" ca="1" si="4"/>
        <v>549.02</v>
      </c>
      <c r="Q41" s="166"/>
      <c r="R41" s="23">
        <f t="shared" ca="1" si="5"/>
        <v>23</v>
      </c>
      <c r="S41" s="61"/>
      <c r="T41" s="23" t="str">
        <f t="shared" ca="1" si="6"/>
        <v>7 Produtos Em Estoque</v>
      </c>
      <c r="U41" s="7"/>
      <c r="X41" s="22"/>
      <c r="Y41" s="22"/>
      <c r="Z41" s="22"/>
      <c r="AA41" s="22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15.75" customHeight="1" x14ac:dyDescent="0.25">
      <c r="A42" s="170" t="s">
        <v>161</v>
      </c>
      <c r="B42" s="170"/>
      <c r="C42" s="170"/>
      <c r="D42" s="170"/>
      <c r="E42" s="7" t="s">
        <v>160</v>
      </c>
      <c r="F42" s="23">
        <f t="shared" ca="1" si="0"/>
        <v>168</v>
      </c>
      <c r="G42" s="166">
        <f ca="1">RANDBETWEEN(450,950)</f>
        <v>639</v>
      </c>
      <c r="H42" s="166"/>
      <c r="I42" s="166">
        <f t="shared" ca="1" si="1"/>
        <v>107352</v>
      </c>
      <c r="J42" s="166"/>
      <c r="K42" s="170" t="str">
        <f t="shared" si="2"/>
        <v>Fone de ouvido Bluetoth</v>
      </c>
      <c r="L42" s="170"/>
      <c r="M42" s="170"/>
      <c r="N42" s="191">
        <f t="shared" ca="1" si="3"/>
        <v>42533</v>
      </c>
      <c r="O42" s="191"/>
      <c r="P42" s="166">
        <f t="shared" ca="1" si="4"/>
        <v>619.83000000000004</v>
      </c>
      <c r="Q42" s="166"/>
      <c r="R42" s="23">
        <f t="shared" ca="1" si="5"/>
        <v>61</v>
      </c>
      <c r="S42" s="61"/>
      <c r="T42" s="23" t="str">
        <f t="shared" ca="1" si="6"/>
        <v>107 Produtos Em Estoque</v>
      </c>
      <c r="U42" s="7"/>
      <c r="X42" s="22"/>
      <c r="Y42" s="22"/>
      <c r="Z42" s="22"/>
      <c r="AA42" s="22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5.75" customHeight="1" x14ac:dyDescent="0.25">
      <c r="A43" s="170" t="s">
        <v>157</v>
      </c>
      <c r="B43" s="170"/>
      <c r="C43" s="170"/>
      <c r="D43" s="170"/>
      <c r="E43" s="7" t="s">
        <v>158</v>
      </c>
      <c r="F43" s="23">
        <f t="shared" ca="1" si="0"/>
        <v>122</v>
      </c>
      <c r="G43" s="166">
        <f t="shared" ref="G43:G49" ca="1" si="9">RANDBETWEEN(150,350)</f>
        <v>236</v>
      </c>
      <c r="H43" s="166"/>
      <c r="I43" s="166">
        <f t="shared" ca="1" si="1"/>
        <v>28792</v>
      </c>
      <c r="J43" s="166"/>
      <c r="K43" s="170" t="str">
        <f t="shared" si="2"/>
        <v>Sem Brinde</v>
      </c>
      <c r="L43" s="170"/>
      <c r="M43" s="170"/>
      <c r="N43" s="191">
        <f t="shared" ca="1" si="3"/>
        <v>42542</v>
      </c>
      <c r="O43" s="191"/>
      <c r="P43" s="166">
        <f t="shared" ca="1" si="4"/>
        <v>165.2</v>
      </c>
      <c r="Q43" s="166"/>
      <c r="R43" s="23">
        <f t="shared" ca="1" si="5"/>
        <v>43</v>
      </c>
      <c r="S43" s="61"/>
      <c r="T43" s="23" t="str">
        <f t="shared" ca="1" si="6"/>
        <v>79 Produtos Em Estoque</v>
      </c>
      <c r="U43" s="7"/>
      <c r="X43" s="22"/>
      <c r="Y43" s="22"/>
      <c r="Z43" s="22"/>
      <c r="AA43" s="22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15.75" customHeight="1" x14ac:dyDescent="0.25">
      <c r="A44" s="170" t="s">
        <v>159</v>
      </c>
      <c r="B44" s="170"/>
      <c r="C44" s="170"/>
      <c r="D44" s="170"/>
      <c r="E44" s="7" t="s">
        <v>158</v>
      </c>
      <c r="F44" s="23">
        <f t="shared" ca="1" si="0"/>
        <v>46</v>
      </c>
      <c r="G44" s="166">
        <f t="shared" ca="1" si="9"/>
        <v>290</v>
      </c>
      <c r="H44" s="166"/>
      <c r="I44" s="166">
        <f t="shared" ca="1" si="1"/>
        <v>13340</v>
      </c>
      <c r="J44" s="166"/>
      <c r="K44" s="170" t="str">
        <f t="shared" si="2"/>
        <v>Sem Brinde</v>
      </c>
      <c r="L44" s="170"/>
      <c r="M44" s="170"/>
      <c r="N44" s="191">
        <f t="shared" ca="1" si="3"/>
        <v>42546</v>
      </c>
      <c r="O44" s="191"/>
      <c r="P44" s="166">
        <f t="shared" ca="1" si="4"/>
        <v>203</v>
      </c>
      <c r="Q44" s="166"/>
      <c r="R44" s="23">
        <f t="shared" ca="1" si="5"/>
        <v>5</v>
      </c>
      <c r="S44" s="61"/>
      <c r="T44" s="23" t="str">
        <f t="shared" ca="1" si="6"/>
        <v>41 Produtos Em Estoque</v>
      </c>
      <c r="U44" s="7"/>
      <c r="X44" s="22"/>
      <c r="Y44" s="22"/>
      <c r="Z44" s="22"/>
      <c r="AA44" s="22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15.75" customHeight="1" x14ac:dyDescent="0.25">
      <c r="A45" s="170" t="s">
        <v>157</v>
      </c>
      <c r="B45" s="170"/>
      <c r="C45" s="170"/>
      <c r="D45" s="170"/>
      <c r="E45" s="7" t="s">
        <v>152</v>
      </c>
      <c r="F45" s="23">
        <f t="shared" ca="1" si="0"/>
        <v>120</v>
      </c>
      <c r="G45" s="166">
        <f t="shared" ca="1" si="9"/>
        <v>218</v>
      </c>
      <c r="H45" s="166"/>
      <c r="I45" s="166">
        <f t="shared" ca="1" si="1"/>
        <v>26160</v>
      </c>
      <c r="J45" s="166"/>
      <c r="K45" s="170" t="str">
        <f t="shared" si="2"/>
        <v>Conjunto 4 Lapis Grafitte</v>
      </c>
      <c r="L45" s="170"/>
      <c r="M45" s="170"/>
      <c r="N45" s="191">
        <f t="shared" ca="1" si="3"/>
        <v>42545</v>
      </c>
      <c r="O45" s="191"/>
      <c r="P45" s="166">
        <f t="shared" ca="1" si="4"/>
        <v>152.60000000000002</v>
      </c>
      <c r="Q45" s="166"/>
      <c r="R45" s="23">
        <f t="shared" ca="1" si="5"/>
        <v>41</v>
      </c>
      <c r="S45" s="61"/>
      <c r="T45" s="23" t="str">
        <f t="shared" ca="1" si="6"/>
        <v>79 Produtos Em Estoque</v>
      </c>
      <c r="U45" s="7"/>
      <c r="X45" s="22"/>
      <c r="Y45" s="22"/>
      <c r="Z45" s="22"/>
      <c r="AA45" s="22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5.75" customHeight="1" x14ac:dyDescent="0.25">
      <c r="A46" s="170" t="s">
        <v>156</v>
      </c>
      <c r="B46" s="170"/>
      <c r="C46" s="170"/>
      <c r="D46" s="170"/>
      <c r="E46" s="7" t="s">
        <v>154</v>
      </c>
      <c r="F46" s="23">
        <f t="shared" ca="1" si="0"/>
        <v>93</v>
      </c>
      <c r="G46" s="166">
        <f t="shared" ca="1" si="9"/>
        <v>259</v>
      </c>
      <c r="H46" s="166"/>
      <c r="I46" s="166">
        <f t="shared" ca="1" si="1"/>
        <v>24087</v>
      </c>
      <c r="J46" s="166"/>
      <c r="K46" s="170" t="str">
        <f t="shared" si="2"/>
        <v>Conjunto 4 Lapis Grafitte</v>
      </c>
      <c r="L46" s="170"/>
      <c r="M46" s="170"/>
      <c r="N46" s="191">
        <f t="shared" ca="1" si="3"/>
        <v>42525</v>
      </c>
      <c r="O46" s="191"/>
      <c r="P46" s="166">
        <f t="shared" ca="1" si="4"/>
        <v>233.1</v>
      </c>
      <c r="Q46" s="166"/>
      <c r="R46" s="23">
        <f t="shared" ca="1" si="5"/>
        <v>85</v>
      </c>
      <c r="S46" s="61"/>
      <c r="T46" s="23" t="str">
        <f t="shared" ca="1" si="6"/>
        <v>8 Produtos Em Estoque</v>
      </c>
      <c r="U46" s="7"/>
      <c r="X46" s="22"/>
      <c r="Y46" s="22"/>
      <c r="Z46" s="22"/>
      <c r="AA46" s="22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15.75" customHeight="1" x14ac:dyDescent="0.25">
      <c r="A47" s="170" t="s">
        <v>155</v>
      </c>
      <c r="B47" s="170"/>
      <c r="C47" s="170"/>
      <c r="D47" s="170"/>
      <c r="E47" s="7" t="s">
        <v>154</v>
      </c>
      <c r="F47" s="23">
        <f t="shared" ca="1" si="0"/>
        <v>124</v>
      </c>
      <c r="G47" s="166">
        <f t="shared" ca="1" si="9"/>
        <v>347</v>
      </c>
      <c r="H47" s="166"/>
      <c r="I47" s="166">
        <f t="shared" ca="1" si="1"/>
        <v>43028</v>
      </c>
      <c r="J47" s="166"/>
      <c r="K47" s="170" t="str">
        <f t="shared" si="2"/>
        <v>Conjunto 4 Lapis Grafitte</v>
      </c>
      <c r="L47" s="170"/>
      <c r="M47" s="170"/>
      <c r="N47" s="191">
        <f t="shared" ca="1" si="3"/>
        <v>42539</v>
      </c>
      <c r="O47" s="191"/>
      <c r="P47" s="166">
        <f t="shared" ca="1" si="4"/>
        <v>336.59</v>
      </c>
      <c r="Q47" s="166"/>
      <c r="R47" s="23">
        <f t="shared" ca="1" si="5"/>
        <v>80</v>
      </c>
      <c r="S47" s="61"/>
      <c r="T47" s="23" t="str">
        <f t="shared" ca="1" si="6"/>
        <v>44 Produtos Em Estoque</v>
      </c>
      <c r="U47" s="7"/>
      <c r="X47" s="22"/>
      <c r="Y47" s="22"/>
      <c r="Z47" s="22"/>
      <c r="AA47" s="22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5.75" customHeight="1" x14ac:dyDescent="0.25">
      <c r="A48" s="170" t="s">
        <v>153</v>
      </c>
      <c r="B48" s="170"/>
      <c r="C48" s="170"/>
      <c r="D48" s="170"/>
      <c r="E48" s="7" t="s">
        <v>152</v>
      </c>
      <c r="F48" s="23">
        <f t="shared" ca="1" si="0"/>
        <v>88</v>
      </c>
      <c r="G48" s="166">
        <f t="shared" ca="1" si="9"/>
        <v>230</v>
      </c>
      <c r="H48" s="166"/>
      <c r="I48" s="166">
        <f t="shared" ca="1" si="1"/>
        <v>20240</v>
      </c>
      <c r="J48" s="166"/>
      <c r="K48" s="170" t="str">
        <f t="shared" si="2"/>
        <v>Conjunto 4 Lapis Grafitte</v>
      </c>
      <c r="L48" s="170"/>
      <c r="M48" s="170"/>
      <c r="N48" s="191">
        <f t="shared" ca="1" si="3"/>
        <v>42524</v>
      </c>
      <c r="O48" s="191"/>
      <c r="P48" s="166">
        <f t="shared" ca="1" si="4"/>
        <v>207</v>
      </c>
      <c r="Q48" s="166"/>
      <c r="R48" s="23">
        <f t="shared" ca="1" si="5"/>
        <v>99</v>
      </c>
      <c r="S48" s="61"/>
      <c r="T48" s="23" t="str">
        <f t="shared" ca="1" si="6"/>
        <v>Estoque Liquidado</v>
      </c>
      <c r="U48" s="7"/>
      <c r="X48" s="22"/>
      <c r="Y48" s="22"/>
      <c r="Z48" s="22"/>
      <c r="AA48" s="22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15.75" customHeight="1" x14ac:dyDescent="0.25">
      <c r="A49" s="170" t="s">
        <v>151</v>
      </c>
      <c r="B49" s="170"/>
      <c r="C49" s="170"/>
      <c r="D49" s="170"/>
      <c r="E49" s="7" t="s">
        <v>148</v>
      </c>
      <c r="F49" s="23">
        <f t="shared" ca="1" si="0"/>
        <v>81</v>
      </c>
      <c r="G49" s="166">
        <f t="shared" ca="1" si="9"/>
        <v>286</v>
      </c>
      <c r="H49" s="166"/>
      <c r="I49" s="166">
        <f t="shared" ca="1" si="1"/>
        <v>23166</v>
      </c>
      <c r="J49" s="166"/>
      <c r="K49" s="170" t="str">
        <f t="shared" si="2"/>
        <v>Minnie Chaveiro</v>
      </c>
      <c r="L49" s="170"/>
      <c r="M49" s="170"/>
      <c r="N49" s="191">
        <f t="shared" ca="1" si="3"/>
        <v>42523</v>
      </c>
      <c r="O49" s="191"/>
      <c r="P49" s="166">
        <f t="shared" ca="1" si="4"/>
        <v>257.39999999999998</v>
      </c>
      <c r="Q49" s="166"/>
      <c r="R49" s="23">
        <f t="shared" ca="1" si="5"/>
        <v>65</v>
      </c>
      <c r="S49" s="61"/>
      <c r="T49" s="23" t="str">
        <f t="shared" ca="1" si="6"/>
        <v>16 Produtos Em Estoque</v>
      </c>
      <c r="U49" s="7"/>
      <c r="X49" s="22"/>
      <c r="Y49" s="22"/>
      <c r="Z49" s="22"/>
      <c r="AA49" s="22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15.75" customHeight="1" x14ac:dyDescent="0.25">
      <c r="A50" s="170" t="s">
        <v>150</v>
      </c>
      <c r="B50" s="170"/>
      <c r="C50" s="170"/>
      <c r="D50" s="170"/>
      <c r="E50" s="7" t="s">
        <v>148</v>
      </c>
      <c r="F50" s="23">
        <f t="shared" ca="1" si="0"/>
        <v>65</v>
      </c>
      <c r="G50" s="166">
        <f ca="1">RANDBETWEEN(100,500)</f>
        <v>405</v>
      </c>
      <c r="H50" s="166"/>
      <c r="I50" s="166">
        <f t="shared" ca="1" si="1"/>
        <v>26325</v>
      </c>
      <c r="J50" s="166"/>
      <c r="K50" s="170" t="str">
        <f t="shared" si="2"/>
        <v>Minnie Chaveiro</v>
      </c>
      <c r="L50" s="170"/>
      <c r="M50" s="170"/>
      <c r="N50" s="191">
        <f t="shared" ca="1" si="3"/>
        <v>42535</v>
      </c>
      <c r="O50" s="191"/>
      <c r="P50" s="166">
        <f t="shared" ca="1" si="4"/>
        <v>392.85</v>
      </c>
      <c r="Q50" s="166"/>
      <c r="R50" s="23">
        <f t="shared" ca="1" si="5"/>
        <v>17</v>
      </c>
      <c r="S50" s="61"/>
      <c r="T50" s="23" t="str">
        <f t="shared" ca="1" si="6"/>
        <v>48 Produtos Em Estoque</v>
      </c>
      <c r="U50" s="7"/>
      <c r="X50" s="22"/>
      <c r="Y50" s="22"/>
      <c r="Z50" s="22"/>
      <c r="AA50" s="22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15.75" customHeight="1" x14ac:dyDescent="0.25">
      <c r="A51" s="170" t="s">
        <v>149</v>
      </c>
      <c r="B51" s="170"/>
      <c r="C51" s="170"/>
      <c r="D51" s="170"/>
      <c r="E51" s="7" t="s">
        <v>148</v>
      </c>
      <c r="F51" s="23">
        <f t="shared" ca="1" si="0"/>
        <v>72</v>
      </c>
      <c r="G51" s="166">
        <f ca="1">RANDBETWEEN(100,500)</f>
        <v>119</v>
      </c>
      <c r="H51" s="166"/>
      <c r="I51" s="166">
        <f t="shared" ca="1" si="1"/>
        <v>8568</v>
      </c>
      <c r="J51" s="166"/>
      <c r="K51" s="170" t="str">
        <f t="shared" si="2"/>
        <v>Minnie Chaveiro</v>
      </c>
      <c r="L51" s="170"/>
      <c r="M51" s="170"/>
      <c r="N51" s="191">
        <f t="shared" ca="1" si="3"/>
        <v>42538</v>
      </c>
      <c r="O51" s="191"/>
      <c r="P51" s="166">
        <f t="shared" ca="1" si="4"/>
        <v>115.43</v>
      </c>
      <c r="Q51" s="166"/>
      <c r="R51" s="23">
        <f t="shared" ca="1" si="5"/>
        <v>3</v>
      </c>
      <c r="S51" s="61"/>
      <c r="T51" s="23" t="str">
        <f t="shared" ca="1" si="6"/>
        <v>69 Produtos Em Estoque</v>
      </c>
      <c r="U51" s="7"/>
      <c r="X51" s="22"/>
      <c r="Y51" s="22"/>
      <c r="Z51" s="22"/>
      <c r="AA51" s="22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15.75" customHeight="1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6"/>
      <c r="P52" s="16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15.75" customHeight="1" thickBot="1" x14ac:dyDescent="0.3">
      <c r="A53" s="3"/>
      <c r="B53" s="197" t="s">
        <v>179</v>
      </c>
      <c r="C53" s="198"/>
      <c r="D53" s="198"/>
      <c r="E53" s="199"/>
      <c r="F53" s="3"/>
      <c r="G53" s="200" t="s">
        <v>191</v>
      </c>
      <c r="H53" s="201"/>
      <c r="I53" s="201"/>
      <c r="J53" s="202"/>
      <c r="L53" s="3"/>
      <c r="M53" s="3"/>
      <c r="N53" s="3"/>
      <c r="O53" s="69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16"/>
      <c r="AC53" s="16"/>
      <c r="AD53" s="16"/>
      <c r="AE53" s="16"/>
      <c r="AF53" s="16"/>
      <c r="AG53" s="16"/>
      <c r="AH53" s="16"/>
      <c r="AI53" s="16"/>
      <c r="AJ53" s="16"/>
    </row>
    <row r="54" spans="1:36" ht="15.75" customHeight="1" x14ac:dyDescent="0.25">
      <c r="A54" s="3"/>
      <c r="B54" s="192">
        <f>DATE(2016,6,1)</f>
        <v>42522</v>
      </c>
      <c r="C54" s="192"/>
      <c r="D54" s="192">
        <f>DATE(2016,6,8)</f>
        <v>42529</v>
      </c>
      <c r="E54" s="192"/>
      <c r="F54" s="3"/>
      <c r="G54" s="7" t="s">
        <v>152</v>
      </c>
      <c r="H54" s="204" t="s">
        <v>189</v>
      </c>
      <c r="I54" s="204"/>
      <c r="J54" s="204"/>
      <c r="O54" s="186" t="s">
        <v>199</v>
      </c>
      <c r="P54" s="186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15.75" customHeight="1" x14ac:dyDescent="0.25">
      <c r="A55" s="3"/>
      <c r="B55" s="193">
        <v>0.1</v>
      </c>
      <c r="C55" s="194"/>
      <c r="D55" s="194"/>
      <c r="E55" s="195"/>
      <c r="F55" s="3"/>
      <c r="G55" s="7" t="s">
        <v>154</v>
      </c>
      <c r="H55" s="204"/>
      <c r="I55" s="204"/>
      <c r="J55" s="204"/>
      <c r="O55" s="186"/>
      <c r="P55" s="186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16"/>
      <c r="AC55" s="16"/>
      <c r="AD55" s="16"/>
      <c r="AE55" s="16"/>
      <c r="AF55" s="16"/>
      <c r="AG55" s="16"/>
      <c r="AH55" s="16"/>
      <c r="AI55" s="16"/>
      <c r="AJ55" s="16"/>
    </row>
    <row r="56" spans="1:36" ht="15.75" customHeight="1" x14ac:dyDescent="0.25">
      <c r="A56" s="3"/>
      <c r="B56" s="191">
        <f>DATE(2016,6,9)</f>
        <v>42530</v>
      </c>
      <c r="C56" s="191"/>
      <c r="D56" s="191">
        <f>DATE(2016,6,18)</f>
        <v>42539</v>
      </c>
      <c r="E56" s="191"/>
      <c r="F56" s="3"/>
      <c r="G56" s="7" t="s">
        <v>158</v>
      </c>
      <c r="H56" s="196" t="s">
        <v>186</v>
      </c>
      <c r="I56" s="196"/>
      <c r="J56" s="196"/>
      <c r="O56" s="69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16"/>
      <c r="AC56" s="16"/>
      <c r="AD56" s="16"/>
      <c r="AE56" s="16"/>
      <c r="AF56" s="16"/>
      <c r="AG56" s="16"/>
      <c r="AH56" s="16"/>
      <c r="AI56" s="16"/>
      <c r="AJ56" s="16"/>
    </row>
    <row r="57" spans="1:36" ht="15.75" customHeight="1" x14ac:dyDescent="0.25">
      <c r="A57" s="3"/>
      <c r="B57" s="193">
        <v>0.03</v>
      </c>
      <c r="C57" s="194"/>
      <c r="D57" s="194"/>
      <c r="E57" s="195"/>
      <c r="F57" s="3"/>
      <c r="G57" s="7" t="s">
        <v>148</v>
      </c>
      <c r="H57" s="196" t="s">
        <v>184</v>
      </c>
      <c r="I57" s="196"/>
      <c r="J57" s="196"/>
      <c r="O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ht="15.75" customHeight="1" x14ac:dyDescent="0.25">
      <c r="A58" s="3"/>
      <c r="B58" s="191">
        <f>DATE(2016,6,19)</f>
        <v>42540</v>
      </c>
      <c r="C58" s="191"/>
      <c r="D58" s="191">
        <f>DATE(2016,6,25)</f>
        <v>42546</v>
      </c>
      <c r="E58" s="191"/>
      <c r="F58" s="3"/>
      <c r="G58" s="7" t="s">
        <v>160</v>
      </c>
      <c r="H58" s="196" t="s">
        <v>182</v>
      </c>
      <c r="I58" s="196"/>
      <c r="J58" s="196"/>
      <c r="O58" s="21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16"/>
      <c r="AC58" s="16"/>
      <c r="AD58" s="16"/>
      <c r="AE58" s="16"/>
      <c r="AF58" s="16"/>
      <c r="AG58" s="16"/>
      <c r="AH58" s="16"/>
      <c r="AI58" s="16"/>
      <c r="AJ58" s="16"/>
    </row>
    <row r="59" spans="1:36" ht="15.75" customHeight="1" x14ac:dyDescent="0.25">
      <c r="A59" s="3"/>
      <c r="B59" s="193">
        <v>0.3</v>
      </c>
      <c r="C59" s="194"/>
      <c r="D59" s="194"/>
      <c r="E59" s="195"/>
      <c r="F59" s="3"/>
      <c r="G59" s="3"/>
      <c r="J59" s="3"/>
      <c r="K59" s="3"/>
      <c r="O59" s="21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16"/>
      <c r="AC59" s="16"/>
      <c r="AD59" s="16"/>
      <c r="AE59" s="16"/>
      <c r="AF59" s="16"/>
      <c r="AG59" s="16"/>
      <c r="AH59" s="16"/>
      <c r="AI59" s="16"/>
      <c r="AJ59" s="16"/>
    </row>
    <row r="60" spans="1:36" ht="15.75" customHeight="1" x14ac:dyDescent="0.25">
      <c r="A60" s="2"/>
      <c r="B60" s="2"/>
      <c r="C60" s="2"/>
      <c r="D60" s="2"/>
      <c r="E60" s="2"/>
      <c r="F60" s="2"/>
      <c r="G60" s="2"/>
      <c r="J60" s="2"/>
      <c r="K60" s="2"/>
      <c r="L60" s="2"/>
      <c r="M60" s="2"/>
      <c r="N60" s="2"/>
      <c r="O60" s="22"/>
      <c r="P60" s="22"/>
      <c r="Q60" s="22"/>
      <c r="R60" s="86"/>
      <c r="S60" s="22"/>
      <c r="T60" s="22"/>
      <c r="U60" s="22"/>
      <c r="V60" s="22"/>
      <c r="W60" s="22"/>
      <c r="X60" s="22"/>
      <c r="Y60" s="22"/>
      <c r="Z60" s="22"/>
      <c r="AA60" s="22"/>
      <c r="AB60" s="16"/>
      <c r="AC60" s="16"/>
      <c r="AD60" s="16"/>
      <c r="AE60" s="16"/>
      <c r="AF60" s="16"/>
      <c r="AG60" s="16"/>
      <c r="AH60" s="16"/>
      <c r="AI60" s="16"/>
      <c r="AJ60" s="16"/>
    </row>
    <row r="61" spans="1:3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16"/>
      <c r="AC61" s="16"/>
      <c r="AD61" s="16"/>
      <c r="AE61" s="16"/>
      <c r="AF61" s="16"/>
      <c r="AG61" s="16"/>
      <c r="AH61" s="16"/>
      <c r="AI61" s="16"/>
      <c r="AJ61" s="16"/>
    </row>
    <row r="62" spans="1:3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16"/>
      <c r="AC62" s="16"/>
      <c r="AD62" s="16"/>
      <c r="AE62" s="16"/>
      <c r="AF62" s="16"/>
      <c r="AG62" s="16"/>
      <c r="AH62" s="16"/>
      <c r="AI62" s="16"/>
      <c r="AJ62" s="16"/>
    </row>
    <row r="63" spans="1:3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16"/>
      <c r="AC63" s="16"/>
      <c r="AD63" s="16"/>
      <c r="AE63" s="16"/>
      <c r="AF63" s="16"/>
      <c r="AG63" s="16"/>
      <c r="AH63" s="16"/>
      <c r="AI63" s="16"/>
      <c r="AJ63" s="16"/>
    </row>
    <row r="64" spans="1:3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16"/>
      <c r="AC67" s="16"/>
      <c r="AD67" s="16"/>
      <c r="AE67" s="16"/>
      <c r="AF67" s="16"/>
      <c r="AG67" s="16"/>
      <c r="AH67" s="16"/>
      <c r="AI67" s="16"/>
      <c r="AJ67" s="16"/>
    </row>
    <row r="68" spans="1:3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16"/>
      <c r="AC70" s="16"/>
      <c r="AD70" s="16"/>
      <c r="AE70" s="16"/>
      <c r="AF70" s="16"/>
      <c r="AG70" s="16"/>
      <c r="AH70" s="16"/>
      <c r="AI70" s="16"/>
      <c r="AJ70" s="16"/>
    </row>
    <row r="71" spans="1:3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16"/>
      <c r="AC73" s="16"/>
      <c r="AD73" s="16"/>
      <c r="AE73" s="16"/>
      <c r="AF73" s="16"/>
      <c r="AG73" s="16"/>
      <c r="AH73" s="16"/>
      <c r="AI73" s="16"/>
      <c r="AJ73" s="16"/>
    </row>
    <row r="74" spans="1:3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6"/>
      <c r="AC74" s="16"/>
      <c r="AD74" s="16"/>
      <c r="AE74" s="16"/>
      <c r="AF74" s="16"/>
      <c r="AG74" s="16"/>
      <c r="AH74" s="16"/>
      <c r="AI74" s="16"/>
      <c r="AJ74" s="16"/>
    </row>
    <row r="75" spans="1:3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16"/>
      <c r="AC75" s="16"/>
      <c r="AD75" s="16"/>
      <c r="AE75" s="16"/>
      <c r="AF75" s="16"/>
      <c r="AG75" s="16"/>
      <c r="AH75" s="16"/>
      <c r="AI75" s="16"/>
      <c r="AJ75" s="16"/>
    </row>
    <row r="76" spans="1:3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16"/>
      <c r="AC76" s="16"/>
      <c r="AD76" s="16"/>
      <c r="AE76" s="16"/>
      <c r="AF76" s="16"/>
      <c r="AG76" s="16"/>
      <c r="AH76" s="16"/>
      <c r="AI76" s="16"/>
      <c r="AJ76" s="16"/>
    </row>
    <row r="77" spans="1:3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16"/>
      <c r="AC77" s="16"/>
      <c r="AD77" s="16"/>
      <c r="AE77" s="16"/>
      <c r="AF77" s="16"/>
      <c r="AG77" s="16"/>
      <c r="AH77" s="16"/>
      <c r="AI77" s="16"/>
      <c r="AJ77" s="16"/>
    </row>
    <row r="78" spans="1:3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:3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16"/>
      <c r="AC79" s="16"/>
      <c r="AD79" s="16"/>
      <c r="AE79" s="16"/>
      <c r="AF79" s="16"/>
      <c r="AG79" s="16"/>
      <c r="AH79" s="16"/>
      <c r="AI79" s="16"/>
      <c r="AJ79" s="16"/>
    </row>
    <row r="80" spans="1:3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16"/>
      <c r="AC80" s="16"/>
      <c r="AD80" s="16"/>
      <c r="AE80" s="16"/>
      <c r="AF80" s="16"/>
      <c r="AG80" s="16"/>
      <c r="AH80" s="16"/>
      <c r="AI80" s="16"/>
      <c r="AJ80" s="16"/>
    </row>
    <row r="81" spans="1:3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1:3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16"/>
      <c r="AC82" s="16"/>
      <c r="AD82" s="16"/>
      <c r="AE82" s="16"/>
      <c r="AF82" s="16"/>
      <c r="AG82" s="16"/>
      <c r="AH82" s="16"/>
      <c r="AI82" s="16"/>
      <c r="AJ82" s="16"/>
    </row>
    <row r="83" spans="1:3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16"/>
      <c r="AC84" s="16"/>
      <c r="AD84" s="16"/>
      <c r="AE84" s="16"/>
      <c r="AF84" s="16"/>
      <c r="AG84" s="16"/>
      <c r="AH84" s="16"/>
      <c r="AI84" s="16"/>
      <c r="AJ84" s="16"/>
    </row>
    <row r="85" spans="1:3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16"/>
      <c r="AC85" s="16"/>
      <c r="AD85" s="16"/>
      <c r="AE85" s="16"/>
      <c r="AF85" s="16"/>
      <c r="AG85" s="16"/>
      <c r="AH85" s="16"/>
      <c r="AI85" s="16"/>
      <c r="AJ85" s="16"/>
    </row>
    <row r="86" spans="1:3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16"/>
      <c r="AC86" s="16"/>
      <c r="AD86" s="16"/>
      <c r="AE86" s="16"/>
      <c r="AF86" s="16"/>
      <c r="AG86" s="16"/>
      <c r="AH86" s="16"/>
      <c r="AI86" s="16"/>
      <c r="AJ86" s="16"/>
    </row>
    <row r="87" spans="1:3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16"/>
      <c r="AC87" s="16"/>
      <c r="AD87" s="16"/>
      <c r="AE87" s="16"/>
      <c r="AF87" s="16"/>
      <c r="AG87" s="16"/>
      <c r="AH87" s="16"/>
      <c r="AI87" s="16"/>
      <c r="AJ87" s="16"/>
    </row>
    <row r="88" spans="1:3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3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</sheetData>
  <protectedRanges>
    <protectedRange sqref="A90:U1048576" name="corpo_home"/>
    <protectedRange sqref="G46:G51 Q52:U89 K46:K51 T13 J59:K89 U12:U13 P46:P56 P58:P89 N46:N51 L60:N89 H61:I89 T46:U51 O55:O89 G59:G89 R46:R51 A46:A89 B60:D89 B52:D52 E46:F89 L52:O53 G52:K52" name="corpo_home_1"/>
    <protectedRange sqref="M13 G53:I58 I14:I51 O54 C55 A12:A45 Q13 B12:L13 N12:P13 E14:G45 R12:S13 K14:K45 N14:N45 P14:P45 R14:R45 U14:U45 S14:S15 T16:T45 B53:B59 D53:D54 C57 D56 D58:D59" name="corpo_eletrodomesticos_1"/>
    <protectedRange sqref="A6:V8 A9:L11 P9:V11" name="corpo_home_1_1"/>
    <protectedRange sqref="M9:O11" name="corpo_home_1_1_1_1"/>
  </protectedRanges>
  <mergeCells count="255">
    <mergeCell ref="A9:C11"/>
    <mergeCell ref="D9:F11"/>
    <mergeCell ref="G9:I11"/>
    <mergeCell ref="J9:L11"/>
    <mergeCell ref="M9:O11"/>
    <mergeCell ref="P9:R11"/>
    <mergeCell ref="A1:U8"/>
    <mergeCell ref="S9:U11"/>
    <mergeCell ref="H54:J55"/>
    <mergeCell ref="A12:U13"/>
    <mergeCell ref="P51:Q51"/>
    <mergeCell ref="S14:U14"/>
    <mergeCell ref="S15:U15"/>
    <mergeCell ref="P46:Q46"/>
    <mergeCell ref="P47:Q47"/>
    <mergeCell ref="P48:Q48"/>
    <mergeCell ref="P49:Q49"/>
    <mergeCell ref="P50:Q50"/>
    <mergeCell ref="P41:Q41"/>
    <mergeCell ref="P42:Q42"/>
    <mergeCell ref="P43:Q43"/>
    <mergeCell ref="P44:Q44"/>
    <mergeCell ref="P45:Q45"/>
    <mergeCell ref="P36:Q36"/>
    <mergeCell ref="H56:J56"/>
    <mergeCell ref="H57:J57"/>
    <mergeCell ref="H58:J58"/>
    <mergeCell ref="B53:E53"/>
    <mergeCell ref="B56:C56"/>
    <mergeCell ref="B58:C58"/>
    <mergeCell ref="D54:E54"/>
    <mergeCell ref="D56:E56"/>
    <mergeCell ref="D58:E58"/>
    <mergeCell ref="B54:C54"/>
    <mergeCell ref="G53:J53"/>
    <mergeCell ref="B57:E57"/>
    <mergeCell ref="B59:E59"/>
    <mergeCell ref="B55:E55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N46:O46"/>
    <mergeCell ref="N47:O47"/>
    <mergeCell ref="N38:O38"/>
    <mergeCell ref="N39:O39"/>
    <mergeCell ref="N40:O40"/>
    <mergeCell ref="N41:O41"/>
    <mergeCell ref="N42:O42"/>
    <mergeCell ref="N33:O33"/>
    <mergeCell ref="N34:O34"/>
    <mergeCell ref="N35:O35"/>
    <mergeCell ref="N36:O36"/>
    <mergeCell ref="N37:O37"/>
    <mergeCell ref="K51:M51"/>
    <mergeCell ref="P14:Q14"/>
    <mergeCell ref="P16:Q16"/>
    <mergeCell ref="P17:Q17"/>
    <mergeCell ref="P18:Q18"/>
    <mergeCell ref="P19:Q19"/>
    <mergeCell ref="N48:O48"/>
    <mergeCell ref="N49:O49"/>
    <mergeCell ref="N50:O50"/>
    <mergeCell ref="N51:O51"/>
    <mergeCell ref="P15:Q15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N43:O43"/>
    <mergeCell ref="N44:O44"/>
    <mergeCell ref="N45:O45"/>
    <mergeCell ref="K14:M14"/>
    <mergeCell ref="N15:O15"/>
    <mergeCell ref="N14:O14"/>
    <mergeCell ref="N16:O16"/>
    <mergeCell ref="N17:O17"/>
    <mergeCell ref="K15:M15"/>
    <mergeCell ref="K16:M16"/>
    <mergeCell ref="K17:M17"/>
    <mergeCell ref="K18:M18"/>
    <mergeCell ref="K49:M49"/>
    <mergeCell ref="K50:M50"/>
    <mergeCell ref="K41:M41"/>
    <mergeCell ref="K42:M42"/>
    <mergeCell ref="K43:M43"/>
    <mergeCell ref="K44:M44"/>
    <mergeCell ref="K45:M45"/>
    <mergeCell ref="N18:O18"/>
    <mergeCell ref="N19:O19"/>
    <mergeCell ref="N20:O20"/>
    <mergeCell ref="N21:O21"/>
    <mergeCell ref="N22:O22"/>
    <mergeCell ref="K19:M19"/>
    <mergeCell ref="K20:M20"/>
    <mergeCell ref="N28:O28"/>
    <mergeCell ref="N29:O29"/>
    <mergeCell ref="N30:O30"/>
    <mergeCell ref="N31:O31"/>
    <mergeCell ref="N32:O32"/>
    <mergeCell ref="N23:O23"/>
    <mergeCell ref="N24:O24"/>
    <mergeCell ref="N25:O25"/>
    <mergeCell ref="N26:O26"/>
    <mergeCell ref="N27:O27"/>
    <mergeCell ref="K30:M30"/>
    <mergeCell ref="K31:M31"/>
    <mergeCell ref="K32:M32"/>
    <mergeCell ref="K33:M33"/>
    <mergeCell ref="K34:M34"/>
    <mergeCell ref="K35:M35"/>
    <mergeCell ref="I46:J46"/>
    <mergeCell ref="I47:J47"/>
    <mergeCell ref="I48:J48"/>
    <mergeCell ref="K46:M46"/>
    <mergeCell ref="K47:M47"/>
    <mergeCell ref="K48:M48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I36:J36"/>
    <mergeCell ref="I37:J37"/>
    <mergeCell ref="I38:J38"/>
    <mergeCell ref="I39:J39"/>
    <mergeCell ref="I40:J40"/>
    <mergeCell ref="K36:M36"/>
    <mergeCell ref="K37:M37"/>
    <mergeCell ref="K38:M38"/>
    <mergeCell ref="K39:M39"/>
    <mergeCell ref="K40:M40"/>
    <mergeCell ref="I22:J22"/>
    <mergeCell ref="I23:J23"/>
    <mergeCell ref="I24:J24"/>
    <mergeCell ref="I25:J25"/>
    <mergeCell ref="G44:H44"/>
    <mergeCell ref="G45:H45"/>
    <mergeCell ref="G46:H46"/>
    <mergeCell ref="G47:H47"/>
    <mergeCell ref="G48:H48"/>
    <mergeCell ref="G39:H39"/>
    <mergeCell ref="G40:H40"/>
    <mergeCell ref="G41:H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41:J41"/>
    <mergeCell ref="I42:J42"/>
    <mergeCell ref="G14:H14"/>
    <mergeCell ref="I15:J15"/>
    <mergeCell ref="I14:J14"/>
    <mergeCell ref="I16:J16"/>
    <mergeCell ref="I17:J17"/>
    <mergeCell ref="I18:J18"/>
    <mergeCell ref="I19:J19"/>
    <mergeCell ref="I20:J20"/>
    <mergeCell ref="I21:J21"/>
    <mergeCell ref="A14:D14"/>
    <mergeCell ref="G15:H15"/>
    <mergeCell ref="G16:H16"/>
    <mergeCell ref="G17:H17"/>
    <mergeCell ref="G18:H18"/>
    <mergeCell ref="G29:H29"/>
    <mergeCell ref="G30:H30"/>
    <mergeCell ref="G31:H31"/>
    <mergeCell ref="G32:H32"/>
    <mergeCell ref="G24:H24"/>
    <mergeCell ref="G25:H25"/>
    <mergeCell ref="G26:H26"/>
    <mergeCell ref="G27:H27"/>
    <mergeCell ref="G28:H28"/>
    <mergeCell ref="A29:D29"/>
    <mergeCell ref="A30:D30"/>
    <mergeCell ref="A31:D31"/>
    <mergeCell ref="A15:D15"/>
    <mergeCell ref="A16:D16"/>
    <mergeCell ref="A17:D17"/>
    <mergeCell ref="A18:D18"/>
    <mergeCell ref="G19:H19"/>
    <mergeCell ref="G20:H20"/>
    <mergeCell ref="G21:H21"/>
    <mergeCell ref="A34:D34"/>
    <mergeCell ref="A35:D35"/>
    <mergeCell ref="A36:D36"/>
    <mergeCell ref="G42:H42"/>
    <mergeCell ref="G34:H34"/>
    <mergeCell ref="G35:H35"/>
    <mergeCell ref="G36:H36"/>
    <mergeCell ref="G37:H37"/>
    <mergeCell ref="G38:H38"/>
    <mergeCell ref="A37:D37"/>
    <mergeCell ref="A38:D38"/>
    <mergeCell ref="G22:H22"/>
    <mergeCell ref="G23:H23"/>
    <mergeCell ref="G33:H33"/>
    <mergeCell ref="A19:D19"/>
    <mergeCell ref="A20:D20"/>
    <mergeCell ref="A21:D21"/>
    <mergeCell ref="A22:D22"/>
    <mergeCell ref="A24:D24"/>
    <mergeCell ref="A32:D32"/>
    <mergeCell ref="A23:D23"/>
    <mergeCell ref="A25:D25"/>
    <mergeCell ref="A26:D26"/>
    <mergeCell ref="A27:D27"/>
    <mergeCell ref="A28:D28"/>
    <mergeCell ref="A33:D33"/>
    <mergeCell ref="O54:P55"/>
    <mergeCell ref="A44:D44"/>
    <mergeCell ref="A45:D45"/>
    <mergeCell ref="A46:D46"/>
    <mergeCell ref="A47:D47"/>
    <mergeCell ref="A48:D48"/>
    <mergeCell ref="A39:D39"/>
    <mergeCell ref="A40:D40"/>
    <mergeCell ref="A41:D41"/>
    <mergeCell ref="A42:D42"/>
    <mergeCell ref="A43:D43"/>
    <mergeCell ref="A49:D49"/>
    <mergeCell ref="A50:D50"/>
    <mergeCell ref="A51:D51"/>
    <mergeCell ref="G43:H43"/>
    <mergeCell ref="G49:H49"/>
    <mergeCell ref="G50:H50"/>
    <mergeCell ref="G51:H51"/>
    <mergeCell ref="I49:J49"/>
    <mergeCell ref="I50:J50"/>
    <mergeCell ref="I43:J43"/>
    <mergeCell ref="I44:J44"/>
    <mergeCell ref="I45:J45"/>
    <mergeCell ref="I51:J51"/>
  </mergeCells>
  <hyperlinks>
    <hyperlink ref="S9:U11" location="Ranking!A1" display="RANKING" xr:uid="{561BB3E1-CD01-4F9E-924B-0F6544266FF7}"/>
    <hyperlink ref="P9:R11" location="Eletrônicos!A1" display="ELETRÔNICOS" xr:uid="{10354102-5D60-4222-8759-229FDEF6B5EE}"/>
    <hyperlink ref="M9:O11" location="'Alimentos e Bebidas'!A1" display="'Alimentos e Bebidas'!A1" xr:uid="{1177C7A2-A8D7-41B1-A230-95761FCBDB72}"/>
    <hyperlink ref="J9:L11" location="'Bolsas e Malas'!A1" display="BOLSAS E MALAS" xr:uid="{4F0DC8CC-EF32-4089-BEE8-D2608B58A32D}"/>
    <hyperlink ref="G9:I11" location="Automotivo!A1" display="AUTOMOTIVO" xr:uid="{AD10C374-2ED6-4F9A-9FE8-76431146CE00}"/>
    <hyperlink ref="D9:F11" location="Eletrodomésticos!A1" display="ELETRODOMÉSTICOS" xr:uid="{AD7FEA90-ABFA-4777-A08C-31E302FA1C77}"/>
    <hyperlink ref="A9:C11" location="Home!A1" display="HOME" xr:uid="{1BB05A2B-0241-470D-BF8A-93FE476F8D63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7"/>
  <sheetViews>
    <sheetView showGridLines="0" topLeftCell="A9" zoomScale="85" zoomScaleNormal="85" workbookViewId="0">
      <selection activeCell="Q16" sqref="Q16:R16"/>
    </sheetView>
  </sheetViews>
  <sheetFormatPr defaultColWidth="10.140625" defaultRowHeight="14.25" x14ac:dyDescent="0.2"/>
  <cols>
    <col min="1" max="16384" width="10.140625" style="27"/>
  </cols>
  <sheetData>
    <row r="1" spans="1:22" ht="16.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/>
    </row>
    <row r="2" spans="1:22" ht="16.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</row>
    <row r="3" spans="1:22" ht="16.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</row>
    <row r="4" spans="1:22" ht="16.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4"/>
    </row>
    <row r="5" spans="1:22" ht="16.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</row>
    <row r="6" spans="1:22" ht="16.5" customHeight="1" x14ac:dyDescent="0.2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4"/>
    </row>
    <row r="7" spans="1:22" ht="16.5" customHeight="1" x14ac:dyDescent="0.2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4"/>
    </row>
    <row r="8" spans="1:22" ht="16.5" customHeight="1" thickBot="1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4"/>
    </row>
    <row r="9" spans="1:22" ht="16.5" customHeight="1" x14ac:dyDescent="0.2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114" t="s">
        <v>274</v>
      </c>
      <c r="N9" s="106"/>
      <c r="O9" s="107"/>
      <c r="P9" s="105" t="s">
        <v>272</v>
      </c>
      <c r="Q9" s="106"/>
      <c r="R9" s="107"/>
      <c r="S9" s="105" t="s">
        <v>273</v>
      </c>
      <c r="T9" s="106"/>
      <c r="U9" s="106"/>
      <c r="V9" s="106"/>
    </row>
    <row r="10" spans="1:22" ht="16.5" customHeight="1" x14ac:dyDescent="0.2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108"/>
      <c r="N10" s="109"/>
      <c r="O10" s="110"/>
      <c r="P10" s="108"/>
      <c r="Q10" s="109"/>
      <c r="R10" s="110"/>
      <c r="S10" s="108"/>
      <c r="T10" s="109"/>
      <c r="U10" s="109"/>
      <c r="V10" s="109"/>
    </row>
    <row r="11" spans="1:22" ht="16.5" customHeight="1" thickBot="1" x14ac:dyDescent="0.25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2"/>
      <c r="V11" s="112"/>
    </row>
    <row r="12" spans="1:22" ht="16.5" customHeight="1" x14ac:dyDescent="0.2">
      <c r="A12" s="255" t="s">
        <v>202</v>
      </c>
      <c r="B12" s="256"/>
      <c r="C12" s="256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8"/>
    </row>
    <row r="13" spans="1:22" ht="16.5" customHeight="1" thickBot="1" x14ac:dyDescent="0.25">
      <c r="A13" s="259"/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1"/>
    </row>
    <row r="14" spans="1:22" ht="16.5" customHeight="1" thickBot="1" x14ac:dyDescent="0.3">
      <c r="A14" s="37" t="s">
        <v>0</v>
      </c>
      <c r="B14" s="217" t="s">
        <v>94</v>
      </c>
      <c r="C14" s="218"/>
      <c r="D14" s="219"/>
      <c r="E14" s="217" t="s">
        <v>2</v>
      </c>
      <c r="F14" s="218"/>
      <c r="G14" s="219"/>
      <c r="H14" s="217" t="s">
        <v>3</v>
      </c>
      <c r="I14" s="219"/>
      <c r="J14" s="29" t="s">
        <v>93</v>
      </c>
      <c r="K14" s="217" t="s">
        <v>92</v>
      </c>
      <c r="L14" s="219"/>
      <c r="M14" s="217" t="s">
        <v>91</v>
      </c>
      <c r="N14" s="219"/>
      <c r="O14" s="217" t="s">
        <v>258</v>
      </c>
      <c r="P14" s="219"/>
      <c r="Q14" s="217" t="s">
        <v>82</v>
      </c>
      <c r="R14" s="219"/>
      <c r="S14" s="217" t="s">
        <v>259</v>
      </c>
      <c r="T14" s="219"/>
      <c r="U14" s="277" t="s">
        <v>260</v>
      </c>
      <c r="V14" s="219"/>
    </row>
    <row r="15" spans="1:22" ht="16.5" customHeight="1" x14ac:dyDescent="0.2">
      <c r="A15" s="36">
        <v>275</v>
      </c>
      <c r="B15" s="220" t="str">
        <f t="shared" ref="B15:B41" si="0">CONCATENATE(B71," ",H15)</f>
        <v>Whisky Johnnie Walker</v>
      </c>
      <c r="C15" s="221"/>
      <c r="D15" s="222"/>
      <c r="E15" s="232" t="s">
        <v>67</v>
      </c>
      <c r="F15" s="233"/>
      <c r="G15" s="234"/>
      <c r="H15" s="232" t="s">
        <v>57</v>
      </c>
      <c r="I15" s="234"/>
      <c r="J15" s="30">
        <v>145</v>
      </c>
      <c r="K15" s="239">
        <f t="shared" ref="K15:K41" ca="1" si="1">RANDBETWEEN(20,150)</f>
        <v>136</v>
      </c>
      <c r="L15" s="240"/>
      <c r="M15" s="239">
        <f t="shared" ref="M15:M41" ca="1" si="2">PRODUCT(J15,K15)</f>
        <v>19720</v>
      </c>
      <c r="N15" s="240"/>
      <c r="O15" s="245">
        <f t="shared" ref="O15:O41" ca="1" si="3">K15-PRODUCT(K15,IF(E15=$A$51,$D$51,IF(E15=$A$52,$D$52,IF(OR(E15=$A$53,E15=$A$54),$D$53,IF(E15=$A$55,$D$55,IF(OR(E15=$A$56,E15=$A$57),$D$56,IF(E15=$A$58,$D$58,IF(E15=$A$59,$D$59,"?"))))))))</f>
        <v>122.4</v>
      </c>
      <c r="P15" s="246"/>
      <c r="Q15" s="245" t="e">
        <f ca="1">O15-(PRODUCT(O15,IF(AND(K15&gt;=A47,J15&gt;=C47),E46,E47)))</f>
        <v>#N/A</v>
      </c>
      <c r="R15" s="246"/>
      <c r="S15" s="249">
        <f t="shared" ref="S15:S41" ca="1" si="4">RANDBETWEEN(50,150)</f>
        <v>70</v>
      </c>
      <c r="T15" s="250"/>
      <c r="U15" s="249">
        <f t="shared" ref="U15:U41" ca="1" si="5">J15-S15</f>
        <v>75</v>
      </c>
      <c r="V15" s="254"/>
    </row>
    <row r="16" spans="1:22" ht="16.5" customHeight="1" x14ac:dyDescent="0.2">
      <c r="A16" s="33">
        <v>207</v>
      </c>
      <c r="B16" s="214" t="str">
        <f t="shared" si="0"/>
        <v>Refrigerante Fanta</v>
      </c>
      <c r="C16" s="215"/>
      <c r="D16" s="216"/>
      <c r="E16" s="223" t="s">
        <v>69</v>
      </c>
      <c r="F16" s="224"/>
      <c r="G16" s="225"/>
      <c r="H16" s="223" t="s">
        <v>56</v>
      </c>
      <c r="I16" s="225"/>
      <c r="J16" s="31">
        <v>126</v>
      </c>
      <c r="K16" s="235">
        <f t="shared" ca="1" si="1"/>
        <v>86</v>
      </c>
      <c r="L16" s="236"/>
      <c r="M16" s="235">
        <f t="shared" ca="1" si="2"/>
        <v>10836</v>
      </c>
      <c r="N16" s="236"/>
      <c r="O16" s="241">
        <f t="shared" ca="1" si="3"/>
        <v>81.7</v>
      </c>
      <c r="P16" s="242"/>
      <c r="Q16" s="241" t="e">
        <f t="shared" ref="Q16:Q41" ca="1" si="6">O16-(PRODUCT(O16,IF(AND(K16&gt;=$A$47,J16&gt;=$C$47),$E$46,$E$47)))</f>
        <v>#N/A</v>
      </c>
      <c r="R16" s="242"/>
      <c r="S16" s="247">
        <f t="shared" ca="1" si="4"/>
        <v>74</v>
      </c>
      <c r="T16" s="248"/>
      <c r="U16" s="247">
        <f t="shared" ca="1" si="5"/>
        <v>52</v>
      </c>
      <c r="V16" s="251"/>
    </row>
    <row r="17" spans="1:22" ht="16.5" customHeight="1" x14ac:dyDescent="0.2">
      <c r="A17" s="33">
        <v>271</v>
      </c>
      <c r="B17" s="214" t="str">
        <f t="shared" si="0"/>
        <v>Água Prata</v>
      </c>
      <c r="C17" s="215"/>
      <c r="D17" s="216"/>
      <c r="E17" s="223" t="s">
        <v>69</v>
      </c>
      <c r="F17" s="224"/>
      <c r="G17" s="225"/>
      <c r="H17" s="223" t="s">
        <v>55</v>
      </c>
      <c r="I17" s="225"/>
      <c r="J17" s="31">
        <v>238</v>
      </c>
      <c r="K17" s="235">
        <f t="shared" ca="1" si="1"/>
        <v>140</v>
      </c>
      <c r="L17" s="236"/>
      <c r="M17" s="235">
        <f t="shared" ca="1" si="2"/>
        <v>33320</v>
      </c>
      <c r="N17" s="236"/>
      <c r="O17" s="241">
        <f t="shared" ca="1" si="3"/>
        <v>133</v>
      </c>
      <c r="P17" s="242"/>
      <c r="Q17" s="241" t="e">
        <f t="shared" ca="1" si="6"/>
        <v>#N/A</v>
      </c>
      <c r="R17" s="242"/>
      <c r="S17" s="247">
        <f t="shared" ca="1" si="4"/>
        <v>131</v>
      </c>
      <c r="T17" s="248"/>
      <c r="U17" s="247">
        <f t="shared" ca="1" si="5"/>
        <v>107</v>
      </c>
      <c r="V17" s="251"/>
    </row>
    <row r="18" spans="1:22" ht="16.5" customHeight="1" x14ac:dyDescent="0.2">
      <c r="A18" s="33">
        <v>263</v>
      </c>
      <c r="B18" s="214" t="str">
        <f t="shared" si="0"/>
        <v>Energético Red Bull</v>
      </c>
      <c r="C18" s="215"/>
      <c r="D18" s="216"/>
      <c r="E18" s="223" t="s">
        <v>69</v>
      </c>
      <c r="F18" s="224"/>
      <c r="G18" s="225"/>
      <c r="H18" s="223" t="s">
        <v>54</v>
      </c>
      <c r="I18" s="225"/>
      <c r="J18" s="31">
        <v>197</v>
      </c>
      <c r="K18" s="235">
        <f t="shared" ca="1" si="1"/>
        <v>114</v>
      </c>
      <c r="L18" s="236"/>
      <c r="M18" s="235">
        <f t="shared" ca="1" si="2"/>
        <v>22458</v>
      </c>
      <c r="N18" s="236"/>
      <c r="O18" s="241">
        <f t="shared" ca="1" si="3"/>
        <v>108.3</v>
      </c>
      <c r="P18" s="242"/>
      <c r="Q18" s="241" t="e">
        <f t="shared" ca="1" si="6"/>
        <v>#N/A</v>
      </c>
      <c r="R18" s="242"/>
      <c r="S18" s="247">
        <f t="shared" ca="1" si="4"/>
        <v>59</v>
      </c>
      <c r="T18" s="248"/>
      <c r="U18" s="247">
        <f t="shared" ca="1" si="5"/>
        <v>138</v>
      </c>
      <c r="V18" s="251"/>
    </row>
    <row r="19" spans="1:22" ht="16.5" customHeight="1" x14ac:dyDescent="0.2">
      <c r="A19" s="33">
        <v>299</v>
      </c>
      <c r="B19" s="214" t="str">
        <f t="shared" si="0"/>
        <v>Cereal Nescau</v>
      </c>
      <c r="C19" s="215"/>
      <c r="D19" s="216"/>
      <c r="E19" s="223" t="s">
        <v>87</v>
      </c>
      <c r="F19" s="224"/>
      <c r="G19" s="225"/>
      <c r="H19" s="223" t="s">
        <v>53</v>
      </c>
      <c r="I19" s="225"/>
      <c r="J19" s="31">
        <v>231</v>
      </c>
      <c r="K19" s="235">
        <f t="shared" ca="1" si="1"/>
        <v>119</v>
      </c>
      <c r="L19" s="236"/>
      <c r="M19" s="235">
        <f t="shared" ca="1" si="2"/>
        <v>27489</v>
      </c>
      <c r="N19" s="236"/>
      <c r="O19" s="241">
        <f t="shared" ca="1" si="3"/>
        <v>101.15</v>
      </c>
      <c r="P19" s="242"/>
      <c r="Q19" s="241" t="e">
        <f t="shared" ca="1" si="6"/>
        <v>#N/A</v>
      </c>
      <c r="R19" s="242"/>
      <c r="S19" s="247">
        <f t="shared" ca="1" si="4"/>
        <v>120</v>
      </c>
      <c r="T19" s="248"/>
      <c r="U19" s="247">
        <f t="shared" ca="1" si="5"/>
        <v>111</v>
      </c>
      <c r="V19" s="251"/>
    </row>
    <row r="20" spans="1:22" ht="16.5" customHeight="1" x14ac:dyDescent="0.2">
      <c r="A20" s="33">
        <v>254</v>
      </c>
      <c r="B20" s="214" t="str">
        <f t="shared" si="0"/>
        <v>Granolas Native</v>
      </c>
      <c r="C20" s="215"/>
      <c r="D20" s="216"/>
      <c r="E20" s="223" t="s">
        <v>87</v>
      </c>
      <c r="F20" s="224"/>
      <c r="G20" s="225"/>
      <c r="H20" s="223" t="s">
        <v>52</v>
      </c>
      <c r="I20" s="225"/>
      <c r="J20" s="31">
        <v>116</v>
      </c>
      <c r="K20" s="235">
        <f t="shared" ca="1" si="1"/>
        <v>130</v>
      </c>
      <c r="L20" s="236"/>
      <c r="M20" s="235">
        <f t="shared" ca="1" si="2"/>
        <v>15080</v>
      </c>
      <c r="N20" s="236"/>
      <c r="O20" s="241">
        <f t="shared" ca="1" si="3"/>
        <v>110.5</v>
      </c>
      <c r="P20" s="242"/>
      <c r="Q20" s="241" t="e">
        <f t="shared" ca="1" si="6"/>
        <v>#N/A</v>
      </c>
      <c r="R20" s="242"/>
      <c r="S20" s="247">
        <f t="shared" ca="1" si="4"/>
        <v>63</v>
      </c>
      <c r="T20" s="248"/>
      <c r="U20" s="247">
        <f t="shared" ca="1" si="5"/>
        <v>53</v>
      </c>
      <c r="V20" s="251"/>
    </row>
    <row r="21" spans="1:22" ht="16.5" customHeight="1" x14ac:dyDescent="0.2">
      <c r="A21" s="33">
        <v>244</v>
      </c>
      <c r="B21" s="214" t="str">
        <f t="shared" si="0"/>
        <v>Sardinha Knorr</v>
      </c>
      <c r="C21" s="215"/>
      <c r="D21" s="216"/>
      <c r="E21" s="223" t="s">
        <v>63</v>
      </c>
      <c r="F21" s="224"/>
      <c r="G21" s="225"/>
      <c r="H21" s="223" t="s">
        <v>85</v>
      </c>
      <c r="I21" s="225"/>
      <c r="J21" s="31">
        <v>241</v>
      </c>
      <c r="K21" s="235">
        <f t="shared" ca="1" si="1"/>
        <v>27</v>
      </c>
      <c r="L21" s="236"/>
      <c r="M21" s="235">
        <f t="shared" ca="1" si="2"/>
        <v>6507</v>
      </c>
      <c r="N21" s="236"/>
      <c r="O21" s="241">
        <f t="shared" ca="1" si="3"/>
        <v>22.95</v>
      </c>
      <c r="P21" s="242"/>
      <c r="Q21" s="241" t="e">
        <f t="shared" ca="1" si="6"/>
        <v>#N/A</v>
      </c>
      <c r="R21" s="242"/>
      <c r="S21" s="247">
        <f t="shared" ca="1" si="4"/>
        <v>74</v>
      </c>
      <c r="T21" s="248"/>
      <c r="U21" s="247">
        <f t="shared" ca="1" si="5"/>
        <v>167</v>
      </c>
      <c r="V21" s="251"/>
    </row>
    <row r="22" spans="1:22" ht="16.5" customHeight="1" x14ac:dyDescent="0.2">
      <c r="A22" s="33">
        <v>262</v>
      </c>
      <c r="B22" s="214" t="str">
        <f t="shared" si="0"/>
        <v>Canela em Pó Kitano</v>
      </c>
      <c r="C22" s="215"/>
      <c r="D22" s="216"/>
      <c r="E22" s="223" t="s">
        <v>86</v>
      </c>
      <c r="F22" s="224"/>
      <c r="G22" s="225"/>
      <c r="H22" s="223" t="s">
        <v>50</v>
      </c>
      <c r="I22" s="225"/>
      <c r="J22" s="31">
        <v>207</v>
      </c>
      <c r="K22" s="235">
        <f t="shared" ca="1" si="1"/>
        <v>41</v>
      </c>
      <c r="L22" s="236"/>
      <c r="M22" s="235">
        <f t="shared" ca="1" si="2"/>
        <v>8487</v>
      </c>
      <c r="N22" s="236"/>
      <c r="O22" s="241">
        <f t="shared" ca="1" si="3"/>
        <v>38.950000000000003</v>
      </c>
      <c r="P22" s="242"/>
      <c r="Q22" s="241" t="e">
        <f t="shared" ca="1" si="6"/>
        <v>#N/A</v>
      </c>
      <c r="R22" s="242"/>
      <c r="S22" s="247">
        <f t="shared" ca="1" si="4"/>
        <v>126</v>
      </c>
      <c r="T22" s="248"/>
      <c r="U22" s="247">
        <f t="shared" ca="1" si="5"/>
        <v>81</v>
      </c>
      <c r="V22" s="251"/>
    </row>
    <row r="23" spans="1:22" ht="16.5" customHeight="1" x14ac:dyDescent="0.2">
      <c r="A23" s="33">
        <v>279</v>
      </c>
      <c r="B23" s="214" t="str">
        <f t="shared" si="0"/>
        <v>Arroz La Pastina</v>
      </c>
      <c r="C23" s="215"/>
      <c r="D23" s="216"/>
      <c r="E23" s="223" t="s">
        <v>81</v>
      </c>
      <c r="F23" s="224"/>
      <c r="G23" s="225"/>
      <c r="H23" s="223" t="s">
        <v>49</v>
      </c>
      <c r="I23" s="225"/>
      <c r="J23" s="31">
        <v>243</v>
      </c>
      <c r="K23" s="235">
        <f t="shared" ca="1" si="1"/>
        <v>76</v>
      </c>
      <c r="L23" s="236"/>
      <c r="M23" s="235">
        <f t="shared" ca="1" si="2"/>
        <v>18468</v>
      </c>
      <c r="N23" s="236"/>
      <c r="O23" s="241">
        <f t="shared" ca="1" si="3"/>
        <v>66.12</v>
      </c>
      <c r="P23" s="242"/>
      <c r="Q23" s="241" t="e">
        <f t="shared" ca="1" si="6"/>
        <v>#N/A</v>
      </c>
      <c r="R23" s="242"/>
      <c r="S23" s="247">
        <f t="shared" ca="1" si="4"/>
        <v>108</v>
      </c>
      <c r="T23" s="248"/>
      <c r="U23" s="247">
        <f t="shared" ca="1" si="5"/>
        <v>135</v>
      </c>
      <c r="V23" s="251"/>
    </row>
    <row r="24" spans="1:22" ht="16.5" customHeight="1" x14ac:dyDescent="0.2">
      <c r="A24" s="33">
        <v>217</v>
      </c>
      <c r="B24" s="214" t="str">
        <f t="shared" si="0"/>
        <v>Macarrão La Pastina</v>
      </c>
      <c r="C24" s="215"/>
      <c r="D24" s="216"/>
      <c r="E24" s="223" t="s">
        <v>81</v>
      </c>
      <c r="F24" s="224"/>
      <c r="G24" s="225"/>
      <c r="H24" s="223" t="s">
        <v>49</v>
      </c>
      <c r="I24" s="225"/>
      <c r="J24" s="31">
        <v>130</v>
      </c>
      <c r="K24" s="235">
        <f t="shared" ca="1" si="1"/>
        <v>146</v>
      </c>
      <c r="L24" s="236"/>
      <c r="M24" s="235">
        <f t="shared" ca="1" si="2"/>
        <v>18980</v>
      </c>
      <c r="N24" s="236"/>
      <c r="O24" s="241">
        <f t="shared" ca="1" si="3"/>
        <v>127.02</v>
      </c>
      <c r="P24" s="242"/>
      <c r="Q24" s="241" t="e">
        <f t="shared" ca="1" si="6"/>
        <v>#N/A</v>
      </c>
      <c r="R24" s="242"/>
      <c r="S24" s="247">
        <f t="shared" ca="1" si="4"/>
        <v>54</v>
      </c>
      <c r="T24" s="248"/>
      <c r="U24" s="247">
        <f t="shared" ca="1" si="5"/>
        <v>76</v>
      </c>
      <c r="V24" s="251"/>
    </row>
    <row r="25" spans="1:22" ht="16.5" customHeight="1" x14ac:dyDescent="0.2">
      <c r="A25" s="33">
        <v>276</v>
      </c>
      <c r="B25" s="214" t="str">
        <f t="shared" si="0"/>
        <v>Macarrão Barilla</v>
      </c>
      <c r="C25" s="215"/>
      <c r="D25" s="216"/>
      <c r="E25" s="223" t="s">
        <v>81</v>
      </c>
      <c r="F25" s="224"/>
      <c r="G25" s="225"/>
      <c r="H25" s="223" t="s">
        <v>48</v>
      </c>
      <c r="I25" s="225"/>
      <c r="J25" s="31">
        <v>212</v>
      </c>
      <c r="K25" s="235">
        <f t="shared" ca="1" si="1"/>
        <v>24</v>
      </c>
      <c r="L25" s="236"/>
      <c r="M25" s="235">
        <f t="shared" ca="1" si="2"/>
        <v>5088</v>
      </c>
      <c r="N25" s="236"/>
      <c r="O25" s="241">
        <f t="shared" ca="1" si="3"/>
        <v>20.88</v>
      </c>
      <c r="P25" s="242"/>
      <c r="Q25" s="241" t="e">
        <f t="shared" ca="1" si="6"/>
        <v>#N/A</v>
      </c>
      <c r="R25" s="242"/>
      <c r="S25" s="247">
        <f t="shared" ca="1" si="4"/>
        <v>117</v>
      </c>
      <c r="T25" s="248"/>
      <c r="U25" s="247">
        <f t="shared" ca="1" si="5"/>
        <v>95</v>
      </c>
      <c r="V25" s="251"/>
    </row>
    <row r="26" spans="1:22" ht="16.5" customHeight="1" x14ac:dyDescent="0.2">
      <c r="A26" s="33">
        <v>261</v>
      </c>
      <c r="B26" s="214" t="str">
        <f t="shared" si="0"/>
        <v>Arroz Knorr</v>
      </c>
      <c r="C26" s="215"/>
      <c r="D26" s="216"/>
      <c r="E26" s="223" t="s">
        <v>81</v>
      </c>
      <c r="F26" s="224"/>
      <c r="G26" s="225"/>
      <c r="H26" s="223" t="s">
        <v>85</v>
      </c>
      <c r="I26" s="225"/>
      <c r="J26" s="31">
        <v>151</v>
      </c>
      <c r="K26" s="235">
        <f t="shared" ca="1" si="1"/>
        <v>118</v>
      </c>
      <c r="L26" s="236"/>
      <c r="M26" s="235">
        <f t="shared" ca="1" si="2"/>
        <v>17818</v>
      </c>
      <c r="N26" s="236"/>
      <c r="O26" s="241">
        <f t="shared" ca="1" si="3"/>
        <v>102.66</v>
      </c>
      <c r="P26" s="242"/>
      <c r="Q26" s="241" t="e">
        <f t="shared" ca="1" si="6"/>
        <v>#N/A</v>
      </c>
      <c r="R26" s="242"/>
      <c r="S26" s="247">
        <f t="shared" ca="1" si="4"/>
        <v>144</v>
      </c>
      <c r="T26" s="248"/>
      <c r="U26" s="247">
        <f t="shared" ca="1" si="5"/>
        <v>7</v>
      </c>
      <c r="V26" s="251"/>
    </row>
    <row r="27" spans="1:22" ht="16.5" customHeight="1" x14ac:dyDescent="0.2">
      <c r="A27" s="33">
        <v>241</v>
      </c>
      <c r="B27" s="214" t="str">
        <f t="shared" si="0"/>
        <v>Feijão KICALDO</v>
      </c>
      <c r="C27" s="215"/>
      <c r="D27" s="216"/>
      <c r="E27" s="223" t="s">
        <v>81</v>
      </c>
      <c r="F27" s="224"/>
      <c r="G27" s="225"/>
      <c r="H27" s="223" t="s">
        <v>47</v>
      </c>
      <c r="I27" s="225"/>
      <c r="J27" s="31">
        <v>102</v>
      </c>
      <c r="K27" s="235">
        <f t="shared" ca="1" si="1"/>
        <v>30</v>
      </c>
      <c r="L27" s="236"/>
      <c r="M27" s="235">
        <f t="shared" ca="1" si="2"/>
        <v>3060</v>
      </c>
      <c r="N27" s="236"/>
      <c r="O27" s="241">
        <f t="shared" ca="1" si="3"/>
        <v>26.1</v>
      </c>
      <c r="P27" s="242"/>
      <c r="Q27" s="241" t="e">
        <f t="shared" ca="1" si="6"/>
        <v>#N/A</v>
      </c>
      <c r="R27" s="242"/>
      <c r="S27" s="247">
        <f t="shared" ca="1" si="4"/>
        <v>143</v>
      </c>
      <c r="T27" s="248"/>
      <c r="U27" s="247">
        <f t="shared" ca="1" si="5"/>
        <v>-41</v>
      </c>
      <c r="V27" s="251"/>
    </row>
    <row r="28" spans="1:22" ht="16.5" customHeight="1" x14ac:dyDescent="0.2">
      <c r="A28" s="33">
        <v>250</v>
      </c>
      <c r="B28" s="214" t="str">
        <f t="shared" si="0"/>
        <v>Arroz KICALDO</v>
      </c>
      <c r="C28" s="215"/>
      <c r="D28" s="216"/>
      <c r="E28" s="223" t="s">
        <v>81</v>
      </c>
      <c r="F28" s="224"/>
      <c r="G28" s="225"/>
      <c r="H28" s="223" t="s">
        <v>47</v>
      </c>
      <c r="I28" s="225"/>
      <c r="J28" s="31">
        <v>188</v>
      </c>
      <c r="K28" s="235">
        <f t="shared" ca="1" si="1"/>
        <v>51</v>
      </c>
      <c r="L28" s="236"/>
      <c r="M28" s="235">
        <f t="shared" ca="1" si="2"/>
        <v>9588</v>
      </c>
      <c r="N28" s="236"/>
      <c r="O28" s="241">
        <f t="shared" ca="1" si="3"/>
        <v>44.37</v>
      </c>
      <c r="P28" s="242"/>
      <c r="Q28" s="241" t="e">
        <f t="shared" ca="1" si="6"/>
        <v>#N/A</v>
      </c>
      <c r="R28" s="242"/>
      <c r="S28" s="247">
        <f t="shared" ca="1" si="4"/>
        <v>144</v>
      </c>
      <c r="T28" s="248"/>
      <c r="U28" s="247">
        <f t="shared" ca="1" si="5"/>
        <v>44</v>
      </c>
      <c r="V28" s="251"/>
    </row>
    <row r="29" spans="1:22" ht="16.5" customHeight="1" x14ac:dyDescent="0.2">
      <c r="A29" s="33">
        <v>285</v>
      </c>
      <c r="B29" s="214" t="str">
        <f t="shared" si="0"/>
        <v>Ketchup Heinz</v>
      </c>
      <c r="C29" s="215"/>
      <c r="D29" s="216"/>
      <c r="E29" s="223" t="s">
        <v>65</v>
      </c>
      <c r="F29" s="224"/>
      <c r="G29" s="225"/>
      <c r="H29" s="223" t="s">
        <v>36</v>
      </c>
      <c r="I29" s="225"/>
      <c r="J29" s="31">
        <v>128</v>
      </c>
      <c r="K29" s="235">
        <f t="shared" ca="1" si="1"/>
        <v>117</v>
      </c>
      <c r="L29" s="236"/>
      <c r="M29" s="235">
        <f t="shared" ca="1" si="2"/>
        <v>14976</v>
      </c>
      <c r="N29" s="236"/>
      <c r="O29" s="241">
        <f t="shared" ca="1" si="3"/>
        <v>101.78999999999999</v>
      </c>
      <c r="P29" s="242"/>
      <c r="Q29" s="241" t="e">
        <f t="shared" ca="1" si="6"/>
        <v>#N/A</v>
      </c>
      <c r="R29" s="242"/>
      <c r="S29" s="247">
        <f t="shared" ca="1" si="4"/>
        <v>106</v>
      </c>
      <c r="T29" s="248"/>
      <c r="U29" s="247">
        <f t="shared" ca="1" si="5"/>
        <v>22</v>
      </c>
      <c r="V29" s="251"/>
    </row>
    <row r="30" spans="1:22" ht="16.5" customHeight="1" x14ac:dyDescent="0.2">
      <c r="A30" s="33">
        <v>231</v>
      </c>
      <c r="B30" s="214" t="str">
        <f t="shared" si="0"/>
        <v>Azeite Andorinha</v>
      </c>
      <c r="C30" s="215"/>
      <c r="D30" s="216"/>
      <c r="E30" s="223" t="s">
        <v>78</v>
      </c>
      <c r="F30" s="224"/>
      <c r="G30" s="225"/>
      <c r="H30" s="223" t="s">
        <v>46</v>
      </c>
      <c r="I30" s="225"/>
      <c r="J30" s="31">
        <v>141</v>
      </c>
      <c r="K30" s="235">
        <f t="shared" ca="1" si="1"/>
        <v>107</v>
      </c>
      <c r="L30" s="236"/>
      <c r="M30" s="235">
        <f t="shared" ca="1" si="2"/>
        <v>15087</v>
      </c>
      <c r="N30" s="236"/>
      <c r="O30" s="241">
        <f t="shared" ca="1" si="3"/>
        <v>85.6</v>
      </c>
      <c r="P30" s="242"/>
      <c r="Q30" s="241" t="e">
        <f t="shared" ca="1" si="6"/>
        <v>#N/A</v>
      </c>
      <c r="R30" s="242"/>
      <c r="S30" s="247">
        <f t="shared" ca="1" si="4"/>
        <v>105</v>
      </c>
      <c r="T30" s="248"/>
      <c r="U30" s="247">
        <f t="shared" ca="1" si="5"/>
        <v>36</v>
      </c>
      <c r="V30" s="251"/>
    </row>
    <row r="31" spans="1:22" ht="16.5" customHeight="1" x14ac:dyDescent="0.2">
      <c r="A31" s="33">
        <v>256</v>
      </c>
      <c r="B31" s="214" t="str">
        <f t="shared" si="0"/>
        <v>Oleo Gallo</v>
      </c>
      <c r="C31" s="215"/>
      <c r="D31" s="216"/>
      <c r="E31" s="223" t="s">
        <v>78</v>
      </c>
      <c r="F31" s="224"/>
      <c r="G31" s="225"/>
      <c r="H31" s="223" t="s">
        <v>45</v>
      </c>
      <c r="I31" s="225"/>
      <c r="J31" s="31">
        <v>242</v>
      </c>
      <c r="K31" s="235">
        <f t="shared" ca="1" si="1"/>
        <v>21</v>
      </c>
      <c r="L31" s="236"/>
      <c r="M31" s="235">
        <f t="shared" ca="1" si="2"/>
        <v>5082</v>
      </c>
      <c r="N31" s="236"/>
      <c r="O31" s="241">
        <f t="shared" ca="1" si="3"/>
        <v>16.8</v>
      </c>
      <c r="P31" s="242"/>
      <c r="Q31" s="241" t="e">
        <f t="shared" ca="1" si="6"/>
        <v>#N/A</v>
      </c>
      <c r="R31" s="242"/>
      <c r="S31" s="247">
        <f t="shared" ca="1" si="4"/>
        <v>61</v>
      </c>
      <c r="T31" s="248"/>
      <c r="U31" s="247">
        <f t="shared" ca="1" si="5"/>
        <v>181</v>
      </c>
      <c r="V31" s="251"/>
    </row>
    <row r="32" spans="1:22" ht="16.5" customHeight="1" x14ac:dyDescent="0.2">
      <c r="A32" s="33">
        <v>289</v>
      </c>
      <c r="B32" s="214" t="str">
        <f t="shared" si="0"/>
        <v>Biscoito Recheado Negresco</v>
      </c>
      <c r="C32" s="215"/>
      <c r="D32" s="216"/>
      <c r="E32" s="223" t="s">
        <v>72</v>
      </c>
      <c r="F32" s="224"/>
      <c r="G32" s="225"/>
      <c r="H32" s="223" t="s">
        <v>44</v>
      </c>
      <c r="I32" s="225"/>
      <c r="J32" s="31">
        <v>137</v>
      </c>
      <c r="K32" s="235">
        <f t="shared" ca="1" si="1"/>
        <v>69</v>
      </c>
      <c r="L32" s="236"/>
      <c r="M32" s="235">
        <f t="shared" ca="1" si="2"/>
        <v>9453</v>
      </c>
      <c r="N32" s="236"/>
      <c r="O32" s="241">
        <f t="shared" ca="1" si="3"/>
        <v>62.1</v>
      </c>
      <c r="P32" s="242"/>
      <c r="Q32" s="241" t="e">
        <f t="shared" ca="1" si="6"/>
        <v>#N/A</v>
      </c>
      <c r="R32" s="242"/>
      <c r="S32" s="247">
        <f t="shared" ca="1" si="4"/>
        <v>72</v>
      </c>
      <c r="T32" s="248"/>
      <c r="U32" s="247">
        <f t="shared" ca="1" si="5"/>
        <v>65</v>
      </c>
      <c r="V32" s="251"/>
    </row>
    <row r="33" spans="1:22" ht="16.5" customHeight="1" x14ac:dyDescent="0.2">
      <c r="A33" s="33">
        <v>239</v>
      </c>
      <c r="B33" s="214" t="str">
        <f t="shared" si="0"/>
        <v>Bolinho SEVEN BOYS</v>
      </c>
      <c r="C33" s="215"/>
      <c r="D33" s="216"/>
      <c r="E33" s="223" t="s">
        <v>72</v>
      </c>
      <c r="F33" s="224"/>
      <c r="G33" s="225"/>
      <c r="H33" s="223" t="s">
        <v>43</v>
      </c>
      <c r="I33" s="225"/>
      <c r="J33" s="31">
        <v>161</v>
      </c>
      <c r="K33" s="235">
        <f t="shared" ca="1" si="1"/>
        <v>95</v>
      </c>
      <c r="L33" s="236"/>
      <c r="M33" s="235">
        <f t="shared" ca="1" si="2"/>
        <v>15295</v>
      </c>
      <c r="N33" s="236"/>
      <c r="O33" s="241">
        <f t="shared" ca="1" si="3"/>
        <v>85.5</v>
      </c>
      <c r="P33" s="242"/>
      <c r="Q33" s="241" t="e">
        <f t="shared" ca="1" si="6"/>
        <v>#N/A</v>
      </c>
      <c r="R33" s="242"/>
      <c r="S33" s="247">
        <f t="shared" ca="1" si="4"/>
        <v>117</v>
      </c>
      <c r="T33" s="248"/>
      <c r="U33" s="247">
        <f t="shared" ca="1" si="5"/>
        <v>44</v>
      </c>
      <c r="V33" s="251"/>
    </row>
    <row r="34" spans="1:22" ht="16.5" customHeight="1" x14ac:dyDescent="0.2">
      <c r="A34" s="33">
        <v>237</v>
      </c>
      <c r="B34" s="214" t="str">
        <f t="shared" si="0"/>
        <v>Achocolatado Toddynho</v>
      </c>
      <c r="C34" s="215"/>
      <c r="D34" s="216"/>
      <c r="E34" s="223" t="s">
        <v>72</v>
      </c>
      <c r="F34" s="224"/>
      <c r="G34" s="225"/>
      <c r="H34" s="223" t="s">
        <v>42</v>
      </c>
      <c r="I34" s="225"/>
      <c r="J34" s="31">
        <v>233</v>
      </c>
      <c r="K34" s="235">
        <f t="shared" ca="1" si="1"/>
        <v>148</v>
      </c>
      <c r="L34" s="236"/>
      <c r="M34" s="235">
        <f t="shared" ca="1" si="2"/>
        <v>34484</v>
      </c>
      <c r="N34" s="236"/>
      <c r="O34" s="241">
        <f t="shared" ca="1" si="3"/>
        <v>133.19999999999999</v>
      </c>
      <c r="P34" s="242"/>
      <c r="Q34" s="241" t="e">
        <f t="shared" ca="1" si="6"/>
        <v>#N/A</v>
      </c>
      <c r="R34" s="242"/>
      <c r="S34" s="247">
        <f t="shared" ca="1" si="4"/>
        <v>104</v>
      </c>
      <c r="T34" s="248"/>
      <c r="U34" s="247">
        <f t="shared" ca="1" si="5"/>
        <v>129</v>
      </c>
      <c r="V34" s="251"/>
    </row>
    <row r="35" spans="1:22" ht="16.5" customHeight="1" x14ac:dyDescent="0.2">
      <c r="A35" s="33">
        <v>205</v>
      </c>
      <c r="B35" s="214" t="str">
        <f t="shared" si="0"/>
        <v>Batata Pringles</v>
      </c>
      <c r="C35" s="215"/>
      <c r="D35" s="216"/>
      <c r="E35" s="223" t="s">
        <v>72</v>
      </c>
      <c r="F35" s="224"/>
      <c r="G35" s="225"/>
      <c r="H35" s="223" t="s">
        <v>41</v>
      </c>
      <c r="I35" s="225"/>
      <c r="J35" s="31">
        <v>100</v>
      </c>
      <c r="K35" s="235">
        <f t="shared" ca="1" si="1"/>
        <v>59</v>
      </c>
      <c r="L35" s="236"/>
      <c r="M35" s="235">
        <f t="shared" ca="1" si="2"/>
        <v>5900</v>
      </c>
      <c r="N35" s="236"/>
      <c r="O35" s="241">
        <f t="shared" ca="1" si="3"/>
        <v>53.1</v>
      </c>
      <c r="P35" s="242"/>
      <c r="Q35" s="241" t="e">
        <f t="shared" ca="1" si="6"/>
        <v>#N/A</v>
      </c>
      <c r="R35" s="242"/>
      <c r="S35" s="247">
        <f t="shared" ca="1" si="4"/>
        <v>96</v>
      </c>
      <c r="T35" s="248"/>
      <c r="U35" s="247">
        <f t="shared" ca="1" si="5"/>
        <v>4</v>
      </c>
      <c r="V35" s="251"/>
    </row>
    <row r="36" spans="1:22" ht="16.5" customHeight="1" x14ac:dyDescent="0.2">
      <c r="A36" s="33">
        <v>291</v>
      </c>
      <c r="B36" s="214" t="str">
        <f t="shared" si="0"/>
        <v>Batata YOKI</v>
      </c>
      <c r="C36" s="215"/>
      <c r="D36" s="216"/>
      <c r="E36" s="223" t="s">
        <v>72</v>
      </c>
      <c r="F36" s="224"/>
      <c r="G36" s="225"/>
      <c r="H36" s="223" t="s">
        <v>40</v>
      </c>
      <c r="I36" s="225"/>
      <c r="J36" s="31">
        <v>194</v>
      </c>
      <c r="K36" s="235">
        <f t="shared" ca="1" si="1"/>
        <v>32</v>
      </c>
      <c r="L36" s="236"/>
      <c r="M36" s="235">
        <f t="shared" ca="1" si="2"/>
        <v>6208</v>
      </c>
      <c r="N36" s="236"/>
      <c r="O36" s="241">
        <f t="shared" ca="1" si="3"/>
        <v>28.8</v>
      </c>
      <c r="P36" s="242"/>
      <c r="Q36" s="241" t="e">
        <f t="shared" ca="1" si="6"/>
        <v>#N/A</v>
      </c>
      <c r="R36" s="242"/>
      <c r="S36" s="247">
        <f t="shared" ca="1" si="4"/>
        <v>88</v>
      </c>
      <c r="T36" s="248"/>
      <c r="U36" s="247">
        <f t="shared" ca="1" si="5"/>
        <v>106</v>
      </c>
      <c r="V36" s="251"/>
    </row>
    <row r="37" spans="1:22" ht="16.5" customHeight="1" x14ac:dyDescent="0.2">
      <c r="A37" s="33">
        <v>294</v>
      </c>
      <c r="B37" s="214" t="str">
        <f t="shared" si="0"/>
        <v>Café Santa Monica</v>
      </c>
      <c r="C37" s="215"/>
      <c r="D37" s="216"/>
      <c r="E37" s="223" t="s">
        <v>69</v>
      </c>
      <c r="F37" s="224"/>
      <c r="G37" s="225"/>
      <c r="H37" s="223" t="s">
        <v>39</v>
      </c>
      <c r="I37" s="225"/>
      <c r="J37" s="31">
        <v>173</v>
      </c>
      <c r="K37" s="235">
        <f t="shared" ca="1" si="1"/>
        <v>49</v>
      </c>
      <c r="L37" s="236"/>
      <c r="M37" s="235">
        <f t="shared" ca="1" si="2"/>
        <v>8477</v>
      </c>
      <c r="N37" s="236"/>
      <c r="O37" s="241">
        <f t="shared" ca="1" si="3"/>
        <v>46.55</v>
      </c>
      <c r="P37" s="242"/>
      <c r="Q37" s="241" t="e">
        <f t="shared" ca="1" si="6"/>
        <v>#N/A</v>
      </c>
      <c r="R37" s="242"/>
      <c r="S37" s="247">
        <f t="shared" ca="1" si="4"/>
        <v>97</v>
      </c>
      <c r="T37" s="248"/>
      <c r="U37" s="247">
        <f t="shared" ca="1" si="5"/>
        <v>76</v>
      </c>
      <c r="V37" s="251"/>
    </row>
    <row r="38" spans="1:22" ht="16.5" customHeight="1" x14ac:dyDescent="0.2">
      <c r="A38" s="33">
        <v>206</v>
      </c>
      <c r="B38" s="214" t="str">
        <f t="shared" si="0"/>
        <v>Suco Néctar</v>
      </c>
      <c r="C38" s="215"/>
      <c r="D38" s="216"/>
      <c r="E38" s="223" t="s">
        <v>69</v>
      </c>
      <c r="F38" s="224"/>
      <c r="G38" s="225"/>
      <c r="H38" s="223" t="s">
        <v>38</v>
      </c>
      <c r="I38" s="225"/>
      <c r="J38" s="31">
        <v>221</v>
      </c>
      <c r="K38" s="235">
        <f t="shared" ca="1" si="1"/>
        <v>72</v>
      </c>
      <c r="L38" s="236"/>
      <c r="M38" s="235">
        <f t="shared" ca="1" si="2"/>
        <v>15912</v>
      </c>
      <c r="N38" s="236"/>
      <c r="O38" s="241">
        <f t="shared" ca="1" si="3"/>
        <v>68.400000000000006</v>
      </c>
      <c r="P38" s="242"/>
      <c r="Q38" s="241" t="e">
        <f t="shared" ca="1" si="6"/>
        <v>#N/A</v>
      </c>
      <c r="R38" s="242"/>
      <c r="S38" s="247">
        <f t="shared" ca="1" si="4"/>
        <v>66</v>
      </c>
      <c r="T38" s="248"/>
      <c r="U38" s="247">
        <f t="shared" ca="1" si="5"/>
        <v>155</v>
      </c>
      <c r="V38" s="251"/>
    </row>
    <row r="39" spans="1:22" ht="16.5" customHeight="1" x14ac:dyDescent="0.2">
      <c r="A39" s="33">
        <v>286</v>
      </c>
      <c r="B39" s="214" t="str">
        <f t="shared" si="0"/>
        <v>Cachaça Sagatiba</v>
      </c>
      <c r="C39" s="215"/>
      <c r="D39" s="216"/>
      <c r="E39" s="223" t="s">
        <v>67</v>
      </c>
      <c r="F39" s="224"/>
      <c r="G39" s="225"/>
      <c r="H39" s="223" t="s">
        <v>37</v>
      </c>
      <c r="I39" s="225"/>
      <c r="J39" s="31">
        <v>159</v>
      </c>
      <c r="K39" s="235">
        <f t="shared" ca="1" si="1"/>
        <v>100</v>
      </c>
      <c r="L39" s="236"/>
      <c r="M39" s="235">
        <f t="shared" ca="1" si="2"/>
        <v>15900</v>
      </c>
      <c r="N39" s="236"/>
      <c r="O39" s="241">
        <f t="shared" ca="1" si="3"/>
        <v>90</v>
      </c>
      <c r="P39" s="242"/>
      <c r="Q39" s="241" t="e">
        <f t="shared" ca="1" si="6"/>
        <v>#N/A</v>
      </c>
      <c r="R39" s="242"/>
      <c r="S39" s="247">
        <f t="shared" ca="1" si="4"/>
        <v>104</v>
      </c>
      <c r="T39" s="248"/>
      <c r="U39" s="247">
        <f t="shared" ca="1" si="5"/>
        <v>55</v>
      </c>
      <c r="V39" s="251"/>
    </row>
    <row r="40" spans="1:22" ht="16.5" customHeight="1" x14ac:dyDescent="0.2">
      <c r="A40" s="33">
        <v>242</v>
      </c>
      <c r="B40" s="214" t="str">
        <f t="shared" si="0"/>
        <v>Maionese Heinz</v>
      </c>
      <c r="C40" s="215"/>
      <c r="D40" s="216"/>
      <c r="E40" s="223" t="s">
        <v>65</v>
      </c>
      <c r="F40" s="224"/>
      <c r="G40" s="225"/>
      <c r="H40" s="223" t="s">
        <v>36</v>
      </c>
      <c r="I40" s="225"/>
      <c r="J40" s="31">
        <v>217</v>
      </c>
      <c r="K40" s="235">
        <f t="shared" ca="1" si="1"/>
        <v>62</v>
      </c>
      <c r="L40" s="236"/>
      <c r="M40" s="235">
        <f t="shared" ca="1" si="2"/>
        <v>13454</v>
      </c>
      <c r="N40" s="236"/>
      <c r="O40" s="241">
        <f t="shared" ca="1" si="3"/>
        <v>53.94</v>
      </c>
      <c r="P40" s="242"/>
      <c r="Q40" s="241" t="e">
        <f t="shared" ca="1" si="6"/>
        <v>#N/A</v>
      </c>
      <c r="R40" s="242"/>
      <c r="S40" s="247">
        <f t="shared" ca="1" si="4"/>
        <v>124</v>
      </c>
      <c r="T40" s="248"/>
      <c r="U40" s="247">
        <f t="shared" ca="1" si="5"/>
        <v>93</v>
      </c>
      <c r="V40" s="251"/>
    </row>
    <row r="41" spans="1:22" ht="16.5" customHeight="1" thickBot="1" x14ac:dyDescent="0.25">
      <c r="A41" s="34">
        <v>296</v>
      </c>
      <c r="B41" s="226" t="str">
        <f t="shared" si="0"/>
        <v>Milho Coqueiro</v>
      </c>
      <c r="C41" s="227"/>
      <c r="D41" s="228"/>
      <c r="E41" s="229" t="s">
        <v>63</v>
      </c>
      <c r="F41" s="230"/>
      <c r="G41" s="231"/>
      <c r="H41" s="229" t="s">
        <v>35</v>
      </c>
      <c r="I41" s="231"/>
      <c r="J41" s="35">
        <v>109</v>
      </c>
      <c r="K41" s="237">
        <f t="shared" ca="1" si="1"/>
        <v>116</v>
      </c>
      <c r="L41" s="238"/>
      <c r="M41" s="237">
        <f t="shared" ca="1" si="2"/>
        <v>12644</v>
      </c>
      <c r="N41" s="238"/>
      <c r="O41" s="243">
        <f t="shared" ca="1" si="3"/>
        <v>98.6</v>
      </c>
      <c r="P41" s="244"/>
      <c r="Q41" s="243" t="e">
        <f t="shared" ca="1" si="6"/>
        <v>#N/A</v>
      </c>
      <c r="R41" s="244"/>
      <c r="S41" s="252">
        <f t="shared" ca="1" si="4"/>
        <v>115</v>
      </c>
      <c r="T41" s="253"/>
      <c r="U41" s="252">
        <f t="shared" ca="1" si="5"/>
        <v>-6</v>
      </c>
      <c r="V41" s="276"/>
    </row>
    <row r="42" spans="1:22" ht="16.5" customHeight="1" x14ac:dyDescent="0.2">
      <c r="A42" s="28"/>
      <c r="B42" s="28"/>
      <c r="C42" s="28"/>
      <c r="D42" s="28"/>
      <c r="E42" s="28"/>
      <c r="F42" s="28"/>
      <c r="G42" s="28"/>
      <c r="I42" s="28"/>
      <c r="K42" s="28"/>
      <c r="L42" s="32"/>
      <c r="M42" s="28"/>
      <c r="N42" s="28"/>
      <c r="O42" s="28"/>
      <c r="P42" s="28"/>
    </row>
    <row r="43" spans="1:22" ht="16.5" customHeight="1" thickBot="1" x14ac:dyDescent="0.25"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22" ht="16.5" customHeight="1" thickBot="1" x14ac:dyDescent="0.3">
      <c r="A44" s="266" t="s">
        <v>264</v>
      </c>
      <c r="B44" s="267"/>
      <c r="C44" s="267"/>
      <c r="D44" s="267"/>
      <c r="E44" s="268"/>
      <c r="H44" s="301" t="s">
        <v>74</v>
      </c>
      <c r="I44" s="302"/>
      <c r="J44" s="303"/>
      <c r="L44" s="28"/>
      <c r="M44" s="311" t="s">
        <v>58</v>
      </c>
      <c r="N44" s="312"/>
      <c r="O44" s="313"/>
    </row>
    <row r="45" spans="1:22" ht="16.5" customHeight="1" thickBot="1" x14ac:dyDescent="0.3">
      <c r="A45" s="269" t="s">
        <v>265</v>
      </c>
      <c r="B45" s="270"/>
      <c r="C45" s="270"/>
      <c r="D45" s="271"/>
      <c r="E45" s="40" t="s">
        <v>266</v>
      </c>
      <c r="H45" s="304" t="s">
        <v>67</v>
      </c>
      <c r="I45" s="305"/>
      <c r="J45" s="306"/>
      <c r="L45" s="28"/>
      <c r="M45" s="272" t="s">
        <v>57</v>
      </c>
      <c r="N45" s="273"/>
      <c r="O45" s="43">
        <f t="shared" ref="O45:O52" si="7">COUNTIF($H$15:$H$41,H15)</f>
        <v>1</v>
      </c>
    </row>
    <row r="46" spans="1:22" ht="16.5" customHeight="1" x14ac:dyDescent="0.25">
      <c r="A46" s="262" t="s">
        <v>267</v>
      </c>
      <c r="B46" s="263"/>
      <c r="C46" s="263" t="s">
        <v>79</v>
      </c>
      <c r="D46" s="263"/>
      <c r="E46" s="41">
        <v>0.1</v>
      </c>
      <c r="H46" s="304" t="s">
        <v>77</v>
      </c>
      <c r="I46" s="305"/>
      <c r="J46" s="306"/>
      <c r="L46" s="28"/>
      <c r="M46" s="274" t="s">
        <v>56</v>
      </c>
      <c r="N46" s="275"/>
      <c r="O46" s="44">
        <f t="shared" si="7"/>
        <v>1</v>
      </c>
    </row>
    <row r="47" spans="1:22" ht="16.5" customHeight="1" thickBot="1" x14ac:dyDescent="0.3">
      <c r="A47" s="264">
        <f ca="1">AVERAGE(K15:K41)</f>
        <v>84.629629629629633</v>
      </c>
      <c r="B47" s="265"/>
      <c r="C47" s="252" t="e">
        <f ca="1">_xlfn.MODE.SNGL(K15:K41)</f>
        <v>#N/A</v>
      </c>
      <c r="D47" s="253"/>
      <c r="E47" s="42">
        <v>0.01</v>
      </c>
      <c r="H47" s="304" t="s">
        <v>76</v>
      </c>
      <c r="I47" s="305"/>
      <c r="J47" s="306"/>
      <c r="L47" s="28"/>
      <c r="M47" s="274" t="s">
        <v>55</v>
      </c>
      <c r="N47" s="275"/>
      <c r="O47" s="44">
        <f t="shared" si="7"/>
        <v>1</v>
      </c>
    </row>
    <row r="48" spans="1:22" ht="16.5" customHeight="1" thickBot="1" x14ac:dyDescent="0.3">
      <c r="A48" s="28"/>
      <c r="B48" s="28"/>
      <c r="C48" s="28"/>
      <c r="D48" s="28"/>
      <c r="E48" s="28"/>
      <c r="H48" s="304" t="s">
        <v>75</v>
      </c>
      <c r="I48" s="305"/>
      <c r="J48" s="306"/>
      <c r="M48" s="274" t="s">
        <v>54</v>
      </c>
      <c r="N48" s="275"/>
      <c r="O48" s="44">
        <f t="shared" si="7"/>
        <v>1</v>
      </c>
    </row>
    <row r="49" spans="1:19" ht="16.5" customHeight="1" thickBot="1" x14ac:dyDescent="0.3">
      <c r="A49" s="266" t="s">
        <v>263</v>
      </c>
      <c r="B49" s="267"/>
      <c r="C49" s="267"/>
      <c r="D49" s="267"/>
      <c r="E49" s="268"/>
      <c r="H49" s="304" t="s">
        <v>73</v>
      </c>
      <c r="I49" s="305"/>
      <c r="J49" s="306"/>
      <c r="M49" s="274" t="s">
        <v>53</v>
      </c>
      <c r="N49" s="275"/>
      <c r="O49" s="44">
        <f t="shared" si="7"/>
        <v>1</v>
      </c>
    </row>
    <row r="50" spans="1:19" ht="16.5" customHeight="1" thickBot="1" x14ac:dyDescent="0.3">
      <c r="A50" s="286" t="s">
        <v>261</v>
      </c>
      <c r="B50" s="287"/>
      <c r="C50" s="288"/>
      <c r="D50" s="286" t="s">
        <v>262</v>
      </c>
      <c r="E50" s="288"/>
      <c r="H50" s="304" t="s">
        <v>71</v>
      </c>
      <c r="I50" s="305"/>
      <c r="J50" s="306"/>
      <c r="M50" s="274" t="s">
        <v>52</v>
      </c>
      <c r="N50" s="275"/>
      <c r="O50" s="44">
        <f t="shared" si="7"/>
        <v>1</v>
      </c>
    </row>
    <row r="51" spans="1:19" ht="16.5" customHeight="1" x14ac:dyDescent="0.25">
      <c r="A51" s="289" t="s">
        <v>67</v>
      </c>
      <c r="B51" s="290"/>
      <c r="C51" s="290"/>
      <c r="D51" s="297">
        <v>0.1</v>
      </c>
      <c r="E51" s="298"/>
      <c r="H51" s="304" t="s">
        <v>70</v>
      </c>
      <c r="I51" s="305"/>
      <c r="J51" s="306"/>
      <c r="M51" s="274" t="s">
        <v>51</v>
      </c>
      <c r="N51" s="275"/>
      <c r="O51" s="44">
        <f t="shared" si="7"/>
        <v>2</v>
      </c>
    </row>
    <row r="52" spans="1:19" ht="16.5" customHeight="1" x14ac:dyDescent="0.25">
      <c r="A52" s="280" t="s">
        <v>69</v>
      </c>
      <c r="B52" s="281"/>
      <c r="C52" s="281"/>
      <c r="D52" s="291">
        <v>0.05</v>
      </c>
      <c r="E52" s="292"/>
      <c r="H52" s="66" t="s">
        <v>68</v>
      </c>
      <c r="I52" s="67"/>
      <c r="J52" s="68"/>
      <c r="M52" s="274" t="s">
        <v>50</v>
      </c>
      <c r="N52" s="275"/>
      <c r="O52" s="44">
        <f t="shared" si="7"/>
        <v>1</v>
      </c>
    </row>
    <row r="53" spans="1:19" ht="16.5" customHeight="1" x14ac:dyDescent="0.25">
      <c r="A53" s="280" t="s">
        <v>87</v>
      </c>
      <c r="B53" s="281"/>
      <c r="C53" s="281"/>
      <c r="D53" s="284">
        <v>0.15</v>
      </c>
      <c r="E53" s="285"/>
      <c r="H53" s="304" t="s">
        <v>66</v>
      </c>
      <c r="I53" s="305"/>
      <c r="J53" s="306"/>
      <c r="M53" s="274" t="s">
        <v>49</v>
      </c>
      <c r="N53" s="275"/>
      <c r="O53" s="44">
        <f>COUNTIF($H$15:$H$41,H24)</f>
        <v>2</v>
      </c>
    </row>
    <row r="54" spans="1:19" ht="16.5" customHeight="1" x14ac:dyDescent="0.25">
      <c r="A54" s="280" t="s">
        <v>63</v>
      </c>
      <c r="B54" s="281"/>
      <c r="C54" s="281"/>
      <c r="D54" s="284"/>
      <c r="E54" s="285"/>
      <c r="H54" s="304" t="s">
        <v>64</v>
      </c>
      <c r="I54" s="305"/>
      <c r="J54" s="306"/>
      <c r="M54" s="274" t="s">
        <v>48</v>
      </c>
      <c r="N54" s="275"/>
      <c r="O54" s="44">
        <f>COUNTIF($H$15:$H$41,H25)</f>
        <v>1</v>
      </c>
    </row>
    <row r="55" spans="1:19" ht="16.5" customHeight="1" x14ac:dyDescent="0.25">
      <c r="A55" s="280" t="s">
        <v>86</v>
      </c>
      <c r="B55" s="281"/>
      <c r="C55" s="281"/>
      <c r="D55" s="291">
        <v>0.05</v>
      </c>
      <c r="E55" s="292"/>
      <c r="H55" s="304" t="s">
        <v>62</v>
      </c>
      <c r="I55" s="305"/>
      <c r="J55" s="306"/>
      <c r="M55" s="274" t="s">
        <v>204</v>
      </c>
      <c r="N55" s="275"/>
      <c r="O55" s="44">
        <f>COUNTIF($H$15:$H$41,H27)</f>
        <v>2</v>
      </c>
      <c r="S55"/>
    </row>
    <row r="56" spans="1:19" ht="16.5" customHeight="1" x14ac:dyDescent="0.25">
      <c r="A56" s="280" t="s">
        <v>81</v>
      </c>
      <c r="B56" s="281"/>
      <c r="C56" s="281"/>
      <c r="D56" s="284">
        <v>0.13</v>
      </c>
      <c r="E56" s="285"/>
      <c r="H56" s="304" t="s">
        <v>61</v>
      </c>
      <c r="I56" s="305"/>
      <c r="J56" s="306"/>
      <c r="M56" s="274" t="s">
        <v>46</v>
      </c>
      <c r="N56" s="275"/>
      <c r="O56" s="44">
        <f t="shared" ref="O56:O67" si="8">COUNTIF($H$15:$H$41,H30)</f>
        <v>1</v>
      </c>
      <c r="S56"/>
    </row>
    <row r="57" spans="1:19" ht="16.5" customHeight="1" x14ac:dyDescent="0.25">
      <c r="A57" s="280" t="s">
        <v>65</v>
      </c>
      <c r="B57" s="281"/>
      <c r="C57" s="281"/>
      <c r="D57" s="284"/>
      <c r="E57" s="285"/>
      <c r="G57" s="28"/>
      <c r="M57" s="274" t="s">
        <v>45</v>
      </c>
      <c r="N57" s="275"/>
      <c r="O57" s="44">
        <f t="shared" si="8"/>
        <v>1</v>
      </c>
    </row>
    <row r="58" spans="1:19" ht="16.5" customHeight="1" x14ac:dyDescent="0.25">
      <c r="A58" s="280" t="s">
        <v>78</v>
      </c>
      <c r="B58" s="281"/>
      <c r="C58" s="281"/>
      <c r="D58" s="291">
        <v>0.2</v>
      </c>
      <c r="E58" s="292"/>
      <c r="G58" s="28"/>
      <c r="M58" s="274" t="s">
        <v>44</v>
      </c>
      <c r="N58" s="275"/>
      <c r="O58" s="44">
        <f t="shared" si="8"/>
        <v>1</v>
      </c>
    </row>
    <row r="59" spans="1:19" ht="16.5" customHeight="1" thickBot="1" x14ac:dyDescent="0.3">
      <c r="A59" s="282" t="s">
        <v>72</v>
      </c>
      <c r="B59" s="283"/>
      <c r="C59" s="283"/>
      <c r="D59" s="299">
        <v>0.1</v>
      </c>
      <c r="E59" s="300"/>
      <c r="G59" s="28"/>
      <c r="M59" s="274" t="s">
        <v>205</v>
      </c>
      <c r="N59" s="275"/>
      <c r="O59" s="44">
        <f t="shared" si="8"/>
        <v>1</v>
      </c>
    </row>
    <row r="60" spans="1:19" ht="16.5" customHeight="1" x14ac:dyDescent="0.25">
      <c r="A60" s="28"/>
      <c r="G60" s="28"/>
      <c r="M60" s="274" t="s">
        <v>42</v>
      </c>
      <c r="N60" s="275"/>
      <c r="O60" s="44">
        <f t="shared" si="8"/>
        <v>1</v>
      </c>
    </row>
    <row r="61" spans="1:19" ht="16.5" customHeight="1" x14ac:dyDescent="0.25">
      <c r="A61" s="28"/>
      <c r="B61" s="28"/>
      <c r="C61" s="28"/>
      <c r="G61" s="28"/>
      <c r="L61" s="28"/>
      <c r="M61" s="274" t="s">
        <v>41</v>
      </c>
      <c r="N61" s="275"/>
      <c r="O61" s="44">
        <f t="shared" si="8"/>
        <v>1</v>
      </c>
    </row>
    <row r="62" spans="1:19" ht="16.5" customHeight="1" x14ac:dyDescent="0.25">
      <c r="A62" s="28"/>
      <c r="B62" s="28"/>
      <c r="C62" s="28"/>
      <c r="G62" s="28"/>
      <c r="L62" s="28"/>
      <c r="M62" s="274" t="s">
        <v>206</v>
      </c>
      <c r="N62" s="275"/>
      <c r="O62" s="44">
        <f t="shared" si="8"/>
        <v>1</v>
      </c>
    </row>
    <row r="63" spans="1:19" ht="16.5" customHeight="1" x14ac:dyDescent="0.25">
      <c r="A63" s="28"/>
      <c r="B63" s="28"/>
      <c r="C63" s="28"/>
      <c r="D63" s="28"/>
      <c r="E63" s="28"/>
      <c r="G63" s="28"/>
      <c r="L63" s="28"/>
      <c r="M63" s="274" t="s">
        <v>39</v>
      </c>
      <c r="N63" s="275"/>
      <c r="O63" s="44">
        <f t="shared" si="8"/>
        <v>1</v>
      </c>
    </row>
    <row r="64" spans="1:19" ht="16.5" customHeight="1" x14ac:dyDescent="0.25">
      <c r="A64" s="28"/>
      <c r="B64" s="28"/>
      <c r="C64" s="28"/>
      <c r="D64" s="28"/>
      <c r="E64" s="28"/>
      <c r="G64" s="28"/>
      <c r="L64" s="28"/>
      <c r="M64" s="274" t="s">
        <v>38</v>
      </c>
      <c r="N64" s="275"/>
      <c r="O64" s="44">
        <f t="shared" si="8"/>
        <v>1</v>
      </c>
    </row>
    <row r="65" spans="1:15" ht="16.5" customHeight="1" x14ac:dyDescent="0.25">
      <c r="A65" s="28"/>
      <c r="B65" s="28"/>
      <c r="C65" s="28"/>
      <c r="D65" s="28"/>
      <c r="E65" s="28"/>
      <c r="G65" s="28"/>
      <c r="L65" s="28"/>
      <c r="M65" s="274" t="s">
        <v>37</v>
      </c>
      <c r="N65" s="275"/>
      <c r="O65" s="44">
        <f t="shared" si="8"/>
        <v>1</v>
      </c>
    </row>
    <row r="66" spans="1:15" ht="16.5" customHeight="1" x14ac:dyDescent="0.25">
      <c r="A66" s="28"/>
      <c r="B66" s="28"/>
      <c r="C66" s="28"/>
      <c r="D66" s="28"/>
      <c r="E66" s="28"/>
      <c r="G66" s="28"/>
      <c r="L66" s="28"/>
      <c r="M66" s="274" t="s">
        <v>36</v>
      </c>
      <c r="N66" s="275"/>
      <c r="O66" s="44">
        <f t="shared" si="8"/>
        <v>2</v>
      </c>
    </row>
    <row r="67" spans="1:15" ht="16.5" customHeight="1" thickBot="1" x14ac:dyDescent="0.3">
      <c r="A67" s="28"/>
      <c r="B67" s="28"/>
      <c r="C67" s="28"/>
      <c r="D67" s="28"/>
      <c r="E67" s="28"/>
      <c r="G67" s="28"/>
      <c r="L67" s="28"/>
      <c r="M67" s="309" t="s">
        <v>35</v>
      </c>
      <c r="N67" s="310"/>
      <c r="O67" s="45">
        <f t="shared" si="8"/>
        <v>1</v>
      </c>
    </row>
    <row r="68" spans="1:15" x14ac:dyDescent="0.2">
      <c r="A68" s="28"/>
      <c r="B68" s="28"/>
      <c r="C68" s="28"/>
      <c r="D68" s="28"/>
      <c r="E68" s="28"/>
      <c r="G68" s="28"/>
      <c r="L68" s="28"/>
      <c r="M68" s="28"/>
      <c r="N68" s="28"/>
      <c r="O68" s="28"/>
    </row>
    <row r="70" spans="1:15" ht="15.75" hidden="1" thickBot="1" x14ac:dyDescent="0.3">
      <c r="B70" s="293" t="s">
        <v>257</v>
      </c>
      <c r="C70" s="294"/>
    </row>
    <row r="71" spans="1:15" ht="15" hidden="1" customHeight="1" x14ac:dyDescent="0.2">
      <c r="B71" s="295" t="s">
        <v>234</v>
      </c>
      <c r="C71" s="296"/>
    </row>
    <row r="72" spans="1:15" ht="15" hidden="1" customHeight="1" x14ac:dyDescent="0.2">
      <c r="B72" s="278" t="s">
        <v>235</v>
      </c>
      <c r="C72" s="279"/>
    </row>
    <row r="73" spans="1:15" ht="15" hidden="1" customHeight="1" x14ac:dyDescent="0.2">
      <c r="B73" s="278" t="s">
        <v>236</v>
      </c>
      <c r="C73" s="279"/>
    </row>
    <row r="74" spans="1:15" hidden="1" x14ac:dyDescent="0.2">
      <c r="B74" s="278" t="s">
        <v>237</v>
      </c>
      <c r="C74" s="279"/>
    </row>
    <row r="75" spans="1:15" hidden="1" x14ac:dyDescent="0.2">
      <c r="B75" s="278" t="s">
        <v>238</v>
      </c>
      <c r="C75" s="279"/>
    </row>
    <row r="76" spans="1:15" hidden="1" x14ac:dyDescent="0.2">
      <c r="B76" s="278" t="s">
        <v>239</v>
      </c>
      <c r="C76" s="279"/>
    </row>
    <row r="77" spans="1:15" hidden="1" x14ac:dyDescent="0.2">
      <c r="B77" s="278" t="s">
        <v>240</v>
      </c>
      <c r="C77" s="279"/>
    </row>
    <row r="78" spans="1:15" hidden="1" x14ac:dyDescent="0.2">
      <c r="B78" s="278" t="s">
        <v>241</v>
      </c>
      <c r="C78" s="279"/>
    </row>
    <row r="79" spans="1:15" hidden="1" x14ac:dyDescent="0.2">
      <c r="B79" s="278" t="s">
        <v>242</v>
      </c>
      <c r="C79" s="279"/>
    </row>
    <row r="80" spans="1:15" hidden="1" x14ac:dyDescent="0.2">
      <c r="B80" s="278" t="s">
        <v>243</v>
      </c>
      <c r="C80" s="279"/>
    </row>
    <row r="81" spans="2:3" hidden="1" x14ac:dyDescent="0.2">
      <c r="B81" s="278" t="s">
        <v>243</v>
      </c>
      <c r="C81" s="279"/>
    </row>
    <row r="82" spans="2:3" hidden="1" x14ac:dyDescent="0.2">
      <c r="B82" s="278" t="s">
        <v>242</v>
      </c>
      <c r="C82" s="279"/>
    </row>
    <row r="83" spans="2:3" hidden="1" x14ac:dyDescent="0.2">
      <c r="B83" s="278" t="s">
        <v>244</v>
      </c>
      <c r="C83" s="279"/>
    </row>
    <row r="84" spans="2:3" hidden="1" x14ac:dyDescent="0.2">
      <c r="B84" s="278" t="s">
        <v>242</v>
      </c>
      <c r="C84" s="279"/>
    </row>
    <row r="85" spans="2:3" ht="14.25" hidden="1" customHeight="1" x14ac:dyDescent="0.2">
      <c r="B85" s="278" t="s">
        <v>245</v>
      </c>
      <c r="C85" s="279"/>
    </row>
    <row r="86" spans="2:3" ht="15" hidden="1" customHeight="1" x14ac:dyDescent="0.2">
      <c r="B86" s="278" t="s">
        <v>246</v>
      </c>
      <c r="C86" s="279"/>
    </row>
    <row r="87" spans="2:3" hidden="1" x14ac:dyDescent="0.2">
      <c r="B87" s="278" t="s">
        <v>247</v>
      </c>
      <c r="C87" s="279"/>
    </row>
    <row r="88" spans="2:3" hidden="1" x14ac:dyDescent="0.2">
      <c r="B88" s="278" t="s">
        <v>248</v>
      </c>
      <c r="C88" s="279"/>
    </row>
    <row r="89" spans="2:3" hidden="1" x14ac:dyDescent="0.2">
      <c r="B89" s="278" t="s">
        <v>249</v>
      </c>
      <c r="C89" s="279"/>
    </row>
    <row r="90" spans="2:3" hidden="1" x14ac:dyDescent="0.2">
      <c r="B90" s="278" t="s">
        <v>250</v>
      </c>
      <c r="C90" s="279"/>
    </row>
    <row r="91" spans="2:3" hidden="1" x14ac:dyDescent="0.2">
      <c r="B91" s="278" t="s">
        <v>251</v>
      </c>
      <c r="C91" s="279"/>
    </row>
    <row r="92" spans="2:3" hidden="1" x14ac:dyDescent="0.2">
      <c r="B92" s="278" t="s">
        <v>251</v>
      </c>
      <c r="C92" s="279"/>
    </row>
    <row r="93" spans="2:3" hidden="1" x14ac:dyDescent="0.2">
      <c r="B93" s="278" t="s">
        <v>252</v>
      </c>
      <c r="C93" s="279"/>
    </row>
    <row r="94" spans="2:3" hidden="1" x14ac:dyDescent="0.2">
      <c r="B94" s="278" t="s">
        <v>253</v>
      </c>
      <c r="C94" s="279"/>
    </row>
    <row r="95" spans="2:3" hidden="1" x14ac:dyDescent="0.2">
      <c r="B95" s="278" t="s">
        <v>254</v>
      </c>
      <c r="C95" s="279"/>
    </row>
    <row r="96" spans="2:3" hidden="1" x14ac:dyDescent="0.2">
      <c r="B96" s="278" t="s">
        <v>255</v>
      </c>
      <c r="C96" s="279"/>
    </row>
    <row r="97" spans="2:3" ht="15" hidden="1" thickBot="1" x14ac:dyDescent="0.25">
      <c r="B97" s="307" t="s">
        <v>256</v>
      </c>
      <c r="C97" s="308"/>
    </row>
  </sheetData>
  <protectedRanges>
    <protectedRange sqref="B14:B41 B48:E49 A6:AE8 H43 H14:H41 J14:K41 M14:M41 O14:O41 V11:AE315 B12:U13 U14:U41 Q14:Q41 S14:S41 I78:I315 T42:U315 D43 A11:A42 B42:D42 D50:D59 H44:I56 D63:E315 E14:E47 C46:C47 A44:C44 A46:A315 H70:H315 G57:G315 F78:F315 B70:B97 P78:P315 Q67:S315 C70:C73 F42:G43 C87:C97 P42:S42 O44:O315 N42:O43 M68:N69 M48:M67 L42:M47 L70:N315 J72:K315 K42:K43 J43:J45 B61:C69 B98:C315 L61:L69 I42:I43 A9:L10 P9:AE10 B11:L11 P11:U11" name="corpo_home_1"/>
    <protectedRange sqref="M9:O11" name="corpo_home_1_1_1_1"/>
  </protectedRanges>
  <mergeCells count="350">
    <mergeCell ref="S9:V11"/>
    <mergeCell ref="M65:N65"/>
    <mergeCell ref="M66:N66"/>
    <mergeCell ref="M67:N67"/>
    <mergeCell ref="M44:O44"/>
    <mergeCell ref="A9:C11"/>
    <mergeCell ref="D9:F11"/>
    <mergeCell ref="G9:I11"/>
    <mergeCell ref="J9:L11"/>
    <mergeCell ref="M9:O11"/>
    <mergeCell ref="M55:N55"/>
    <mergeCell ref="M56:N56"/>
    <mergeCell ref="M57:N57"/>
    <mergeCell ref="M62:N62"/>
    <mergeCell ref="M64:N64"/>
    <mergeCell ref="M49:N49"/>
    <mergeCell ref="M50:N50"/>
    <mergeCell ref="M51:N51"/>
    <mergeCell ref="M52:N52"/>
    <mergeCell ref="M54:N54"/>
    <mergeCell ref="M63:N63"/>
    <mergeCell ref="M58:N58"/>
    <mergeCell ref="M59:N59"/>
    <mergeCell ref="M60:N60"/>
    <mergeCell ref="M61:N61"/>
    <mergeCell ref="M53:N53"/>
    <mergeCell ref="M48:N48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D52:E52"/>
    <mergeCell ref="D58:E58"/>
    <mergeCell ref="D59:E59"/>
    <mergeCell ref="A58:C58"/>
    <mergeCell ref="H44:J44"/>
    <mergeCell ref="H45:J45"/>
    <mergeCell ref="H46:J46"/>
    <mergeCell ref="H47:J47"/>
    <mergeCell ref="H48:J48"/>
    <mergeCell ref="H49:J49"/>
    <mergeCell ref="H50:J50"/>
    <mergeCell ref="H51:J51"/>
    <mergeCell ref="H53:J53"/>
    <mergeCell ref="H54:J54"/>
    <mergeCell ref="H55:J55"/>
    <mergeCell ref="H56:J56"/>
    <mergeCell ref="B82:C82"/>
    <mergeCell ref="A55:C55"/>
    <mergeCell ref="A56:C56"/>
    <mergeCell ref="A57:C57"/>
    <mergeCell ref="A59:C59"/>
    <mergeCell ref="A49:E49"/>
    <mergeCell ref="D53:E54"/>
    <mergeCell ref="D56:E57"/>
    <mergeCell ref="A50:C50"/>
    <mergeCell ref="A51:C51"/>
    <mergeCell ref="A52:C52"/>
    <mergeCell ref="A53:C53"/>
    <mergeCell ref="A54:C54"/>
    <mergeCell ref="D55:E55"/>
    <mergeCell ref="B70:C70"/>
    <mergeCell ref="B71:C71"/>
    <mergeCell ref="B72:C72"/>
    <mergeCell ref="B73:C73"/>
    <mergeCell ref="B74:C74"/>
    <mergeCell ref="B75:C75"/>
    <mergeCell ref="B76:C76"/>
    <mergeCell ref="B77:C77"/>
    <mergeCell ref="D50:E50"/>
    <mergeCell ref="D51:E51"/>
    <mergeCell ref="A12:V13"/>
    <mergeCell ref="A1:V8"/>
    <mergeCell ref="A46:B46"/>
    <mergeCell ref="A47:B47"/>
    <mergeCell ref="A44:E44"/>
    <mergeCell ref="C46:D46"/>
    <mergeCell ref="A45:D45"/>
    <mergeCell ref="C47:D47"/>
    <mergeCell ref="M45:N45"/>
    <mergeCell ref="M46:N46"/>
    <mergeCell ref="M47:N47"/>
    <mergeCell ref="P9:R11"/>
    <mergeCell ref="U38:V38"/>
    <mergeCell ref="U39:V39"/>
    <mergeCell ref="U40:V40"/>
    <mergeCell ref="U41:V41"/>
    <mergeCell ref="U14:V14"/>
    <mergeCell ref="U33:V33"/>
    <mergeCell ref="U34:V34"/>
    <mergeCell ref="U35:V35"/>
    <mergeCell ref="U36:V36"/>
    <mergeCell ref="U37:V37"/>
    <mergeCell ref="U28:V28"/>
    <mergeCell ref="U29:V29"/>
    <mergeCell ref="U30:V30"/>
    <mergeCell ref="U31:V31"/>
    <mergeCell ref="U32:V32"/>
    <mergeCell ref="S40:T40"/>
    <mergeCell ref="S41:T41"/>
    <mergeCell ref="S14:T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S35:T35"/>
    <mergeCell ref="S36:T36"/>
    <mergeCell ref="S37:T37"/>
    <mergeCell ref="S38:T38"/>
    <mergeCell ref="S39:T39"/>
    <mergeCell ref="S30:T30"/>
    <mergeCell ref="S31:T31"/>
    <mergeCell ref="S32:T32"/>
    <mergeCell ref="S33:T33"/>
    <mergeCell ref="S34:T34"/>
    <mergeCell ref="S25:T25"/>
    <mergeCell ref="S26:T26"/>
    <mergeCell ref="S27:T27"/>
    <mergeCell ref="S28:T28"/>
    <mergeCell ref="S29:T29"/>
    <mergeCell ref="S20:T20"/>
    <mergeCell ref="S21:T21"/>
    <mergeCell ref="S22:T22"/>
    <mergeCell ref="S23:T23"/>
    <mergeCell ref="S24:T24"/>
    <mergeCell ref="S15:T15"/>
    <mergeCell ref="S16:T16"/>
    <mergeCell ref="S17:T17"/>
    <mergeCell ref="S18:T18"/>
    <mergeCell ref="S19:T19"/>
    <mergeCell ref="Q39:R39"/>
    <mergeCell ref="Q40:R40"/>
    <mergeCell ref="Q41:R41"/>
    <mergeCell ref="Q14:R14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O35:P35"/>
    <mergeCell ref="O36:P36"/>
    <mergeCell ref="O37:P37"/>
    <mergeCell ref="O38:P38"/>
    <mergeCell ref="O30:P30"/>
    <mergeCell ref="O31:P31"/>
    <mergeCell ref="O32:P32"/>
    <mergeCell ref="Q38:R38"/>
    <mergeCell ref="O14:P14"/>
    <mergeCell ref="Q15:R15"/>
    <mergeCell ref="Q16:R16"/>
    <mergeCell ref="Q17:R17"/>
    <mergeCell ref="Q18:R18"/>
    <mergeCell ref="Q19:R19"/>
    <mergeCell ref="Q20:R20"/>
    <mergeCell ref="Q21:R21"/>
    <mergeCell ref="Q22:R22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0:P40"/>
    <mergeCell ref="O41:P41"/>
    <mergeCell ref="O39:P39"/>
    <mergeCell ref="M23:N23"/>
    <mergeCell ref="M24:N24"/>
    <mergeCell ref="M25:N25"/>
    <mergeCell ref="M26:N26"/>
    <mergeCell ref="M27:N27"/>
    <mergeCell ref="M28:N28"/>
    <mergeCell ref="M29:N29"/>
    <mergeCell ref="M38:N38"/>
    <mergeCell ref="M39:N39"/>
    <mergeCell ref="M40:N40"/>
    <mergeCell ref="M41:N41"/>
    <mergeCell ref="O33:P33"/>
    <mergeCell ref="O34:P34"/>
    <mergeCell ref="O25:P25"/>
    <mergeCell ref="O26:P26"/>
    <mergeCell ref="O27:P27"/>
    <mergeCell ref="O28:P28"/>
    <mergeCell ref="O29:P29"/>
    <mergeCell ref="K35:L35"/>
    <mergeCell ref="K36:L36"/>
    <mergeCell ref="K37:L37"/>
    <mergeCell ref="K38:L38"/>
    <mergeCell ref="K30:L30"/>
    <mergeCell ref="K31:L31"/>
    <mergeCell ref="K32:L32"/>
    <mergeCell ref="M33:N33"/>
    <mergeCell ref="M34:N34"/>
    <mergeCell ref="M35:N35"/>
    <mergeCell ref="M36:N36"/>
    <mergeCell ref="M37:N37"/>
    <mergeCell ref="M30:N30"/>
    <mergeCell ref="M31:N31"/>
    <mergeCell ref="M32:N32"/>
    <mergeCell ref="K26:L26"/>
    <mergeCell ref="K27:L27"/>
    <mergeCell ref="K28:L28"/>
    <mergeCell ref="K29:L29"/>
    <mergeCell ref="K14:L14"/>
    <mergeCell ref="M15:N15"/>
    <mergeCell ref="M16:N16"/>
    <mergeCell ref="M17:N17"/>
    <mergeCell ref="M18:N18"/>
    <mergeCell ref="M19:N19"/>
    <mergeCell ref="M20:N20"/>
    <mergeCell ref="M21:N21"/>
    <mergeCell ref="M22:N22"/>
    <mergeCell ref="M14:N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40:L40"/>
    <mergeCell ref="K41:L41"/>
    <mergeCell ref="K39:L39"/>
    <mergeCell ref="E31:G31"/>
    <mergeCell ref="H14:I14"/>
    <mergeCell ref="H33:I33"/>
    <mergeCell ref="H34:I34"/>
    <mergeCell ref="H35:I35"/>
    <mergeCell ref="H36:I36"/>
    <mergeCell ref="H37:I37"/>
    <mergeCell ref="H28:I28"/>
    <mergeCell ref="H29:I29"/>
    <mergeCell ref="H30:I30"/>
    <mergeCell ref="H31:I31"/>
    <mergeCell ref="H32:I32"/>
    <mergeCell ref="H38:I38"/>
    <mergeCell ref="H39:I39"/>
    <mergeCell ref="H40:I40"/>
    <mergeCell ref="H41:I41"/>
    <mergeCell ref="K33:L33"/>
    <mergeCell ref="K34:L34"/>
    <mergeCell ref="K25:L25"/>
    <mergeCell ref="E39:G39"/>
    <mergeCell ref="E40:G40"/>
    <mergeCell ref="E14:G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E34:G34"/>
    <mergeCell ref="E35:G35"/>
    <mergeCell ref="E36:G36"/>
    <mergeCell ref="E37:G37"/>
    <mergeCell ref="E38:G38"/>
    <mergeCell ref="E29:G29"/>
    <mergeCell ref="E30:G30"/>
    <mergeCell ref="E32:G32"/>
    <mergeCell ref="E33:G33"/>
    <mergeCell ref="B41:D41"/>
    <mergeCell ref="E41:G41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B36:D36"/>
    <mergeCell ref="B37:D37"/>
    <mergeCell ref="B38:D38"/>
    <mergeCell ref="B39:D39"/>
    <mergeCell ref="B40:D40"/>
    <mergeCell ref="B31:D31"/>
    <mergeCell ref="B14:D14"/>
    <mergeCell ref="B33:D33"/>
    <mergeCell ref="B34:D34"/>
    <mergeCell ref="B35:D35"/>
    <mergeCell ref="B32:D32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</mergeCells>
  <conditionalFormatting sqref="A15:A41">
    <cfRule type="duplicateValues" dxfId="3" priority="1"/>
    <cfRule type="duplicateValues" dxfId="2" priority="4"/>
  </conditionalFormatting>
  <conditionalFormatting sqref="J15:J41">
    <cfRule type="duplicateValues" dxfId="1" priority="2"/>
    <cfRule type="duplicateValues" dxfId="0" priority="3"/>
  </conditionalFormatting>
  <hyperlinks>
    <hyperlink ref="P9:R11" location="Eletrônicos!A1" display="ALIMENTOS E BEBIDAS" xr:uid="{1FEB88DF-F0AD-4573-83B1-908330F55931}"/>
    <hyperlink ref="G9:I11" location="Automotivo!A1" display="AUTOMOTIVO" xr:uid="{A38C2311-6DD7-4934-A502-F45F0FCA9140}"/>
    <hyperlink ref="D9:F11" location="Eletrodomésticos!A1" display="ELETRODOMÉSTICOS" xr:uid="{D460517C-5B49-43CE-B597-3505C037AC84}"/>
    <hyperlink ref="A9:C11" location="Home!A1" display="HOME" xr:uid="{65E42107-5E7F-462B-9A3D-37EEC1563C5C}"/>
    <hyperlink ref="M9:O11" location="'Alimentos e Bebidas'!A1" display="'Alimentos e Bebidas'!A1" xr:uid="{07D594DD-53BE-4184-AECF-F0470C69245E}"/>
    <hyperlink ref="J9:L11" location="'Bolsas e Malas'!A1" display="BOLSAS E MALAS" xr:uid="{1B02D8FE-0E4C-42ED-BE62-E05204F7C64B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14"/>
  <sheetViews>
    <sheetView zoomScale="83" zoomScaleNormal="83" workbookViewId="0">
      <selection activeCell="S9" sqref="S9:U11"/>
    </sheetView>
  </sheetViews>
  <sheetFormatPr defaultColWidth="10" defaultRowHeight="15.75" customHeight="1" x14ac:dyDescent="0.25"/>
  <cols>
    <col min="15" max="15" width="13.140625" bestFit="1" customWidth="1"/>
    <col min="17" max="17" width="11.28515625" customWidth="1"/>
    <col min="22" max="22" width="11" customWidth="1"/>
  </cols>
  <sheetData>
    <row r="1" spans="1:33" s="2" customFormat="1" ht="15.7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/>
    </row>
    <row r="2" spans="1:33" s="2" customFormat="1" ht="15.7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</row>
    <row r="3" spans="1:33" s="2" customFormat="1" ht="15.7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</row>
    <row r="4" spans="1:33" s="2" customFormat="1" ht="15.7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4"/>
    </row>
    <row r="5" spans="1:33" s="2" customFormat="1" ht="15.7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</row>
    <row r="6" spans="1:33" ht="15.75" customHeight="1" x14ac:dyDescent="0.2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4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7.25" customHeight="1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4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thickBot="1" x14ac:dyDescent="0.3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4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25">
      <c r="A9" s="105" t="s">
        <v>268</v>
      </c>
      <c r="B9" s="106"/>
      <c r="C9" s="107"/>
      <c r="D9" s="105" t="s">
        <v>269</v>
      </c>
      <c r="E9" s="106"/>
      <c r="F9" s="107"/>
      <c r="G9" s="105" t="s">
        <v>270</v>
      </c>
      <c r="H9" s="106"/>
      <c r="I9" s="107"/>
      <c r="J9" s="105" t="s">
        <v>271</v>
      </c>
      <c r="K9" s="106"/>
      <c r="L9" s="107"/>
      <c r="M9" s="362" t="s">
        <v>274</v>
      </c>
      <c r="N9" s="203"/>
      <c r="O9" s="203"/>
      <c r="P9" s="105" t="s">
        <v>272</v>
      </c>
      <c r="Q9" s="106"/>
      <c r="R9" s="107"/>
      <c r="S9" s="105" t="s">
        <v>217</v>
      </c>
      <c r="T9" s="106"/>
      <c r="U9" s="107"/>
      <c r="V9" s="105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 x14ac:dyDescent="0.25">
      <c r="A10" s="108"/>
      <c r="B10" s="109"/>
      <c r="C10" s="110"/>
      <c r="D10" s="108"/>
      <c r="E10" s="109"/>
      <c r="F10" s="110"/>
      <c r="G10" s="108"/>
      <c r="H10" s="109"/>
      <c r="I10" s="110"/>
      <c r="J10" s="108"/>
      <c r="K10" s="109"/>
      <c r="L10" s="110"/>
      <c r="M10" s="203"/>
      <c r="N10" s="203"/>
      <c r="O10" s="203"/>
      <c r="P10" s="108"/>
      <c r="Q10" s="109"/>
      <c r="R10" s="110"/>
      <c r="S10" s="108"/>
      <c r="T10" s="109"/>
      <c r="U10" s="110"/>
      <c r="V10" s="108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thickBot="1" x14ac:dyDescent="0.3">
      <c r="A11" s="111"/>
      <c r="B11" s="112"/>
      <c r="C11" s="113"/>
      <c r="D11" s="111"/>
      <c r="E11" s="112"/>
      <c r="F11" s="113"/>
      <c r="G11" s="111"/>
      <c r="H11" s="112"/>
      <c r="I11" s="113"/>
      <c r="J11" s="111"/>
      <c r="K11" s="112"/>
      <c r="L11" s="113"/>
      <c r="M11" s="203"/>
      <c r="N11" s="203"/>
      <c r="O11" s="203"/>
      <c r="P11" s="111"/>
      <c r="Q11" s="112"/>
      <c r="R11" s="113"/>
      <c r="S11" s="111"/>
      <c r="T11" s="112"/>
      <c r="U11" s="113"/>
      <c r="V11" s="11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75" customHeight="1" x14ac:dyDescent="0.25">
      <c r="A12" s="355" t="s">
        <v>127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7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customHeight="1" thickBot="1" x14ac:dyDescent="0.3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P13" s="360"/>
      <c r="Q13" s="359"/>
      <c r="R13" s="359"/>
      <c r="S13" s="359"/>
      <c r="T13" s="360"/>
      <c r="U13" s="360"/>
      <c r="V13" s="36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customHeight="1" thickBot="1" x14ac:dyDescent="0.3">
      <c r="A14" s="8" t="s">
        <v>0</v>
      </c>
      <c r="B14" s="320" t="s">
        <v>1</v>
      </c>
      <c r="C14" s="321"/>
      <c r="D14" s="321"/>
      <c r="E14" s="320" t="s">
        <v>2</v>
      </c>
      <c r="F14" s="322"/>
      <c r="G14" s="71" t="s">
        <v>3</v>
      </c>
      <c r="H14" s="9" t="s">
        <v>93</v>
      </c>
      <c r="I14" s="340" t="s">
        <v>92</v>
      </c>
      <c r="J14" s="349"/>
      <c r="K14" s="340" t="s">
        <v>91</v>
      </c>
      <c r="L14" s="321"/>
      <c r="M14" s="320" t="s">
        <v>89</v>
      </c>
      <c r="N14" s="322"/>
      <c r="O14" s="344" t="s">
        <v>128</v>
      </c>
      <c r="P14" s="345"/>
      <c r="Q14" s="72" t="s">
        <v>194</v>
      </c>
      <c r="R14" s="320" t="s">
        <v>90</v>
      </c>
      <c r="S14" s="321"/>
      <c r="T14" s="75"/>
      <c r="U14" s="323" t="s">
        <v>60</v>
      </c>
      <c r="V14" s="32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.75" customHeight="1" thickBot="1" x14ac:dyDescent="0.3">
      <c r="A15" s="10">
        <v>100</v>
      </c>
      <c r="B15" s="63" t="str">
        <f t="shared" ref="B15:B41" si="0">CONCATENATE(E15," ",IF(E15=$K$50,$K$49,IF(G15=$J$45,$K$45,IF(OR(G15=$J$46,G15=$J$47),IF(I15&gt;$L$45,$K$46,$K$47),IF(OR(G15=$J$48,G15=$J$49,G15=$J$50,G15=$J$51),IF(I15&lt;$L$46,$K$48,IF(I15&gt;$L$47,$K$46,$K$47))))))," ",G15)</f>
        <v>Mouse  Led Multilazer</v>
      </c>
      <c r="C15" s="63"/>
      <c r="D15" s="63"/>
      <c r="E15" s="213" t="s">
        <v>130</v>
      </c>
      <c r="F15" s="213"/>
      <c r="G15" s="5" t="s">
        <v>131</v>
      </c>
      <c r="H15" s="60">
        <f t="shared" ref="H15:H41" ca="1" si="1">RANDBETWEEN(100,200)</f>
        <v>152</v>
      </c>
      <c r="I15" s="316">
        <f t="shared" ref="I15:I20" ca="1" si="2">RANDBETWEEN(120,550)</f>
        <v>341</v>
      </c>
      <c r="J15" s="317"/>
      <c r="K15" s="316">
        <f t="shared" ref="K15:K41" ca="1" si="3">PRODUCT(H15,I15)</f>
        <v>51832</v>
      </c>
      <c r="L15" s="317"/>
      <c r="M15" s="341">
        <f t="shared" ref="M15:M41" ca="1" si="4">I15-PRODUCT(I15,IF(G15=$Q$46,$R$46,IF(G15=$Q$47,$R$47,IF(OR(G15=$Q$48,G15=$Q$49),$R$48,IF(G15=$Q$50,$R$50,IF(OR(G15=$Q$51,G15=$Q$52),$R$51,"?"))))))</f>
        <v>272.8</v>
      </c>
      <c r="N15" s="341"/>
      <c r="O15" s="341">
        <f t="shared" ref="O15:O41" ca="1" si="5">M15-(PRODUCT(M15,IF(AND(I15&gt;=$B$47,H15&gt;=$D$47),$F$46,$F$47)))</f>
        <v>270.072</v>
      </c>
      <c r="P15" s="341"/>
      <c r="Q15" s="26">
        <f ca="1">RANDBETWEEN(50,135)</f>
        <v>119</v>
      </c>
      <c r="R15" s="213" t="str">
        <f ca="1">CONCATENATE(H15-P15," ","Produtos")</f>
        <v>152 Produtos</v>
      </c>
      <c r="S15" s="174"/>
      <c r="T15" s="76"/>
      <c r="U15" s="342">
        <v>100</v>
      </c>
      <c r="V15" s="34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customHeight="1" thickBot="1" x14ac:dyDescent="0.3">
      <c r="A16" s="11">
        <v>104</v>
      </c>
      <c r="B16" s="363" t="str">
        <f t="shared" ca="1" si="0"/>
        <v>Mouse  Gamer Dell</v>
      </c>
      <c r="C16" s="364"/>
      <c r="D16" s="365"/>
      <c r="E16" s="196" t="s">
        <v>130</v>
      </c>
      <c r="F16" s="196"/>
      <c r="G16" s="7" t="s">
        <v>132</v>
      </c>
      <c r="H16" s="25">
        <f t="shared" ca="1" si="1"/>
        <v>152</v>
      </c>
      <c r="I16" s="318">
        <f t="shared" ca="1" si="2"/>
        <v>427</v>
      </c>
      <c r="J16" s="319"/>
      <c r="K16" s="318">
        <f t="shared" ca="1" si="3"/>
        <v>64904</v>
      </c>
      <c r="L16" s="319"/>
      <c r="M16" s="169">
        <f t="shared" ca="1" si="4"/>
        <v>414.19</v>
      </c>
      <c r="N16" s="169"/>
      <c r="O16" s="169">
        <f t="shared" ca="1" si="5"/>
        <v>372.77100000000002</v>
      </c>
      <c r="P16" s="169"/>
      <c r="Q16" s="70">
        <f t="shared" ref="Q16:Q38" ca="1" si="6">RANDBETWEEN(50,135)</f>
        <v>69</v>
      </c>
      <c r="R16" s="196" t="str">
        <f t="shared" ref="R16:R41" ca="1" si="7">CONCATENATE(H16-Q16," ","Produtos")</f>
        <v>83 Produtos</v>
      </c>
      <c r="S16" s="164"/>
      <c r="T16" s="76"/>
      <c r="U16" s="323" t="s">
        <v>59</v>
      </c>
      <c r="V16" s="324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thickBot="1" x14ac:dyDescent="0.3">
      <c r="A17" s="11">
        <v>107</v>
      </c>
      <c r="B17" s="363" t="str">
        <f t="shared" ca="1" si="0"/>
        <v>Mouse  Gamer Exbom</v>
      </c>
      <c r="C17" s="364"/>
      <c r="D17" s="365"/>
      <c r="E17" s="196" t="s">
        <v>130</v>
      </c>
      <c r="F17" s="196"/>
      <c r="G17" s="7" t="s">
        <v>133</v>
      </c>
      <c r="H17" s="25">
        <f t="shared" ca="1" si="1"/>
        <v>113</v>
      </c>
      <c r="I17" s="318">
        <f t="shared" ca="1" si="2"/>
        <v>481</v>
      </c>
      <c r="J17" s="319"/>
      <c r="K17" s="318">
        <f t="shared" ca="1" si="3"/>
        <v>54353</v>
      </c>
      <c r="L17" s="319"/>
      <c r="M17" s="169">
        <f t="shared" ca="1" si="4"/>
        <v>442.52</v>
      </c>
      <c r="N17" s="169"/>
      <c r="O17" s="169">
        <f t="shared" ca="1" si="5"/>
        <v>398.26799999999997</v>
      </c>
      <c r="P17" s="169"/>
      <c r="Q17" s="70">
        <f t="shared" ca="1" si="6"/>
        <v>65</v>
      </c>
      <c r="R17" s="196" t="str">
        <f t="shared" ca="1" si="7"/>
        <v>48 Produtos</v>
      </c>
      <c r="S17" s="164"/>
      <c r="T17" s="76"/>
      <c r="U17" s="347" t="str">
        <f>VLOOKUP(U15,A15:S41,2,0)</f>
        <v>Mouse  Led Multilazer</v>
      </c>
      <c r="V17" s="348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thickBot="1" x14ac:dyDescent="0.3">
      <c r="A18" s="11">
        <v>110</v>
      </c>
      <c r="B18" s="64" t="str">
        <f t="shared" ca="1" si="0"/>
        <v>Mouse  Bluetoth Logitech</v>
      </c>
      <c r="C18" s="64"/>
      <c r="D18" s="64"/>
      <c r="E18" s="196" t="s">
        <v>130</v>
      </c>
      <c r="F18" s="196"/>
      <c r="G18" s="7" t="s">
        <v>134</v>
      </c>
      <c r="H18" s="25">
        <f t="shared" ca="1" si="1"/>
        <v>150</v>
      </c>
      <c r="I18" s="318">
        <f t="shared" ca="1" si="2"/>
        <v>207</v>
      </c>
      <c r="J18" s="319"/>
      <c r="K18" s="318">
        <f t="shared" ca="1" si="3"/>
        <v>31050</v>
      </c>
      <c r="L18" s="319"/>
      <c r="M18" s="169">
        <f t="shared" ca="1" si="4"/>
        <v>200.79</v>
      </c>
      <c r="N18" s="169"/>
      <c r="O18" s="169">
        <f t="shared" ca="1" si="5"/>
        <v>198.78209999999999</v>
      </c>
      <c r="P18" s="169"/>
      <c r="Q18" s="70">
        <f t="shared" ca="1" si="6"/>
        <v>85</v>
      </c>
      <c r="R18" s="196" t="str">
        <f t="shared" ca="1" si="7"/>
        <v>65 Produtos</v>
      </c>
      <c r="S18" s="164"/>
      <c r="T18" s="76"/>
      <c r="U18" s="323" t="s">
        <v>2</v>
      </c>
      <c r="V18" s="324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thickBot="1" x14ac:dyDescent="0.3">
      <c r="A19" s="11">
        <v>114</v>
      </c>
      <c r="B19" s="64" t="str">
        <f t="shared" ca="1" si="0"/>
        <v>Mouse  Gamer Logitech</v>
      </c>
      <c r="C19" s="64"/>
      <c r="D19" s="64"/>
      <c r="E19" s="196" t="s">
        <v>130</v>
      </c>
      <c r="F19" s="196"/>
      <c r="G19" s="7" t="s">
        <v>134</v>
      </c>
      <c r="H19" s="25">
        <f t="shared" ca="1" si="1"/>
        <v>185</v>
      </c>
      <c r="I19" s="318">
        <f t="shared" ca="1" si="2"/>
        <v>491</v>
      </c>
      <c r="J19" s="319"/>
      <c r="K19" s="318">
        <f t="shared" ca="1" si="3"/>
        <v>90835</v>
      </c>
      <c r="L19" s="319"/>
      <c r="M19" s="169">
        <f t="shared" ca="1" si="4"/>
        <v>476.27</v>
      </c>
      <c r="N19" s="169"/>
      <c r="O19" s="169">
        <f t="shared" ca="1" si="5"/>
        <v>428.64299999999997</v>
      </c>
      <c r="P19" s="169"/>
      <c r="Q19" s="70">
        <f t="shared" ca="1" si="6"/>
        <v>113</v>
      </c>
      <c r="R19" s="166" t="str">
        <f t="shared" ca="1" si="7"/>
        <v>72 Produtos</v>
      </c>
      <c r="S19" s="318"/>
      <c r="T19" s="76"/>
      <c r="U19" s="327" t="str">
        <f>VLOOKUP($U$15,$A$15:$S$41,5,0)</f>
        <v xml:space="preserve">Mouse </v>
      </c>
      <c r="V19" s="328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thickBot="1" x14ac:dyDescent="0.3">
      <c r="A20" s="11">
        <v>118</v>
      </c>
      <c r="B20" s="363" t="str">
        <f t="shared" ca="1" si="0"/>
        <v>Mouse  Bluetoth Dell</v>
      </c>
      <c r="C20" s="364"/>
      <c r="D20" s="365"/>
      <c r="E20" s="174" t="s">
        <v>130</v>
      </c>
      <c r="F20" s="175"/>
      <c r="G20" s="7" t="s">
        <v>132</v>
      </c>
      <c r="H20" s="25">
        <f t="shared" ca="1" si="1"/>
        <v>184</v>
      </c>
      <c r="I20" s="318">
        <f t="shared" ca="1" si="2"/>
        <v>194</v>
      </c>
      <c r="J20" s="319"/>
      <c r="K20" s="318">
        <f t="shared" ca="1" si="3"/>
        <v>35696</v>
      </c>
      <c r="L20" s="319"/>
      <c r="M20" s="169">
        <f t="shared" ca="1" si="4"/>
        <v>188.18</v>
      </c>
      <c r="N20" s="169"/>
      <c r="O20" s="169">
        <f t="shared" ca="1" si="5"/>
        <v>186.29820000000001</v>
      </c>
      <c r="P20" s="169"/>
      <c r="Q20" s="70">
        <f t="shared" ca="1" si="6"/>
        <v>68</v>
      </c>
      <c r="R20" s="346" t="str">
        <f t="shared" ca="1" si="7"/>
        <v>116 Produtos</v>
      </c>
      <c r="S20" s="346"/>
      <c r="T20" s="76"/>
      <c r="U20" s="323" t="s">
        <v>3</v>
      </c>
      <c r="V20" s="32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75" customHeight="1" thickBot="1" x14ac:dyDescent="0.3">
      <c r="A21" s="11">
        <v>121</v>
      </c>
      <c r="B21" s="64" t="str">
        <f t="shared" ca="1" si="0"/>
        <v>Teclado Bluetoth Dell</v>
      </c>
      <c r="C21" s="64"/>
      <c r="D21" s="64"/>
      <c r="E21" s="164" t="s">
        <v>136</v>
      </c>
      <c r="F21" s="165"/>
      <c r="G21" s="7" t="s">
        <v>132</v>
      </c>
      <c r="H21" s="25">
        <f t="shared" ca="1" si="1"/>
        <v>187</v>
      </c>
      <c r="I21" s="318">
        <f ca="1">RANDBETWEEN(80,250)</f>
        <v>119</v>
      </c>
      <c r="J21" s="319"/>
      <c r="K21" s="318">
        <f t="shared" ca="1" si="3"/>
        <v>22253</v>
      </c>
      <c r="L21" s="319"/>
      <c r="M21" s="169">
        <f t="shared" ca="1" si="4"/>
        <v>115.43</v>
      </c>
      <c r="N21" s="169"/>
      <c r="O21" s="169">
        <f t="shared" ca="1" si="5"/>
        <v>114.2757</v>
      </c>
      <c r="P21" s="169"/>
      <c r="Q21" s="70">
        <f t="shared" ca="1" si="6"/>
        <v>127</v>
      </c>
      <c r="R21" s="346" t="str">
        <f t="shared" ca="1" si="7"/>
        <v>60 Produtos</v>
      </c>
      <c r="S21" s="346"/>
      <c r="T21" s="76"/>
      <c r="U21" s="327" t="str">
        <f>VLOOKUP($U$15,$A$15:$S$41,7,0)</f>
        <v>Multilazer</v>
      </c>
      <c r="V21" s="32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customHeight="1" thickBot="1" x14ac:dyDescent="0.3">
      <c r="A22" s="11">
        <v>125</v>
      </c>
      <c r="B22" s="64" t="str">
        <f t="shared" ca="1" si="0"/>
        <v>Teclado Bluetoth Logitech</v>
      </c>
      <c r="C22" s="64"/>
      <c r="D22" s="64"/>
      <c r="E22" s="164" t="s">
        <v>136</v>
      </c>
      <c r="F22" s="165"/>
      <c r="G22" s="7" t="s">
        <v>134</v>
      </c>
      <c r="H22" s="25">
        <f t="shared" ca="1" si="1"/>
        <v>149</v>
      </c>
      <c r="I22" s="318">
        <f ca="1">RANDBETWEEN(80,250)</f>
        <v>241</v>
      </c>
      <c r="J22" s="319"/>
      <c r="K22" s="318">
        <f t="shared" ca="1" si="3"/>
        <v>35909</v>
      </c>
      <c r="L22" s="319"/>
      <c r="M22" s="169">
        <f t="shared" ca="1" si="4"/>
        <v>233.77</v>
      </c>
      <c r="N22" s="169"/>
      <c r="O22" s="169">
        <f t="shared" ca="1" si="5"/>
        <v>231.4323</v>
      </c>
      <c r="P22" s="169"/>
      <c r="Q22" s="70">
        <f t="shared" ca="1" si="6"/>
        <v>110</v>
      </c>
      <c r="R22" s="346" t="str">
        <f t="shared" ca="1" si="7"/>
        <v>39 Produtos</v>
      </c>
      <c r="S22" s="346"/>
      <c r="T22" s="76"/>
      <c r="U22" s="323" t="s">
        <v>93</v>
      </c>
      <c r="V22" s="32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75" customHeight="1" thickBot="1" x14ac:dyDescent="0.3">
      <c r="A23" s="11">
        <v>128</v>
      </c>
      <c r="B23" s="64" t="str">
        <f t="shared" ca="1" si="0"/>
        <v>Teclado Bluetoth Logitech</v>
      </c>
      <c r="C23" s="64"/>
      <c r="D23" s="64"/>
      <c r="E23" s="164" t="s">
        <v>136</v>
      </c>
      <c r="F23" s="165"/>
      <c r="G23" s="7" t="s">
        <v>134</v>
      </c>
      <c r="H23" s="25">
        <f t="shared" ca="1" si="1"/>
        <v>144</v>
      </c>
      <c r="I23" s="318">
        <f ca="1">RANDBETWEEN(80,250)</f>
        <v>214</v>
      </c>
      <c r="J23" s="319"/>
      <c r="K23" s="318">
        <f t="shared" ca="1" si="3"/>
        <v>30816</v>
      </c>
      <c r="L23" s="319"/>
      <c r="M23" s="169">
        <f t="shared" ca="1" si="4"/>
        <v>207.58</v>
      </c>
      <c r="N23" s="169"/>
      <c r="O23" s="169">
        <f t="shared" ca="1" si="5"/>
        <v>205.50420000000003</v>
      </c>
      <c r="P23" s="169"/>
      <c r="Q23" s="70">
        <f t="shared" ca="1" si="6"/>
        <v>124</v>
      </c>
      <c r="R23" s="346" t="str">
        <f t="shared" ca="1" si="7"/>
        <v>20 Produtos</v>
      </c>
      <c r="S23" s="346"/>
      <c r="T23" s="76"/>
      <c r="U23" s="325">
        <f ca="1">VLOOKUP($U$15,$A$15:$S$41,8,0)</f>
        <v>152</v>
      </c>
      <c r="V23" s="326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75" customHeight="1" thickBot="1" x14ac:dyDescent="0.3">
      <c r="A24" s="11">
        <v>132</v>
      </c>
      <c r="B24" s="64" t="str">
        <f t="shared" ca="1" si="0"/>
        <v>Head Fone Bluetoth Havit</v>
      </c>
      <c r="C24" s="64"/>
      <c r="D24" s="64"/>
      <c r="E24" s="164" t="s">
        <v>139</v>
      </c>
      <c r="F24" s="165"/>
      <c r="G24" s="7" t="s">
        <v>135</v>
      </c>
      <c r="H24" s="25">
        <f t="shared" ca="1" si="1"/>
        <v>114</v>
      </c>
      <c r="I24" s="318">
        <f ca="1">RANDBETWEEN(200,600)</f>
        <v>299</v>
      </c>
      <c r="J24" s="319"/>
      <c r="K24" s="318">
        <f t="shared" ca="1" si="3"/>
        <v>34086</v>
      </c>
      <c r="L24" s="319"/>
      <c r="M24" s="169">
        <f t="shared" ca="1" si="4"/>
        <v>275.08</v>
      </c>
      <c r="N24" s="169"/>
      <c r="O24" s="169">
        <f t="shared" ca="1" si="5"/>
        <v>272.32919999999996</v>
      </c>
      <c r="P24" s="169"/>
      <c r="Q24" s="70">
        <f t="shared" ca="1" si="6"/>
        <v>118</v>
      </c>
      <c r="R24" s="346" t="str">
        <f t="shared" ca="1" si="7"/>
        <v>-4 Produtos</v>
      </c>
      <c r="S24" s="346"/>
      <c r="T24" s="76"/>
      <c r="U24" s="323" t="s">
        <v>92</v>
      </c>
      <c r="V24" s="324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thickBot="1" x14ac:dyDescent="0.3">
      <c r="A25" s="11">
        <v>136</v>
      </c>
      <c r="B25" s="64" t="str">
        <f t="shared" ca="1" si="0"/>
        <v>Head Fone Gamer Havit</v>
      </c>
      <c r="C25" s="64"/>
      <c r="D25" s="64"/>
      <c r="E25" s="164" t="s">
        <v>139</v>
      </c>
      <c r="F25" s="165"/>
      <c r="G25" s="7" t="s">
        <v>135</v>
      </c>
      <c r="H25" s="25">
        <f t="shared" ca="1" si="1"/>
        <v>177</v>
      </c>
      <c r="I25" s="318">
        <f ca="1">RANDBETWEEN(200,600)</f>
        <v>547</v>
      </c>
      <c r="J25" s="319"/>
      <c r="K25" s="318">
        <f t="shared" ca="1" si="3"/>
        <v>96819</v>
      </c>
      <c r="L25" s="319"/>
      <c r="M25" s="169">
        <f t="shared" ca="1" si="4"/>
        <v>503.24</v>
      </c>
      <c r="N25" s="169"/>
      <c r="O25" s="169">
        <f t="shared" ca="1" si="5"/>
        <v>452.916</v>
      </c>
      <c r="P25" s="169"/>
      <c r="Q25" s="70">
        <f t="shared" ca="1" si="6"/>
        <v>81</v>
      </c>
      <c r="R25" s="346" t="str">
        <f t="shared" ca="1" si="7"/>
        <v>96 Produtos</v>
      </c>
      <c r="S25" s="346"/>
      <c r="T25" s="76"/>
      <c r="U25" s="327">
        <f ca="1">VLOOKUP($U$15,$A$15:$S$41,9,0)</f>
        <v>341</v>
      </c>
      <c r="V25" s="328"/>
      <c r="Z25" s="2"/>
      <c r="AA25" s="2"/>
      <c r="AB25" s="2"/>
      <c r="AC25" s="2"/>
      <c r="AD25" s="2"/>
      <c r="AE25" s="2"/>
      <c r="AF25" s="2"/>
      <c r="AG25" s="2"/>
    </row>
    <row r="26" spans="1:33" ht="15.75" customHeight="1" thickBot="1" x14ac:dyDescent="0.3">
      <c r="A26" s="12">
        <v>139</v>
      </c>
      <c r="B26" s="64" t="str">
        <f t="shared" si="0"/>
        <v>Head Fone Led Multilazer</v>
      </c>
      <c r="C26" s="64"/>
      <c r="D26" s="64"/>
      <c r="E26" s="164" t="s">
        <v>139</v>
      </c>
      <c r="F26" s="165"/>
      <c r="G26" s="7" t="s">
        <v>131</v>
      </c>
      <c r="H26" s="25">
        <f t="shared" ca="1" si="1"/>
        <v>138</v>
      </c>
      <c r="I26" s="318">
        <f ca="1">RANDBETWEEN(200,600)</f>
        <v>548</v>
      </c>
      <c r="J26" s="319"/>
      <c r="K26" s="318">
        <f t="shared" ca="1" si="3"/>
        <v>75624</v>
      </c>
      <c r="L26" s="319"/>
      <c r="M26" s="169">
        <f t="shared" ca="1" si="4"/>
        <v>438.4</v>
      </c>
      <c r="N26" s="169"/>
      <c r="O26" s="169">
        <f t="shared" ca="1" si="5"/>
        <v>394.55999999999995</v>
      </c>
      <c r="P26" s="169"/>
      <c r="Q26" s="70">
        <f t="shared" ca="1" si="6"/>
        <v>111</v>
      </c>
      <c r="R26" s="346" t="str">
        <f t="shared" ca="1" si="7"/>
        <v>27 Produtos</v>
      </c>
      <c r="S26" s="346"/>
      <c r="T26" s="76"/>
      <c r="U26" s="323" t="s">
        <v>91</v>
      </c>
      <c r="V26" s="324"/>
      <c r="Z26" s="2"/>
      <c r="AA26" s="2"/>
      <c r="AB26" s="2"/>
      <c r="AC26" s="2"/>
      <c r="AD26" s="2"/>
      <c r="AE26" s="2"/>
      <c r="AF26" s="2"/>
      <c r="AG26" s="2"/>
    </row>
    <row r="27" spans="1:33" ht="15.75" customHeight="1" thickBot="1" x14ac:dyDescent="0.3">
      <c r="A27" s="11">
        <v>143</v>
      </c>
      <c r="B27" s="64" t="str">
        <f t="shared" ca="1" si="0"/>
        <v>Head Fone Gamer Exbom</v>
      </c>
      <c r="C27" s="64"/>
      <c r="D27" s="64"/>
      <c r="E27" s="164" t="s">
        <v>139</v>
      </c>
      <c r="F27" s="165"/>
      <c r="G27" s="7" t="s">
        <v>133</v>
      </c>
      <c r="H27" s="25">
        <f t="shared" ca="1" si="1"/>
        <v>113</v>
      </c>
      <c r="I27" s="318">
        <f ca="1">RANDBETWEEN(200,600)</f>
        <v>525</v>
      </c>
      <c r="J27" s="319"/>
      <c r="K27" s="318">
        <f t="shared" ca="1" si="3"/>
        <v>59325</v>
      </c>
      <c r="L27" s="319"/>
      <c r="M27" s="169">
        <f t="shared" ca="1" si="4"/>
        <v>483</v>
      </c>
      <c r="N27" s="169"/>
      <c r="O27" s="169">
        <f t="shared" ca="1" si="5"/>
        <v>434.7</v>
      </c>
      <c r="P27" s="169"/>
      <c r="Q27" s="70">
        <f t="shared" ca="1" si="6"/>
        <v>94</v>
      </c>
      <c r="R27" s="346" t="str">
        <f t="shared" ca="1" si="7"/>
        <v>19 Produtos</v>
      </c>
      <c r="S27" s="346"/>
      <c r="T27" s="76"/>
      <c r="U27" s="327">
        <f ca="1">VLOOKUP($U$15,$A$15:$S$41,11,0)</f>
        <v>51832</v>
      </c>
      <c r="V27" s="328"/>
      <c r="W27" s="2"/>
      <c r="X27" s="2"/>
      <c r="Z27" s="2"/>
      <c r="AA27" s="2"/>
      <c r="AB27" s="2"/>
      <c r="AC27" s="2"/>
      <c r="AD27" s="2"/>
      <c r="AE27" s="2"/>
      <c r="AF27" s="2"/>
      <c r="AG27" s="2"/>
    </row>
    <row r="28" spans="1:33" ht="15.75" customHeight="1" thickBot="1" x14ac:dyDescent="0.3">
      <c r="A28" s="11">
        <v>146</v>
      </c>
      <c r="B28" s="64" t="str">
        <f t="shared" ca="1" si="0"/>
        <v>Head Fone Gamer Dell</v>
      </c>
      <c r="C28" s="64"/>
      <c r="D28" s="64"/>
      <c r="E28" s="164" t="s">
        <v>139</v>
      </c>
      <c r="F28" s="165"/>
      <c r="G28" s="7" t="s">
        <v>132</v>
      </c>
      <c r="H28" s="25">
        <f t="shared" ca="1" si="1"/>
        <v>158</v>
      </c>
      <c r="I28" s="318">
        <f ca="1">RANDBETWEEN(200,600)</f>
        <v>518</v>
      </c>
      <c r="J28" s="319"/>
      <c r="K28" s="318">
        <f t="shared" ca="1" si="3"/>
        <v>81844</v>
      </c>
      <c r="L28" s="319"/>
      <c r="M28" s="169">
        <f t="shared" ca="1" si="4"/>
        <v>502.46</v>
      </c>
      <c r="N28" s="169"/>
      <c r="O28" s="169">
        <f t="shared" ca="1" si="5"/>
        <v>452.214</v>
      </c>
      <c r="P28" s="169"/>
      <c r="Q28" s="70">
        <f t="shared" ca="1" si="6"/>
        <v>64</v>
      </c>
      <c r="R28" s="346" t="str">
        <f t="shared" ca="1" si="7"/>
        <v>94 Produtos</v>
      </c>
      <c r="S28" s="346"/>
      <c r="T28" s="76"/>
      <c r="U28" s="323" t="s">
        <v>89</v>
      </c>
      <c r="V28" s="324"/>
      <c r="AA28" s="2"/>
      <c r="AB28" s="2"/>
      <c r="AC28" s="2"/>
      <c r="AD28" s="2"/>
      <c r="AE28" s="2"/>
      <c r="AF28" s="2"/>
      <c r="AG28" s="2"/>
    </row>
    <row r="29" spans="1:33" ht="15.75" customHeight="1" thickBot="1" x14ac:dyDescent="0.3">
      <c r="A29" s="11">
        <v>150</v>
      </c>
      <c r="B29" s="64" t="str">
        <f t="shared" ca="1" si="0"/>
        <v>Monitor Gamer Logitech</v>
      </c>
      <c r="C29" s="64"/>
      <c r="D29" s="64"/>
      <c r="E29" s="164" t="s">
        <v>140</v>
      </c>
      <c r="F29" s="165"/>
      <c r="G29" s="7" t="s">
        <v>134</v>
      </c>
      <c r="H29" s="25">
        <f t="shared" ca="1" si="1"/>
        <v>155</v>
      </c>
      <c r="I29" s="318">
        <f ca="1">RANDBETWEEN(600,1000)</f>
        <v>673</v>
      </c>
      <c r="J29" s="319"/>
      <c r="K29" s="318">
        <f t="shared" ca="1" si="3"/>
        <v>104315</v>
      </c>
      <c r="L29" s="319"/>
      <c r="M29" s="169">
        <f t="shared" ca="1" si="4"/>
        <v>652.80999999999995</v>
      </c>
      <c r="N29" s="169"/>
      <c r="O29" s="169">
        <f t="shared" ca="1" si="5"/>
        <v>587.529</v>
      </c>
      <c r="P29" s="169"/>
      <c r="Q29" s="70">
        <f t="shared" ca="1" si="6"/>
        <v>71</v>
      </c>
      <c r="R29" s="346" t="str">
        <f t="shared" ca="1" si="7"/>
        <v>84 Produtos</v>
      </c>
      <c r="S29" s="346"/>
      <c r="T29" s="76"/>
      <c r="U29" s="327">
        <f ca="1">VLOOKUP($U$15,$A$15:$S$41,13,0)</f>
        <v>272.8</v>
      </c>
      <c r="V29" s="328"/>
      <c r="AA29" s="2"/>
      <c r="AB29" s="2"/>
      <c r="AC29" s="2"/>
      <c r="AD29" s="2"/>
      <c r="AE29" s="2"/>
      <c r="AF29" s="2"/>
      <c r="AG29" s="2"/>
    </row>
    <row r="30" spans="1:33" ht="15.75" customHeight="1" thickBot="1" x14ac:dyDescent="0.3">
      <c r="A30" s="11">
        <v>154</v>
      </c>
      <c r="B30" s="64" t="str">
        <f t="shared" ca="1" si="0"/>
        <v>Monitor Gamer Exbom</v>
      </c>
      <c r="C30" s="64"/>
      <c r="D30" s="64"/>
      <c r="E30" s="164" t="s">
        <v>140</v>
      </c>
      <c r="F30" s="165"/>
      <c r="G30" s="7" t="s">
        <v>133</v>
      </c>
      <c r="H30" s="25">
        <f t="shared" ca="1" si="1"/>
        <v>184</v>
      </c>
      <c r="I30" s="318">
        <f ca="1">RANDBETWEEN(600,1000)</f>
        <v>772</v>
      </c>
      <c r="J30" s="319"/>
      <c r="K30" s="318">
        <f t="shared" ca="1" si="3"/>
        <v>142048</v>
      </c>
      <c r="L30" s="319"/>
      <c r="M30" s="169">
        <f t="shared" ca="1" si="4"/>
        <v>710.24</v>
      </c>
      <c r="N30" s="169"/>
      <c r="O30" s="169">
        <f t="shared" ca="1" si="5"/>
        <v>639.21600000000001</v>
      </c>
      <c r="P30" s="169"/>
      <c r="Q30" s="70">
        <f t="shared" ca="1" si="6"/>
        <v>88</v>
      </c>
      <c r="R30" s="346" t="str">
        <f t="shared" ca="1" si="7"/>
        <v>96 Produtos</v>
      </c>
      <c r="S30" s="346"/>
      <c r="T30" s="76"/>
      <c r="U30" s="323" t="s">
        <v>128</v>
      </c>
      <c r="V30" s="324"/>
      <c r="AA30" s="2"/>
      <c r="AB30" s="2"/>
      <c r="AC30" s="2"/>
      <c r="AD30" s="2"/>
      <c r="AE30" s="2"/>
      <c r="AF30" s="2"/>
      <c r="AG30" s="2"/>
    </row>
    <row r="31" spans="1:33" ht="15.75" customHeight="1" thickBot="1" x14ac:dyDescent="0.3">
      <c r="A31" s="11">
        <v>157</v>
      </c>
      <c r="B31" s="64" t="str">
        <f t="shared" ca="1" si="0"/>
        <v>Monitor Gamer Exbom</v>
      </c>
      <c r="C31" s="64"/>
      <c r="D31" s="64"/>
      <c r="E31" s="164" t="s">
        <v>140</v>
      </c>
      <c r="F31" s="165"/>
      <c r="G31" s="7" t="s">
        <v>133</v>
      </c>
      <c r="H31" s="25">
        <f t="shared" ca="1" si="1"/>
        <v>155</v>
      </c>
      <c r="I31" s="318">
        <f ca="1">RANDBETWEEN(600,1000)</f>
        <v>933</v>
      </c>
      <c r="J31" s="319"/>
      <c r="K31" s="318">
        <f t="shared" ca="1" si="3"/>
        <v>144615</v>
      </c>
      <c r="L31" s="319"/>
      <c r="M31" s="169">
        <f t="shared" ca="1" si="4"/>
        <v>858.36</v>
      </c>
      <c r="N31" s="169"/>
      <c r="O31" s="169">
        <f t="shared" ca="1" si="5"/>
        <v>772.524</v>
      </c>
      <c r="P31" s="169"/>
      <c r="Q31" s="70">
        <f t="shared" ca="1" si="6"/>
        <v>68</v>
      </c>
      <c r="R31" s="346" t="str">
        <f t="shared" ca="1" si="7"/>
        <v>87 Produtos</v>
      </c>
      <c r="S31" s="346"/>
      <c r="T31" s="76"/>
      <c r="U31" s="327">
        <f ca="1">VLOOKUP($U$15,$A$15:$S$41,15,0)</f>
        <v>270.072</v>
      </c>
      <c r="V31" s="328"/>
      <c r="AA31" s="2"/>
      <c r="AB31" s="2"/>
      <c r="AC31" s="2"/>
      <c r="AD31" s="2"/>
      <c r="AE31" s="2"/>
      <c r="AF31" s="2"/>
      <c r="AG31" s="2"/>
    </row>
    <row r="32" spans="1:33" ht="15.75" customHeight="1" thickBot="1" x14ac:dyDescent="0.3">
      <c r="A32" s="11">
        <v>161</v>
      </c>
      <c r="B32" s="64" t="str">
        <f t="shared" ca="1" si="0"/>
        <v>Monitor Gamer Wacon</v>
      </c>
      <c r="C32" s="64"/>
      <c r="D32" s="64"/>
      <c r="E32" s="164" t="s">
        <v>140</v>
      </c>
      <c r="F32" s="165"/>
      <c r="G32" s="7" t="s">
        <v>137</v>
      </c>
      <c r="H32" s="25">
        <f t="shared" ca="1" si="1"/>
        <v>123</v>
      </c>
      <c r="I32" s="318">
        <f ca="1">RANDBETWEEN(600,1000)</f>
        <v>860</v>
      </c>
      <c r="J32" s="319"/>
      <c r="K32" s="318">
        <f t="shared" ca="1" si="3"/>
        <v>105780</v>
      </c>
      <c r="L32" s="319"/>
      <c r="M32" s="169">
        <f t="shared" ca="1" si="4"/>
        <v>748.2</v>
      </c>
      <c r="N32" s="169"/>
      <c r="O32" s="169">
        <f t="shared" ca="1" si="5"/>
        <v>673.38</v>
      </c>
      <c r="P32" s="169"/>
      <c r="Q32" s="70">
        <f t="shared" ca="1" si="6"/>
        <v>133</v>
      </c>
      <c r="R32" s="346" t="str">
        <f t="shared" ca="1" si="7"/>
        <v>-10 Produtos</v>
      </c>
      <c r="S32" s="346"/>
      <c r="T32" s="76"/>
      <c r="U32" s="329" t="s">
        <v>194</v>
      </c>
      <c r="V32" s="330"/>
      <c r="AA32" s="2"/>
      <c r="AB32" s="2"/>
      <c r="AC32" s="2"/>
      <c r="AD32" s="2"/>
      <c r="AE32" s="2"/>
      <c r="AF32" s="2"/>
      <c r="AG32" s="2"/>
    </row>
    <row r="33" spans="1:33" ht="15.75" customHeight="1" thickBot="1" x14ac:dyDescent="0.3">
      <c r="A33" s="11">
        <v>164</v>
      </c>
      <c r="B33" s="64" t="str">
        <f t="shared" si="0"/>
        <v>Pen Drive 16GB Wacon</v>
      </c>
      <c r="C33" s="64"/>
      <c r="D33" s="64"/>
      <c r="E33" s="164" t="s">
        <v>142</v>
      </c>
      <c r="F33" s="165"/>
      <c r="G33" s="7" t="s">
        <v>137</v>
      </c>
      <c r="H33" s="25">
        <f t="shared" ca="1" si="1"/>
        <v>190</v>
      </c>
      <c r="I33" s="318">
        <f t="shared" ref="I33:I38" ca="1" si="8">RANDBETWEEN(120,800)</f>
        <v>156</v>
      </c>
      <c r="J33" s="319"/>
      <c r="K33" s="318">
        <f t="shared" ca="1" si="3"/>
        <v>29640</v>
      </c>
      <c r="L33" s="319"/>
      <c r="M33" s="169">
        <f t="shared" ca="1" si="4"/>
        <v>135.72</v>
      </c>
      <c r="N33" s="169"/>
      <c r="O33" s="169">
        <f t="shared" ca="1" si="5"/>
        <v>134.36279999999999</v>
      </c>
      <c r="P33" s="169"/>
      <c r="Q33" s="70">
        <f t="shared" ca="1" si="6"/>
        <v>93</v>
      </c>
      <c r="R33" s="346" t="str">
        <f t="shared" ca="1" si="7"/>
        <v>97 Produtos</v>
      </c>
      <c r="S33" s="346"/>
      <c r="T33" s="76"/>
      <c r="U33" s="327">
        <f ca="1">VLOOKUP($U$15,$A$15:$S$41,17,0)</f>
        <v>119</v>
      </c>
      <c r="V33" s="328"/>
      <c r="AA33" s="2"/>
      <c r="AB33" s="2"/>
      <c r="AC33" s="2"/>
      <c r="AD33" s="2"/>
      <c r="AE33" s="2"/>
      <c r="AF33" s="2"/>
      <c r="AG33" s="2"/>
    </row>
    <row r="34" spans="1:33" ht="15.75" customHeight="1" x14ac:dyDescent="0.25">
      <c r="A34" s="11">
        <v>168</v>
      </c>
      <c r="B34" s="363" t="str">
        <f t="shared" si="0"/>
        <v>Pen Drive 16GB Dell</v>
      </c>
      <c r="C34" s="364"/>
      <c r="D34" s="365"/>
      <c r="E34" s="164" t="s">
        <v>142</v>
      </c>
      <c r="F34" s="165"/>
      <c r="G34" s="7" t="s">
        <v>132</v>
      </c>
      <c r="H34" s="25">
        <f t="shared" ca="1" si="1"/>
        <v>185</v>
      </c>
      <c r="I34" s="318">
        <f t="shared" ca="1" si="8"/>
        <v>329</v>
      </c>
      <c r="J34" s="319"/>
      <c r="K34" s="318">
        <f t="shared" ca="1" si="3"/>
        <v>60865</v>
      </c>
      <c r="L34" s="319"/>
      <c r="M34" s="169">
        <f t="shared" ca="1" si="4"/>
        <v>319.13</v>
      </c>
      <c r="N34" s="169"/>
      <c r="O34" s="169">
        <f t="shared" ca="1" si="5"/>
        <v>315.93869999999998</v>
      </c>
      <c r="P34" s="169"/>
      <c r="Q34" s="70">
        <f t="shared" ca="1" si="6"/>
        <v>102</v>
      </c>
      <c r="R34" s="346" t="str">
        <f t="shared" ca="1" si="7"/>
        <v>83 Produtos</v>
      </c>
      <c r="S34" s="346"/>
      <c r="T34" s="76"/>
      <c r="U34" s="351" t="s">
        <v>129</v>
      </c>
      <c r="V34" s="352"/>
      <c r="AA34" s="2"/>
      <c r="AB34" s="73"/>
      <c r="AC34" s="2"/>
      <c r="AD34" s="2"/>
      <c r="AE34" s="2"/>
      <c r="AF34" s="2"/>
      <c r="AG34" s="2"/>
    </row>
    <row r="35" spans="1:33" ht="15.75" customHeight="1" x14ac:dyDescent="0.25">
      <c r="A35" s="11">
        <v>172</v>
      </c>
      <c r="B35" s="64" t="str">
        <f t="shared" si="0"/>
        <v>Pen Drive 16GB Logitech</v>
      </c>
      <c r="C35" s="64"/>
      <c r="D35" s="64"/>
      <c r="E35" s="164" t="s">
        <v>142</v>
      </c>
      <c r="F35" s="165"/>
      <c r="G35" s="7" t="s">
        <v>134</v>
      </c>
      <c r="H35" s="25">
        <f t="shared" ca="1" si="1"/>
        <v>113</v>
      </c>
      <c r="I35" s="318">
        <f t="shared" ca="1" si="8"/>
        <v>745</v>
      </c>
      <c r="J35" s="319"/>
      <c r="K35" s="318">
        <f t="shared" ca="1" si="3"/>
        <v>84185</v>
      </c>
      <c r="L35" s="319"/>
      <c r="M35" s="169">
        <f t="shared" ca="1" si="4"/>
        <v>722.65</v>
      </c>
      <c r="N35" s="169"/>
      <c r="O35" s="169">
        <f t="shared" ca="1" si="5"/>
        <v>650.38499999999999</v>
      </c>
      <c r="P35" s="169"/>
      <c r="Q35" s="70">
        <f t="shared" ca="1" si="6"/>
        <v>110</v>
      </c>
      <c r="R35" s="354" t="str">
        <f t="shared" ca="1" si="7"/>
        <v>3 Produtos</v>
      </c>
      <c r="S35" s="354"/>
      <c r="T35" s="76"/>
      <c r="U35" s="353" t="str">
        <f ca="1">VLOOKUP($U$15,$A$15:$S$41,18,0)</f>
        <v>152 Produtos</v>
      </c>
      <c r="V35" s="353"/>
      <c r="AA35" s="2"/>
      <c r="AB35" s="2"/>
      <c r="AC35" s="2"/>
      <c r="AD35" s="2"/>
      <c r="AE35" s="2"/>
      <c r="AF35" s="2"/>
      <c r="AG35" s="2"/>
    </row>
    <row r="36" spans="1:33" ht="15.75" customHeight="1" x14ac:dyDescent="0.25">
      <c r="A36" s="11">
        <v>175</v>
      </c>
      <c r="B36" s="363" t="str">
        <f t="shared" ca="1" si="0"/>
        <v>Gabinete Bluetoth Dell</v>
      </c>
      <c r="C36" s="364"/>
      <c r="D36" s="365"/>
      <c r="E36" s="164" t="s">
        <v>146</v>
      </c>
      <c r="F36" s="165"/>
      <c r="G36" s="7" t="s">
        <v>132</v>
      </c>
      <c r="H36" s="25">
        <f t="shared" ca="1" si="1"/>
        <v>191</v>
      </c>
      <c r="I36" s="318">
        <f t="shared" ca="1" si="8"/>
        <v>233</v>
      </c>
      <c r="J36" s="319"/>
      <c r="K36" s="318">
        <f t="shared" ca="1" si="3"/>
        <v>44503</v>
      </c>
      <c r="L36" s="319"/>
      <c r="M36" s="169">
        <f t="shared" ca="1" si="4"/>
        <v>226.01</v>
      </c>
      <c r="N36" s="169"/>
      <c r="O36" s="169">
        <f t="shared" ca="1" si="5"/>
        <v>223.7499</v>
      </c>
      <c r="P36" s="169"/>
      <c r="Q36" s="77">
        <f t="shared" ca="1" si="6"/>
        <v>130</v>
      </c>
      <c r="R36" s="196" t="str">
        <f t="shared" ca="1" si="7"/>
        <v>61 Produtos</v>
      </c>
      <c r="S36" s="196"/>
      <c r="T36" s="74"/>
      <c r="U36" s="74"/>
      <c r="AA36" s="2"/>
      <c r="AB36" s="2"/>
      <c r="AC36" s="2"/>
      <c r="AD36" s="2"/>
      <c r="AE36" s="2"/>
      <c r="AF36" s="2"/>
      <c r="AG36" s="2"/>
    </row>
    <row r="37" spans="1:33" ht="15.75" customHeight="1" x14ac:dyDescent="0.25">
      <c r="A37" s="11">
        <v>179</v>
      </c>
      <c r="B37" s="363" t="str">
        <f t="shared" ca="1" si="0"/>
        <v>Gabinete Gamer Dell</v>
      </c>
      <c r="C37" s="364"/>
      <c r="D37" s="365"/>
      <c r="E37" s="164" t="s">
        <v>146</v>
      </c>
      <c r="F37" s="165"/>
      <c r="G37" s="7" t="s">
        <v>132</v>
      </c>
      <c r="H37" s="25">
        <f t="shared" ca="1" si="1"/>
        <v>104</v>
      </c>
      <c r="I37" s="318">
        <f t="shared" ca="1" si="8"/>
        <v>674</v>
      </c>
      <c r="J37" s="319"/>
      <c r="K37" s="318">
        <f t="shared" ca="1" si="3"/>
        <v>70096</v>
      </c>
      <c r="L37" s="319"/>
      <c r="M37" s="169">
        <f t="shared" ca="1" si="4"/>
        <v>653.78</v>
      </c>
      <c r="N37" s="169"/>
      <c r="O37" s="169">
        <f t="shared" ca="1" si="5"/>
        <v>647.24220000000003</v>
      </c>
      <c r="P37" s="169"/>
      <c r="Q37" s="77">
        <f t="shared" ca="1" si="6"/>
        <v>126</v>
      </c>
      <c r="R37" s="196" t="str">
        <f t="shared" ca="1" si="7"/>
        <v>-22 Produtos</v>
      </c>
      <c r="S37" s="196"/>
      <c r="T37" s="74"/>
      <c r="U37" s="74"/>
      <c r="W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25">
      <c r="A38" s="11">
        <v>182</v>
      </c>
      <c r="B38" s="64" t="str">
        <f t="shared" ca="1" si="0"/>
        <v>Gabinete Gamer Fortrek</v>
      </c>
      <c r="C38" s="64"/>
      <c r="D38" s="64"/>
      <c r="E38" s="164" t="s">
        <v>146</v>
      </c>
      <c r="F38" s="165"/>
      <c r="G38" s="7" t="s">
        <v>138</v>
      </c>
      <c r="H38" s="25">
        <f t="shared" ca="1" si="1"/>
        <v>182</v>
      </c>
      <c r="I38" s="318">
        <f t="shared" ca="1" si="8"/>
        <v>504</v>
      </c>
      <c r="J38" s="319"/>
      <c r="K38" s="318">
        <f t="shared" ca="1" si="3"/>
        <v>91728</v>
      </c>
      <c r="L38" s="319"/>
      <c r="M38" s="169">
        <f t="shared" ca="1" si="4"/>
        <v>438.48</v>
      </c>
      <c r="N38" s="169"/>
      <c r="O38" s="169">
        <f t="shared" ca="1" si="5"/>
        <v>394.63200000000001</v>
      </c>
      <c r="P38" s="169"/>
      <c r="Q38" s="77">
        <f t="shared" ca="1" si="6"/>
        <v>74</v>
      </c>
      <c r="R38" s="196" t="str">
        <f t="shared" ca="1" si="7"/>
        <v>108 Produtos</v>
      </c>
      <c r="S38" s="196"/>
      <c r="T38" s="74"/>
      <c r="U38" s="74"/>
      <c r="W38" s="2"/>
      <c r="AA38" s="2"/>
      <c r="AB38" s="2"/>
      <c r="AC38" s="2"/>
      <c r="AD38" s="2"/>
      <c r="AE38" s="2"/>
      <c r="AF38" s="2"/>
      <c r="AG38" s="2"/>
    </row>
    <row r="39" spans="1:33" ht="15.75" customHeight="1" x14ac:dyDescent="0.25">
      <c r="A39" s="11">
        <v>186</v>
      </c>
      <c r="B39" s="350" t="str">
        <f t="shared" si="0"/>
        <v>Gabinete Led Multilazer</v>
      </c>
      <c r="C39" s="350"/>
      <c r="D39" s="350"/>
      <c r="E39" s="196" t="s">
        <v>146</v>
      </c>
      <c r="F39" s="196"/>
      <c r="G39" s="7" t="s">
        <v>131</v>
      </c>
      <c r="H39" s="23">
        <f t="shared" ca="1" si="1"/>
        <v>178</v>
      </c>
      <c r="I39" s="166">
        <f ca="1">RANDBETWEEN(10,200)</f>
        <v>93</v>
      </c>
      <c r="J39" s="166"/>
      <c r="K39" s="166">
        <f t="shared" ca="1" si="3"/>
        <v>16554</v>
      </c>
      <c r="L39" s="166"/>
      <c r="M39" s="169">
        <f t="shared" ca="1" si="4"/>
        <v>74.400000000000006</v>
      </c>
      <c r="N39" s="169"/>
      <c r="O39" s="169">
        <f t="shared" ca="1" si="5"/>
        <v>73.656000000000006</v>
      </c>
      <c r="P39" s="169"/>
      <c r="Q39" s="77">
        <v>72</v>
      </c>
      <c r="R39" s="196" t="str">
        <f t="shared" ca="1" si="7"/>
        <v>106 Produtos</v>
      </c>
      <c r="S39" s="196"/>
      <c r="T39" s="74"/>
      <c r="U39" s="74"/>
      <c r="W39" s="2"/>
      <c r="AA39" s="2"/>
      <c r="AB39" s="2"/>
      <c r="AC39" s="2"/>
      <c r="AD39" s="2"/>
      <c r="AE39" s="2"/>
      <c r="AF39" s="2"/>
      <c r="AG39" s="2"/>
    </row>
    <row r="40" spans="1:33" ht="15.75" customHeight="1" x14ac:dyDescent="0.25">
      <c r="A40" s="11">
        <v>190</v>
      </c>
      <c r="B40" s="350" t="str">
        <f t="shared" si="0"/>
        <v>Gabinete Led Multilazer</v>
      </c>
      <c r="C40" s="350"/>
      <c r="D40" s="350"/>
      <c r="E40" s="196" t="s">
        <v>146</v>
      </c>
      <c r="F40" s="196"/>
      <c r="G40" s="7" t="s">
        <v>131</v>
      </c>
      <c r="H40" s="23">
        <f t="shared" ca="1" si="1"/>
        <v>100</v>
      </c>
      <c r="I40" s="166">
        <f ca="1">RANDBETWEEN(10,200)</f>
        <v>101</v>
      </c>
      <c r="J40" s="166"/>
      <c r="K40" s="166">
        <f t="shared" ca="1" si="3"/>
        <v>10100</v>
      </c>
      <c r="L40" s="166"/>
      <c r="M40" s="169">
        <f t="shared" ca="1" si="4"/>
        <v>80.8</v>
      </c>
      <c r="N40" s="169"/>
      <c r="O40" s="169">
        <f t="shared" ca="1" si="5"/>
        <v>79.99199999999999</v>
      </c>
      <c r="P40" s="169"/>
      <c r="Q40" s="77">
        <v>58</v>
      </c>
      <c r="R40" s="196" t="str">
        <f t="shared" ca="1" si="7"/>
        <v>42 Produtos</v>
      </c>
      <c r="S40" s="196"/>
      <c r="T40" s="74"/>
      <c r="U40" s="74"/>
      <c r="W40" s="2"/>
      <c r="AA40" s="2"/>
      <c r="AB40" s="2"/>
      <c r="AC40" s="2"/>
      <c r="AD40" s="2"/>
      <c r="AE40" s="2"/>
      <c r="AF40" s="2"/>
      <c r="AG40" s="2"/>
    </row>
    <row r="41" spans="1:33" ht="15.75" customHeight="1" x14ac:dyDescent="0.25">
      <c r="A41" s="11">
        <v>193</v>
      </c>
      <c r="B41" s="350" t="str">
        <f t="shared" ca="1" si="0"/>
        <v>Gabinete Com Fio Exbom</v>
      </c>
      <c r="C41" s="350"/>
      <c r="D41" s="350"/>
      <c r="E41" s="196" t="s">
        <v>146</v>
      </c>
      <c r="F41" s="196"/>
      <c r="G41" s="7" t="s">
        <v>133</v>
      </c>
      <c r="H41" s="23">
        <f t="shared" ca="1" si="1"/>
        <v>194</v>
      </c>
      <c r="I41" s="166">
        <f ca="1">RANDBETWEEN(10,200)</f>
        <v>146</v>
      </c>
      <c r="J41" s="166"/>
      <c r="K41" s="166">
        <f t="shared" ca="1" si="3"/>
        <v>28324</v>
      </c>
      <c r="L41" s="166"/>
      <c r="M41" s="169">
        <f t="shared" ca="1" si="4"/>
        <v>134.32</v>
      </c>
      <c r="N41" s="169"/>
      <c r="O41" s="169">
        <f t="shared" ca="1" si="5"/>
        <v>132.9768</v>
      </c>
      <c r="P41" s="169"/>
      <c r="Q41" s="77">
        <v>32</v>
      </c>
      <c r="R41" s="196" t="str">
        <f t="shared" ca="1" si="7"/>
        <v>162 Produtos</v>
      </c>
      <c r="S41" s="196"/>
      <c r="T41" s="74"/>
      <c r="U41" s="74"/>
      <c r="V41" s="2"/>
      <c r="W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25">
      <c r="V42" s="2"/>
      <c r="W42" s="2"/>
      <c r="AA42" s="2"/>
      <c r="AB42" s="2"/>
      <c r="AC42" s="2"/>
      <c r="AD42" s="2"/>
      <c r="AE42" s="2"/>
      <c r="AF42" s="2"/>
      <c r="AG42" s="2"/>
    </row>
    <row r="43" spans="1:33" ht="15.75" customHeight="1" thickBot="1" x14ac:dyDescent="0.3">
      <c r="V43" s="2"/>
      <c r="W43" s="2"/>
      <c r="AA43" s="2"/>
      <c r="AB43" s="2"/>
      <c r="AC43" s="2"/>
      <c r="AD43" s="2"/>
      <c r="AE43" s="2"/>
      <c r="AF43" s="2"/>
      <c r="AG43" s="2"/>
    </row>
    <row r="44" spans="1:33" ht="15.75" customHeight="1" thickBot="1" x14ac:dyDescent="0.3">
      <c r="B44" s="331" t="s">
        <v>84</v>
      </c>
      <c r="C44" s="332"/>
      <c r="D44" s="332"/>
      <c r="E44" s="332"/>
      <c r="F44" s="333"/>
      <c r="J44" s="320" t="s">
        <v>203</v>
      </c>
      <c r="K44" s="321"/>
      <c r="L44" s="321"/>
      <c r="M44" s="322"/>
      <c r="Q44" s="337" t="s">
        <v>89</v>
      </c>
      <c r="R44" s="338"/>
      <c r="S44" s="339"/>
      <c r="V44" s="2"/>
      <c r="W44" s="2"/>
      <c r="AA44" s="2"/>
      <c r="AB44" s="2"/>
      <c r="AC44" s="2"/>
      <c r="AD44" s="2"/>
      <c r="AE44" s="2"/>
      <c r="AF44" s="2"/>
      <c r="AG44" s="2"/>
    </row>
    <row r="45" spans="1:33" ht="15.75" customHeight="1" x14ac:dyDescent="0.25">
      <c r="A45" s="3"/>
      <c r="B45" s="334" t="s">
        <v>83</v>
      </c>
      <c r="C45" s="335"/>
      <c r="D45" s="335"/>
      <c r="E45" s="336"/>
      <c r="F45" s="60" t="s">
        <v>82</v>
      </c>
      <c r="G45" s="3"/>
      <c r="J45" s="5" t="s">
        <v>131</v>
      </c>
      <c r="K45" s="60" t="s">
        <v>141</v>
      </c>
      <c r="L45" s="316">
        <v>250</v>
      </c>
      <c r="M45" s="317"/>
      <c r="Q45" s="59" t="s">
        <v>3</v>
      </c>
      <c r="R45" s="164" t="s">
        <v>88</v>
      </c>
      <c r="S45" s="165"/>
      <c r="T45" s="2"/>
      <c r="U45" s="2"/>
      <c r="V45" s="2"/>
      <c r="W45" s="2"/>
      <c r="AA45" s="2"/>
      <c r="AB45" s="2"/>
      <c r="AC45" s="2"/>
      <c r="AD45" s="2"/>
      <c r="AE45" s="2"/>
      <c r="AF45" s="2"/>
      <c r="AG45" s="2"/>
    </row>
    <row r="46" spans="1:33" ht="15.75" customHeight="1" x14ac:dyDescent="0.25">
      <c r="A46" s="3"/>
      <c r="B46" s="196" t="s">
        <v>80</v>
      </c>
      <c r="C46" s="196"/>
      <c r="D46" s="196" t="s">
        <v>79</v>
      </c>
      <c r="E46" s="196"/>
      <c r="F46" s="13">
        <v>0.1</v>
      </c>
      <c r="G46" s="3"/>
      <c r="J46" s="7" t="s">
        <v>132</v>
      </c>
      <c r="K46" s="25" t="s">
        <v>143</v>
      </c>
      <c r="L46" s="318">
        <v>200</v>
      </c>
      <c r="M46" s="319"/>
      <c r="Q46" s="7" t="s">
        <v>131</v>
      </c>
      <c r="R46" s="314">
        <v>0.2</v>
      </c>
      <c r="S46" s="315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75" customHeight="1" x14ac:dyDescent="0.25">
      <c r="B47" s="169">
        <f ca="1">AVERAGE(I15:I41)</f>
        <v>421.14814814814815</v>
      </c>
      <c r="C47" s="169"/>
      <c r="D47" s="196">
        <f ca="1">_xlfn.MODE.SNGL(H15:H41)</f>
        <v>113</v>
      </c>
      <c r="E47" s="196"/>
      <c r="F47" s="14">
        <v>0.01</v>
      </c>
      <c r="J47" s="7" t="s">
        <v>134</v>
      </c>
      <c r="K47" s="25" t="s">
        <v>144</v>
      </c>
      <c r="L47" s="318">
        <v>350</v>
      </c>
      <c r="M47" s="319"/>
      <c r="Q47" s="7" t="s">
        <v>132</v>
      </c>
      <c r="R47" s="314">
        <v>0.03</v>
      </c>
      <c r="S47" s="315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75" customHeight="1" x14ac:dyDescent="0.25">
      <c r="J48" s="7" t="s">
        <v>135</v>
      </c>
      <c r="K48" s="25" t="s">
        <v>145</v>
      </c>
      <c r="L48" s="4"/>
      <c r="Q48" s="7" t="s">
        <v>133</v>
      </c>
      <c r="R48" s="152">
        <v>0.08</v>
      </c>
      <c r="S48" s="15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75" customHeight="1" x14ac:dyDescent="0.25">
      <c r="J49" s="7" t="s">
        <v>133</v>
      </c>
      <c r="K49" s="25" t="s">
        <v>147</v>
      </c>
      <c r="L49" s="4"/>
      <c r="M49" s="2"/>
      <c r="Q49" s="7" t="s">
        <v>135</v>
      </c>
      <c r="R49" s="154"/>
      <c r="S49" s="155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75" customHeight="1" x14ac:dyDescent="0.25">
      <c r="J50" s="7" t="s">
        <v>137</v>
      </c>
      <c r="K50" s="23" t="s">
        <v>142</v>
      </c>
      <c r="L50" s="4"/>
      <c r="M50" s="2"/>
      <c r="Q50" s="7" t="s">
        <v>134</v>
      </c>
      <c r="R50" s="314">
        <v>0.03</v>
      </c>
      <c r="S50" s="315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75" customHeight="1" x14ac:dyDescent="0.25">
      <c r="A51" s="2"/>
      <c r="B51" s="2"/>
      <c r="C51" s="2"/>
      <c r="D51" s="2"/>
      <c r="E51" s="2"/>
      <c r="F51" s="2"/>
      <c r="G51" s="2"/>
      <c r="J51" s="7" t="s">
        <v>138</v>
      </c>
      <c r="K51" s="4"/>
      <c r="L51" s="4"/>
      <c r="M51" s="2"/>
      <c r="P51" s="2"/>
      <c r="Q51" s="7" t="s">
        <v>137</v>
      </c>
      <c r="R51" s="152">
        <v>0.13</v>
      </c>
      <c r="S51" s="15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75" customHeight="1" x14ac:dyDescent="0.25">
      <c r="A52" s="2"/>
      <c r="B52" s="2"/>
      <c r="C52" s="2"/>
      <c r="D52" s="2"/>
      <c r="E52" s="2"/>
      <c r="F52" s="2"/>
      <c r="G52" s="2"/>
      <c r="L52" s="2"/>
      <c r="P52" s="2"/>
      <c r="Q52" s="7" t="s">
        <v>138</v>
      </c>
      <c r="R52" s="154"/>
      <c r="S52" s="155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75" customHeight="1" x14ac:dyDescent="0.25">
      <c r="A53" s="2"/>
      <c r="B53" s="2"/>
      <c r="C53" s="2"/>
      <c r="D53" s="2"/>
      <c r="E53" s="2"/>
      <c r="F53" s="2"/>
      <c r="G53" s="2"/>
      <c r="L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</sheetData>
  <protectedRanges>
    <protectedRange sqref="A515:T1048576" name="corpo_home"/>
    <protectedRange sqref="M55:O514 Q53:S514 U41:V44 S12:T13 S44:S46 A46:A514 B50:F514 G46:G514 M44:M51 H54:K514 T45:T514 P46:P514 L52:L514" name="corpo_home_1"/>
    <protectedRange sqref="F45:F47 J44:L51 S29:S41 Q44:R52 C12:R13 G45 P45 S23:S24 B44:B47 D44:D47 E44 T27 A12:B41 G14:I41 K14:K41 U34:V34 E14:E41 T32 T41:T44 O14:O41 P14:P38 M14:M41 Q14:R41 A45 U14:U33 U35" name="corpo_eletrodomesticos_1"/>
    <protectedRange sqref="A6:V8 A9:L11 P9:V11" name="corpo_home_1_1"/>
    <protectedRange sqref="M9:O11" name="corpo_home_1_1_1"/>
  </protectedRanges>
  <mergeCells count="227">
    <mergeCell ref="M22:N22"/>
    <mergeCell ref="O40:P40"/>
    <mergeCell ref="M30:N30"/>
    <mergeCell ref="E26:F26"/>
    <mergeCell ref="R47:S47"/>
    <mergeCell ref="B46:C46"/>
    <mergeCell ref="B47:C47"/>
    <mergeCell ref="D46:E46"/>
    <mergeCell ref="D47:E47"/>
    <mergeCell ref="B16:D16"/>
    <mergeCell ref="B20:D20"/>
    <mergeCell ref="B34:D34"/>
    <mergeCell ref="B36:D36"/>
    <mergeCell ref="B17:D17"/>
    <mergeCell ref="B37:D37"/>
    <mergeCell ref="R28:S28"/>
    <mergeCell ref="R29:S29"/>
    <mergeCell ref="R30:S30"/>
    <mergeCell ref="R31:S31"/>
    <mergeCell ref="R32:S32"/>
    <mergeCell ref="R41:S41"/>
    <mergeCell ref="M40:N40"/>
    <mergeCell ref="M41:N41"/>
    <mergeCell ref="M17:N17"/>
    <mergeCell ref="M20:N20"/>
    <mergeCell ref="M21:N21"/>
    <mergeCell ref="R27:S27"/>
    <mergeCell ref="M28:N28"/>
    <mergeCell ref="R35:S35"/>
    <mergeCell ref="R37:S37"/>
    <mergeCell ref="R38:S38"/>
    <mergeCell ref="R36:S36"/>
    <mergeCell ref="A12:V13"/>
    <mergeCell ref="A1:V8"/>
    <mergeCell ref="A9:C11"/>
    <mergeCell ref="D9:F11"/>
    <mergeCell ref="G9:I11"/>
    <mergeCell ref="J9:L11"/>
    <mergeCell ref="M9:O11"/>
    <mergeCell ref="P9:R11"/>
    <mergeCell ref="S9:U11"/>
    <mergeCell ref="V9:V11"/>
    <mergeCell ref="M31:N31"/>
    <mergeCell ref="M32:N32"/>
    <mergeCell ref="O27:P27"/>
    <mergeCell ref="R24:S24"/>
    <mergeCell ref="R25:S25"/>
    <mergeCell ref="M24:N24"/>
    <mergeCell ref="M25:N25"/>
    <mergeCell ref="M29:N29"/>
    <mergeCell ref="E27:F27"/>
    <mergeCell ref="E28:F28"/>
    <mergeCell ref="O41:P41"/>
    <mergeCell ref="R40:S40"/>
    <mergeCell ref="R33:S33"/>
    <mergeCell ref="M26:N26"/>
    <mergeCell ref="M27:N27"/>
    <mergeCell ref="U30:V30"/>
    <mergeCell ref="U31:V31"/>
    <mergeCell ref="O38:P38"/>
    <mergeCell ref="O39:P39"/>
    <mergeCell ref="O33:P33"/>
    <mergeCell ref="O34:P34"/>
    <mergeCell ref="O35:P35"/>
    <mergeCell ref="O36:P36"/>
    <mergeCell ref="O37:P37"/>
    <mergeCell ref="O30:P30"/>
    <mergeCell ref="O31:P31"/>
    <mergeCell ref="O32:P32"/>
    <mergeCell ref="U34:V34"/>
    <mergeCell ref="U35:V35"/>
    <mergeCell ref="R39:S39"/>
    <mergeCell ref="R34:S34"/>
    <mergeCell ref="R26:S26"/>
    <mergeCell ref="K26:L26"/>
    <mergeCell ref="I39:J39"/>
    <mergeCell ref="I25:J25"/>
    <mergeCell ref="I26:J26"/>
    <mergeCell ref="I27:J27"/>
    <mergeCell ref="I28:J28"/>
    <mergeCell ref="I29:J29"/>
    <mergeCell ref="I36:J36"/>
    <mergeCell ref="I37:J37"/>
    <mergeCell ref="I38:J38"/>
    <mergeCell ref="I40:J40"/>
    <mergeCell ref="I41:J41"/>
    <mergeCell ref="K27:L27"/>
    <mergeCell ref="K40:L40"/>
    <mergeCell ref="K41:L41"/>
    <mergeCell ref="K36:L36"/>
    <mergeCell ref="K37:L37"/>
    <mergeCell ref="K28:L28"/>
    <mergeCell ref="K29:L29"/>
    <mergeCell ref="K30:L30"/>
    <mergeCell ref="K31:L31"/>
    <mergeCell ref="K32:L32"/>
    <mergeCell ref="K38:L38"/>
    <mergeCell ref="K39:L39"/>
    <mergeCell ref="K33:L33"/>
    <mergeCell ref="K34:L34"/>
    <mergeCell ref="K35:L35"/>
    <mergeCell ref="B41:D41"/>
    <mergeCell ref="B39:D39"/>
    <mergeCell ref="B40:D40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41:F41"/>
    <mergeCell ref="E40:F40"/>
    <mergeCell ref="E34:F34"/>
    <mergeCell ref="E39:F39"/>
    <mergeCell ref="U21:V21"/>
    <mergeCell ref="E17:F17"/>
    <mergeCell ref="U18:V18"/>
    <mergeCell ref="U19:V19"/>
    <mergeCell ref="I18:J18"/>
    <mergeCell ref="I19:J19"/>
    <mergeCell ref="I17:J17"/>
    <mergeCell ref="U24:V24"/>
    <mergeCell ref="U25:V25"/>
    <mergeCell ref="E18:F18"/>
    <mergeCell ref="E19:F19"/>
    <mergeCell ref="E20:F20"/>
    <mergeCell ref="E21:F21"/>
    <mergeCell ref="E22:F22"/>
    <mergeCell ref="E23:F23"/>
    <mergeCell ref="E24:F24"/>
    <mergeCell ref="E25:F25"/>
    <mergeCell ref="O21:P21"/>
    <mergeCell ref="O22:P22"/>
    <mergeCell ref="K18:L18"/>
    <mergeCell ref="K19:L19"/>
    <mergeCell ref="K20:L20"/>
    <mergeCell ref="K21:L21"/>
    <mergeCell ref="K22:L22"/>
    <mergeCell ref="I15:J15"/>
    <mergeCell ref="I16:J16"/>
    <mergeCell ref="I14:J14"/>
    <mergeCell ref="I30:J30"/>
    <mergeCell ref="I31:J31"/>
    <mergeCell ref="I32:J32"/>
    <mergeCell ref="I33:J33"/>
    <mergeCell ref="I34:J34"/>
    <mergeCell ref="I35:J35"/>
    <mergeCell ref="I20:J20"/>
    <mergeCell ref="I21:J21"/>
    <mergeCell ref="I22:J22"/>
    <mergeCell ref="I23:J23"/>
    <mergeCell ref="I24:J24"/>
    <mergeCell ref="U14:V14"/>
    <mergeCell ref="U15:V15"/>
    <mergeCell ref="U20:V20"/>
    <mergeCell ref="R14:S14"/>
    <mergeCell ref="O15:P15"/>
    <mergeCell ref="O16:P16"/>
    <mergeCell ref="O17:P17"/>
    <mergeCell ref="O23:P23"/>
    <mergeCell ref="O24:P24"/>
    <mergeCell ref="O14:P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U16:V16"/>
    <mergeCell ref="U17:V17"/>
    <mergeCell ref="O18:P18"/>
    <mergeCell ref="O19:P19"/>
    <mergeCell ref="O20:P20"/>
    <mergeCell ref="B44:F44"/>
    <mergeCell ref="B45:E45"/>
    <mergeCell ref="Q44:S44"/>
    <mergeCell ref="R45:S45"/>
    <mergeCell ref="M14:N14"/>
    <mergeCell ref="K14:L14"/>
    <mergeCell ref="B14:D14"/>
    <mergeCell ref="E14:F14"/>
    <mergeCell ref="E15:F15"/>
    <mergeCell ref="E16:F16"/>
    <mergeCell ref="O25:P25"/>
    <mergeCell ref="O26:P26"/>
    <mergeCell ref="O28:P28"/>
    <mergeCell ref="O29:P29"/>
    <mergeCell ref="K15:L15"/>
    <mergeCell ref="K16:L16"/>
    <mergeCell ref="K17:L17"/>
    <mergeCell ref="K23:L23"/>
    <mergeCell ref="K24:L24"/>
    <mergeCell ref="K25:L25"/>
    <mergeCell ref="M15:N15"/>
    <mergeCell ref="M16:N16"/>
    <mergeCell ref="M18:N18"/>
    <mergeCell ref="M19:N19"/>
    <mergeCell ref="R48:S49"/>
    <mergeCell ref="R51:S52"/>
    <mergeCell ref="R50:S50"/>
    <mergeCell ref="R46:S46"/>
    <mergeCell ref="L45:M45"/>
    <mergeCell ref="L46:M46"/>
    <mergeCell ref="L47:M47"/>
    <mergeCell ref="J44:M44"/>
    <mergeCell ref="U22:V22"/>
    <mergeCell ref="U23:V23"/>
    <mergeCell ref="U33:V33"/>
    <mergeCell ref="U32:V32"/>
    <mergeCell ref="M23:N23"/>
    <mergeCell ref="U26:V26"/>
    <mergeCell ref="U27:V27"/>
    <mergeCell ref="U28:V28"/>
    <mergeCell ref="U29:V29"/>
    <mergeCell ref="M38:N38"/>
    <mergeCell ref="M39:N39"/>
    <mergeCell ref="M33:N33"/>
    <mergeCell ref="M34:N34"/>
    <mergeCell ref="M35:N35"/>
    <mergeCell ref="M36:N36"/>
    <mergeCell ref="M37:N37"/>
  </mergeCells>
  <dataValidations count="1">
    <dataValidation type="list" allowBlank="1" showInputMessage="1" showErrorMessage="1" sqref="U15:V15" xr:uid="{0B89A3BE-9073-4F13-9FFD-1D9365595037}">
      <formula1>$A$15:$A$41</formula1>
    </dataValidation>
  </dataValidations>
  <hyperlinks>
    <hyperlink ref="P9:R11" location="Eletrônicos!A1" display="ELETRÔNICOS" xr:uid="{DCE30DC4-6270-4387-8593-C7C9F2BA9555}"/>
    <hyperlink ref="J9:L11" location="'Bolsas e Malas'!A1" display="BOLSAS E MALAS" xr:uid="{D528FC23-A2DC-4163-A900-86470C58A60E}"/>
    <hyperlink ref="G9:I11" location="Automotivo!A1" display="AUTOMOTIVO" xr:uid="{22F7E66E-C0A0-4B95-BEEA-4974DBF9B833}"/>
    <hyperlink ref="D9:F11" location="Eletrodomésticos!A1" display="ELETRODOMÉSTICOS" xr:uid="{4A0FC2A5-BBDC-4B91-80D2-3FD51121CFFA}"/>
    <hyperlink ref="A9:C11" location="Home!A1" display="HOME" xr:uid="{EAD3B3A1-69DA-4FD6-8FF5-30BE7FB2226E}"/>
    <hyperlink ref="M9:O11" location="'Alimentos e Bebidas'!A1" display="'Alimentos e Bebidas'!A1" xr:uid="{21B6E14F-2AE7-47C8-90B9-DB3FB19216A1}"/>
    <hyperlink ref="S9:V11" location="Ranking!A1" display="Ranking" xr:uid="{37EA6264-C8D5-4DC2-AB12-EB10CAB70C8A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27"/>
  <sheetViews>
    <sheetView zoomScale="55" zoomScaleNormal="55" workbookViewId="0">
      <selection activeCell="K9" sqref="K9:M11"/>
    </sheetView>
  </sheetViews>
  <sheetFormatPr defaultColWidth="10.42578125" defaultRowHeight="17.25" customHeight="1" x14ac:dyDescent="0.25"/>
  <cols>
    <col min="1" max="1" width="10.5703125" bestFit="1" customWidth="1"/>
    <col min="3" max="3" width="12" bestFit="1" customWidth="1"/>
    <col min="6" max="6" width="15.28515625" customWidth="1"/>
    <col min="21" max="21" width="11.28515625" customWidth="1"/>
    <col min="22" max="22" width="12.140625" customWidth="1"/>
  </cols>
  <sheetData>
    <row r="1" spans="1:48" s="2" customFormat="1" ht="17.25" customHeight="1" x14ac:dyDescent="0.2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1:48" s="2" customFormat="1" ht="17.25" customHeigh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pans="1:48" s="2" customFormat="1" ht="17.25" customHeight="1" x14ac:dyDescent="0.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1:48" s="2" customFormat="1" ht="17.25" customHeight="1" x14ac:dyDescent="0.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48" s="2" customFormat="1" ht="17.25" customHeight="1" x14ac:dyDescent="0.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48" ht="17.25" customHeight="1" x14ac:dyDescent="0.2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17.25" customHeight="1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thickBot="1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thickTop="1" x14ac:dyDescent="0.25">
      <c r="A9" s="114" t="s">
        <v>268</v>
      </c>
      <c r="B9" s="106"/>
      <c r="C9" s="106"/>
      <c r="D9" s="402"/>
      <c r="E9" s="106" t="s">
        <v>211</v>
      </c>
      <c r="F9" s="106"/>
      <c r="G9" s="107"/>
      <c r="H9" s="105" t="s">
        <v>215</v>
      </c>
      <c r="I9" s="106"/>
      <c r="J9" s="107"/>
      <c r="K9" s="105" t="s">
        <v>212</v>
      </c>
      <c r="L9" s="106"/>
      <c r="M9" s="107"/>
      <c r="N9" s="114" t="s">
        <v>274</v>
      </c>
      <c r="O9" s="106"/>
      <c r="P9" s="107"/>
      <c r="Q9" s="114" t="s">
        <v>214</v>
      </c>
      <c r="R9" s="394"/>
      <c r="S9" s="394"/>
      <c r="T9" s="395"/>
      <c r="U9" s="105" t="s">
        <v>217</v>
      </c>
      <c r="V9" s="106"/>
      <c r="W9" s="106"/>
      <c r="X9" s="106"/>
      <c r="Y9" s="106"/>
      <c r="Z9" s="10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17.25" customHeight="1" x14ac:dyDescent="0.25">
      <c r="A10" s="108"/>
      <c r="B10" s="109"/>
      <c r="C10" s="109"/>
      <c r="D10" s="109"/>
      <c r="E10" s="109"/>
      <c r="F10" s="109"/>
      <c r="G10" s="110"/>
      <c r="H10" s="108"/>
      <c r="I10" s="109"/>
      <c r="J10" s="110"/>
      <c r="K10" s="108"/>
      <c r="L10" s="109"/>
      <c r="M10" s="110"/>
      <c r="N10" s="108"/>
      <c r="O10" s="109"/>
      <c r="P10" s="110"/>
      <c r="Q10" s="396"/>
      <c r="R10" s="397"/>
      <c r="S10" s="397"/>
      <c r="T10" s="398"/>
      <c r="U10" s="108"/>
      <c r="V10" s="109"/>
      <c r="W10" s="109"/>
      <c r="X10" s="109"/>
      <c r="Y10" s="109"/>
      <c r="Z10" s="109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17.25" customHeight="1" thickBot="1" x14ac:dyDescent="0.3">
      <c r="A11" s="111"/>
      <c r="B11" s="112"/>
      <c r="C11" s="112"/>
      <c r="D11" s="403"/>
      <c r="E11" s="112"/>
      <c r="F11" s="112"/>
      <c r="G11" s="113"/>
      <c r="H11" s="111"/>
      <c r="I11" s="112"/>
      <c r="J11" s="113"/>
      <c r="K11" s="111"/>
      <c r="L11" s="112"/>
      <c r="M11" s="113"/>
      <c r="N11" s="111"/>
      <c r="O11" s="112"/>
      <c r="P11" s="113"/>
      <c r="Q11" s="399"/>
      <c r="R11" s="400"/>
      <c r="S11" s="400"/>
      <c r="T11" s="401"/>
      <c r="U11" s="111"/>
      <c r="V11" s="112"/>
      <c r="W11" s="112"/>
      <c r="X11" s="112"/>
      <c r="Y11" s="112"/>
      <c r="Z11" s="11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7.25" customHeight="1" x14ac:dyDescent="0.25">
      <c r="A12" s="386" t="s">
        <v>211</v>
      </c>
      <c r="B12" s="387"/>
      <c r="C12" s="387"/>
      <c r="D12" s="393"/>
      <c r="E12" s="387"/>
      <c r="F12" s="388"/>
      <c r="K12" s="386" t="s">
        <v>215</v>
      </c>
      <c r="L12" s="387"/>
      <c r="M12" s="387"/>
      <c r="N12" s="387"/>
      <c r="O12" s="387"/>
      <c r="P12" s="388"/>
      <c r="U12" s="386" t="s">
        <v>212</v>
      </c>
      <c r="V12" s="387"/>
      <c r="W12" s="387"/>
      <c r="X12" s="387"/>
      <c r="Y12" s="387"/>
      <c r="Z12" s="388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17.25" customHeight="1" x14ac:dyDescent="0.25">
      <c r="A13" s="82" t="s">
        <v>217</v>
      </c>
      <c r="B13" s="84" t="s">
        <v>3</v>
      </c>
      <c r="C13" s="392" t="s">
        <v>218</v>
      </c>
      <c r="D13" s="392"/>
      <c r="E13" s="392" t="s">
        <v>219</v>
      </c>
      <c r="F13" s="392"/>
      <c r="K13" s="82" t="s">
        <v>217</v>
      </c>
      <c r="L13" s="82" t="s">
        <v>3</v>
      </c>
      <c r="M13" s="392" t="s">
        <v>218</v>
      </c>
      <c r="N13" s="392"/>
      <c r="O13" s="392" t="s">
        <v>219</v>
      </c>
      <c r="P13" s="392"/>
      <c r="U13" s="82" t="s">
        <v>217</v>
      </c>
      <c r="V13" s="84" t="s">
        <v>3</v>
      </c>
      <c r="W13" s="392" t="s">
        <v>218</v>
      </c>
      <c r="X13" s="392"/>
      <c r="Y13" s="392" t="s">
        <v>219</v>
      </c>
      <c r="Z13" s="39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ht="17.25" customHeight="1" x14ac:dyDescent="0.25">
      <c r="A14" s="39">
        <v>1</v>
      </c>
      <c r="B14" s="38" t="str">
        <f ca="1">IF(C14=$C$78,$A$78,IF(C14=$C$79,$A$79,IF(C14=$C$80,$A$80,IF(C14=$C$81,$A$81,IF(C14=$C$82,$A$82,IF(C14=$C$83,$A$83,IF(C14=$C$84,$A$84,IF(C14=$C$85,$A$85,IF(C14=$C$86,$A$86,IF(C14=$C$87,$A$87,IF(C14=$C$88,$A$88,"?")))))))))))</f>
        <v>Philco</v>
      </c>
      <c r="C14" s="389">
        <f ca="1">LARGE($C$78:$C$88,A14)</f>
        <v>14472.530700000001</v>
      </c>
      <c r="D14" s="389"/>
      <c r="E14" s="366" t="str">
        <f ca="1">IF(C14=$C$78,$E$78,IF(C14=$C$79,$E$79,IF(C14=$C$80,$E$80,IF(C14=$C$81,$E$81,IF(C14=$C$82,$E$82,IF(C14=$C$83,$E$83,IF(C14=$C$84,$E$84,IF(C14=$C$85,$E$85,IF(C14=$C$86,$E$86,IF(C14=$C$87,$E$87,IF(C14=$C$88,$E$88,"?")))))))))))</f>
        <v>390 Produtos</v>
      </c>
      <c r="F14" s="367"/>
      <c r="K14" s="39">
        <v>1</v>
      </c>
      <c r="L14" s="38" t="str">
        <f ca="1">IF(M14=$M$78,$K$78,IF(M14=$M$79,$K$79,IF(M14=$M$80,$K$80,IF(M14=$M$81,$K$81,IF(M14=$M$82,$K$82,IF(M14=$M$83,$K$83,IF(M14=$M$84,$K$84,IF(M14=$M$85,$K$85,IF(M14=$M$86,$K$86,IF(M14=$M$87,$K$87,"?"))))))))))</f>
        <v>Pioneer</v>
      </c>
      <c r="M14" s="389">
        <f ca="1">LARGE($M$78:$M$87,K14)</f>
        <v>412948.94000000006</v>
      </c>
      <c r="N14" s="389"/>
      <c r="O14" s="121" t="str">
        <f ca="1">IF(M14=$M$78,$O$78,IF(M14=$M$79,$O$79,IF(M14=$M$80,$O$80,IF(M14=$M$81,$O$81,IF(M14=$M$82,$O$82,IF(M14=$M$83,$O$83,IF(M14=$M$84,$O$84,IF(M14=$M$85,$O$85,IF(M14=$M$86,$O$86,IF(M14=$M$87,$O$87,"?"))))))))))</f>
        <v>575 Produtos</v>
      </c>
      <c r="P14" s="121"/>
      <c r="U14" s="39">
        <v>1</v>
      </c>
      <c r="V14" s="38" t="str">
        <f ca="1">IF(W14=$V$78,$T$78,IF(W14=$V$79,$T$79,IF(W14=$V$80,$T$80,IF(W14=$V$81,$T$81,IF(W14=$V$82,$T$82,"?")))))</f>
        <v>Farm</v>
      </c>
      <c r="W14" s="389">
        <f ca="1">LARGE($V$78:$V$82,U14)</f>
        <v>189300</v>
      </c>
      <c r="X14" s="389"/>
      <c r="Y14" s="121" t="str">
        <f ca="1">IF(W14=$V$78,$X$78,IF(W14=$V$79,$X$79,IF(W14=$V$80,$X$80,IF(W14=$V$81,$X$81,IF(W14=$V$82,$X$82,"?")))))</f>
        <v>768 Produtos</v>
      </c>
      <c r="Z14" s="121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ht="17.25" customHeight="1" x14ac:dyDescent="0.25">
      <c r="A15" s="39">
        <v>2</v>
      </c>
      <c r="B15" s="38" t="str">
        <f ca="1">IF(C15=$C$78,$A$78,IF(C15=$C$79,$A$79,IF(C15=$C$80,$A$80,IF(C15=$C$81,$A$81,IF(C15=$C$82,$A$82,IF(C15=$C$83,$A$83,IF(C15=$C$84,$A$84,IF(C15=$C$85,$A$85,IF(C15=$C$86,$A$86,IF(C15=$C$87,$A$87,IF(C15=$C$88,$A$88,"?")))))))))))</f>
        <v>Brastamp</v>
      </c>
      <c r="C15" s="389">
        <f ca="1">LARGE($C$78:$C$88,A15)</f>
        <v>13241.75</v>
      </c>
      <c r="D15" s="389"/>
      <c r="E15" s="366" t="str">
        <f t="shared" ref="E15:E18" ca="1" si="0">IF(C15=$C$78,$E$78,IF(C15=$C$79,$E$79,IF(C15=$C$80,$E$80,IF(C15=$C$81,$E$81,IF(C15=$C$82,$E$82,IF(C15=$C$83,$E$83,IF(C15=$C$84,$E$84,IF(C15=$C$85,$E$85,IF(C15=$C$86,$E$86,IF(C15=$C$87,$E$87,IF(C15=$C$88,$E$88,"?")))))))))))</f>
        <v>406 Produtos</v>
      </c>
      <c r="F15" s="367"/>
      <c r="K15" s="39">
        <v>2</v>
      </c>
      <c r="L15" s="38" t="str">
        <f ca="1">IF(M15=$M$78,$K$78,IF(M15=$M$79,$K$79,IF(M15=$M$80,$K$80,IF(M15=$M$81,$K$81,IF(M15=$M$82,$K$82,IF(M15=$M$83,$K$83,IF(M15=$M$84,$K$84,IF(M15=$M$85,$K$85,IF(M15=$M$86,$K$86,IF(M15=$M$87,$K$87,"?"))))))))))</f>
        <v>Pósitron</v>
      </c>
      <c r="M15" s="389">
        <f ca="1">LARGE($M$78:$M$87,K15)</f>
        <v>403420.8</v>
      </c>
      <c r="N15" s="389"/>
      <c r="O15" s="121" t="str">
        <f t="shared" ref="O15:O18" ca="1" si="1">IF(M15=$M$78,$O$78,IF(M15=$M$79,$O$79,IF(M15=$M$80,$O$80,IF(M15=$M$81,$O$81,IF(M15=$M$82,$O$82,IF(M15=$M$83,$O$83,IF(M15=$M$84,$O$84,IF(M15=$M$85,$O$85,IF(M15=$M$86,$O$86,IF(M15=$M$87,$O$87,"?"))))))))))</f>
        <v>660 Produtos</v>
      </c>
      <c r="P15" s="121"/>
      <c r="U15" s="39">
        <v>2</v>
      </c>
      <c r="V15" s="38" t="str">
        <f ca="1">IF(W15=$V$78,$T$78,IF(W15=$V$79,$T$79,IF(W15=$V$80,$T$80,IF(W15=$V$81,$T$81,IF(W15=$V$82,$T$82,"?")))))</f>
        <v>Colcci</v>
      </c>
      <c r="W15" s="389">
        <f ca="1">LARGE($V$78:$V$82,U15)</f>
        <v>185523</v>
      </c>
      <c r="X15" s="389"/>
      <c r="Y15" s="121" t="str">
        <f t="shared" ref="Y15:Y18" ca="1" si="2">IF(W15=$V$78,$X$78,IF(W15=$V$79,$X$79,IF(W15=$V$80,$X$80,IF(W15=$V$81,$X$81,IF(W15=$V$82,$X$82,"?")))))</f>
        <v>901 Produtos</v>
      </c>
      <c r="Z15" s="121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7.25" customHeight="1" x14ac:dyDescent="0.25">
      <c r="A16" s="39">
        <v>3</v>
      </c>
      <c r="B16" s="38" t="str">
        <f ca="1">IF(C16=$C$78,$A$78,IF(C16=$C$79,$A$79,IF(C16=$C$80,$A$80,IF(C16=$C$81,$A$81,IF(C16=$C$82,$A$82,IF(C16=$C$83,$A$83,IF(C16=$C$84,$A$84,IF(C16=$C$85,$A$85,IF(C16=$C$86,$A$86,IF(C16=$C$87,$A$87,IF(C16=$C$88,$A$88,"?")))))))))))</f>
        <v>Electrolux</v>
      </c>
      <c r="C16" s="389">
        <f ca="1">LARGE($C$78:$C$88,A16)</f>
        <v>6280.74</v>
      </c>
      <c r="D16" s="389"/>
      <c r="E16" s="366" t="str">
        <f t="shared" ca="1" si="0"/>
        <v>546 Produtos</v>
      </c>
      <c r="F16" s="367"/>
      <c r="K16" s="39">
        <v>3</v>
      </c>
      <c r="L16" s="38" t="str">
        <f ca="1">IF(M16=$M$78,$K$78,IF(M16=$M$79,$K$79,IF(M16=$M$80,$K$80,IF(M16=$M$81,$K$81,IF(M16=$M$82,$K$82,IF(M16=$M$83,$K$83,IF(M16=$M$84,$K$84,IF(M16=$M$85,$K$85,IF(M16=$M$86,$K$86,IF(M16=$M$87,$K$87,"?"))))))))))</f>
        <v>Firestone</v>
      </c>
      <c r="M16" s="389">
        <f ca="1">LARGE($M$78:$M$87,K16)</f>
        <v>211035.9</v>
      </c>
      <c r="N16" s="389"/>
      <c r="O16" s="121" t="str">
        <f t="shared" ca="1" si="1"/>
        <v>291 Produtos</v>
      </c>
      <c r="P16" s="121"/>
      <c r="U16" s="39">
        <v>3</v>
      </c>
      <c r="V16" s="38" t="str">
        <f ca="1">IF(W16=$V$78,$T$78,IF(W16=$V$79,$T$79,IF(W16=$V$80,$T$80,IF(W16=$V$81,$T$81,IF(W16=$V$82,$T$82,"?")))))</f>
        <v>Kat</v>
      </c>
      <c r="W16" s="389">
        <f ca="1">LARGE($V$78:$V$82,U16)</f>
        <v>184378</v>
      </c>
      <c r="X16" s="389"/>
      <c r="Y16" s="121" t="str">
        <f t="shared" ca="1" si="2"/>
        <v>391 Produtos</v>
      </c>
      <c r="Z16" s="121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ht="17.25" customHeight="1" x14ac:dyDescent="0.25">
      <c r="A17" s="39">
        <v>4</v>
      </c>
      <c r="B17" s="38" t="str">
        <f ca="1">IF(C17=$C$78,$A$78,IF(C17=$C$79,$A$79,IF(C17=$C$80,$A$80,IF(C17=$C$81,$A$81,IF(C17=$C$82,$A$82,IF(C17=$C$83,$A$83,IF(C17=$C$84,$A$84,IF(C17=$C$85,$A$85,IF(C17=$C$86,$A$86,IF(C17=$C$87,$A$87,IF(C17=$C$88,$A$88,"?")))))))))))</f>
        <v>Midea</v>
      </c>
      <c r="C17" s="389">
        <f ca="1">LARGE($C$78:$C$88,A17)</f>
        <v>6162.64</v>
      </c>
      <c r="D17" s="389"/>
      <c r="E17" s="366" t="str">
        <f t="shared" ca="1" si="0"/>
        <v>449 Produtos</v>
      </c>
      <c r="F17" s="367"/>
      <c r="K17" s="39">
        <v>4</v>
      </c>
      <c r="L17" s="38" t="str">
        <f ca="1">IF(M17=$M$78,$K$78,IF(M17=$M$79,$K$79,IF(M17=$M$80,$K$80,IF(M17=$M$81,$K$81,IF(M17=$M$82,$K$82,IF(M17=$M$83,$K$83,IF(M17=$M$84,$K$84,IF(M17=$M$85,$K$85,IF(M17=$M$86,$K$86,IF(M17=$M$87,$K$87,"?"))))))))))</f>
        <v>Goodride</v>
      </c>
      <c r="M17" s="389">
        <f ca="1">LARGE($M$78:$M$87,K17)</f>
        <v>168710.88</v>
      </c>
      <c r="N17" s="389"/>
      <c r="O17" s="121" t="str">
        <f t="shared" ca="1" si="1"/>
        <v>315 Produtos</v>
      </c>
      <c r="P17" s="121"/>
      <c r="U17" s="39">
        <v>4</v>
      </c>
      <c r="V17" s="38" t="str">
        <f ca="1">IF(W17=$V$78,$T$78,IF(W17=$V$79,$T$79,IF(W17=$V$80,$T$80,IF(W17=$V$81,$T$81,IF(W17=$V$82,$T$82,"?")))))</f>
        <v>Reserva</v>
      </c>
      <c r="W17" s="389">
        <f ca="1">LARGE($V$78:$V$82,U17)</f>
        <v>157227</v>
      </c>
      <c r="X17" s="389"/>
      <c r="Y17" s="121" t="str">
        <f t="shared" ca="1" si="2"/>
        <v>873 Produtos</v>
      </c>
      <c r="Z17" s="121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ht="17.25" customHeight="1" x14ac:dyDescent="0.25">
      <c r="A18" s="39">
        <v>5</v>
      </c>
      <c r="B18" s="38" t="str">
        <f ca="1">IF(C18=$C$78,$A$78,IF(C18=$C$79,$A$79,IF(C18=$C$80,$A$80,IF(C18=$C$81,$A$81,IF(C18=$C$82,$A$82,IF(C18=$C$83,$A$83,IF(C18=$C$84,$A$84,IF(C18=$C$85,$A$85,IF(C18=$C$86,$A$86,IF(C18=$C$87,$A$87,IF(C18=$C$88,$A$88,"?")))))))))))</f>
        <v>Dako</v>
      </c>
      <c r="C18" s="389">
        <f ca="1">LARGE($C$78:$C$88,A18)</f>
        <v>2869.1099999999997</v>
      </c>
      <c r="D18" s="389"/>
      <c r="E18" s="366" t="str">
        <f t="shared" ca="1" si="0"/>
        <v>459 Produtos</v>
      </c>
      <c r="F18" s="367"/>
      <c r="K18" s="39">
        <v>5</v>
      </c>
      <c r="L18" s="38" t="str">
        <f ca="1">IF(M18=$M$78,$K$78,IF(M18=$M$79,$K$79,IF(M18=$M$80,$K$80,IF(M18=$M$81,$K$81,IF(M18=$M$82,$K$82,IF(M18=$M$83,$K$83,IF(M18=$M$84,$K$84,IF(M18=$M$85,$K$85,IF(M18=$M$86,$K$86,IF(M18=$M$87,$K$87,"?"))))))))))</f>
        <v>Westlake</v>
      </c>
      <c r="M18" s="389">
        <f ca="1">LARGE($M$78:$M$87,K18)</f>
        <v>168266.87</v>
      </c>
      <c r="N18" s="389"/>
      <c r="O18" s="121" t="str">
        <f t="shared" ca="1" si="1"/>
        <v>492 Produtos</v>
      </c>
      <c r="P18" s="121"/>
      <c r="U18" s="39">
        <v>5</v>
      </c>
      <c r="V18" s="38" t="str">
        <f ca="1">IF(W18=$V$78,$T$78,IF(W18=$V$79,$T$79,IF(W18=$V$80,$T$80,IF(W18=$V$81,$T$81,IF(W18=$V$82,$T$82,"?")))))</f>
        <v>Swissland</v>
      </c>
      <c r="W18" s="389">
        <f ca="1">LARGE($V$78:$V$82,U18)</f>
        <v>106804</v>
      </c>
      <c r="X18" s="389"/>
      <c r="Y18" s="121" t="str">
        <f t="shared" ca="1" si="2"/>
        <v>778 Produtos</v>
      </c>
      <c r="Z18" s="121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7.25" customHeight="1" x14ac:dyDescent="0.25"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ht="17.25" customHeight="1" x14ac:dyDescent="0.25">
      <c r="B20" s="2"/>
      <c r="C20" s="2"/>
      <c r="D20" s="2"/>
      <c r="E20" s="2"/>
      <c r="F20" s="2"/>
      <c r="S20" s="2"/>
      <c r="T20" s="2"/>
      <c r="U20" s="2"/>
      <c r="V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t="17.25" customHeight="1" x14ac:dyDescent="0.25">
      <c r="B21" s="2"/>
      <c r="C21" s="2"/>
      <c r="D21" s="2"/>
      <c r="E21" s="2"/>
      <c r="F21" s="2"/>
      <c r="H21" s="2"/>
      <c r="I21" s="2"/>
      <c r="J21" s="2"/>
      <c r="S21" s="2"/>
      <c r="T21" s="2"/>
      <c r="U21" s="2"/>
      <c r="V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ht="17.25" customHeight="1" x14ac:dyDescent="0.25">
      <c r="B22" s="2"/>
      <c r="C22" s="2"/>
      <c r="D22" s="2"/>
      <c r="E22" s="2"/>
      <c r="F22" s="2"/>
      <c r="H22" s="2"/>
      <c r="I22" s="2"/>
      <c r="J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ht="17.25" customHeight="1" x14ac:dyDescent="0.25">
      <c r="B23" s="2"/>
      <c r="C23" s="2"/>
      <c r="D23" s="2"/>
      <c r="E23" s="2"/>
      <c r="F23" s="2"/>
      <c r="H23" s="2"/>
      <c r="I23" s="2"/>
      <c r="J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ht="17.25" customHeight="1" x14ac:dyDescent="0.25">
      <c r="B24" s="2"/>
      <c r="C24" s="2"/>
      <c r="D24" s="2"/>
      <c r="E24" s="2"/>
      <c r="F24" s="2"/>
      <c r="H24" s="2"/>
      <c r="I24" s="2"/>
      <c r="J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t="17.25" customHeight="1" x14ac:dyDescent="0.25">
      <c r="B25" s="2"/>
      <c r="C25" s="2"/>
      <c r="D25" s="2"/>
      <c r="E25" s="2"/>
      <c r="F25" s="2"/>
      <c r="H25" s="2"/>
      <c r="I25" s="2"/>
      <c r="J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ht="17.25" customHeight="1" x14ac:dyDescent="0.25">
      <c r="B26" s="2"/>
      <c r="C26" s="2"/>
      <c r="D26" s="2"/>
      <c r="E26" s="2"/>
      <c r="F26" s="2"/>
      <c r="H26" s="2"/>
      <c r="I26" s="2"/>
      <c r="J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t="17.25" customHeight="1" x14ac:dyDescent="0.25">
      <c r="B27" s="2"/>
      <c r="C27" s="2"/>
      <c r="D27" s="2"/>
      <c r="E27" s="2"/>
      <c r="F27" s="2"/>
      <c r="H27" s="2"/>
      <c r="I27" s="2"/>
      <c r="J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ht="17.25" customHeight="1" x14ac:dyDescent="0.25">
      <c r="B28" s="2"/>
      <c r="C28" s="2"/>
      <c r="D28" s="2"/>
      <c r="E28" s="2"/>
      <c r="F28" s="2"/>
      <c r="H28" s="2"/>
      <c r="I28" s="2"/>
      <c r="J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17.25" customHeight="1" x14ac:dyDescent="0.25">
      <c r="B29" s="2"/>
      <c r="C29" s="2"/>
      <c r="D29" s="2"/>
      <c r="E29" s="2"/>
      <c r="F29" s="2"/>
      <c r="H29" s="2"/>
      <c r="I29" s="2"/>
      <c r="J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17.25" customHeight="1" x14ac:dyDescent="0.25">
      <c r="B30" s="2"/>
      <c r="C30" s="2"/>
      <c r="D30" s="2"/>
      <c r="E30" s="2"/>
      <c r="F30" s="2"/>
      <c r="H30" s="2"/>
      <c r="I30" s="2"/>
      <c r="J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ht="17.25" customHeight="1" x14ac:dyDescent="0.25">
      <c r="B31" s="2"/>
      <c r="C31" s="2"/>
      <c r="D31" s="2"/>
      <c r="E31" s="2"/>
      <c r="F31" s="2"/>
      <c r="H31" s="2"/>
      <c r="I31" s="2"/>
      <c r="J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7.25" customHeight="1" x14ac:dyDescent="0.25">
      <c r="B32" s="2"/>
      <c r="C32" s="2"/>
      <c r="D32" s="2"/>
      <c r="E32" s="2"/>
      <c r="F32" s="2"/>
      <c r="H32" s="2"/>
      <c r="I32" s="2"/>
      <c r="J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2:48" ht="17.25" customHeight="1" x14ac:dyDescent="0.25">
      <c r="B33" s="2"/>
      <c r="C33" s="2"/>
      <c r="D33" s="2"/>
      <c r="E33" s="2"/>
      <c r="F33" s="2"/>
      <c r="H33" s="2"/>
      <c r="I33" s="2"/>
      <c r="J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2:48" ht="17.25" customHeight="1" x14ac:dyDescent="0.25">
      <c r="B34" s="2"/>
      <c r="C34" s="2"/>
      <c r="D34" s="2"/>
      <c r="E34" s="2"/>
      <c r="F34" s="2"/>
      <c r="H34" s="2"/>
      <c r="I34" s="2"/>
      <c r="J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2:48" ht="17.25" customHeight="1" x14ac:dyDescent="0.25">
      <c r="B35" s="2"/>
      <c r="C35" s="2"/>
      <c r="D35" s="2"/>
      <c r="E35" s="2"/>
      <c r="F35" s="2"/>
      <c r="H35" s="2"/>
      <c r="I35" s="2"/>
      <c r="J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2:48" ht="17.25" customHeight="1" x14ac:dyDescent="0.25">
      <c r="B36" s="2"/>
      <c r="C36" s="2"/>
      <c r="D36" s="2"/>
      <c r="E36" s="2"/>
      <c r="F36" s="2"/>
      <c r="H36" s="2"/>
      <c r="I36" s="2"/>
      <c r="J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2:48" ht="17.25" customHeight="1" x14ac:dyDescent="0.25">
      <c r="B37" s="2"/>
      <c r="C37" s="2"/>
      <c r="D37" s="2"/>
      <c r="E37" s="2"/>
      <c r="F37" s="2"/>
      <c r="H37" s="2"/>
      <c r="I37" s="2"/>
      <c r="J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2:48" ht="17.25" customHeight="1" x14ac:dyDescent="0.25">
      <c r="B38" s="2"/>
      <c r="C38" s="2"/>
      <c r="D38" s="2"/>
      <c r="E38" s="2"/>
      <c r="F38" s="2"/>
      <c r="H38" s="2"/>
      <c r="I38" s="2"/>
      <c r="J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2:48" ht="17.25" customHeight="1" x14ac:dyDescent="0.25">
      <c r="B39" s="2"/>
      <c r="C39" s="2"/>
      <c r="D39" s="2"/>
      <c r="E39" s="2"/>
      <c r="F39" s="2"/>
      <c r="H39" s="2"/>
      <c r="I39" s="2"/>
      <c r="J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2:48" ht="17.25" customHeight="1" thickBot="1" x14ac:dyDescent="0.3">
      <c r="F40" s="2"/>
      <c r="H40" s="2"/>
      <c r="I40" s="2"/>
      <c r="J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2:48" ht="17.25" customHeight="1" x14ac:dyDescent="0.25">
      <c r="F41" s="386" t="s">
        <v>216</v>
      </c>
      <c r="G41" s="387"/>
      <c r="H41" s="387"/>
      <c r="I41" s="387"/>
      <c r="J41" s="387"/>
      <c r="K41" s="388"/>
      <c r="P41" s="386" t="s">
        <v>214</v>
      </c>
      <c r="Q41" s="387"/>
      <c r="R41" s="387"/>
      <c r="S41" s="387"/>
      <c r="T41" s="387"/>
      <c r="U41" s="388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2:48" ht="17.25" customHeight="1" x14ac:dyDescent="0.25">
      <c r="F42" s="82" t="s">
        <v>217</v>
      </c>
      <c r="G42" s="82" t="s">
        <v>3</v>
      </c>
      <c r="H42" s="392" t="s">
        <v>218</v>
      </c>
      <c r="I42" s="392"/>
      <c r="J42" s="392" t="s">
        <v>219</v>
      </c>
      <c r="K42" s="392"/>
      <c r="P42" s="82" t="s">
        <v>217</v>
      </c>
      <c r="Q42" s="82" t="s">
        <v>3</v>
      </c>
      <c r="R42" s="83" t="s">
        <v>218</v>
      </c>
      <c r="S42" s="83"/>
      <c r="T42" s="390" t="s">
        <v>219</v>
      </c>
      <c r="U42" s="391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2:48" ht="17.25" customHeight="1" x14ac:dyDescent="0.25">
      <c r="F43" s="39">
        <v>1</v>
      </c>
      <c r="G43" s="38" t="str">
        <f ca="1">IF(H43=$H$94,$F$94,IF(H43=$H$95,$F$95,IF(H43=$H$96,$F$96,IF(H43=$H$97,$F$97,IF(H43=$H$98,$F$98,IF(H43=$H$99,$F$99,IF(H43=$H$100,$F$100,IF(H43=$H$101,$F$101,IF(H43=$H$102,$F$102,IF(H43=$H$103,$F$103,IF(H43=$H$104,$F$104,IF(H43=$H$105,$F$105,IF(H43=$H$106,$F$106,IF(H43=$H$107,$F$107,IF(H43=$H$108,$F$108,IF(H43=$H$109,$F$109,IF(H43=$H$110,$F$110,IF(H43=$H$111,$F$111,IF(H43=$H$112,$F$112,IF(H43=$H$113,$F$113,IF(H43=$H$114,$F$114,IF(H43=$H$115,$F$115,IF(H43=$H$116,$F$116,"?")))))))))))))))))))))))</f>
        <v>Kicaldo</v>
      </c>
      <c r="H43" s="389">
        <f ca="1">LARGE($H$94:$H$116,1)</f>
        <v>287</v>
      </c>
      <c r="I43" s="389"/>
      <c r="J43" s="121" t="str">
        <f ca="1">IF(H43=$H$94,$J$94,IF(H43=$H$95,$J$95,IF(H43=$H$96,$J$96,IF(H43=$H$97,$J$97,IF(H43=$H$98,$J$98,IF(H43=$H$99,$J$99,IF(H43=$H$100,$J$100,IF(H43=$H$101,$J$101,IF(H43=$H$102,$J$102,IF(H43=$H$103,$J$103,IF(H43=$H$104,$J$104,IF(H43=$H$105,$J$105,IF(H43=$H$106,$J$106,IF(H43=$H$107,$J$107,IF(H43=$H$108,$J$108,IF(H43=$H$109,$J$109,IF(H43=$H$110,$J$110,IF(H43=$H$111,$J$111,IF(H43=$H$112,$J$112,IF(H43=$H$113,$J$113,IF(H43=$H$114,$J$114,IF(H43=$H$115,$J$115,IF(H43=$H$116,$J$116,"?")))))))))))))))))))))))</f>
        <v>290 Produtos</v>
      </c>
      <c r="K43" s="121"/>
      <c r="P43" s="39">
        <v>1</v>
      </c>
      <c r="Q43" s="38" t="str">
        <f ca="1">IF(R43=$R$94,$P$94,IF(R43=$R$95,$P$95,IF(R43=$R$96,$P$96,IF(R43=$R$97,$P$97,IF(R43=$R$98,$P$98,IF(R43=$R$99,$P$99,IF(R43=$R$100,$P$100,"?")))))))</f>
        <v>Exbom</v>
      </c>
      <c r="R43" s="389">
        <f ca="1">LARGE($R$94:$R$100,1)</f>
        <v>428665</v>
      </c>
      <c r="S43" s="389"/>
      <c r="T43" s="366" t="str">
        <f ca="1">IF(R43=$R$94,$T$94,IF(R43=$R$95,$T$95,IF(R43=$R$96,$T$96,IF(R43=$R$97,$T$97,IF(R43=$R$98,$T$98,IF(R43=$R$99,$T$99,IF(R43=$R$100,$T$100,"?")))))))</f>
        <v>759 Produtos</v>
      </c>
      <c r="U43" s="367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2:48" ht="17.25" customHeight="1" x14ac:dyDescent="0.25">
      <c r="F44" s="39">
        <v>2</v>
      </c>
      <c r="G44" s="38" t="str">
        <f ca="1">IF(H44=$H$94,$F$94,IF(H44=$H$95,$F$95,IF(H44=$H$96,$F$96,IF(H44=$H$97,$F$97,IF(H44=$H$98,$F$98,IF(H44=$H$99,$F$99,IF(H44=$H$100,$F$100,IF(H44=$H$101,$F$101,IF(H44=$H$102,$F$102,IF(H44=$H$103,$F$103,IF(H44=$H$104,$F$104,IF(H44=$H$105,$F$105,IF(H44=$H$106,$F$106,IF(H44=$H$107,$F$107,IF(H44=$H$108,$F$108,IF(H44=$H$109,$F$109,IF(H44=$H$110,$F$110,IF(H44=$H$111,$F$111,IF(H44=$H$112,$F$112,IF(H44=$H$113,$F$113,IF(H44=$H$114,$F$114,IF(H44=$H$115,$F$115,IF(H44=$H$116,$F$116,"?")))))))))))))))))))))))</f>
        <v>Heinz</v>
      </c>
      <c r="H44" s="389">
        <f ca="1">LARGE($H$94:$H$116,2)</f>
        <v>230</v>
      </c>
      <c r="I44" s="389"/>
      <c r="J44" s="121" t="str">
        <f t="shared" ref="J44:J47" ca="1" si="3">IF(H44=$H$94,$J$94,IF(H44=$H$95,$J$95,IF(H44=$H$96,$J$96,IF(H44=$H$97,$J$97,IF(H44=$H$98,$J$98,IF(H44=$H$99,$J$99,IF(H44=$H$100,$J$100,IF(H44=$H$101,$J$101,IF(H44=$H$102,$J$102,IF(H44=$H$103,$J$103,IF(H44=$H$104,$J$104,IF(H44=$H$105,$J$105,IF(H44=$H$106,$J$106,IF(H44=$H$107,$J$107,IF(H44=$H$108,$J$108,IF(H44=$H$109,$J$109,IF(H44=$H$110,$J$110,IF(H44=$H$111,$J$111,IF(H44=$H$112,$J$112,IF(H44=$H$113,$J$113,IF(H44=$H$114,$J$114,IF(H44=$H$115,$J$115,IF(H44=$H$116,$J$116,"?")))))))))))))))))))))))</f>
        <v>345 Produtos</v>
      </c>
      <c r="K44" s="121"/>
      <c r="P44" s="39">
        <v>2</v>
      </c>
      <c r="Q44" s="38" t="str">
        <f ca="1">IF(R44=$R$94,$P$94,IF(R44=$R$95,$P$95,IF(R44=$R$96,$P$96,IF(R44=$R$97,$P$97,IF(R44=$R$98,$P$98,IF(R44=$R$99,$P$99,IF(R44=$R$100,$P$100,"?")))))))</f>
        <v>Dell</v>
      </c>
      <c r="R44" s="389">
        <f ca="1">LARGE($R$94:$R$100,2)</f>
        <v>380161</v>
      </c>
      <c r="S44" s="389"/>
      <c r="T44" s="366" t="str">
        <f t="shared" ref="T44:T47" ca="1" si="4">IF(R44=$R$94,$T$94,IF(R44=$R$95,$T$95,IF(R44=$R$96,$T$96,IF(R44=$R$97,$T$97,IF(R44=$R$98,$T$98,IF(R44=$R$99,$T$99,IF(R44=$R$100,$T$100,"?")))))))</f>
        <v>1161 Produtos</v>
      </c>
      <c r="U44" s="367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2:48" ht="17.25" customHeight="1" x14ac:dyDescent="0.25">
      <c r="F45" s="39">
        <v>3</v>
      </c>
      <c r="G45" s="38" t="str">
        <f ca="1">IF(H45=$H$94,$F$94,IF(H45=$H$95,$F$95,IF(H45=$H$96,$F$96,IF(H45=$H$97,$F$97,IF(H45=$H$98,$F$98,IF(H45=$H$99,$F$99,IF(H45=$H$100,$F$100,IF(H45=$H$101,$F$101,IF(H45=$H$102,$F$102,IF(H45=$H$103,$F$103,IF(H45=$H$104,$F$104,IF(H45=$H$105,$F$105,IF(H45=$H$106,$F$106,IF(H45=$H$107,$F$107,IF(H45=$H$108,$F$108,IF(H45=$H$109,$F$109,IF(H45=$H$110,$F$110,IF(H45=$H$111,$F$111,IF(H45=$H$112,$F$112,IF(H45=$H$113,$F$113,IF(H45=$H$114,$F$114,IF(H45=$H$115,$F$115,IF(H45=$H$116,$F$116,"?")))))))))))))))))))))))</f>
        <v>Knorr</v>
      </c>
      <c r="H45" s="389">
        <f ca="1">LARGE($H$94:$H$116,3)</f>
        <v>218</v>
      </c>
      <c r="I45" s="389"/>
      <c r="J45" s="121" t="str">
        <f t="shared" ca="1" si="3"/>
        <v>392 Produtos</v>
      </c>
      <c r="K45" s="121"/>
      <c r="P45" s="39">
        <v>3</v>
      </c>
      <c r="Q45" s="38" t="str">
        <f ca="1">IF(R45=$R$94,$P$94,IF(R45=$R$95,$P$95,IF(R45=$R$96,$P$96,IF(R45=$R$97,$P$97,IF(R45=$R$98,$P$98,IF(R45=$R$99,$P$99,IF(R45=$R$100,$P$100,"?")))))))</f>
        <v>Logitech</v>
      </c>
      <c r="R45" s="389">
        <f ca="1">LARGE($R$94:$R$100,3)</f>
        <v>377110</v>
      </c>
      <c r="S45" s="389"/>
      <c r="T45" s="366" t="str">
        <f t="shared" ca="1" si="4"/>
        <v>896 Produtos</v>
      </c>
      <c r="U45" s="367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2:48" ht="17.25" customHeight="1" x14ac:dyDescent="0.25">
      <c r="F46" s="39">
        <v>4</v>
      </c>
      <c r="G46" s="38" t="str">
        <f ca="1">IF(H46=$H$94,$F$94,IF(H46=$H$95,$F$95,IF(H46=$H$96,$F$96,IF(H46=$H$97,$F$97,IF(H46=$H$98,$F$98,IF(H46=$H$99,$F$99,IF(H46=$H$100,$F$100,IF(H46=$H$101,$F$101,IF(H46=$H$102,$F$102,IF(H46=$H$103,$F$103,IF(H46=$H$104,$F$104,IF(H46=$H$105,$F$105,IF(H46=$H$106,$F$106,IF(H46=$H$107,$F$107,IF(H46=$H$108,$F$108,IF(H46=$H$109,$F$109,IF(H46=$H$110,$F$110,IF(H46=$H$111,$F$111,IF(H46=$H$112,$F$112,IF(H46=$H$113,$F$113,IF(H46=$H$114,$F$114,IF(H46=$H$115,$F$115,IF(H46=$H$116,$F$116,"?")))))))))))))))))))))))</f>
        <v>La Pastina</v>
      </c>
      <c r="H46" s="389">
        <f ca="1">LARGE($H$94:$H$116,4)</f>
        <v>162</v>
      </c>
      <c r="I46" s="389"/>
      <c r="J46" s="121" t="str">
        <f t="shared" ca="1" si="3"/>
        <v>373 Produtos</v>
      </c>
      <c r="K46" s="121"/>
      <c r="P46" s="39">
        <v>4</v>
      </c>
      <c r="Q46" s="38" t="str">
        <f ca="1">IF(R46=$R$94,$P$94,IF(R46=$R$95,$P$95,IF(R46=$R$96,$P$96,IF(R46=$R$97,$P$97,IF(R46=$R$98,$P$98,IF(R46=$R$99,$P$99,IF(R46=$R$100,$P$100,"?")))))))</f>
        <v>Multilazer</v>
      </c>
      <c r="R46" s="389">
        <f ca="1">LARGE($R$94:$R$100,4)</f>
        <v>154110</v>
      </c>
      <c r="S46" s="389"/>
      <c r="T46" s="366" t="str">
        <f t="shared" ca="1" si="4"/>
        <v>568 Produtos</v>
      </c>
      <c r="U46" s="367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2:48" ht="17.25" customHeight="1" x14ac:dyDescent="0.25">
      <c r="F47" s="39">
        <v>5</v>
      </c>
      <c r="G47" s="38" t="str">
        <f ca="1">IF(H47=$H$94,$F$94,IF(H47=$H$95,$F$95,IF(H47=$H$96,$F$96,IF(H47=$H$97,$F$97,IF(H47=$H$98,$F$98,IF(H47=$H$99,$F$99,IF(H47=$H$100,$F$100,IF(H47=$H$101,$F$101,IF(H47=$H$102,$F$102,IF(H47=$H$103,$F$103,IF(H47=$H$104,$F$104,IF(H47=$H$105,$F$105,IF(H47=$H$106,$F$106,IF(H47=$H$107,$F$107,IF(H47=$H$108,$F$108,IF(H47=$H$109,$F$109,IF(H47=$H$110,$F$110,IF(H47=$H$111,$F$111,IF(H47=$H$112,$F$112,IF(H47=$H$113,$F$113,IF(H47=$H$114,$F$114,IF(H47=$H$115,$F$115,IF(H47=$H$116,$F$116,"?")))))))))))))))))))))))</f>
        <v>Prata</v>
      </c>
      <c r="H47" s="389">
        <f ca="1">LARGE($H$94:$H$116,5)</f>
        <v>131</v>
      </c>
      <c r="I47" s="389"/>
      <c r="J47" s="121" t="str">
        <f t="shared" ca="1" si="3"/>
        <v>238 Produtos</v>
      </c>
      <c r="K47" s="121"/>
      <c r="P47" s="39">
        <v>5</v>
      </c>
      <c r="Q47" s="38" t="str">
        <f ca="1">IF(R47=$R$94,$P$94,IF(R47=$R$95,$P$95,IF(R47=$R$96,$P$96,IF(R47=$R$97,$P$97,IF(R47=$R$98,$P$98,IF(R47=$R$99,$P$99,IF(R47=$R$100,$P$100,"?")))))))</f>
        <v>Wacon</v>
      </c>
      <c r="R47" s="389">
        <f ca="1">LARGE($R$94:$R$100,5)</f>
        <v>135420</v>
      </c>
      <c r="S47" s="389"/>
      <c r="T47" s="366" t="str">
        <f t="shared" ca="1" si="4"/>
        <v>313 Produtos</v>
      </c>
      <c r="U47" s="36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2:48" ht="17.25" customHeight="1" x14ac:dyDescent="0.25"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33:48" ht="17.25" customHeight="1" x14ac:dyDescent="0.25"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33:48" ht="17.25" customHeight="1" x14ac:dyDescent="0.25"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33:48" ht="17.25" customHeight="1" x14ac:dyDescent="0.25"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33:48" ht="17.25" customHeight="1" x14ac:dyDescent="0.25"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33:48" ht="17.25" customHeight="1" x14ac:dyDescent="0.25"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33:48" ht="17.25" customHeight="1" x14ac:dyDescent="0.25"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33:48" ht="17.25" customHeight="1" x14ac:dyDescent="0.25"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33:48" ht="17.25" customHeight="1" x14ac:dyDescent="0.25"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33:48" ht="17.25" customHeight="1" x14ac:dyDescent="0.25"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33:48" ht="17.25" customHeight="1" x14ac:dyDescent="0.25"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33:48" ht="17.25" customHeight="1" x14ac:dyDescent="0.25"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33:48" ht="17.25" customHeight="1" x14ac:dyDescent="0.25"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33:48" ht="17.25" customHeight="1" x14ac:dyDescent="0.25"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33:48" ht="17.25" customHeight="1" x14ac:dyDescent="0.25"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33:48" ht="17.25" customHeight="1" x14ac:dyDescent="0.25"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33:48" ht="17.25" customHeight="1" x14ac:dyDescent="0.25"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ht="17.25" customHeight="1" x14ac:dyDescent="0.25"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ht="17.25" customHeight="1" x14ac:dyDescent="0.25"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ht="17.25" customHeight="1" x14ac:dyDescent="0.25"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17.25" customHeight="1" x14ac:dyDescent="0.25"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ht="17.25" customHeight="1" x14ac:dyDescent="0.25"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ht="17.25" customHeight="1" x14ac:dyDescent="0.25"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ht="17.25" customHeight="1" x14ac:dyDescent="0.25"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ht="17.25" customHeight="1" x14ac:dyDescent="0.25"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ht="17.25" customHeight="1" x14ac:dyDescent="0.25"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ht="17.25" customHeight="1" x14ac:dyDescent="0.25"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ht="17.25" customHeight="1" thickBot="1" x14ac:dyDescent="0.3"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ht="17.25" customHeight="1" thickBot="1" x14ac:dyDescent="0.3">
      <c r="A76" s="373" t="s">
        <v>211</v>
      </c>
      <c r="B76" s="374"/>
      <c r="C76" s="374"/>
      <c r="D76" s="374"/>
      <c r="E76" s="374"/>
      <c r="F76" s="375"/>
      <c r="K76" s="373" t="s">
        <v>215</v>
      </c>
      <c r="L76" s="374"/>
      <c r="M76" s="374"/>
      <c r="N76" s="374"/>
      <c r="O76" s="374"/>
      <c r="P76" s="375"/>
      <c r="T76" s="383" t="s">
        <v>212</v>
      </c>
      <c r="U76" s="384"/>
      <c r="V76" s="384"/>
      <c r="W76" s="384"/>
      <c r="X76" s="384"/>
      <c r="Y76" s="385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ht="17.25" customHeight="1" x14ac:dyDescent="0.25">
      <c r="A77" s="79" t="s">
        <v>220</v>
      </c>
      <c r="B77" s="80" t="s">
        <v>275</v>
      </c>
      <c r="C77" s="376" t="s">
        <v>221</v>
      </c>
      <c r="D77" s="377"/>
      <c r="E77" s="372" t="s">
        <v>222</v>
      </c>
      <c r="F77" s="372"/>
      <c r="K77" s="79" t="s">
        <v>220</v>
      </c>
      <c r="L77" s="81" t="s">
        <v>275</v>
      </c>
      <c r="M77" s="370" t="s">
        <v>221</v>
      </c>
      <c r="N77" s="371"/>
      <c r="O77" s="372" t="s">
        <v>222</v>
      </c>
      <c r="P77" s="372"/>
      <c r="T77" s="79" t="s">
        <v>220</v>
      </c>
      <c r="U77" s="81" t="s">
        <v>275</v>
      </c>
      <c r="V77" s="370" t="s">
        <v>221</v>
      </c>
      <c r="W77" s="371"/>
      <c r="X77" s="372" t="s">
        <v>222</v>
      </c>
      <c r="Y77" s="37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ht="17.25" customHeight="1" x14ac:dyDescent="0.25">
      <c r="A78" s="18" t="s">
        <v>28</v>
      </c>
      <c r="B78" s="19">
        <f>COUNTIF(Eletrodomésticos!$B$15:$G$40,Ranking!A78)</f>
        <v>3</v>
      </c>
      <c r="C78" s="381">
        <f ca="1">SUMIF(Eletrodomésticos!$B$15:$G$40,Ranking!A78,Eletrodomésticos!$K$15:$K$40)</f>
        <v>13241.75</v>
      </c>
      <c r="D78" s="382"/>
      <c r="E78" s="380" t="str">
        <f ca="1">CONCATENATE(SUMIF(Eletrodomésticos!$F$15:$G$40,A78,Eletrodomésticos!$H$15:$H$40)," ","Produtos")</f>
        <v>406 Produtos</v>
      </c>
      <c r="F78" s="380"/>
      <c r="K78" s="19" t="s">
        <v>100</v>
      </c>
      <c r="L78" s="19">
        <f>COUNTIF(Automotivo!$F$15:$F$41,Ranking!K78)</f>
        <v>2</v>
      </c>
      <c r="M78" s="369">
        <f ca="1">SUMIF(Automotivo!$F$15:$F$41,Ranking!K78,Automotivo!$K$15:$K$41)</f>
        <v>211035.9</v>
      </c>
      <c r="N78" s="369"/>
      <c r="O78" s="368" t="str">
        <f ca="1">CONCATENATE(SUMIF(Automotivo!$F$15:$F$41,Ranking!K78,Automotivo!$H$15:$H$41)," ","Produtos")</f>
        <v>291 Produtos</v>
      </c>
      <c r="P78" s="368"/>
      <c r="T78" s="19" t="s">
        <v>152</v>
      </c>
      <c r="U78" s="19">
        <f>COUNTIF('Bolsas e Malas'!$E$15:$E$51,Ranking!T78)</f>
        <v>8</v>
      </c>
      <c r="V78" s="378">
        <f ca="1">SUMIF('Bolsas e Malas'!$E$15:$E$51,T78,'Bolsas e Malas'!$I$15:$I$51)</f>
        <v>157227</v>
      </c>
      <c r="W78" s="378"/>
      <c r="X78" s="379" t="str">
        <f ca="1">CONCATENATE(SUMIF('Bolsas e Malas'!$E$15:$E$51,T78,'Bolsas e Malas'!$F$15:$F$51)," ","Produtos")</f>
        <v>873 Produtos</v>
      </c>
      <c r="Y78" s="379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ht="17.25" customHeight="1" x14ac:dyDescent="0.25">
      <c r="A79" s="17" t="s">
        <v>223</v>
      </c>
      <c r="B79" s="20">
        <f>COUNTIF(Eletrodomésticos!$B$15:$G$40,Ranking!A79)</f>
        <v>3</v>
      </c>
      <c r="C79" s="381">
        <f ca="1">SUMIF(Eletrodomésticos!$B$15:$G$40,Ranking!A79,Eletrodomésticos!$K$15:$K$40)</f>
        <v>14472.530700000001</v>
      </c>
      <c r="D79" s="382"/>
      <c r="E79" s="380" t="str">
        <f ca="1">CONCATENATE(SUMIF(Eletrodomésticos!$F$15:$G$40,A79,Eletrodomésticos!$H$15:$H$40)," ","Produtos")</f>
        <v>390 Produtos</v>
      </c>
      <c r="F79" s="380"/>
      <c r="K79" s="19" t="s">
        <v>103</v>
      </c>
      <c r="L79" s="19">
        <f>COUNTIF(Automotivo!$F$15:$F$41,Ranking!K79)</f>
        <v>2</v>
      </c>
      <c r="M79" s="369">
        <f ca="1">SUMIF(Automotivo!$F$15:$F$41,Ranking!K79,Automotivo!$K$15:$K$41)</f>
        <v>168710.88</v>
      </c>
      <c r="N79" s="369"/>
      <c r="O79" s="368" t="str">
        <f ca="1">CONCATENATE(SUMIF(Automotivo!$F$15:$F$41,Ranking!K79,Automotivo!$H$15:$H$41)," ","Produtos")</f>
        <v>315 Produtos</v>
      </c>
      <c r="P79" s="368"/>
      <c r="T79" s="19" t="s">
        <v>154</v>
      </c>
      <c r="U79" s="19">
        <f>COUNTIF('Bolsas e Malas'!$E$15:$E$51,Ranking!T79)</f>
        <v>9</v>
      </c>
      <c r="V79" s="378">
        <f ca="1">SUMIF('Bolsas e Malas'!$E$15:$E$51,T79,'Bolsas e Malas'!$I$15:$I$51)</f>
        <v>185523</v>
      </c>
      <c r="W79" s="378"/>
      <c r="X79" s="379" t="str">
        <f ca="1">CONCATENATE(SUMIF('Bolsas e Malas'!$E$15:$E$51,T79,'Bolsas e Malas'!$F$15:$F$51)," ","Produtos")</f>
        <v>901 Produtos</v>
      </c>
      <c r="Y79" s="379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ht="17.25" customHeight="1" x14ac:dyDescent="0.25">
      <c r="A80" s="17" t="s">
        <v>224</v>
      </c>
      <c r="B80" s="20">
        <f>COUNTIF(Eletrodomésticos!$B$15:$G$40,Ranking!A80)</f>
        <v>1</v>
      </c>
      <c r="C80" s="381">
        <f ca="1">SUMIF(Eletrodomésticos!$B$15:$G$40,Ranking!A80,Eletrodomésticos!$K$15:$K$40)</f>
        <v>1695.4</v>
      </c>
      <c r="D80" s="382"/>
      <c r="E80" s="380" t="str">
        <f ca="1">CONCATENATE(SUMIF(Eletrodomésticos!$F$15:$G$40,A80,Eletrodomésticos!$H$15:$H$40)," ","Produtos")</f>
        <v>188 Produtos</v>
      </c>
      <c r="F80" s="380"/>
      <c r="K80" s="19" t="s">
        <v>106</v>
      </c>
      <c r="L80" s="19">
        <f>COUNTIF(Automotivo!$F$15:$F$41,Ranking!K80)</f>
        <v>3</v>
      </c>
      <c r="M80" s="369">
        <f ca="1">SUMIF(Automotivo!$F$15:$F$41,Ranking!K80,Automotivo!$K$15:$K$41)</f>
        <v>168266.87</v>
      </c>
      <c r="N80" s="369"/>
      <c r="O80" s="368" t="str">
        <f ca="1">CONCATENATE(SUMIF(Automotivo!$F$15:$F$41,Ranking!K80,Automotivo!$H$15:$H$41)," ","Produtos")</f>
        <v>492 Produtos</v>
      </c>
      <c r="P80" s="368"/>
      <c r="T80" s="19" t="s">
        <v>158</v>
      </c>
      <c r="U80" s="19">
        <f>COUNTIF('Bolsas e Malas'!$E$15:$E$51,Ranking!T80)</f>
        <v>7</v>
      </c>
      <c r="V80" s="378">
        <f ca="1">SUMIF('Bolsas e Malas'!$E$15:$E$51,T80,'Bolsas e Malas'!$I$15:$I$51)</f>
        <v>106804</v>
      </c>
      <c r="W80" s="378"/>
      <c r="X80" s="379" t="str">
        <f ca="1">CONCATENATE(SUMIF('Bolsas e Malas'!$E$15:$E$51,T80,'Bolsas e Malas'!$F$15:$F$51)," ","Produtos")</f>
        <v>778 Produtos</v>
      </c>
      <c r="Y80" s="379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ht="17.25" customHeight="1" x14ac:dyDescent="0.25">
      <c r="A81" s="17" t="s">
        <v>232</v>
      </c>
      <c r="B81" s="20">
        <f>COUNTIF(Eletrodomésticos!$B$15:$G$40,Ranking!A81)</f>
        <v>1</v>
      </c>
      <c r="C81" s="381">
        <f ca="1">SUMIF(Eletrodomésticos!$B$15:$G$40,Ranking!A81,Eletrodomésticos!$K$15:$K$40)</f>
        <v>2233.42</v>
      </c>
      <c r="D81" s="382"/>
      <c r="E81" s="380" t="str">
        <f ca="1">CONCATENATE(SUMIF(Eletrodomésticos!$F$15:$G$40,A81,Eletrodomésticos!$H$15:$H$40)," ","Produtos")</f>
        <v>138 Produtos</v>
      </c>
      <c r="F81" s="380"/>
      <c r="K81" s="19" t="s">
        <v>109</v>
      </c>
      <c r="L81" s="19">
        <f>COUNTIF(Automotivo!$F$15:$F$41,Ranking!K81)</f>
        <v>4</v>
      </c>
      <c r="M81" s="369">
        <f ca="1">SUMIF(Automotivo!$F$15:$F$41,Ranking!K81,Automotivo!$K$15:$K$41)</f>
        <v>412948.94000000006</v>
      </c>
      <c r="N81" s="369"/>
      <c r="O81" s="368" t="str">
        <f ca="1">CONCATENATE(SUMIF(Automotivo!$F$15:$F$41,Ranking!K81,Automotivo!$H$15:$H$41)," ","Produtos")</f>
        <v>575 Produtos</v>
      </c>
      <c r="P81" s="368"/>
      <c r="T81" s="19" t="s">
        <v>148</v>
      </c>
      <c r="U81" s="19">
        <f>COUNTIF('Bolsas e Malas'!$E$15:$E$51,Ranking!T81)</f>
        <v>8</v>
      </c>
      <c r="V81" s="378">
        <f ca="1">SUMIF('Bolsas e Malas'!$E$15:$E$51,T81,'Bolsas e Malas'!$I$15:$I$51)</f>
        <v>189300</v>
      </c>
      <c r="W81" s="378"/>
      <c r="X81" s="379" t="str">
        <f ca="1">CONCATENATE(SUMIF('Bolsas e Malas'!$E$15:$E$51,T81,'Bolsas e Malas'!$F$15:$F$51)," ","Produtos")</f>
        <v>768 Produtos</v>
      </c>
      <c r="Y81" s="37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ht="17.25" customHeight="1" x14ac:dyDescent="0.25">
      <c r="A82" s="17" t="s">
        <v>231</v>
      </c>
      <c r="B82" s="20">
        <f>COUNTIF(Eletrodomésticos!$B$15:$G$40,Ranking!A82)</f>
        <v>2</v>
      </c>
      <c r="C82" s="381">
        <f ca="1">SUMIF(Eletrodomésticos!$B$15:$G$40,Ranking!A82,Eletrodomésticos!$K$15:$K$40)</f>
        <v>1664.28</v>
      </c>
      <c r="D82" s="382"/>
      <c r="E82" s="380" t="str">
        <f ca="1">CONCATENATE(SUMIF(Eletrodomésticos!$F$15:$G$40,A82,Eletrodomésticos!$H$15:$H$40)," ","Produtos")</f>
        <v>327 Produtos</v>
      </c>
      <c r="F82" s="380"/>
      <c r="K82" s="19" t="s">
        <v>111</v>
      </c>
      <c r="L82" s="19">
        <f>COUNTIF(Automotivo!$F$15:$F$41,Ranking!K82)</f>
        <v>4</v>
      </c>
      <c r="M82" s="369">
        <f ca="1">SUMIF(Automotivo!$F$15:$F$41,Ranking!K82,Automotivo!$K$15:$K$41)</f>
        <v>140614.58000000002</v>
      </c>
      <c r="N82" s="369"/>
      <c r="O82" s="368" t="str">
        <f ca="1">CONCATENATE(SUMIF(Automotivo!$F$15:$F$41,Ranking!K82,Automotivo!$H$15:$H$41)," ","Produtos")</f>
        <v>553 Produtos</v>
      </c>
      <c r="P82" s="368"/>
      <c r="T82" s="19" t="s">
        <v>160</v>
      </c>
      <c r="U82" s="19">
        <f>COUNTIF('Bolsas e Malas'!$E$15:$E$51,Ranking!T82)</f>
        <v>5</v>
      </c>
      <c r="V82" s="378">
        <f ca="1">SUMIF('Bolsas e Malas'!$E$15:$E$51,T82,'Bolsas e Malas'!$I$15:$I$51)</f>
        <v>184378</v>
      </c>
      <c r="W82" s="378"/>
      <c r="X82" s="379" t="str">
        <f ca="1">CONCATENATE(SUMIF('Bolsas e Malas'!$E$15:$E$51,T82,'Bolsas e Malas'!$F$15:$F$51)," ","Produtos")</f>
        <v>391 Produtos</v>
      </c>
      <c r="Y82" s="379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ht="17.25" customHeight="1" x14ac:dyDescent="0.25">
      <c r="A83" s="17" t="s">
        <v>233</v>
      </c>
      <c r="B83" s="20">
        <f>COUNTIF(Eletrodomésticos!$B$15:$G$40,Ranking!A83)</f>
        <v>3</v>
      </c>
      <c r="C83" s="381">
        <f ca="1">SUMIF(Eletrodomésticos!$B$15:$G$40,Ranking!A83,Eletrodomésticos!$K$15:$K$40)</f>
        <v>2869.1099999999997</v>
      </c>
      <c r="D83" s="382"/>
      <c r="E83" s="380" t="str">
        <f ca="1">CONCATENATE(SUMIF(Eletrodomésticos!$F$15:$G$40,A83,Eletrodomésticos!$H$15:$H$40)," ","Produtos")</f>
        <v>459 Produtos</v>
      </c>
      <c r="F83" s="380"/>
      <c r="K83" s="19" t="s">
        <v>112</v>
      </c>
      <c r="L83" s="19">
        <f>COUNTIF(Automotivo!$F$15:$F$41,Ranking!K83)</f>
        <v>2</v>
      </c>
      <c r="M83" s="369">
        <f ca="1">SUMIF(Automotivo!$F$15:$F$41,Ranking!K83,Automotivo!$K$15:$K$41)</f>
        <v>36644.06</v>
      </c>
      <c r="N83" s="369"/>
      <c r="O83" s="368" t="str">
        <f ca="1">CONCATENATE(SUMIF(Automotivo!$F$15:$F$41,Ranking!K83,Automotivo!$H$15:$H$41)," ","Produtos")</f>
        <v>203 Produtos</v>
      </c>
      <c r="P83" s="368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ht="17.25" customHeight="1" x14ac:dyDescent="0.25">
      <c r="A84" s="17" t="s">
        <v>229</v>
      </c>
      <c r="B84" s="20">
        <f>COUNTIF(Eletrodomésticos!$B$15:$G$40,Ranking!A84)</f>
        <v>3</v>
      </c>
      <c r="C84" s="381">
        <f ca="1">SUMIF(Eletrodomésticos!$B$15:$G$40,Ranking!A84,Eletrodomésticos!$K$15:$K$40)</f>
        <v>6162.64</v>
      </c>
      <c r="D84" s="382"/>
      <c r="E84" s="380" t="str">
        <f ca="1">CONCATENATE(SUMIF(Eletrodomésticos!$F$15:$G$40,A84,Eletrodomésticos!$H$15:$H$40)," ","Produtos")</f>
        <v>449 Produtos</v>
      </c>
      <c r="F84" s="380"/>
      <c r="K84" s="19" t="s">
        <v>114</v>
      </c>
      <c r="L84" s="19">
        <f>COUNTIF(Automotivo!$F$15:$F$41,Ranking!K84)</f>
        <v>3</v>
      </c>
      <c r="M84" s="369">
        <f ca="1">SUMIF(Automotivo!$F$15:$F$41,Ranking!K84,Automotivo!$K$15:$K$41)</f>
        <v>64655.64</v>
      </c>
      <c r="N84" s="369"/>
      <c r="O84" s="368" t="str">
        <f ca="1">CONCATENATE(SUMIF(Automotivo!$F$15:$F$41,Ranking!K84,Automotivo!$H$15:$H$41)," ","Produtos")</f>
        <v>450 Produtos</v>
      </c>
      <c r="P84" s="368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ht="17.25" customHeight="1" x14ac:dyDescent="0.25">
      <c r="A85" s="17" t="s">
        <v>31</v>
      </c>
      <c r="B85" s="20">
        <f>COUNTIF(Eletrodomésticos!$B$15:$G$40,Ranking!A85)</f>
        <v>2</v>
      </c>
      <c r="C85" s="381">
        <f ca="1">SUMIF(Eletrodomésticos!$B$15:$G$40,Ranking!A85,Eletrodomésticos!$K$15:$K$40)</f>
        <v>1506.24</v>
      </c>
      <c r="D85" s="382"/>
      <c r="E85" s="380" t="str">
        <f ca="1">CONCATENATE(SUMIF(Eletrodomésticos!$F$15:$G$40,A85,Eletrodomésticos!$H$15:$H$40)," ","Produtos")</f>
        <v>261 Produtos</v>
      </c>
      <c r="F85" s="380"/>
      <c r="K85" s="19" t="s">
        <v>110</v>
      </c>
      <c r="L85" s="19">
        <f>COUNTIF(Automotivo!$F$15:$F$41,Ranking!K85)</f>
        <v>4</v>
      </c>
      <c r="M85" s="369">
        <f ca="1">SUMIF(Automotivo!$F$15:$F$41,Ranking!K85,Automotivo!$K$15:$K$41)</f>
        <v>403420.8</v>
      </c>
      <c r="N85" s="369"/>
      <c r="O85" s="368" t="str">
        <f ca="1">CONCATENATE(SUMIF(Automotivo!$F$15:$F$41,Ranking!K85,Automotivo!$H$15:$H$41)," ","Produtos")</f>
        <v>660 Produtos</v>
      </c>
      <c r="P85" s="368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ht="17.25" customHeight="1" x14ac:dyDescent="0.25">
      <c r="A86" s="17" t="s">
        <v>227</v>
      </c>
      <c r="B86" s="20">
        <f>COUNTIF(Eletrodomésticos!$B$15:$G$40,Ranking!A86)</f>
        <v>3</v>
      </c>
      <c r="C86" s="381">
        <f ca="1">SUMIF(Eletrodomésticos!$B$15:$G$40,Ranking!A86,Eletrodomésticos!$K$15:$K$40)</f>
        <v>6280.74</v>
      </c>
      <c r="D86" s="382"/>
      <c r="E86" s="380" t="str">
        <f ca="1">CONCATENATE(SUMIF(Eletrodomésticos!$F$15:$G$40,A86,Eletrodomésticos!$H$15:$H$40)," ","Produtos")</f>
        <v>546 Produtos</v>
      </c>
      <c r="F86" s="380"/>
      <c r="K86" s="19" t="s">
        <v>115</v>
      </c>
      <c r="L86" s="19">
        <f>COUNTIF(Automotivo!$F$15:$F$41,Ranking!K86)</f>
        <v>2</v>
      </c>
      <c r="M86" s="369">
        <f ca="1">SUMIF(Automotivo!$F$15:$F$41,Ranking!K86,Automotivo!$K$15:$K$41)</f>
        <v>10261.299999999999</v>
      </c>
      <c r="N86" s="369"/>
      <c r="O86" s="368" t="str">
        <f ca="1">CONCATENATE(SUMIF(Automotivo!$F$15:$F$41,Ranking!K86,Automotivo!$H$15:$H$41)," ","Produtos")</f>
        <v>298 Produtos</v>
      </c>
      <c r="P86" s="368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ht="17.25" customHeight="1" x14ac:dyDescent="0.25">
      <c r="A87" s="17" t="s">
        <v>228</v>
      </c>
      <c r="B87" s="20">
        <f>COUNTIF(Eletrodomésticos!$B$15:$G$40,Ranking!A87)</f>
        <v>1</v>
      </c>
      <c r="C87" s="381">
        <f ca="1">SUMIF(Eletrodomésticos!$B$15:$G$40,Ranking!A87,Eletrodomésticos!$K$15:$K$40)</f>
        <v>581.03</v>
      </c>
      <c r="D87" s="382"/>
      <c r="E87" s="380" t="str">
        <f ca="1">CONCATENATE(SUMIF(Eletrodomésticos!$F$15:$G$40,A87,Eletrodomésticos!$H$15:$H$40)," ","Produtos")</f>
        <v>186 Produtos</v>
      </c>
      <c r="F87" s="380"/>
      <c r="K87" s="19" t="s">
        <v>117</v>
      </c>
      <c r="L87" s="19">
        <f>COUNTIF(Automotivo!$F$15:$F$41,Ranking!K87)</f>
        <v>1</v>
      </c>
      <c r="M87" s="369">
        <f ca="1">SUMIF(Automotivo!$F$15:$F$41,Ranking!K87,Automotivo!$K$15:$K$41)</f>
        <v>2366.9100000000003</v>
      </c>
      <c r="N87" s="369"/>
      <c r="O87" s="368" t="str">
        <f ca="1">CONCATENATE(SUMIF(Automotivo!$F$15:$F$41,Ranking!K87,Automotivo!$H$15:$H$41)," ","Produtos")</f>
        <v>91 Produtos</v>
      </c>
      <c r="P87" s="368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ht="17.25" customHeight="1" x14ac:dyDescent="0.25">
      <c r="A88" s="17" t="s">
        <v>230</v>
      </c>
      <c r="B88" s="20">
        <f>COUNTIF(Eletrodomésticos!$B$15:$G$40,Ranking!A88)</f>
        <v>2</v>
      </c>
      <c r="C88" s="381">
        <f ca="1">SUMIF(Eletrodomésticos!$B$15:$G$40,Ranking!A88,Eletrodomésticos!$K$15:$K$40)</f>
        <v>1258.27</v>
      </c>
      <c r="D88" s="382"/>
      <c r="E88" s="380" t="str">
        <f ca="1">CONCATENATE(SUMIF(Eletrodomésticos!$F$15:$G$40,A88,Eletrodomésticos!$H$15:$H$40)," ","Produtos")</f>
        <v>311 Produtos</v>
      </c>
      <c r="F88" s="380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17.25" customHeight="1" x14ac:dyDescent="0.25">
      <c r="E89" s="2"/>
      <c r="H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ht="17.25" customHeight="1" x14ac:dyDescent="0.25">
      <c r="E90" s="2"/>
      <c r="H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ht="17.25" customHeight="1" thickBot="1" x14ac:dyDescent="0.3">
      <c r="A91" s="2"/>
      <c r="F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ht="17.25" customHeight="1" thickBot="1" x14ac:dyDescent="0.3">
      <c r="A92" s="2"/>
      <c r="F92" s="373" t="s">
        <v>216</v>
      </c>
      <c r="G92" s="374"/>
      <c r="H92" s="374"/>
      <c r="I92" s="374"/>
      <c r="J92" s="374"/>
      <c r="K92" s="375"/>
      <c r="L92" s="2"/>
      <c r="M92" s="2"/>
      <c r="N92" s="2"/>
      <c r="O92" s="2"/>
      <c r="P92" s="373" t="s">
        <v>214</v>
      </c>
      <c r="Q92" s="374"/>
      <c r="R92" s="374"/>
      <c r="S92" s="374"/>
      <c r="T92" s="374"/>
      <c r="U92" s="37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ht="17.25" customHeight="1" x14ac:dyDescent="0.25">
      <c r="A93" s="2"/>
      <c r="F93" s="79" t="s">
        <v>220</v>
      </c>
      <c r="G93" s="80" t="s">
        <v>275</v>
      </c>
      <c r="H93" s="372" t="s">
        <v>221</v>
      </c>
      <c r="I93" s="372"/>
      <c r="J93" s="376" t="s">
        <v>222</v>
      </c>
      <c r="K93" s="377"/>
      <c r="P93" s="85" t="s">
        <v>3</v>
      </c>
      <c r="Q93" s="80" t="s">
        <v>275</v>
      </c>
      <c r="R93" s="370" t="s">
        <v>221</v>
      </c>
      <c r="S93" s="371"/>
      <c r="T93" s="372" t="s">
        <v>222</v>
      </c>
      <c r="U93" s="37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ht="17.25" customHeight="1" x14ac:dyDescent="0.25">
      <c r="A94" s="2"/>
      <c r="F94" s="17" t="s">
        <v>57</v>
      </c>
      <c r="G94" s="19">
        <f>COUNTIF('Alimentos e Bebidas'!$H$15:$H$41,Ranking!F94)</f>
        <v>1</v>
      </c>
      <c r="H94" s="369">
        <f ca="1">SUMIF('Alimentos e Bebidas'!$B$15:$K$41,Ranking!F94,'Alimentos e Bebidas'!$M$15:$M$41)</f>
        <v>70</v>
      </c>
      <c r="I94" s="369"/>
      <c r="J94" s="368" t="str">
        <f>CONCATENATE(SUMIF('Alimentos e Bebidas'!$H$15:$H$41,Ranking!F94,'Alimentos e Bebidas'!$J$15:$J$41)," ","Produtos")</f>
        <v>145 Produtos</v>
      </c>
      <c r="K94" s="368"/>
      <c r="P94" s="19" t="s">
        <v>131</v>
      </c>
      <c r="Q94" s="19">
        <f>COUNTIF(Eletrônicos!$G$15:$G$41,Ranking!P94)</f>
        <v>4</v>
      </c>
      <c r="R94" s="369">
        <f ca="1">SUMIF(Eletrônicos!$G$15:$G$41,Ranking!P94,Eletrônicos!$K$15:$K$41)</f>
        <v>154110</v>
      </c>
      <c r="S94" s="369"/>
      <c r="T94" s="368" t="str">
        <f ca="1">CONCATENATE(SUMIF(Eletrônicos!$G$15:$G$41,Ranking!P94,Eletrônicos!$H$15:$H$41)," ","Produtos")</f>
        <v>568 Produtos</v>
      </c>
      <c r="U94" s="368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ht="17.25" customHeight="1" x14ac:dyDescent="0.25">
      <c r="A95" s="2"/>
      <c r="B95" s="2"/>
      <c r="C95" s="2"/>
      <c r="D95" s="2"/>
      <c r="E95" s="2"/>
      <c r="F95" s="17" t="s">
        <v>56</v>
      </c>
      <c r="G95" s="19">
        <f>COUNTIF('Alimentos e Bebidas'!$H$15:$H$41,Ranking!F95)</f>
        <v>1</v>
      </c>
      <c r="H95" s="369">
        <f ca="1">SUMIF('Alimentos e Bebidas'!$B$15:$K$41,Ranking!F95,'Alimentos e Bebidas'!$M$15:$M$41)</f>
        <v>74</v>
      </c>
      <c r="I95" s="369"/>
      <c r="J95" s="368" t="str">
        <f>CONCATENATE(SUMIF('Alimentos e Bebidas'!$H$15:$H$41,Ranking!F95,'Alimentos e Bebidas'!$J$15:$J$41)," ","Produtos")</f>
        <v>126 Produtos</v>
      </c>
      <c r="K95" s="368"/>
      <c r="P95" s="19" t="s">
        <v>132</v>
      </c>
      <c r="Q95" s="19">
        <f>COUNTIF(Eletrônicos!$G$15:$G$41,Ranking!P95)</f>
        <v>7</v>
      </c>
      <c r="R95" s="369">
        <f ca="1">SUMIF(Eletrônicos!$G$15:$G$41,Ranking!P95,Eletrônicos!$K$15:$K$41)</f>
        <v>380161</v>
      </c>
      <c r="S95" s="369"/>
      <c r="T95" s="368" t="str">
        <f ca="1">CONCATENATE(SUMIF(Eletrônicos!$G$15:$G$41,Ranking!P95,Eletrônicos!$H$15:$H$41)," ","Produtos")</f>
        <v>1161 Produtos</v>
      </c>
      <c r="U95" s="368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ht="17.25" customHeight="1" x14ac:dyDescent="0.25">
      <c r="A96" s="2"/>
      <c r="B96" s="2"/>
      <c r="C96" s="2"/>
      <c r="D96" s="2"/>
      <c r="E96" s="2"/>
      <c r="F96" s="17" t="s">
        <v>55</v>
      </c>
      <c r="G96" s="19">
        <f>COUNTIF('Alimentos e Bebidas'!$H$15:$H$41,Ranking!F96)</f>
        <v>1</v>
      </c>
      <c r="H96" s="369">
        <f ca="1">SUMIF('Alimentos e Bebidas'!$B$15:$K$41,Ranking!F96,'Alimentos e Bebidas'!$M$15:$M$41)</f>
        <v>131</v>
      </c>
      <c r="I96" s="369"/>
      <c r="J96" s="368" t="str">
        <f>CONCATENATE(SUMIF('Alimentos e Bebidas'!$H$15:$H$41,Ranking!F96,'Alimentos e Bebidas'!$J$15:$J$41)," ","Produtos")</f>
        <v>238 Produtos</v>
      </c>
      <c r="K96" s="368"/>
      <c r="P96" s="19" t="s">
        <v>133</v>
      </c>
      <c r="Q96" s="19">
        <f>COUNTIF(Eletrônicos!$G$15:$G$41,Ranking!P96)</f>
        <v>5</v>
      </c>
      <c r="R96" s="369">
        <f ca="1">SUMIF(Eletrônicos!$G$15:$G$41,Ranking!P96,Eletrônicos!$K$15:$K$41)</f>
        <v>428665</v>
      </c>
      <c r="S96" s="369"/>
      <c r="T96" s="368" t="str">
        <f ca="1">CONCATENATE(SUMIF(Eletrônicos!$G$15:$G$41,Ranking!P96,Eletrônicos!$H$15:$H$41)," ","Produtos")</f>
        <v>759 Produtos</v>
      </c>
      <c r="U96" s="368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ht="17.25" customHeight="1" x14ac:dyDescent="0.25">
      <c r="A97" s="2"/>
      <c r="B97" s="2"/>
      <c r="C97" s="2"/>
      <c r="D97" s="2"/>
      <c r="E97" s="2"/>
      <c r="F97" s="17" t="s">
        <v>54</v>
      </c>
      <c r="G97" s="19">
        <f>COUNTIF('Alimentos e Bebidas'!$H$15:$H$41,Ranking!F97)</f>
        <v>1</v>
      </c>
      <c r="H97" s="369">
        <f ca="1">SUMIF('Alimentos e Bebidas'!$B$15:$K$41,Ranking!F97,'Alimentos e Bebidas'!$M$15:$M$41)</f>
        <v>59</v>
      </c>
      <c r="I97" s="369"/>
      <c r="J97" s="368" t="str">
        <f>CONCATENATE(SUMIF('Alimentos e Bebidas'!$H$15:$H$41,Ranking!F97,'Alimentos e Bebidas'!$J$15:$J$41)," ","Produtos")</f>
        <v>197 Produtos</v>
      </c>
      <c r="K97" s="368"/>
      <c r="P97" s="19" t="s">
        <v>135</v>
      </c>
      <c r="Q97" s="19">
        <f>COUNTIF(Eletrônicos!$G$15:$G$41,Ranking!P97)</f>
        <v>2</v>
      </c>
      <c r="R97" s="369">
        <f ca="1">SUMIF(Eletrônicos!$G$15:$G$41,Ranking!P97,Eletrônicos!$K$15:$K$41)</f>
        <v>130905</v>
      </c>
      <c r="S97" s="369"/>
      <c r="T97" s="368" t="str">
        <f ca="1">CONCATENATE(SUMIF(Eletrônicos!$G$15:$G$41,Ranking!P97,Eletrônicos!$H$15:$H$41)," ","Produtos")</f>
        <v>291 Produtos</v>
      </c>
      <c r="U97" s="368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ht="17.25" customHeight="1" x14ac:dyDescent="0.25">
      <c r="A98" s="2"/>
      <c r="B98" s="2"/>
      <c r="C98" s="2"/>
      <c r="D98" s="2"/>
      <c r="E98" s="2"/>
      <c r="F98" s="17" t="s">
        <v>53</v>
      </c>
      <c r="G98" s="19">
        <f>COUNTIF('Alimentos e Bebidas'!$H$15:$H$41,Ranking!F98)</f>
        <v>1</v>
      </c>
      <c r="H98" s="369">
        <f ca="1">SUMIF('Alimentos e Bebidas'!$B$15:$K$41,Ranking!F98,'Alimentos e Bebidas'!$M$15:$M$41)</f>
        <v>120</v>
      </c>
      <c r="I98" s="369"/>
      <c r="J98" s="368" t="str">
        <f>CONCATENATE(SUMIF('Alimentos e Bebidas'!$H$15:$H$41,Ranking!F98,'Alimentos e Bebidas'!$J$15:$J$41)," ","Produtos")</f>
        <v>231 Produtos</v>
      </c>
      <c r="K98" s="368"/>
      <c r="P98" s="19" t="s">
        <v>134</v>
      </c>
      <c r="Q98" s="19">
        <f>COUNTIF(Eletrônicos!$G$15:$G$41,Ranking!P98)</f>
        <v>6</v>
      </c>
      <c r="R98" s="369">
        <f ca="1">SUMIF(Eletrônicos!$G$15:$G$41,Ranking!P98,Eletrônicos!$K$15:$K$41)</f>
        <v>377110</v>
      </c>
      <c r="S98" s="369"/>
      <c r="T98" s="368" t="str">
        <f ca="1">CONCATENATE(SUMIF(Eletrônicos!$G$15:$G$41,Ranking!P98,Eletrônicos!$H$15:$H$41)," ","Produtos")</f>
        <v>896 Produtos</v>
      </c>
      <c r="U98" s="368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ht="17.25" customHeight="1" x14ac:dyDescent="0.25">
      <c r="A99" s="2"/>
      <c r="B99" s="2"/>
      <c r="C99" s="2"/>
      <c r="D99" s="2"/>
      <c r="E99" s="2"/>
      <c r="F99" s="17" t="s">
        <v>52</v>
      </c>
      <c r="G99" s="19">
        <f>COUNTIF('Alimentos e Bebidas'!$H$15:$H$41,Ranking!F99)</f>
        <v>1</v>
      </c>
      <c r="H99" s="369">
        <f ca="1">SUMIF('Alimentos e Bebidas'!$B$15:$K$41,Ranking!F99,'Alimentos e Bebidas'!$M$15:$M$41)</f>
        <v>63</v>
      </c>
      <c r="I99" s="369"/>
      <c r="J99" s="368" t="str">
        <f>CONCATENATE(SUMIF('Alimentos e Bebidas'!$H$15:$H$41,Ranking!F99,'Alimentos e Bebidas'!$J$15:$J$41)," ","Produtos")</f>
        <v>116 Produtos</v>
      </c>
      <c r="K99" s="368"/>
      <c r="P99" s="19" t="s">
        <v>137</v>
      </c>
      <c r="Q99" s="19">
        <f>COUNTIF(Eletrônicos!$G$15:$G$41,Ranking!P99)</f>
        <v>2</v>
      </c>
      <c r="R99" s="369">
        <f ca="1">SUMIF(Eletrônicos!$G$15:$G$41,Ranking!P99,Eletrônicos!$K$15:$K$41)</f>
        <v>135420</v>
      </c>
      <c r="S99" s="369"/>
      <c r="T99" s="368" t="str">
        <f ca="1">CONCATENATE(SUMIF(Eletrônicos!$G$15:$G$41,Ranking!P99,Eletrônicos!$H$15:$H$41)," ","Produtos")</f>
        <v>313 Produtos</v>
      </c>
      <c r="U99" s="368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ht="17.25" customHeight="1" x14ac:dyDescent="0.25">
      <c r="A100" s="2"/>
      <c r="B100" s="2"/>
      <c r="C100" s="2"/>
      <c r="D100" s="2"/>
      <c r="E100" s="2"/>
      <c r="F100" s="17" t="s">
        <v>85</v>
      </c>
      <c r="G100" s="19">
        <f>COUNTIF('Alimentos e Bebidas'!$H$15:$H$41,Ranking!F100)</f>
        <v>2</v>
      </c>
      <c r="H100" s="369">
        <f ca="1">SUMIF('Alimentos e Bebidas'!$B$15:$K$41,Ranking!F100,'Alimentos e Bebidas'!$M$15:$M$41)</f>
        <v>218</v>
      </c>
      <c r="I100" s="369"/>
      <c r="J100" s="368" t="str">
        <f>CONCATENATE(SUMIF('Alimentos e Bebidas'!$H$15:$H$41,Ranking!F100,'Alimentos e Bebidas'!$J$15:$J$41)," ","Produtos")</f>
        <v>392 Produtos</v>
      </c>
      <c r="K100" s="368"/>
      <c r="P100" s="19" t="s">
        <v>138</v>
      </c>
      <c r="Q100" s="19">
        <f>COUNTIF(Eletrônicos!$G$15:$G$41,Ranking!P100)</f>
        <v>1</v>
      </c>
      <c r="R100" s="369">
        <f ca="1">SUMIF(Eletrônicos!$G$15:$G$41,Ranking!P100,Eletrônicos!$K$15:$K$41)</f>
        <v>91728</v>
      </c>
      <c r="S100" s="369"/>
      <c r="T100" s="368" t="str">
        <f ca="1">CONCATENATE(SUMIF(Eletrônicos!$G$15:$G$41,Ranking!P100,Eletrônicos!$H$15:$H$41)," ","Produtos")</f>
        <v>182 Produtos</v>
      </c>
      <c r="U100" s="368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ht="17.25" customHeight="1" x14ac:dyDescent="0.25">
      <c r="A101" s="2"/>
      <c r="B101" s="2"/>
      <c r="C101" s="2"/>
      <c r="D101" s="2"/>
      <c r="E101" s="2"/>
      <c r="F101" s="17" t="s">
        <v>50</v>
      </c>
      <c r="G101" s="19">
        <f>COUNTIF('Alimentos e Bebidas'!$H$15:$H$41,Ranking!F101)</f>
        <v>1</v>
      </c>
      <c r="H101" s="369">
        <f ca="1">SUMIF('Alimentos e Bebidas'!$B$15:$K$41,Ranking!F101,'Alimentos e Bebidas'!$M$15:$M$41)</f>
        <v>126</v>
      </c>
      <c r="I101" s="369"/>
      <c r="J101" s="368" t="str">
        <f>CONCATENATE(SUMIF('Alimentos e Bebidas'!$H$15:$H$41,Ranking!F101,'Alimentos e Bebidas'!$J$15:$J$41)," ","Produtos")</f>
        <v>207 Produtos</v>
      </c>
      <c r="K101" s="368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ht="17.25" customHeight="1" x14ac:dyDescent="0.25">
      <c r="A102" s="2"/>
      <c r="B102" s="2"/>
      <c r="C102" s="2"/>
      <c r="D102" s="2"/>
      <c r="E102" s="2"/>
      <c r="F102" s="17" t="s">
        <v>49</v>
      </c>
      <c r="G102" s="19">
        <f>COUNTIF('Alimentos e Bebidas'!$H$15:$H$41,Ranking!F102)</f>
        <v>2</v>
      </c>
      <c r="H102" s="369">
        <f ca="1">SUMIF('Alimentos e Bebidas'!$B$15:$K$41,Ranking!F102,'Alimentos e Bebidas'!$M$15:$M$41)</f>
        <v>162</v>
      </c>
      <c r="I102" s="369"/>
      <c r="J102" s="368" t="str">
        <f>CONCATENATE(SUMIF('Alimentos e Bebidas'!$H$15:$H$41,Ranking!F102,'Alimentos e Bebidas'!$J$15:$J$41)," ","Produtos")</f>
        <v>373 Produtos</v>
      </c>
      <c r="K102" s="36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ht="17.25" customHeight="1" x14ac:dyDescent="0.25">
      <c r="A103" s="2"/>
      <c r="B103" s="2"/>
      <c r="C103" s="2"/>
      <c r="D103" s="2"/>
      <c r="E103" s="2"/>
      <c r="F103" s="17" t="s">
        <v>48</v>
      </c>
      <c r="G103" s="19">
        <f>COUNTIF('Alimentos e Bebidas'!$H$15:$H$41,Ranking!F103)</f>
        <v>1</v>
      </c>
      <c r="H103" s="369">
        <f ca="1">SUMIF('Alimentos e Bebidas'!$B$15:$K$41,Ranking!F103,'Alimentos e Bebidas'!$M$15:$M$41)</f>
        <v>117</v>
      </c>
      <c r="I103" s="369"/>
      <c r="J103" s="368" t="str">
        <f>CONCATENATE(SUMIF('Alimentos e Bebidas'!$H$15:$H$41,Ranking!F103,'Alimentos e Bebidas'!$J$15:$J$41)," ","Produtos")</f>
        <v>212 Produtos</v>
      </c>
      <c r="K103" s="36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ht="17.25" customHeight="1" x14ac:dyDescent="0.25">
      <c r="A104" s="2"/>
      <c r="B104" s="2"/>
      <c r="C104" s="2"/>
      <c r="D104" s="2"/>
      <c r="E104" s="2"/>
      <c r="F104" s="17" t="s">
        <v>225</v>
      </c>
      <c r="G104" s="19">
        <f>COUNTIF('Alimentos e Bebidas'!$H$15:$H$41,Ranking!F104)</f>
        <v>2</v>
      </c>
      <c r="H104" s="369">
        <f ca="1">SUMIF('Alimentos e Bebidas'!$B$15:$K$41,Ranking!F104,'Alimentos e Bebidas'!$M$15:$M$41)</f>
        <v>287</v>
      </c>
      <c r="I104" s="369"/>
      <c r="J104" s="368" t="str">
        <f>CONCATENATE(SUMIF('Alimentos e Bebidas'!$H$15:$H$41,Ranking!F104,'Alimentos e Bebidas'!$J$15:$J$41)," ","Produtos")</f>
        <v>290 Produtos</v>
      </c>
      <c r="K104" s="36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ht="17.25" customHeight="1" x14ac:dyDescent="0.25">
      <c r="A105" s="2"/>
      <c r="B105" s="2"/>
      <c r="C105" s="2"/>
      <c r="D105" s="2"/>
      <c r="E105" s="2"/>
      <c r="F105" s="17" t="s">
        <v>46</v>
      </c>
      <c r="G105" s="19">
        <f>COUNTIF('Alimentos e Bebidas'!$H$15:$H$41,Ranking!F105)</f>
        <v>1</v>
      </c>
      <c r="H105" s="369">
        <f ca="1">SUMIF('Alimentos e Bebidas'!$B$15:$K$41,Ranking!F105,'Alimentos e Bebidas'!$M$15:$M$41)</f>
        <v>105</v>
      </c>
      <c r="I105" s="369"/>
      <c r="J105" s="368" t="str">
        <f>CONCATENATE(SUMIF('Alimentos e Bebidas'!$H$15:$H$41,Ranking!F105,'Alimentos e Bebidas'!$J$15:$J$41)," ","Produtos")</f>
        <v>141 Produtos</v>
      </c>
      <c r="K105" s="36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ht="17.25" customHeight="1" x14ac:dyDescent="0.25">
      <c r="A106" s="2"/>
      <c r="B106" s="2"/>
      <c r="C106" s="2"/>
      <c r="D106" s="2"/>
      <c r="E106" s="2"/>
      <c r="F106" s="17" t="s">
        <v>45</v>
      </c>
      <c r="G106" s="19">
        <f>COUNTIF('Alimentos e Bebidas'!$H$15:$H$41,Ranking!F106)</f>
        <v>1</v>
      </c>
      <c r="H106" s="369">
        <f ca="1">SUMIF('Alimentos e Bebidas'!$B$15:$K$41,Ranking!F106,'Alimentos e Bebidas'!$M$15:$M$41)</f>
        <v>61</v>
      </c>
      <c r="I106" s="369"/>
      <c r="J106" s="368" t="str">
        <f>CONCATENATE(SUMIF('Alimentos e Bebidas'!$H$15:$H$41,Ranking!F106,'Alimentos e Bebidas'!$J$15:$J$41)," ","Produtos")</f>
        <v>242 Produtos</v>
      </c>
      <c r="K106" s="36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ht="17.25" customHeight="1" x14ac:dyDescent="0.25">
      <c r="A107" s="2"/>
      <c r="B107" s="2"/>
      <c r="C107" s="2"/>
      <c r="D107" s="2"/>
      <c r="E107" s="2"/>
      <c r="F107" s="17" t="s">
        <v>44</v>
      </c>
      <c r="G107" s="19">
        <f>COUNTIF('Alimentos e Bebidas'!$H$15:$H$41,Ranking!F107)</f>
        <v>1</v>
      </c>
      <c r="H107" s="369">
        <f ca="1">SUMIF('Alimentos e Bebidas'!$B$15:$K$41,Ranking!F107,'Alimentos e Bebidas'!$M$15:$M$41)</f>
        <v>72</v>
      </c>
      <c r="I107" s="369"/>
      <c r="J107" s="368" t="str">
        <f>CONCATENATE(SUMIF('Alimentos e Bebidas'!$H$15:$H$41,Ranking!F107,'Alimentos e Bebidas'!$J$15:$J$41)," ","Produtos")</f>
        <v>137 Produtos</v>
      </c>
      <c r="K107" s="36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ht="17.25" customHeight="1" x14ac:dyDescent="0.25">
      <c r="A108" s="2"/>
      <c r="B108" s="2"/>
      <c r="C108" s="2"/>
      <c r="D108" s="2"/>
      <c r="E108" s="2"/>
      <c r="F108" s="17" t="s">
        <v>205</v>
      </c>
      <c r="G108" s="19">
        <f>COUNTIF('Alimentos e Bebidas'!$H$15:$H$41,Ranking!F108)</f>
        <v>1</v>
      </c>
      <c r="H108" s="369">
        <f ca="1">SUMIF('Alimentos e Bebidas'!$B$15:$K$41,Ranking!F108,'Alimentos e Bebidas'!$M$15:$M$41)</f>
        <v>117</v>
      </c>
      <c r="I108" s="369"/>
      <c r="J108" s="368" t="str">
        <f>CONCATENATE(SUMIF('Alimentos e Bebidas'!$H$15:$H$41,Ranking!F108,'Alimentos e Bebidas'!$J$15:$J$41)," ","Produtos")</f>
        <v>161 Produtos</v>
      </c>
      <c r="K108" s="36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ht="17.25" customHeight="1" x14ac:dyDescent="0.25">
      <c r="A109" s="2"/>
      <c r="B109" s="2"/>
      <c r="C109" s="2"/>
      <c r="D109" s="2"/>
      <c r="E109" s="2"/>
      <c r="F109" s="17" t="s">
        <v>42</v>
      </c>
      <c r="G109" s="19">
        <f>COUNTIF('Alimentos e Bebidas'!$H$15:$H$41,Ranking!F109)</f>
        <v>1</v>
      </c>
      <c r="H109" s="369">
        <f ca="1">SUMIF('Alimentos e Bebidas'!$B$15:$K$41,Ranking!F109,'Alimentos e Bebidas'!$M$15:$M$41)</f>
        <v>104</v>
      </c>
      <c r="I109" s="369"/>
      <c r="J109" s="368" t="str">
        <f>CONCATENATE(SUMIF('Alimentos e Bebidas'!$H$15:$H$41,Ranking!F109,'Alimentos e Bebidas'!$J$15:$J$41)," ","Produtos")</f>
        <v>233 Produtos</v>
      </c>
      <c r="K109" s="36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ht="17.25" customHeight="1" x14ac:dyDescent="0.25">
      <c r="A110" s="2"/>
      <c r="B110" s="2"/>
      <c r="C110" s="2"/>
      <c r="D110" s="2"/>
      <c r="E110" s="2"/>
      <c r="F110" s="17" t="s">
        <v>41</v>
      </c>
      <c r="G110" s="19">
        <f>COUNTIF('Alimentos e Bebidas'!$H$15:$H$41,Ranking!F110)</f>
        <v>1</v>
      </c>
      <c r="H110" s="369">
        <f ca="1">SUMIF('Alimentos e Bebidas'!$B$15:$K$41,Ranking!F110,'Alimentos e Bebidas'!$M$15:$M$41)</f>
        <v>96</v>
      </c>
      <c r="I110" s="369"/>
      <c r="J110" s="368" t="str">
        <f>CONCATENATE(SUMIF('Alimentos e Bebidas'!$H$15:$H$41,Ranking!F110,'Alimentos e Bebidas'!$J$15:$J$41)," ","Produtos")</f>
        <v>100 Produtos</v>
      </c>
      <c r="K110" s="36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ht="17.25" customHeight="1" x14ac:dyDescent="0.25">
      <c r="A111" s="2"/>
      <c r="B111" s="2"/>
      <c r="C111" s="2"/>
      <c r="D111" s="2"/>
      <c r="E111" s="2"/>
      <c r="F111" s="17" t="s">
        <v>206</v>
      </c>
      <c r="G111" s="19">
        <f>COUNTIF('Alimentos e Bebidas'!$H$15:$H$41,Ranking!F111)</f>
        <v>1</v>
      </c>
      <c r="H111" s="369">
        <f ca="1">SUMIF('Alimentos e Bebidas'!$B$15:$K$41,Ranking!F111,'Alimentos e Bebidas'!$M$15:$M$41)</f>
        <v>88</v>
      </c>
      <c r="I111" s="369"/>
      <c r="J111" s="368" t="str">
        <f>CONCATENATE(SUMIF('Alimentos e Bebidas'!$H$15:$H$41,Ranking!F111,'Alimentos e Bebidas'!$J$15:$J$41)," ","Produtos")</f>
        <v>194 Produtos</v>
      </c>
      <c r="K111" s="36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ht="17.25" customHeight="1" x14ac:dyDescent="0.25">
      <c r="A112" s="2"/>
      <c r="B112" s="2"/>
      <c r="C112" s="2"/>
      <c r="D112" s="2"/>
      <c r="E112" s="2"/>
      <c r="F112" s="17" t="s">
        <v>39</v>
      </c>
      <c r="G112" s="19">
        <f>COUNTIF('Alimentos e Bebidas'!$H$15:$H$41,Ranking!F112)</f>
        <v>1</v>
      </c>
      <c r="H112" s="369">
        <f ca="1">SUMIF('Alimentos e Bebidas'!$B$15:$K$41,Ranking!F112,'Alimentos e Bebidas'!$M$15:$M$41)</f>
        <v>97</v>
      </c>
      <c r="I112" s="369"/>
      <c r="J112" s="368" t="str">
        <f>CONCATENATE(SUMIF('Alimentos e Bebidas'!$H$15:$H$41,Ranking!F112,'Alimentos e Bebidas'!$J$15:$J$41)," ","Produtos")</f>
        <v>173 Produtos</v>
      </c>
      <c r="K112" s="36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ht="17.25" customHeight="1" x14ac:dyDescent="0.25">
      <c r="A113" s="2"/>
      <c r="B113" s="2"/>
      <c r="C113" s="2"/>
      <c r="D113" s="2"/>
      <c r="E113" s="2"/>
      <c r="F113" s="17" t="s">
        <v>38</v>
      </c>
      <c r="G113" s="19">
        <f>COUNTIF('Alimentos e Bebidas'!$H$15:$H$41,Ranking!F113)</f>
        <v>1</v>
      </c>
      <c r="H113" s="369">
        <f ca="1">SUMIF('Alimentos e Bebidas'!$B$15:$K$41,Ranking!F113,'Alimentos e Bebidas'!$M$15:$M$41)</f>
        <v>66</v>
      </c>
      <c r="I113" s="369"/>
      <c r="J113" s="368" t="str">
        <f>CONCATENATE(SUMIF('Alimentos e Bebidas'!$H$15:$H$41,Ranking!F113,'Alimentos e Bebidas'!$J$15:$J$41)," ","Produtos")</f>
        <v>221 Produtos</v>
      </c>
      <c r="K113" s="36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ht="17.25" customHeight="1" x14ac:dyDescent="0.25">
      <c r="A114" s="2"/>
      <c r="B114" s="2"/>
      <c r="C114" s="2"/>
      <c r="D114" s="2"/>
      <c r="E114" s="2"/>
      <c r="F114" s="17" t="s">
        <v>37</v>
      </c>
      <c r="G114" s="19">
        <f>COUNTIF('Alimentos e Bebidas'!$H$15:$H$41,Ranking!F114)</f>
        <v>1</v>
      </c>
      <c r="H114" s="369">
        <f ca="1">SUMIF('Alimentos e Bebidas'!$B$15:$K$41,Ranking!F114,'Alimentos e Bebidas'!$M$15:$M$41)</f>
        <v>104</v>
      </c>
      <c r="I114" s="369"/>
      <c r="J114" s="368" t="str">
        <f>CONCATENATE(SUMIF('Alimentos e Bebidas'!$H$15:$H$41,Ranking!F114,'Alimentos e Bebidas'!$J$15:$J$41)," ","Produtos")</f>
        <v>159 Produtos</v>
      </c>
      <c r="K114" s="36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ht="17.25" customHeight="1" x14ac:dyDescent="0.25">
      <c r="A115" s="2"/>
      <c r="B115" s="2"/>
      <c r="C115" s="2"/>
      <c r="D115" s="2"/>
      <c r="E115" s="2"/>
      <c r="F115" s="17" t="s">
        <v>36</v>
      </c>
      <c r="G115" s="19">
        <f>COUNTIF('Alimentos e Bebidas'!$H$15:$H$41,Ranking!F115)</f>
        <v>2</v>
      </c>
      <c r="H115" s="369">
        <f ca="1">SUMIF('Alimentos e Bebidas'!$B$15:$K$41,Ranking!F115,'Alimentos e Bebidas'!$M$15:$M$41)</f>
        <v>230</v>
      </c>
      <c r="I115" s="369"/>
      <c r="J115" s="368" t="str">
        <f>CONCATENATE(SUMIF('Alimentos e Bebidas'!$H$15:$H$41,Ranking!F115,'Alimentos e Bebidas'!$J$15:$J$41)," ","Produtos")</f>
        <v>345 Produtos</v>
      </c>
      <c r="K115" s="36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ht="17.25" customHeight="1" x14ac:dyDescent="0.25">
      <c r="A116" s="2"/>
      <c r="B116" s="2"/>
      <c r="C116" s="2"/>
      <c r="D116" s="2"/>
      <c r="E116" s="2"/>
      <c r="F116" s="17" t="s">
        <v>35</v>
      </c>
      <c r="G116" s="19">
        <f>COUNTIF('Alimentos e Bebidas'!$H$15:$H$41,Ranking!F116)</f>
        <v>1</v>
      </c>
      <c r="H116" s="369">
        <f ca="1">SUMIF('Alimentos e Bebidas'!$B$15:$K$41,Ranking!F116,'Alimentos e Bebidas'!$M$15:$M$41)</f>
        <v>115</v>
      </c>
      <c r="I116" s="369"/>
      <c r="J116" s="368" t="str">
        <f>CONCATENATE(SUMIF('Alimentos e Bebidas'!$H$15:$H$41,Ranking!F116,'Alimentos e Bebidas'!$J$15:$J$41)," ","Produtos")</f>
        <v>109 Produtos</v>
      </c>
      <c r="K116" s="36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ht="17.25" customHeight="1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ht="17.25" customHeight="1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ht="17.25" customHeight="1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ht="17.25" customHeight="1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ht="17.25" customHeight="1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ht="17.25" customHeight="1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ht="17.25" customHeight="1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ht="17.25" customHeight="1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ht="17.25" customHeight="1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ht="17.25" customHeight="1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ht="17.25" customHeight="1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</sheetData>
  <protectedRanges>
    <protectedRange sqref="E89:S90 B95:E1048576 R87:S88 K48:K49 P41:Q47 F63 L45:O45 A47:A75 A91:A1048576 K63:T63 P48:R49 S20:T40 X77:X82 N88 A76:E88 K76:M88 P88:Q88 N76:S76 Q84:Q87 O77:O88 W76 T76:V82 S101 L91:S91 L102:S1048576 L92:O92 I117:J1048576 F91:H1048576 I91:K92 K94:K1048576 J93:J116 S92 P92:R101 T91:T1048576" name="corpo_home"/>
    <protectedRange sqref="D12 K12:O12 P20:Q40 F40 J41 A12:C18 A19:A39 K13:M18 B20:F39 G21:J40 L20:O44 R13:R40 U12:W18 X12 Z12 E13:E18 O13:O18 Y12:Y18 K21:K47" name="corpo_eletrodomesticos"/>
    <protectedRange sqref="H9 A6:G11 H6:I8 H10:I11 J6:J11 T9 K10:M11 K9:L9 U6:V11 K6:T8 S10:T11 Q9:R11" name="corpo_home_1"/>
    <protectedRange sqref="N9:P11" name="corpo_home_1_1_1_1"/>
  </protectedRanges>
  <mergeCells count="200">
    <mergeCell ref="K9:M11"/>
    <mergeCell ref="N9:P11"/>
    <mergeCell ref="C14:D14"/>
    <mergeCell ref="C15:D15"/>
    <mergeCell ref="C16:D16"/>
    <mergeCell ref="C17:D17"/>
    <mergeCell ref="C18:D18"/>
    <mergeCell ref="M14:N14"/>
    <mergeCell ref="M15:N15"/>
    <mergeCell ref="M16:N16"/>
    <mergeCell ref="M17:N17"/>
    <mergeCell ref="M18:N18"/>
    <mergeCell ref="E14:F14"/>
    <mergeCell ref="A9:C11"/>
    <mergeCell ref="D9:D11"/>
    <mergeCell ref="H47:I47"/>
    <mergeCell ref="J43:K43"/>
    <mergeCell ref="J44:K44"/>
    <mergeCell ref="J45:K45"/>
    <mergeCell ref="J46:K46"/>
    <mergeCell ref="J47:K47"/>
    <mergeCell ref="E15:F15"/>
    <mergeCell ref="E16:F16"/>
    <mergeCell ref="E17:F17"/>
    <mergeCell ref="E18:F18"/>
    <mergeCell ref="H43:I43"/>
    <mergeCell ref="H44:I44"/>
    <mergeCell ref="H45:I45"/>
    <mergeCell ref="H46:I46"/>
    <mergeCell ref="J42:K42"/>
    <mergeCell ref="H42:I42"/>
    <mergeCell ref="F41:K41"/>
    <mergeCell ref="Y15:Z15"/>
    <mergeCell ref="Y16:Z16"/>
    <mergeCell ref="Y17:Z17"/>
    <mergeCell ref="Y18:Z18"/>
    <mergeCell ref="Y14:Z14"/>
    <mergeCell ref="A1:Z8"/>
    <mergeCell ref="W13:X13"/>
    <mergeCell ref="W14:X14"/>
    <mergeCell ref="Y13:Z13"/>
    <mergeCell ref="M13:N13"/>
    <mergeCell ref="C13:D13"/>
    <mergeCell ref="A12:F12"/>
    <mergeCell ref="K12:P12"/>
    <mergeCell ref="U12:Z12"/>
    <mergeCell ref="E13:F13"/>
    <mergeCell ref="O13:P13"/>
    <mergeCell ref="O14:P14"/>
    <mergeCell ref="O15:P15"/>
    <mergeCell ref="O16:P16"/>
    <mergeCell ref="O17:P17"/>
    <mergeCell ref="O18:P18"/>
    <mergeCell ref="E9:G11"/>
    <mergeCell ref="H9:J11"/>
    <mergeCell ref="Q9:T11"/>
    <mergeCell ref="U9:Z11"/>
    <mergeCell ref="C78:D78"/>
    <mergeCell ref="C77:D77"/>
    <mergeCell ref="E78:F78"/>
    <mergeCell ref="E77:F77"/>
    <mergeCell ref="A76:F76"/>
    <mergeCell ref="M78:N78"/>
    <mergeCell ref="O78:P78"/>
    <mergeCell ref="K76:P76"/>
    <mergeCell ref="V78:W78"/>
    <mergeCell ref="X77:Y77"/>
    <mergeCell ref="V77:W77"/>
    <mergeCell ref="T76:Y76"/>
    <mergeCell ref="P41:U41"/>
    <mergeCell ref="R43:S43"/>
    <mergeCell ref="R44:S44"/>
    <mergeCell ref="R45:S45"/>
    <mergeCell ref="R46:S46"/>
    <mergeCell ref="R47:S47"/>
    <mergeCell ref="W15:X15"/>
    <mergeCell ref="W16:X16"/>
    <mergeCell ref="W17:X17"/>
    <mergeCell ref="W18:X18"/>
    <mergeCell ref="T42:U42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E84:F84"/>
    <mergeCell ref="E85:F85"/>
    <mergeCell ref="E86:F86"/>
    <mergeCell ref="E87:F87"/>
    <mergeCell ref="E88:F88"/>
    <mergeCell ref="E79:F79"/>
    <mergeCell ref="E80:F80"/>
    <mergeCell ref="E81:F81"/>
    <mergeCell ref="E82:F82"/>
    <mergeCell ref="E83:F83"/>
    <mergeCell ref="M84:N84"/>
    <mergeCell ref="M85:N85"/>
    <mergeCell ref="M86:N86"/>
    <mergeCell ref="M87:N87"/>
    <mergeCell ref="M77:N77"/>
    <mergeCell ref="M79:N79"/>
    <mergeCell ref="M80:N80"/>
    <mergeCell ref="M81:N81"/>
    <mergeCell ref="M82:N82"/>
    <mergeCell ref="M83:N83"/>
    <mergeCell ref="V79:W79"/>
    <mergeCell ref="V80:W80"/>
    <mergeCell ref="V81:W81"/>
    <mergeCell ref="V82:W82"/>
    <mergeCell ref="X78:Y78"/>
    <mergeCell ref="X79:Y79"/>
    <mergeCell ref="X80:Y80"/>
    <mergeCell ref="X81:Y81"/>
    <mergeCell ref="X82:Y82"/>
    <mergeCell ref="H94:I94"/>
    <mergeCell ref="H93:I93"/>
    <mergeCell ref="H95:I95"/>
    <mergeCell ref="H96:I96"/>
    <mergeCell ref="J94:K94"/>
    <mergeCell ref="J95:K95"/>
    <mergeCell ref="J96:K96"/>
    <mergeCell ref="F92:K92"/>
    <mergeCell ref="J93:K93"/>
    <mergeCell ref="H106:I106"/>
    <mergeCell ref="H97:I97"/>
    <mergeCell ref="H98:I98"/>
    <mergeCell ref="H99:I99"/>
    <mergeCell ref="H100:I100"/>
    <mergeCell ref="H101:I101"/>
    <mergeCell ref="H112:I112"/>
    <mergeCell ref="H113:I113"/>
    <mergeCell ref="H114:I114"/>
    <mergeCell ref="H102:I102"/>
    <mergeCell ref="H103:I103"/>
    <mergeCell ref="H104:I104"/>
    <mergeCell ref="H105:I105"/>
    <mergeCell ref="H115:I115"/>
    <mergeCell ref="H116:I116"/>
    <mergeCell ref="H107:I107"/>
    <mergeCell ref="H108:I108"/>
    <mergeCell ref="H109:I109"/>
    <mergeCell ref="H110:I110"/>
    <mergeCell ref="H111:I111"/>
    <mergeCell ref="J113:K113"/>
    <mergeCell ref="J114:K114"/>
    <mergeCell ref="J115:K115"/>
    <mergeCell ref="J116:K116"/>
    <mergeCell ref="J107:K107"/>
    <mergeCell ref="J108:K108"/>
    <mergeCell ref="J109:K109"/>
    <mergeCell ref="J110:K110"/>
    <mergeCell ref="J111:K111"/>
    <mergeCell ref="T99:U99"/>
    <mergeCell ref="T100:U100"/>
    <mergeCell ref="R97:S97"/>
    <mergeCell ref="R98:S98"/>
    <mergeCell ref="R99:S99"/>
    <mergeCell ref="R100:S100"/>
    <mergeCell ref="R93:S93"/>
    <mergeCell ref="J112:K112"/>
    <mergeCell ref="J102:K102"/>
    <mergeCell ref="J103:K103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T93:U93"/>
    <mergeCell ref="R94:S94"/>
    <mergeCell ref="R95:S95"/>
    <mergeCell ref="R96:S96"/>
    <mergeCell ref="T94:U94"/>
    <mergeCell ref="T95:U95"/>
    <mergeCell ref="T43:U43"/>
    <mergeCell ref="T44:U44"/>
    <mergeCell ref="T45:U45"/>
    <mergeCell ref="T46:U46"/>
    <mergeCell ref="T47:U47"/>
    <mergeCell ref="T96:U96"/>
    <mergeCell ref="T97:U97"/>
    <mergeCell ref="O83:P83"/>
    <mergeCell ref="T98:U98"/>
    <mergeCell ref="O77:P77"/>
    <mergeCell ref="O79:P79"/>
    <mergeCell ref="O80:P80"/>
    <mergeCell ref="O81:P81"/>
    <mergeCell ref="O82:P82"/>
    <mergeCell ref="P92:U92"/>
    <mergeCell ref="O84:P84"/>
    <mergeCell ref="O85:P85"/>
    <mergeCell ref="O86:P86"/>
    <mergeCell ref="O87:P87"/>
  </mergeCells>
  <hyperlinks>
    <hyperlink ref="E9:G11" location="Eletrodomésticos!A1" display="Eletrodomésticos" xr:uid="{E27A650D-E0F0-480B-A90C-18F471C2EAF2}"/>
    <hyperlink ref="H9:J11" location="Automotivo!A1" display="Automotivo" xr:uid="{6E02F0D5-9EB1-4A8E-973C-6332EDBF88E6}"/>
    <hyperlink ref="K9:M11" location="'Bolsas e Malas'!A1" display="Bolsas e Malas" xr:uid="{226E6381-7ED9-40CE-92BF-46EEDEEA6D9B}"/>
    <hyperlink ref="N9:P11" location="'Alimentos e Bebidas'!A1" display="'Alimentos e Bebidas'!A1" xr:uid="{3B4157E1-F293-430E-8C9C-8BEE05A10F65}"/>
    <hyperlink ref="Q9:T11" location="Eletrônicos!A1" display="Eletrônicos" xr:uid="{2EC0893A-9022-4312-BB9A-D98D54DDD113}"/>
    <hyperlink ref="A9:D11" location="Home!A1" display="HOME" xr:uid="{FE3C963A-2DFC-4730-88E8-CAC2A745204B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desiner básico</vt:lpstr>
      <vt:lpstr>Home</vt:lpstr>
      <vt:lpstr>Eletrodomésticos</vt:lpstr>
      <vt:lpstr>Automotivo</vt:lpstr>
      <vt:lpstr>Bolsas e Malas</vt:lpstr>
      <vt:lpstr>Alimentos e Bebidas</vt:lpstr>
      <vt:lpstr>Eletrônicos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Cainan Clemente</dc:creator>
  <cp:lastModifiedBy>Cainan Clemente</cp:lastModifiedBy>
  <cp:lastPrinted>2022-04-24T02:06:54Z</cp:lastPrinted>
  <dcterms:created xsi:type="dcterms:W3CDTF">2022-04-18T23:29:28Z</dcterms:created>
  <dcterms:modified xsi:type="dcterms:W3CDTF">2022-04-27T23:50:47Z</dcterms:modified>
</cp:coreProperties>
</file>