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aioc\Desktop\"/>
    </mc:Choice>
  </mc:AlternateContent>
  <xr:revisionPtr revIDLastSave="0" documentId="13_ncr:1_{636FC3DA-68FC-4CEF-8A9D-F0777ED2EFF1}" xr6:coauthVersionLast="47" xr6:coauthVersionMax="47" xr10:uidLastSave="{00000000-0000-0000-0000-000000000000}"/>
  <bookViews>
    <workbookView xWindow="-120" yWindow="-120" windowWidth="29040" windowHeight="15720" xr2:uid="{A69D5DA1-CC3E-459A-8F9D-389CA8E669B5}"/>
  </bookViews>
  <sheets>
    <sheet name="Sistema" sheetId="5" r:id="rId1"/>
    <sheet name="Determinar PME - PMR - PMP" sheetId="1" r:id="rId2"/>
    <sheet name="Ciclo de Conversão de Caixa" sheetId="3" r:id="rId3"/>
    <sheet name="Análise Marginal" sheetId="2" r:id="rId4"/>
    <sheet name="MC e PE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4" l="1"/>
  <c r="D8" i="4"/>
  <c r="D6" i="4"/>
  <c r="H6" i="4"/>
  <c r="G6" i="4"/>
  <c r="D13" i="4"/>
  <c r="C9" i="2"/>
  <c r="D9" i="2"/>
  <c r="E9" i="2"/>
  <c r="F9" i="2"/>
  <c r="G9" i="2"/>
  <c r="H9" i="2"/>
  <c r="D8" i="2"/>
  <c r="E8" i="2"/>
  <c r="F8" i="2"/>
  <c r="G8" i="2"/>
  <c r="H8" i="2"/>
  <c r="C8" i="2"/>
  <c r="D7" i="2"/>
  <c r="E7" i="2"/>
  <c r="F7" i="2"/>
  <c r="G7" i="2"/>
  <c r="H7" i="2"/>
  <c r="C7" i="2"/>
  <c r="C6" i="2"/>
  <c r="D6" i="2"/>
  <c r="E6" i="2"/>
  <c r="F6" i="2"/>
  <c r="G6" i="2"/>
  <c r="H6" i="2"/>
  <c r="D5" i="2"/>
  <c r="E5" i="2"/>
  <c r="F5" i="2"/>
  <c r="G5" i="2"/>
  <c r="H5" i="2"/>
  <c r="C5" i="2"/>
  <c r="D4" i="2"/>
  <c r="E4" i="2"/>
  <c r="F4" i="2"/>
  <c r="G4" i="2"/>
  <c r="H4" i="2"/>
  <c r="C4" i="2"/>
  <c r="C8" i="3"/>
  <c r="C9" i="3"/>
  <c r="C7" i="3"/>
  <c r="D3" i="3"/>
  <c r="C12" i="3" s="1"/>
  <c r="E3" i="3"/>
  <c r="D4" i="3"/>
  <c r="C13" i="3" s="1"/>
  <c r="E4" i="3"/>
  <c r="D5" i="3"/>
  <c r="C19" i="3" s="1"/>
  <c r="E5" i="3"/>
  <c r="C4" i="3"/>
  <c r="C5" i="3"/>
  <c r="C3" i="3"/>
  <c r="C4" i="1"/>
  <c r="C5" i="1"/>
  <c r="C6" i="1"/>
  <c r="C7" i="1"/>
  <c r="C8" i="1"/>
  <c r="C3" i="1"/>
  <c r="D14" i="4" l="1"/>
  <c r="D15" i="4" s="1"/>
  <c r="H7" i="4" s="1"/>
  <c r="H8" i="4" s="1"/>
  <c r="N12" i="5" s="1"/>
  <c r="D17" i="3"/>
  <c r="C18" i="3"/>
  <c r="C12" i="1"/>
  <c r="D12" i="1" s="1"/>
  <c r="C17" i="3"/>
  <c r="D9" i="4"/>
  <c r="D19" i="3"/>
  <c r="E18" i="3"/>
  <c r="D18" i="3"/>
  <c r="F18" i="3" s="1"/>
  <c r="C15" i="2"/>
  <c r="G15" i="2" s="1"/>
  <c r="D11" i="2"/>
  <c r="H11" i="2"/>
  <c r="G11" i="2"/>
  <c r="E11" i="2"/>
  <c r="F11" i="2"/>
  <c r="C13" i="2"/>
  <c r="C13" i="1"/>
  <c r="D13" i="1" s="1"/>
  <c r="H12" i="5" s="1"/>
  <c r="C11" i="1"/>
  <c r="D11" i="1" s="1"/>
  <c r="H8" i="5" s="1"/>
  <c r="C14" i="3"/>
  <c r="E17" i="3"/>
  <c r="F17" i="3" s="1"/>
  <c r="E19" i="3"/>
  <c r="F19" i="3" s="1"/>
  <c r="D10" i="4" l="1"/>
  <c r="N8" i="5"/>
  <c r="D11" i="4"/>
  <c r="D20" i="3"/>
  <c r="G7" i="4"/>
  <c r="G8" i="4" s="1"/>
  <c r="N11" i="5" s="1"/>
  <c r="C14" i="1"/>
  <c r="F15" i="2"/>
  <c r="D15" i="2"/>
  <c r="H15" i="2"/>
  <c r="E15" i="2"/>
  <c r="E13" i="2"/>
  <c r="E17" i="2" s="1"/>
  <c r="H13" i="2"/>
  <c r="H17" i="2" s="1"/>
  <c r="D13" i="2"/>
  <c r="F13" i="2"/>
  <c r="G13" i="2"/>
  <c r="G17" i="2" s="1"/>
  <c r="C20" i="3"/>
  <c r="H18" i="5" s="1"/>
  <c r="H17" i="5"/>
  <c r="D21" i="3"/>
  <c r="H19" i="5"/>
  <c r="D14" i="1"/>
  <c r="H13" i="5" s="1"/>
  <c r="H10" i="5"/>
  <c r="E20" i="3"/>
  <c r="D12" i="4" l="1"/>
  <c r="N9" i="5"/>
  <c r="F17" i="2"/>
  <c r="D17" i="2"/>
  <c r="D33" i="5" s="1"/>
  <c r="D34" i="5" s="1"/>
  <c r="E33" i="5"/>
  <c r="E34" i="5" s="1"/>
  <c r="E18" i="2"/>
  <c r="F33" i="5"/>
  <c r="F34" i="5" s="1"/>
  <c r="F18" i="2"/>
  <c r="H18" i="2"/>
  <c r="H33" i="5"/>
  <c r="H34" i="5" s="1"/>
  <c r="G33" i="5"/>
  <c r="G34" i="5" s="1"/>
  <c r="G18" i="2"/>
  <c r="F20" i="3"/>
  <c r="F21" i="3" s="1"/>
  <c r="E21" i="3"/>
  <c r="H20" i="5"/>
  <c r="D18" i="2" l="1"/>
  <c r="H22" i="5"/>
  <c r="H21" i="5"/>
</calcChain>
</file>

<file path=xl/sharedStrings.xml><?xml version="1.0" encoding="utf-8"?>
<sst xmlns="http://schemas.openxmlformats.org/spreadsheetml/2006/main" count="142" uniqueCount="97">
  <si>
    <t>Atual</t>
  </si>
  <si>
    <t xml:space="preserve">Proposta 1 </t>
  </si>
  <si>
    <t>Proposta 2</t>
  </si>
  <si>
    <t>Proposta 3</t>
  </si>
  <si>
    <t>Proposta 4</t>
  </si>
  <si>
    <t>Proposta 5</t>
  </si>
  <si>
    <t>Quantidade de Venda por Ano</t>
  </si>
  <si>
    <t>Inademplência</t>
  </si>
  <si>
    <t>Taxa de Juros</t>
  </si>
  <si>
    <t>Preço Variável</t>
  </si>
  <si>
    <t>ÁNALISE MARGINAL</t>
  </si>
  <si>
    <t>AL</t>
  </si>
  <si>
    <t>CIMDR</t>
  </si>
  <si>
    <t>CPM</t>
  </si>
  <si>
    <t>PMR Dias</t>
  </si>
  <si>
    <t>-</t>
  </si>
  <si>
    <t>Preço Unitário</t>
  </si>
  <si>
    <t>TOTAL</t>
  </si>
  <si>
    <t>CICLO DE CONVERSÃO DE CAIXA</t>
  </si>
  <si>
    <t>Receita Anual</t>
  </si>
  <si>
    <t>Custo M. Vendida (Ano)</t>
  </si>
  <si>
    <t>Estoque Final</t>
  </si>
  <si>
    <t>Clientes (Mês)</t>
  </si>
  <si>
    <t>Estoque Inicial</t>
  </si>
  <si>
    <t>Fornecedores (Mês)</t>
  </si>
  <si>
    <t>Valor</t>
  </si>
  <si>
    <t>PME</t>
  </si>
  <si>
    <t>PMR</t>
  </si>
  <si>
    <t>PMP</t>
  </si>
  <si>
    <t>Dias</t>
  </si>
  <si>
    <t>Total</t>
  </si>
  <si>
    <t>DETERMINAR: PME - PMR - PMP</t>
  </si>
  <si>
    <t>CICLO OPERACIONAL</t>
  </si>
  <si>
    <t>Estoques</t>
  </si>
  <si>
    <t>Fornecedores</t>
  </si>
  <si>
    <t>Duplicatas a Receber</t>
  </si>
  <si>
    <t>STATUS</t>
  </si>
  <si>
    <t>VALOR</t>
  </si>
  <si>
    <t>DADOS DA EMPRESA</t>
  </si>
  <si>
    <t>TEMPO</t>
  </si>
  <si>
    <t>PROPOSTA</t>
  </si>
  <si>
    <t>TEMPO (DIAS)</t>
  </si>
  <si>
    <t>PROPOSTA TEMPO</t>
  </si>
  <si>
    <t>DIFERENÇA</t>
  </si>
  <si>
    <t>TOTAL COM TAXA</t>
  </si>
  <si>
    <t>TAXA VALOR</t>
  </si>
  <si>
    <t>TAXA PROPOSTA</t>
  </si>
  <si>
    <t>TAXA DIFERENÇA</t>
  </si>
  <si>
    <t>Insira os dados de sua empresa abaixo:</t>
  </si>
  <si>
    <t>FINANCIAL CONTROL</t>
  </si>
  <si>
    <t>Receita (ANO)</t>
  </si>
  <si>
    <t>Custo de Mercadoria Vendida (ANO)</t>
  </si>
  <si>
    <t>Clientes (MÊS)</t>
  </si>
  <si>
    <t>Fornecedores (MÊS)</t>
  </si>
  <si>
    <t>Investimentos em Estoque</t>
  </si>
  <si>
    <t>Investimentos em Fornecedores</t>
  </si>
  <si>
    <t>ATUAL (DIAS)</t>
  </si>
  <si>
    <t>PROPOSTA (DIAS)</t>
  </si>
  <si>
    <t>Ciclo Operacional e Ciclo de Conversão de Caixa</t>
  </si>
  <si>
    <t>Prazo Médio de Estoque - Prazo Médio a Receber - Prazo Médio de Pagamentos (PME - PMR - PMP)</t>
  </si>
  <si>
    <t>Análise Marginal</t>
  </si>
  <si>
    <t>Quantidade de Venda (ANO)</t>
  </si>
  <si>
    <t>PRAZO MÉDIO</t>
  </si>
  <si>
    <t>PMP (-)</t>
  </si>
  <si>
    <t>PMR +</t>
  </si>
  <si>
    <t>PME +</t>
  </si>
  <si>
    <t>VALOR ATUAL</t>
  </si>
  <si>
    <t>C.O</t>
  </si>
  <si>
    <t>C.C.C</t>
  </si>
  <si>
    <t>Taxa do VALOR ATUAL</t>
  </si>
  <si>
    <t>Taxa da PROPOSTA</t>
  </si>
  <si>
    <t>Taxa da DIFERENÇA</t>
  </si>
  <si>
    <t>DESCRIÇÃO</t>
  </si>
  <si>
    <t>TOTAL DIAS</t>
  </si>
  <si>
    <t>TOTAL c/ TAXA</t>
  </si>
  <si>
    <t>Margem de Contribuição e Ponto de Equilibrio</t>
  </si>
  <si>
    <t>Preço de Venda</t>
  </si>
  <si>
    <t>Gastos Variaveis</t>
  </si>
  <si>
    <t>Gastos Fixos</t>
  </si>
  <si>
    <t>Descrição</t>
  </si>
  <si>
    <t>MC</t>
  </si>
  <si>
    <t>PE</t>
  </si>
  <si>
    <t>Gastos Variáveis</t>
  </si>
  <si>
    <t>Lucro (Número)</t>
  </si>
  <si>
    <t>Lucro (Porcentagem)</t>
  </si>
  <si>
    <t>Receita</t>
  </si>
  <si>
    <t>Gastos V.</t>
  </si>
  <si>
    <t>Gastos F.</t>
  </si>
  <si>
    <t>Porcentagem</t>
  </si>
  <si>
    <t>Lucro (NÚMERO)</t>
  </si>
  <si>
    <t>Lucro (PORCENTAGEM)</t>
  </si>
  <si>
    <t>Necessidade de Vendas:</t>
  </si>
  <si>
    <t>Valor divídido</t>
  </si>
  <si>
    <t>Necessidade de Venda (Número):</t>
  </si>
  <si>
    <t>Necessidade de Venda (Porcentagem):</t>
  </si>
  <si>
    <t>Margem de Contribuição</t>
  </si>
  <si>
    <t>Ponto de Equilibrio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</si>
</sst>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-&quot;R$&quot;\ * #,##0_-;\-&quot;R$&quot;\ * #,##0_-;_-&quot;R$&quot;\ * &quot;-&quot;_-;_-@_-"/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  <numFmt numFmtId="165" formatCode="&quot;R$&quot;\ #,##0.00"/>
    <numFmt numFmtId="170" formatCode="_-&quot;R$&quot;\ * #,##0.00_-;\-&quot;R$&quot;\ * #,##0.00_-;_-&quot;R$&quot;\ * &quot;-&quot;_-;_-@_-"/>
  </numFmts>
  <fonts count="1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20"/>
      <color theme="9" tint="-0.499984740745262"/>
      <name val="Arial Black"/>
      <family val="2"/>
    </font>
    <font>
      <b/>
      <sz val="11"/>
      <color theme="2"/>
      <name val="Aptos Narrow"/>
      <family val="2"/>
      <scheme val="minor"/>
    </font>
    <font>
      <b/>
      <sz val="20"/>
      <color theme="1"/>
      <name val="Aptos Narrow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C5C5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8">
    <xf numFmtId="0" fontId="0" fillId="0" borderId="0" xfId="0"/>
    <xf numFmtId="164" fontId="0" fillId="0" borderId="0" xfId="0" applyNumberFormat="1"/>
    <xf numFmtId="0" fontId="2" fillId="0" borderId="2" xfId="1" applyBorder="1" applyAlignment="1">
      <alignment horizontal="left" vertical="top"/>
    </xf>
    <xf numFmtId="3" fontId="2" fillId="0" borderId="2" xfId="1" applyNumberFormat="1" applyBorder="1" applyAlignment="1">
      <alignment horizontal="center" vertical="center"/>
    </xf>
    <xf numFmtId="164" fontId="2" fillId="0" borderId="2" xfId="1" applyNumberFormat="1" applyBorder="1" applyAlignment="1">
      <alignment horizontal="center" vertical="center"/>
    </xf>
    <xf numFmtId="0" fontId="2" fillId="0" borderId="2" xfId="1" applyNumberFormat="1" applyBorder="1" applyAlignment="1">
      <alignment horizontal="center" vertical="center"/>
    </xf>
    <xf numFmtId="10" fontId="2" fillId="0" borderId="2" xfId="1" applyNumberFormat="1" applyBorder="1" applyAlignment="1">
      <alignment horizontal="center" vertical="center"/>
    </xf>
    <xf numFmtId="0" fontId="1" fillId="5" borderId="2" xfId="5" applyNumberFormat="1" applyBorder="1" applyAlignment="1">
      <alignment horizontal="center"/>
    </xf>
    <xf numFmtId="44" fontId="1" fillId="5" borderId="2" xfId="5" applyNumberFormat="1" applyBorder="1"/>
    <xf numFmtId="164" fontId="1" fillId="4" borderId="2" xfId="4" applyNumberFormat="1" applyBorder="1"/>
    <xf numFmtId="44" fontId="1" fillId="3" borderId="2" xfId="3" applyNumberFormat="1" applyBorder="1"/>
    <xf numFmtId="0" fontId="3" fillId="2" borderId="1" xfId="2"/>
    <xf numFmtId="0" fontId="3" fillId="2" borderId="2" xfId="2" applyBorder="1"/>
    <xf numFmtId="44" fontId="3" fillId="2" borderId="2" xfId="2" applyNumberFormat="1" applyBorder="1"/>
    <xf numFmtId="0" fontId="2" fillId="0" borderId="2" xfId="1" applyBorder="1" applyAlignment="1">
      <alignment horizontal="center" vertical="center"/>
    </xf>
    <xf numFmtId="0" fontId="2" fillId="6" borderId="2" xfId="1" applyFill="1" applyBorder="1" applyAlignment="1">
      <alignment horizontal="center" vertical="center"/>
    </xf>
    <xf numFmtId="0" fontId="5" fillId="5" borderId="2" xfId="5" applyFont="1" applyBorder="1" applyAlignment="1">
      <alignment horizontal="left" vertical="top"/>
    </xf>
    <xf numFmtId="0" fontId="5" fillId="0" borderId="0" xfId="0" applyFont="1"/>
    <xf numFmtId="0" fontId="5" fillId="4" borderId="2" xfId="4" applyFont="1" applyBorder="1"/>
    <xf numFmtId="0" fontId="5" fillId="3" borderId="2" xfId="3" applyFont="1" applyBorder="1"/>
    <xf numFmtId="165" fontId="2" fillId="0" borderId="2" xfId="1" applyNumberFormat="1" applyBorder="1" applyAlignment="1">
      <alignment horizontal="center" vertical="center"/>
    </xf>
    <xf numFmtId="0" fontId="2" fillId="0" borderId="2" xfId="1" applyFill="1" applyBorder="1" applyAlignment="1">
      <alignment horizontal="center" vertical="center"/>
    </xf>
    <xf numFmtId="1" fontId="2" fillId="0" borderId="2" xfId="1" applyNumberFormat="1" applyBorder="1" applyAlignment="1">
      <alignment horizontal="center" vertical="center"/>
    </xf>
    <xf numFmtId="0" fontId="3" fillId="2" borderId="1" xfId="2" applyAlignment="1">
      <alignment horizontal="center" vertical="center"/>
    </xf>
    <xf numFmtId="0" fontId="0" fillId="0" borderId="0" xfId="0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9" fontId="0" fillId="0" borderId="0" xfId="0" applyNumberFormat="1"/>
    <xf numFmtId="0" fontId="2" fillId="8" borderId="2" xfId="1" applyFill="1" applyBorder="1"/>
    <xf numFmtId="0" fontId="2" fillId="8" borderId="2" xfId="1" applyFill="1" applyBorder="1" applyAlignment="1">
      <alignment horizontal="center" vertical="center"/>
    </xf>
    <xf numFmtId="0" fontId="2" fillId="9" borderId="2" xfId="1" applyFill="1" applyBorder="1"/>
    <xf numFmtId="165" fontId="2" fillId="9" borderId="2" xfId="1" applyNumberFormat="1" applyFill="1" applyBorder="1" applyAlignment="1">
      <alignment horizontal="center" vertical="center"/>
    </xf>
    <xf numFmtId="0" fontId="5" fillId="7" borderId="2" xfId="0" applyFont="1" applyFill="1" applyBorder="1"/>
    <xf numFmtId="165" fontId="5" fillId="7" borderId="2" xfId="0" applyNumberFormat="1" applyFont="1" applyFill="1" applyBorder="1"/>
    <xf numFmtId="0" fontId="5" fillId="6" borderId="2" xfId="0" applyFont="1" applyFill="1" applyBorder="1"/>
    <xf numFmtId="0" fontId="5" fillId="10" borderId="2" xfId="0" applyFont="1" applyFill="1" applyBorder="1"/>
    <xf numFmtId="0" fontId="5" fillId="11" borderId="2" xfId="0" applyFont="1" applyFill="1" applyBorder="1"/>
    <xf numFmtId="0" fontId="0" fillId="7" borderId="2" xfId="0" applyFill="1" applyBorder="1"/>
    <xf numFmtId="165" fontId="0" fillId="7" borderId="2" xfId="0" applyNumberFormat="1" applyFill="1" applyBorder="1"/>
    <xf numFmtId="0" fontId="2" fillId="12" borderId="2" xfId="1" applyFill="1" applyBorder="1"/>
    <xf numFmtId="10" fontId="2" fillId="12" borderId="2" xfId="1" applyNumberFormat="1" applyFill="1" applyBorder="1" applyAlignment="1">
      <alignment horizontal="center" vertical="center"/>
    </xf>
    <xf numFmtId="0" fontId="0" fillId="0" borderId="0" xfId="0" applyAlignment="1">
      <alignment horizontal="left" vertical="top"/>
    </xf>
    <xf numFmtId="0" fontId="7" fillId="13" borderId="2" xfId="0" applyFont="1" applyFill="1" applyBorder="1" applyAlignment="1">
      <alignment horizontal="center" vertical="center"/>
    </xf>
    <xf numFmtId="0" fontId="5" fillId="15" borderId="2" xfId="0" applyFont="1" applyFill="1" applyBorder="1" applyAlignment="1">
      <alignment horizontal="center" vertical="center"/>
    </xf>
    <xf numFmtId="0" fontId="5" fillId="13" borderId="2" xfId="0" applyFont="1" applyFill="1" applyBorder="1" applyAlignment="1">
      <alignment horizontal="left" vertical="top"/>
    </xf>
    <xf numFmtId="0" fontId="5" fillId="0" borderId="2" xfId="0" applyFont="1" applyBorder="1" applyAlignment="1">
      <alignment horizontal="left" vertical="top"/>
    </xf>
    <xf numFmtId="0" fontId="5" fillId="0" borderId="0" xfId="0" applyFont="1" applyAlignment="1">
      <alignment horizontal="center"/>
    </xf>
    <xf numFmtId="2" fontId="0" fillId="0" borderId="0" xfId="0" applyNumberFormat="1"/>
    <xf numFmtId="0" fontId="8" fillId="19" borderId="2" xfId="0" applyFont="1" applyFill="1" applyBorder="1" applyAlignment="1">
      <alignment horizontal="center" vertical="center"/>
    </xf>
    <xf numFmtId="1" fontId="5" fillId="20" borderId="2" xfId="0" applyNumberFormat="1" applyFont="1" applyFill="1" applyBorder="1" applyAlignment="1">
      <alignment horizontal="center" vertical="center"/>
    </xf>
    <xf numFmtId="1" fontId="5" fillId="0" borderId="2" xfId="0" applyNumberFormat="1" applyFont="1" applyBorder="1" applyAlignment="1">
      <alignment horizontal="center" vertical="center"/>
    </xf>
    <xf numFmtId="0" fontId="5" fillId="20" borderId="2" xfId="0" applyFont="1" applyFill="1" applyBorder="1" applyAlignment="1">
      <alignment horizontal="left" vertical="top"/>
    </xf>
    <xf numFmtId="44" fontId="5" fillId="20" borderId="2" xfId="6" applyFont="1" applyFill="1" applyBorder="1" applyAlignment="1">
      <alignment horizontal="center"/>
    </xf>
    <xf numFmtId="44" fontId="5" fillId="0" borderId="2" xfId="6" applyFont="1" applyBorder="1" applyAlignment="1">
      <alignment horizontal="center"/>
    </xf>
    <xf numFmtId="0" fontId="2" fillId="13" borderId="2" xfId="1" applyFill="1" applyBorder="1" applyAlignment="1">
      <alignment horizontal="center" vertical="center"/>
    </xf>
    <xf numFmtId="0" fontId="0" fillId="13" borderId="2" xfId="0" applyFill="1" applyBorder="1" applyAlignment="1">
      <alignment horizontal="center"/>
    </xf>
    <xf numFmtId="9" fontId="5" fillId="20" borderId="2" xfId="8" applyFont="1" applyFill="1" applyBorder="1" applyAlignment="1">
      <alignment horizontal="center" vertical="center"/>
    </xf>
    <xf numFmtId="0" fontId="2" fillId="10" borderId="2" xfId="1" applyFill="1" applyBorder="1" applyAlignment="1">
      <alignment horizontal="left" vertical="top"/>
    </xf>
    <xf numFmtId="164" fontId="2" fillId="10" borderId="2" xfId="1" applyNumberFormat="1" applyFill="1" applyBorder="1" applyAlignment="1">
      <alignment horizontal="center" vertical="center"/>
    </xf>
    <xf numFmtId="0" fontId="2" fillId="22" borderId="2" xfId="1" applyFill="1" applyBorder="1" applyAlignment="1">
      <alignment horizontal="center" vertical="center"/>
    </xf>
    <xf numFmtId="0" fontId="6" fillId="18" borderId="2" xfId="0" applyFont="1" applyFill="1" applyBorder="1" applyAlignment="1">
      <alignment horizontal="center" vertical="center"/>
    </xf>
    <xf numFmtId="0" fontId="5" fillId="13" borderId="2" xfId="0" applyFont="1" applyFill="1" applyBorder="1"/>
    <xf numFmtId="1" fontId="5" fillId="13" borderId="2" xfId="0" applyNumberFormat="1" applyFont="1" applyFill="1" applyBorder="1"/>
    <xf numFmtId="0" fontId="5" fillId="0" borderId="2" xfId="0" applyFont="1" applyBorder="1"/>
    <xf numFmtId="1" fontId="5" fillId="0" borderId="2" xfId="0" applyNumberFormat="1" applyFont="1" applyBorder="1"/>
    <xf numFmtId="0" fontId="8" fillId="18" borderId="2" xfId="0" applyFont="1" applyFill="1" applyBorder="1" applyAlignment="1">
      <alignment horizontal="center" vertical="center"/>
    </xf>
    <xf numFmtId="0" fontId="0" fillId="10" borderId="2" xfId="0" applyFill="1" applyBorder="1" applyAlignment="1">
      <alignment horizontal="center" vertical="center"/>
    </xf>
    <xf numFmtId="0" fontId="5" fillId="10" borderId="2" xfId="0" applyFont="1" applyFill="1" applyBorder="1" applyAlignment="1">
      <alignment horizontal="center" vertical="center"/>
    </xf>
    <xf numFmtId="0" fontId="5" fillId="20" borderId="2" xfId="0" applyFont="1" applyFill="1" applyBorder="1"/>
    <xf numFmtId="0" fontId="5" fillId="17" borderId="2" xfId="0" applyFont="1" applyFill="1" applyBorder="1"/>
    <xf numFmtId="9" fontId="5" fillId="17" borderId="2" xfId="8" applyFont="1" applyFill="1" applyBorder="1" applyAlignment="1">
      <alignment horizontal="center" vertical="center"/>
    </xf>
    <xf numFmtId="0" fontId="8" fillId="18" borderId="2" xfId="0" applyFont="1" applyFill="1" applyBorder="1" applyAlignment="1">
      <alignment horizontal="center" vertical="center"/>
    </xf>
    <xf numFmtId="44" fontId="5" fillId="13" borderId="2" xfId="6" applyFont="1" applyFill="1" applyBorder="1" applyAlignment="1"/>
    <xf numFmtId="44" fontId="5" fillId="0" borderId="2" xfId="6" applyFont="1" applyBorder="1" applyAlignment="1"/>
    <xf numFmtId="0" fontId="5" fillId="0" borderId="2" xfId="0" applyFont="1" applyBorder="1" applyAlignment="1">
      <alignment horizontal="left" vertical="center" wrapText="1"/>
    </xf>
    <xf numFmtId="0" fontId="8" fillId="19" borderId="7" xfId="0" applyFont="1" applyFill="1" applyBorder="1" applyAlignment="1">
      <alignment horizontal="center" vertical="center"/>
    </xf>
    <xf numFmtId="0" fontId="5" fillId="16" borderId="3" xfId="0" applyFont="1" applyFill="1" applyBorder="1" applyAlignment="1">
      <alignment horizontal="center" vertical="center"/>
    </xf>
    <xf numFmtId="0" fontId="5" fillId="16" borderId="4" xfId="0" applyFont="1" applyFill="1" applyBorder="1" applyAlignment="1">
      <alignment horizontal="center" vertical="center"/>
    </xf>
    <xf numFmtId="0" fontId="5" fillId="16" borderId="5" xfId="0" applyFont="1" applyFill="1" applyBorder="1" applyAlignment="1">
      <alignment horizontal="center" vertical="center"/>
    </xf>
    <xf numFmtId="165" fontId="5" fillId="20" borderId="2" xfId="0" applyNumberFormat="1" applyFont="1" applyFill="1" applyBorder="1"/>
    <xf numFmtId="165" fontId="5" fillId="0" borderId="2" xfId="0" applyNumberFormat="1" applyFont="1" applyBorder="1"/>
    <xf numFmtId="1" fontId="5" fillId="20" borderId="2" xfId="7" applyNumberFormat="1" applyFont="1" applyFill="1" applyBorder="1"/>
    <xf numFmtId="1" fontId="5" fillId="17" borderId="2" xfId="7" applyNumberFormat="1" applyFont="1" applyFill="1" applyBorder="1"/>
    <xf numFmtId="10" fontId="2" fillId="10" borderId="2" xfId="1" applyNumberFormat="1" applyFill="1" applyBorder="1" applyAlignment="1">
      <alignment horizontal="center" vertical="center"/>
    </xf>
    <xf numFmtId="0" fontId="6" fillId="21" borderId="3" xfId="0" applyFont="1" applyFill="1" applyBorder="1" applyAlignment="1">
      <alignment horizontal="center" vertical="center"/>
    </xf>
    <xf numFmtId="0" fontId="6" fillId="21" borderId="4" xfId="0" applyFont="1" applyFill="1" applyBorder="1" applyAlignment="1">
      <alignment horizontal="center" vertical="center"/>
    </xf>
    <xf numFmtId="0" fontId="6" fillId="21" borderId="5" xfId="0" applyFont="1" applyFill="1" applyBorder="1" applyAlignment="1">
      <alignment horizontal="center" vertical="center"/>
    </xf>
    <xf numFmtId="3" fontId="2" fillId="0" borderId="2" xfId="1" applyNumberFormat="1" applyBorder="1" applyAlignment="1">
      <alignment vertical="center"/>
    </xf>
    <xf numFmtId="164" fontId="2" fillId="10" borderId="2" xfId="1" applyNumberFormat="1" applyFill="1" applyBorder="1" applyAlignment="1">
      <alignment vertical="center"/>
    </xf>
    <xf numFmtId="164" fontId="2" fillId="0" borderId="2" xfId="1" applyNumberFormat="1" applyBorder="1" applyAlignment="1">
      <alignment vertical="center"/>
    </xf>
    <xf numFmtId="10" fontId="2" fillId="0" borderId="2" xfId="1" applyNumberFormat="1" applyBorder="1" applyAlignment="1">
      <alignment vertical="center"/>
    </xf>
    <xf numFmtId="10" fontId="2" fillId="10" borderId="2" xfId="1" applyNumberFormat="1" applyFill="1" applyBorder="1" applyAlignment="1">
      <alignment vertical="center"/>
    </xf>
    <xf numFmtId="0" fontId="5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" fontId="2" fillId="9" borderId="2" xfId="1" applyNumberFormat="1" applyFill="1" applyBorder="1" applyAlignment="1">
      <alignment horizontal="center" vertical="center"/>
    </xf>
    <xf numFmtId="44" fontId="5" fillId="10" borderId="2" xfId="0" applyNumberFormat="1" applyFont="1" applyFill="1" applyBorder="1"/>
    <xf numFmtId="1" fontId="2" fillId="10" borderId="2" xfId="1" applyNumberFormat="1" applyFill="1" applyBorder="1" applyAlignment="1">
      <alignment horizontal="center" vertical="center"/>
    </xf>
    <xf numFmtId="0" fontId="8" fillId="25" borderId="2" xfId="0" applyFont="1" applyFill="1" applyBorder="1" applyAlignment="1">
      <alignment horizontal="center" vertical="center"/>
    </xf>
    <xf numFmtId="10" fontId="0" fillId="0" borderId="0" xfId="0" applyNumberFormat="1"/>
    <xf numFmtId="0" fontId="5" fillId="26" borderId="2" xfId="0" applyFont="1" applyFill="1" applyBorder="1"/>
    <xf numFmtId="44" fontId="5" fillId="9" borderId="2" xfId="6" applyFont="1" applyFill="1" applyBorder="1"/>
    <xf numFmtId="44" fontId="5" fillId="0" borderId="2" xfId="6" applyFont="1" applyBorder="1"/>
    <xf numFmtId="10" fontId="5" fillId="0" borderId="2" xfId="0" applyNumberFormat="1" applyFont="1" applyBorder="1"/>
    <xf numFmtId="0" fontId="8" fillId="24" borderId="2" xfId="0" applyFont="1" applyFill="1" applyBorder="1" applyAlignment="1">
      <alignment horizontal="center" vertical="center"/>
    </xf>
    <xf numFmtId="0" fontId="8" fillId="25" borderId="6" xfId="0" applyFont="1" applyFill="1" applyBorder="1" applyAlignment="1">
      <alignment horizontal="center" vertical="center"/>
    </xf>
    <xf numFmtId="0" fontId="5" fillId="23" borderId="3" xfId="0" applyFont="1" applyFill="1" applyBorder="1" applyAlignment="1">
      <alignment horizontal="center" vertical="center"/>
    </xf>
    <xf numFmtId="0" fontId="5" fillId="23" borderId="4" xfId="0" applyFont="1" applyFill="1" applyBorder="1" applyAlignment="1">
      <alignment horizontal="center" vertical="center"/>
    </xf>
    <xf numFmtId="0" fontId="5" fillId="23" borderId="5" xfId="0" applyFont="1" applyFill="1" applyBorder="1" applyAlignment="1">
      <alignment horizontal="center" vertical="center"/>
    </xf>
    <xf numFmtId="0" fontId="8" fillId="25" borderId="8" xfId="0" applyFont="1" applyFill="1" applyBorder="1" applyAlignment="1">
      <alignment horizontal="center" vertical="center"/>
    </xf>
    <xf numFmtId="170" fontId="5" fillId="7" borderId="2" xfId="7" applyNumberFormat="1" applyFont="1" applyFill="1" applyBorder="1"/>
    <xf numFmtId="170" fontId="5" fillId="0" borderId="2" xfId="7" applyNumberFormat="1" applyFont="1" applyBorder="1"/>
    <xf numFmtId="9" fontId="5" fillId="7" borderId="2" xfId="8" applyFont="1" applyFill="1" applyBorder="1"/>
    <xf numFmtId="3" fontId="5" fillId="7" borderId="2" xfId="0" applyNumberFormat="1" applyFont="1" applyFill="1" applyBorder="1"/>
    <xf numFmtId="3" fontId="5" fillId="0" borderId="2" xfId="0" applyNumberFormat="1" applyFont="1" applyBorder="1"/>
    <xf numFmtId="0" fontId="9" fillId="14" borderId="2" xfId="0" applyFont="1" applyFill="1" applyBorder="1" applyAlignment="1">
      <alignment horizontal="center"/>
    </xf>
    <xf numFmtId="9" fontId="5" fillId="0" borderId="2" xfId="0" applyNumberFormat="1" applyFont="1" applyBorder="1"/>
    <xf numFmtId="44" fontId="5" fillId="7" borderId="2" xfId="6" applyFont="1" applyFill="1" applyBorder="1"/>
    <xf numFmtId="0" fontId="5" fillId="26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vertical="center"/>
    </xf>
  </cellXfs>
  <cellStyles count="9">
    <cellStyle name="20% - Ênfase2" xfId="3" builtinId="34"/>
    <cellStyle name="20% - Ênfase4" xfId="4" builtinId="42"/>
    <cellStyle name="20% - Ênfase6" xfId="5" builtinId="50"/>
    <cellStyle name="Moeda" xfId="6" builtinId="4"/>
    <cellStyle name="Moeda [0]" xfId="7" builtinId="7"/>
    <cellStyle name="Normal" xfId="0" builtinId="0"/>
    <cellStyle name="Porcentagem" xfId="8" builtinId="5"/>
    <cellStyle name="Saída" xfId="2" builtinId="21"/>
    <cellStyle name="Título 4" xfId="1" builtinId="19"/>
  </cellStyles>
  <dxfs count="0"/>
  <tableStyles count="0" defaultTableStyle="TableStyleMedium2" defaultPivotStyle="PivotStyleLight16"/>
  <colors>
    <mruColors>
      <color rgb="FFFFC5C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04A1B-E94D-426E-B8D6-FD34E41B3A12}">
  <dimension ref="B2:N34"/>
  <sheetViews>
    <sheetView showGridLines="0" tabSelected="1" workbookViewId="0">
      <selection activeCell="P4" sqref="P4"/>
    </sheetView>
  </sheetViews>
  <sheetFormatPr defaultRowHeight="15" x14ac:dyDescent="0.25"/>
  <cols>
    <col min="2" max="2" width="30" customWidth="1"/>
    <col min="3" max="3" width="15.5703125" customWidth="1"/>
    <col min="4" max="4" width="18.5703125" customWidth="1"/>
    <col min="5" max="5" width="17" bestFit="1" customWidth="1"/>
    <col min="6" max="6" width="15.85546875" customWidth="1"/>
    <col min="7" max="7" width="18.85546875" bestFit="1" customWidth="1"/>
    <col min="8" max="8" width="14.5703125" bestFit="1" customWidth="1"/>
    <col min="9" max="9" width="5.7109375" customWidth="1"/>
    <col min="10" max="10" width="19.5703125" bestFit="1" customWidth="1"/>
    <col min="11" max="11" width="16.85546875" bestFit="1" customWidth="1"/>
    <col min="12" max="12" width="3" customWidth="1"/>
    <col min="13" max="13" width="37.28515625" bestFit="1" customWidth="1"/>
    <col min="14" max="14" width="15.7109375" customWidth="1"/>
  </cols>
  <sheetData>
    <row r="2" spans="2:14" s="24" customFormat="1" ht="67.5" customHeight="1" x14ac:dyDescent="0.25">
      <c r="B2" s="41" t="s">
        <v>49</v>
      </c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</row>
    <row r="3" spans="2:14" s="24" customFormat="1" ht="3.75" customHeight="1" x14ac:dyDescent="0.25"/>
    <row r="4" spans="2:14" ht="25.5" customHeight="1" x14ac:dyDescent="0.4">
      <c r="B4" s="113" t="s">
        <v>48</v>
      </c>
      <c r="C4" s="113"/>
      <c r="D4" s="113"/>
      <c r="E4" s="113"/>
      <c r="F4" s="113"/>
      <c r="G4" s="113"/>
      <c r="H4" s="113"/>
      <c r="I4" s="113"/>
      <c r="J4" s="113"/>
      <c r="K4" s="113"/>
      <c r="L4" s="113"/>
      <c r="M4" s="113"/>
      <c r="N4" s="113"/>
    </row>
    <row r="5" spans="2:14" ht="15.75" customHeight="1" x14ac:dyDescent="0.25"/>
    <row r="6" spans="2:14" ht="33.75" customHeight="1" x14ac:dyDescent="0.25">
      <c r="B6" s="42" t="s">
        <v>59</v>
      </c>
      <c r="C6" s="42"/>
      <c r="D6" s="42"/>
      <c r="E6" s="42"/>
      <c r="F6" s="42"/>
      <c r="G6" s="42"/>
      <c r="H6" s="42"/>
      <c r="J6" s="104" t="s">
        <v>75</v>
      </c>
      <c r="K6" s="105"/>
      <c r="L6" s="105"/>
      <c r="M6" s="105"/>
      <c r="N6" s="106"/>
    </row>
    <row r="7" spans="2:14" ht="24.75" customHeight="1" x14ac:dyDescent="0.25">
      <c r="B7" s="64" t="s">
        <v>38</v>
      </c>
      <c r="C7" s="64"/>
      <c r="D7" s="64"/>
      <c r="E7" s="70" t="s">
        <v>37</v>
      </c>
      <c r="G7" s="59" t="s">
        <v>62</v>
      </c>
      <c r="H7" s="59" t="s">
        <v>73</v>
      </c>
      <c r="J7" s="96" t="s">
        <v>38</v>
      </c>
      <c r="K7" s="96" t="s">
        <v>37</v>
      </c>
      <c r="M7" s="107" t="s">
        <v>72</v>
      </c>
      <c r="N7" s="103" t="s">
        <v>17</v>
      </c>
    </row>
    <row r="8" spans="2:14" x14ac:dyDescent="0.25">
      <c r="B8" s="43" t="s">
        <v>50</v>
      </c>
      <c r="C8" s="43"/>
      <c r="D8" s="43"/>
      <c r="E8" s="71">
        <v>2615000</v>
      </c>
      <c r="G8" s="60" t="s">
        <v>65</v>
      </c>
      <c r="H8" s="61">
        <f>'Determinar PME - PMR - PMP'!D11</f>
        <v>129.87481510877015</v>
      </c>
      <c r="J8" s="31" t="s">
        <v>76</v>
      </c>
      <c r="K8" s="108">
        <v>50</v>
      </c>
      <c r="M8" s="108" t="s">
        <v>95</v>
      </c>
      <c r="N8" s="115">
        <f>'MC e PE'!D9</f>
        <v>20</v>
      </c>
    </row>
    <row r="9" spans="2:14" x14ac:dyDescent="0.25">
      <c r="B9" s="44" t="s">
        <v>51</v>
      </c>
      <c r="C9" s="44"/>
      <c r="D9" s="44"/>
      <c r="E9" s="72">
        <v>1385950</v>
      </c>
      <c r="G9" s="62"/>
      <c r="H9" s="62"/>
      <c r="J9" s="62" t="s">
        <v>82</v>
      </c>
      <c r="K9" s="109">
        <v>30</v>
      </c>
      <c r="M9" s="109" t="s">
        <v>96</v>
      </c>
      <c r="N9" s="112">
        <f>'MC e PE'!D10</f>
        <v>104010</v>
      </c>
    </row>
    <row r="10" spans="2:14" x14ac:dyDescent="0.25">
      <c r="B10" s="43" t="s">
        <v>21</v>
      </c>
      <c r="C10" s="43"/>
      <c r="D10" s="43"/>
      <c r="E10" s="71">
        <v>500000</v>
      </c>
      <c r="G10" s="60" t="s">
        <v>64</v>
      </c>
      <c r="H10" s="61">
        <f>'Determinar PME - PMR - PMP'!D12</f>
        <v>44.999586998087956</v>
      </c>
      <c r="J10" s="31" t="s">
        <v>78</v>
      </c>
      <c r="K10" s="108">
        <v>2080200</v>
      </c>
    </row>
    <row r="11" spans="2:14" x14ac:dyDescent="0.25">
      <c r="B11" s="44" t="s">
        <v>52</v>
      </c>
      <c r="C11" s="44"/>
      <c r="D11" s="44"/>
      <c r="E11" s="72">
        <v>326872</v>
      </c>
      <c r="G11" s="62"/>
      <c r="H11" s="62"/>
      <c r="J11" s="68" t="s">
        <v>83</v>
      </c>
      <c r="K11" s="109">
        <v>0</v>
      </c>
      <c r="M11" s="108" t="s">
        <v>93</v>
      </c>
      <c r="N11" s="111">
        <f>'MC e PE'!G8</f>
        <v>5200500</v>
      </c>
    </row>
    <row r="12" spans="2:14" x14ac:dyDescent="0.25">
      <c r="B12" s="43" t="s">
        <v>23</v>
      </c>
      <c r="C12" s="43"/>
      <c r="D12" s="43"/>
      <c r="E12" s="71">
        <v>450000</v>
      </c>
      <c r="G12" s="60" t="s">
        <v>63</v>
      </c>
      <c r="H12" s="61">
        <f>'Determinar PME - PMR - PMP'!D13</f>
        <v>40.358508304606708</v>
      </c>
      <c r="J12" s="31" t="s">
        <v>84</v>
      </c>
      <c r="K12" s="110">
        <v>0.2</v>
      </c>
      <c r="M12" s="109" t="s">
        <v>94</v>
      </c>
      <c r="N12" s="112">
        <f>'MC e PE'!H8</f>
        <v>208020</v>
      </c>
    </row>
    <row r="13" spans="2:14" x14ac:dyDescent="0.25">
      <c r="B13" s="44" t="s">
        <v>53</v>
      </c>
      <c r="C13" s="44"/>
      <c r="D13" s="44"/>
      <c r="E13" s="72">
        <v>160980</v>
      </c>
      <c r="G13" s="62" t="s">
        <v>17</v>
      </c>
      <c r="H13" s="63">
        <f>'Determinar PME - PMR - PMP'!D14</f>
        <v>134.51589380225138</v>
      </c>
    </row>
    <row r="14" spans="2:14" ht="12.75" customHeight="1" x14ac:dyDescent="0.25">
      <c r="B14" s="40"/>
      <c r="C14" s="40"/>
      <c r="D14" s="40"/>
      <c r="E14" s="45"/>
      <c r="F14" s="45"/>
      <c r="G14" s="45"/>
      <c r="H14" s="45"/>
      <c r="I14" s="45"/>
    </row>
    <row r="15" spans="2:14" ht="28.5" customHeight="1" x14ac:dyDescent="0.25">
      <c r="B15" s="75" t="s">
        <v>58</v>
      </c>
      <c r="C15" s="76"/>
      <c r="D15" s="76"/>
      <c r="E15" s="76"/>
      <c r="F15" s="76"/>
      <c r="G15" s="76"/>
      <c r="H15" s="77"/>
    </row>
    <row r="16" spans="2:14" ht="27.75" customHeight="1" x14ac:dyDescent="0.25">
      <c r="B16" s="74" t="s">
        <v>38</v>
      </c>
      <c r="C16" s="74" t="s">
        <v>37</v>
      </c>
      <c r="D16" s="74" t="s">
        <v>56</v>
      </c>
      <c r="E16" s="74" t="s">
        <v>57</v>
      </c>
      <c r="G16" s="47" t="s">
        <v>72</v>
      </c>
      <c r="H16" s="47" t="s">
        <v>17</v>
      </c>
    </row>
    <row r="17" spans="2:8" x14ac:dyDescent="0.25">
      <c r="B17" s="50" t="s">
        <v>54</v>
      </c>
      <c r="C17" s="51">
        <v>9000000</v>
      </c>
      <c r="D17" s="48">
        <v>45</v>
      </c>
      <c r="E17" s="48">
        <v>0</v>
      </c>
      <c r="G17" s="50" t="s">
        <v>67</v>
      </c>
      <c r="H17" s="80">
        <f>'Ciclo de Conversão de Caixa'!C14</f>
        <v>105</v>
      </c>
    </row>
    <row r="18" spans="2:8" x14ac:dyDescent="0.25">
      <c r="B18" s="73" t="s">
        <v>35</v>
      </c>
      <c r="C18" s="52">
        <v>6000000</v>
      </c>
      <c r="D18" s="49">
        <v>60</v>
      </c>
      <c r="E18" s="49">
        <v>35</v>
      </c>
      <c r="G18" s="73" t="s">
        <v>68</v>
      </c>
      <c r="H18" s="81">
        <f>'Ciclo de Conversão de Caixa'!C20</f>
        <v>70</v>
      </c>
    </row>
    <row r="19" spans="2:8" x14ac:dyDescent="0.25">
      <c r="B19" s="50" t="s">
        <v>55</v>
      </c>
      <c r="C19" s="51">
        <v>5000000</v>
      </c>
      <c r="D19" s="48">
        <v>35</v>
      </c>
      <c r="E19" s="48">
        <v>0</v>
      </c>
      <c r="G19" s="50" t="s">
        <v>66</v>
      </c>
      <c r="H19" s="78">
        <f>'Ciclo de Conversão de Caixa'!D20</f>
        <v>1638888.888888889</v>
      </c>
    </row>
    <row r="20" spans="2:8" x14ac:dyDescent="0.25">
      <c r="B20" s="62" t="s">
        <v>69</v>
      </c>
      <c r="C20" s="69">
        <v>0</v>
      </c>
      <c r="G20" s="62" t="s">
        <v>40</v>
      </c>
      <c r="H20" s="79">
        <f>'Ciclo de Conversão de Caixa'!E20</f>
        <v>1222222.2222222225</v>
      </c>
    </row>
    <row r="21" spans="2:8" x14ac:dyDescent="0.25">
      <c r="B21" s="67" t="s">
        <v>70</v>
      </c>
      <c r="C21" s="55">
        <v>0</v>
      </c>
      <c r="G21" s="67" t="s">
        <v>43</v>
      </c>
      <c r="H21" s="78">
        <f>'Ciclo de Conversão de Caixa'!F20</f>
        <v>416666.66666666651</v>
      </c>
    </row>
    <row r="22" spans="2:8" x14ac:dyDescent="0.25">
      <c r="B22" s="62" t="s">
        <v>71</v>
      </c>
      <c r="C22" s="69">
        <v>0.2</v>
      </c>
      <c r="G22" s="62" t="s">
        <v>74</v>
      </c>
      <c r="H22" s="79">
        <f>'Ciclo de Conversão de Caixa'!F21</f>
        <v>83333.333333333314</v>
      </c>
    </row>
    <row r="24" spans="2:8" ht="23.25" customHeight="1" x14ac:dyDescent="0.25">
      <c r="B24" s="83" t="s">
        <v>60</v>
      </c>
      <c r="C24" s="84"/>
      <c r="D24" s="84"/>
      <c r="E24" s="84"/>
      <c r="F24" s="84"/>
      <c r="G24" s="84"/>
      <c r="H24" s="85"/>
    </row>
    <row r="25" spans="2:8" x14ac:dyDescent="0.25">
      <c r="B25" s="58" t="s">
        <v>38</v>
      </c>
      <c r="C25" s="58" t="s">
        <v>0</v>
      </c>
      <c r="D25" s="58" t="s">
        <v>1</v>
      </c>
      <c r="E25" s="58" t="s">
        <v>2</v>
      </c>
      <c r="F25" s="58" t="s">
        <v>3</v>
      </c>
      <c r="G25" s="58" t="s">
        <v>4</v>
      </c>
      <c r="H25" s="58" t="s">
        <v>5</v>
      </c>
    </row>
    <row r="26" spans="2:8" x14ac:dyDescent="0.25">
      <c r="B26" s="2" t="s">
        <v>61</v>
      </c>
      <c r="C26" s="3">
        <v>20000</v>
      </c>
      <c r="D26" s="3">
        <v>20500</v>
      </c>
      <c r="E26" s="3">
        <v>22500</v>
      </c>
      <c r="F26" s="3">
        <v>28000</v>
      </c>
      <c r="G26" s="3">
        <v>18000</v>
      </c>
      <c r="H26" s="86"/>
    </row>
    <row r="27" spans="2:8" x14ac:dyDescent="0.25">
      <c r="B27" s="56" t="s">
        <v>16</v>
      </c>
      <c r="C27" s="57">
        <v>50</v>
      </c>
      <c r="D27" s="57">
        <v>50</v>
      </c>
      <c r="E27" s="57">
        <v>50</v>
      </c>
      <c r="F27" s="57">
        <v>50</v>
      </c>
      <c r="G27" s="57">
        <v>40</v>
      </c>
      <c r="H27" s="87"/>
    </row>
    <row r="28" spans="2:8" x14ac:dyDescent="0.25">
      <c r="B28" s="2" t="s">
        <v>9</v>
      </c>
      <c r="C28" s="4">
        <v>30</v>
      </c>
      <c r="D28" s="4">
        <v>30</v>
      </c>
      <c r="E28" s="4">
        <v>30</v>
      </c>
      <c r="F28" s="4">
        <v>30</v>
      </c>
      <c r="G28" s="4">
        <v>30</v>
      </c>
      <c r="H28" s="88"/>
    </row>
    <row r="29" spans="2:8" x14ac:dyDescent="0.25">
      <c r="B29" s="56" t="s">
        <v>14</v>
      </c>
      <c r="C29" s="95">
        <v>30</v>
      </c>
      <c r="D29" s="95">
        <v>30</v>
      </c>
      <c r="E29" s="95">
        <v>50</v>
      </c>
      <c r="F29" s="95">
        <v>90</v>
      </c>
      <c r="G29" s="95">
        <v>30</v>
      </c>
      <c r="H29" s="95"/>
    </row>
    <row r="30" spans="2:8" x14ac:dyDescent="0.25">
      <c r="B30" s="2" t="s">
        <v>7</v>
      </c>
      <c r="C30" s="6">
        <v>0.01</v>
      </c>
      <c r="D30" s="6">
        <v>1.4999999999999999E-2</v>
      </c>
      <c r="E30" s="6">
        <v>2.5000000000000001E-2</v>
      </c>
      <c r="F30" s="6">
        <v>0.115</v>
      </c>
      <c r="G30" s="6">
        <v>0.01</v>
      </c>
      <c r="H30" s="89"/>
    </row>
    <row r="31" spans="2:8" x14ac:dyDescent="0.25">
      <c r="B31" s="56" t="s">
        <v>8</v>
      </c>
      <c r="C31" s="82">
        <v>0.2</v>
      </c>
      <c r="D31" s="82">
        <v>0.2</v>
      </c>
      <c r="E31" s="82">
        <v>0.2</v>
      </c>
      <c r="F31" s="82">
        <v>0.2</v>
      </c>
      <c r="G31" s="82">
        <v>0.2</v>
      </c>
      <c r="H31" s="90"/>
    </row>
    <row r="32" spans="2:8" ht="5.25" customHeight="1" x14ac:dyDescent="0.25"/>
    <row r="33" spans="2:8" x14ac:dyDescent="0.25">
      <c r="B33" s="34" t="s">
        <v>17</v>
      </c>
      <c r="C33" s="94">
        <v>0</v>
      </c>
      <c r="D33" s="94">
        <f>'Análise Marginal'!D17</f>
        <v>4375</v>
      </c>
      <c r="E33" s="94">
        <f>'Análise Marginal'!E17</f>
        <v>23125</v>
      </c>
      <c r="F33" s="94">
        <f>'Análise Marginal'!F17</f>
        <v>-23000</v>
      </c>
      <c r="G33" s="94">
        <f>'Análise Marginal'!G17</f>
        <v>-16200</v>
      </c>
      <c r="H33" s="94" t="e">
        <f>'Análise Marginal'!H17</f>
        <v>#DIV/0!</v>
      </c>
    </row>
    <row r="34" spans="2:8" x14ac:dyDescent="0.25">
      <c r="B34" s="91" t="s">
        <v>36</v>
      </c>
      <c r="C34" s="92" t="s">
        <v>15</v>
      </c>
      <c r="D34" s="91" t="str">
        <f>IF(D33&lt;0,"NEGATIVO",IF(D33&gt;=1,"POSITIVO"))</f>
        <v>POSITIVO</v>
      </c>
      <c r="E34" s="91" t="str">
        <f t="shared" ref="E34:H34" si="0">IF(E33&lt;0,"NEGATIVO",IF(E33&gt;=1,"POSITIVO"))</f>
        <v>POSITIVO</v>
      </c>
      <c r="F34" s="91" t="str">
        <f t="shared" si="0"/>
        <v>NEGATIVO</v>
      </c>
      <c r="G34" s="91" t="str">
        <f t="shared" si="0"/>
        <v>NEGATIVO</v>
      </c>
      <c r="H34" s="91" t="e">
        <f t="shared" si="0"/>
        <v>#DIV/0!</v>
      </c>
    </row>
  </sheetData>
  <mergeCells count="15">
    <mergeCell ref="B2:N2"/>
    <mergeCell ref="B4:N4"/>
    <mergeCell ref="B6:H6"/>
    <mergeCell ref="J6:N6"/>
    <mergeCell ref="B9:D9"/>
    <mergeCell ref="B15:H15"/>
    <mergeCell ref="B24:H24"/>
    <mergeCell ref="B8:D8"/>
    <mergeCell ref="B13:D13"/>
    <mergeCell ref="B12:D12"/>
    <mergeCell ref="B11:D11"/>
    <mergeCell ref="B10:D10"/>
    <mergeCell ref="B7:D7"/>
    <mergeCell ref="B14:D14"/>
    <mergeCell ref="E14:I14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2152A-9EFD-4EF7-B61C-E4488F6F1622}">
  <dimension ref="B1:D14"/>
  <sheetViews>
    <sheetView showGridLines="0" workbookViewId="0">
      <selection activeCell="B35" sqref="B35"/>
    </sheetView>
  </sheetViews>
  <sheetFormatPr defaultRowHeight="15" x14ac:dyDescent="0.25"/>
  <cols>
    <col min="2" max="2" width="31.42578125" bestFit="1" customWidth="1"/>
    <col min="3" max="3" width="14.5703125" bestFit="1" customWidth="1"/>
    <col min="4" max="4" width="18.7109375" bestFit="1" customWidth="1"/>
    <col min="5" max="5" width="9" customWidth="1"/>
    <col min="6" max="6" width="5.7109375" customWidth="1"/>
    <col min="7" max="7" width="8" customWidth="1"/>
  </cols>
  <sheetData>
    <row r="1" spans="2:4" ht="27" customHeight="1" x14ac:dyDescent="0.25"/>
    <row r="2" spans="2:4" ht="34.5" customHeight="1" x14ac:dyDescent="0.25">
      <c r="B2" s="53" t="s">
        <v>31</v>
      </c>
      <c r="C2" s="53" t="s">
        <v>25</v>
      </c>
    </row>
    <row r="3" spans="2:4" x14ac:dyDescent="0.25">
      <c r="B3" s="2" t="s">
        <v>19</v>
      </c>
      <c r="C3" s="20">
        <f>Sistema!E8</f>
        <v>2615000</v>
      </c>
    </row>
    <row r="4" spans="2:4" x14ac:dyDescent="0.25">
      <c r="B4" s="2" t="s">
        <v>20</v>
      </c>
      <c r="C4" s="20">
        <f>Sistema!E9</f>
        <v>1385950</v>
      </c>
    </row>
    <row r="5" spans="2:4" x14ac:dyDescent="0.25">
      <c r="B5" s="2" t="s">
        <v>21</v>
      </c>
      <c r="C5" s="20">
        <f>Sistema!E10</f>
        <v>500000</v>
      </c>
    </row>
    <row r="6" spans="2:4" x14ac:dyDescent="0.25">
      <c r="B6" s="2" t="s">
        <v>22</v>
      </c>
      <c r="C6" s="20">
        <f>Sistema!E11</f>
        <v>326872</v>
      </c>
    </row>
    <row r="7" spans="2:4" x14ac:dyDescent="0.25">
      <c r="B7" s="2" t="s">
        <v>23</v>
      </c>
      <c r="C7" s="20">
        <f>Sistema!E12</f>
        <v>450000</v>
      </c>
    </row>
    <row r="8" spans="2:4" x14ac:dyDescent="0.25">
      <c r="B8" s="2" t="s">
        <v>24</v>
      </c>
      <c r="C8" s="20">
        <f>Sistema!E13</f>
        <v>160980</v>
      </c>
    </row>
    <row r="10" spans="2:4" x14ac:dyDescent="0.25">
      <c r="B10" s="54"/>
      <c r="C10" s="54" t="s">
        <v>30</v>
      </c>
      <c r="D10" s="54" t="s">
        <v>29</v>
      </c>
    </row>
    <row r="11" spans="2:4" x14ac:dyDescent="0.25">
      <c r="B11" s="21" t="s">
        <v>26</v>
      </c>
      <c r="C11" s="5">
        <f>(C5/C4)*360</f>
        <v>129.87481510877015</v>
      </c>
      <c r="D11" s="22">
        <f>C11</f>
        <v>129.87481510877015</v>
      </c>
    </row>
    <row r="12" spans="2:4" x14ac:dyDescent="0.25">
      <c r="B12" s="21" t="s">
        <v>27</v>
      </c>
      <c r="C12" s="5">
        <f>(C6/C3)*360</f>
        <v>44.999586998087956</v>
      </c>
      <c r="D12" s="22">
        <f t="shared" ref="D12:D13" si="0">C12</f>
        <v>44.999586998087956</v>
      </c>
    </row>
    <row r="13" spans="2:4" x14ac:dyDescent="0.25">
      <c r="B13" s="14" t="s">
        <v>28</v>
      </c>
      <c r="C13" s="5">
        <f>C8/(C4-C7+C5)*360</f>
        <v>40.358508304606708</v>
      </c>
      <c r="D13" s="22">
        <f t="shared" si="0"/>
        <v>40.358508304606708</v>
      </c>
    </row>
    <row r="14" spans="2:4" x14ac:dyDescent="0.25">
      <c r="B14" s="21" t="s">
        <v>30</v>
      </c>
      <c r="C14" s="5">
        <f>C11+C12-C13</f>
        <v>134.51589380225138</v>
      </c>
      <c r="D14" s="22">
        <f>D11+D12-D13</f>
        <v>134.51589380225138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FA34B-8F6E-4E66-9D10-A61FF683B351}">
  <dimension ref="B2:F21"/>
  <sheetViews>
    <sheetView showGridLines="0" workbookViewId="0">
      <selection activeCell="F22" sqref="F22"/>
    </sheetView>
  </sheetViews>
  <sheetFormatPr defaultRowHeight="15" x14ac:dyDescent="0.25"/>
  <cols>
    <col min="2" max="2" width="31.42578125" bestFit="1" customWidth="1"/>
    <col min="3" max="3" width="15.42578125" bestFit="1" customWidth="1"/>
    <col min="4" max="4" width="15.5703125" bestFit="1" customWidth="1"/>
    <col min="5" max="5" width="16.7109375" bestFit="1" customWidth="1"/>
    <col min="6" max="6" width="15" bestFit="1" customWidth="1"/>
  </cols>
  <sheetData>
    <row r="2" spans="2:6" x14ac:dyDescent="0.25">
      <c r="B2" s="27" t="s">
        <v>38</v>
      </c>
      <c r="C2" s="28" t="s">
        <v>37</v>
      </c>
      <c r="D2" s="28" t="s">
        <v>41</v>
      </c>
      <c r="E2" s="28" t="s">
        <v>42</v>
      </c>
      <c r="F2" s="24"/>
    </row>
    <row r="3" spans="2:6" x14ac:dyDescent="0.25">
      <c r="B3" s="29" t="s">
        <v>33</v>
      </c>
      <c r="C3" s="30">
        <f>Sistema!C17</f>
        <v>9000000</v>
      </c>
      <c r="D3" s="93">
        <f>Sistema!D17</f>
        <v>45</v>
      </c>
      <c r="E3" s="93">
        <f>Sistema!E17</f>
        <v>0</v>
      </c>
      <c r="F3" s="26"/>
    </row>
    <row r="4" spans="2:6" x14ac:dyDescent="0.25">
      <c r="B4" s="29" t="s">
        <v>35</v>
      </c>
      <c r="C4" s="30">
        <f>Sistema!C18</f>
        <v>6000000</v>
      </c>
      <c r="D4" s="93">
        <f>Sistema!D18</f>
        <v>60</v>
      </c>
      <c r="E4" s="93">
        <f>Sistema!E18</f>
        <v>35</v>
      </c>
    </row>
    <row r="5" spans="2:6" x14ac:dyDescent="0.25">
      <c r="B5" s="29" t="s">
        <v>34</v>
      </c>
      <c r="C5" s="30">
        <f>Sistema!C19</f>
        <v>5000000</v>
      </c>
      <c r="D5" s="93">
        <f>Sistema!D19</f>
        <v>35</v>
      </c>
      <c r="E5" s="93">
        <f>Sistema!E19</f>
        <v>0</v>
      </c>
    </row>
    <row r="6" spans="2:6" ht="6.75" customHeight="1" x14ac:dyDescent="0.25">
      <c r="C6" s="25"/>
      <c r="D6" s="24"/>
      <c r="E6" s="24"/>
    </row>
    <row r="7" spans="2:6" x14ac:dyDescent="0.25">
      <c r="B7" s="38" t="s">
        <v>45</v>
      </c>
      <c r="C7" s="39">
        <f>Sistema!C20</f>
        <v>0</v>
      </c>
      <c r="D7" s="24"/>
      <c r="E7" s="24"/>
    </row>
    <row r="8" spans="2:6" x14ac:dyDescent="0.25">
      <c r="B8" s="38" t="s">
        <v>46</v>
      </c>
      <c r="C8" s="39">
        <f>Sistema!C21</f>
        <v>0</v>
      </c>
    </row>
    <row r="9" spans="2:6" x14ac:dyDescent="0.25">
      <c r="B9" s="38" t="s">
        <v>47</v>
      </c>
      <c r="C9" s="39">
        <f>Sistema!C22</f>
        <v>0.2</v>
      </c>
    </row>
    <row r="10" spans="2:6" ht="3.75" customHeight="1" x14ac:dyDescent="0.25"/>
    <row r="11" spans="2:6" x14ac:dyDescent="0.25">
      <c r="B11" s="33" t="s">
        <v>32</v>
      </c>
      <c r="C11" s="33" t="s">
        <v>39</v>
      </c>
    </row>
    <row r="12" spans="2:6" x14ac:dyDescent="0.25">
      <c r="B12" s="34" t="s">
        <v>26</v>
      </c>
      <c r="C12" s="65">
        <f>D3</f>
        <v>45</v>
      </c>
    </row>
    <row r="13" spans="2:6" x14ac:dyDescent="0.25">
      <c r="B13" s="34" t="s">
        <v>27</v>
      </c>
      <c r="C13" s="65">
        <f>D4</f>
        <v>60</v>
      </c>
    </row>
    <row r="14" spans="2:6" x14ac:dyDescent="0.25">
      <c r="B14" s="34" t="s">
        <v>17</v>
      </c>
      <c r="C14" s="66">
        <f>C13+C12</f>
        <v>105</v>
      </c>
    </row>
    <row r="15" spans="2:6" ht="5.25" customHeight="1" x14ac:dyDescent="0.25"/>
    <row r="16" spans="2:6" x14ac:dyDescent="0.25">
      <c r="B16" s="35" t="s">
        <v>18</v>
      </c>
      <c r="C16" s="35" t="s">
        <v>39</v>
      </c>
      <c r="D16" s="35" t="s">
        <v>66</v>
      </c>
      <c r="E16" s="35" t="s">
        <v>40</v>
      </c>
      <c r="F16" s="35" t="s">
        <v>43</v>
      </c>
    </row>
    <row r="17" spans="2:6" x14ac:dyDescent="0.25">
      <c r="B17" s="31" t="s">
        <v>26</v>
      </c>
      <c r="C17" s="36">
        <f>D3</f>
        <v>45</v>
      </c>
      <c r="D17" s="37">
        <f>($C3/360)*D3</f>
        <v>1125000</v>
      </c>
      <c r="E17" s="37">
        <f>IF(($C3/360)*E3&gt;0, ($C3/360)*E3, D17)</f>
        <v>1125000</v>
      </c>
      <c r="F17" s="37">
        <f>D17-E17</f>
        <v>0</v>
      </c>
    </row>
    <row r="18" spans="2:6" x14ac:dyDescent="0.25">
      <c r="B18" s="31" t="s">
        <v>27</v>
      </c>
      <c r="C18" s="36">
        <f>D4</f>
        <v>60</v>
      </c>
      <c r="D18" s="37">
        <f>($C4/360)*D4</f>
        <v>1000000.0000000001</v>
      </c>
      <c r="E18" s="37">
        <f>IF(($C4/360)*E4&gt;0, ($C4/360)*E4, D18)</f>
        <v>583333.33333333337</v>
      </c>
      <c r="F18" s="37">
        <f t="shared" ref="F18:F20" si="0">D18-E18</f>
        <v>416666.66666666674</v>
      </c>
    </row>
    <row r="19" spans="2:6" x14ac:dyDescent="0.25">
      <c r="B19" s="31" t="s">
        <v>28</v>
      </c>
      <c r="C19" s="36">
        <f>D5</f>
        <v>35</v>
      </c>
      <c r="D19" s="37">
        <f>($C5/360)*D5</f>
        <v>486111.11111111112</v>
      </c>
      <c r="E19" s="37">
        <f>IF(($C5/360)*E5&gt;0,($C5/360)*E5,D19)</f>
        <v>486111.11111111112</v>
      </c>
      <c r="F19" s="37">
        <f t="shared" si="0"/>
        <v>0</v>
      </c>
    </row>
    <row r="20" spans="2:6" x14ac:dyDescent="0.25">
      <c r="B20" s="31" t="s">
        <v>17</v>
      </c>
      <c r="C20" s="31">
        <f>C14-C19</f>
        <v>70</v>
      </c>
      <c r="D20" s="32">
        <f>D17+D18-D19</f>
        <v>1638888.888888889</v>
      </c>
      <c r="E20" s="32">
        <f>E17+E18-E19</f>
        <v>1222222.2222222225</v>
      </c>
      <c r="F20" s="32">
        <f t="shared" si="0"/>
        <v>416666.66666666651</v>
      </c>
    </row>
    <row r="21" spans="2:6" x14ac:dyDescent="0.25">
      <c r="B21" s="31" t="s">
        <v>44</v>
      </c>
      <c r="C21" s="31"/>
      <c r="D21" s="32">
        <f>D20*$C7</f>
        <v>0</v>
      </c>
      <c r="E21" s="32">
        <f>E20*$C8</f>
        <v>0</v>
      </c>
      <c r="F21" s="32">
        <f>(C7+C8+C9)*F20</f>
        <v>83333.333333333314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F381DF-6C18-4D3B-8685-015AD2172F96}">
  <dimension ref="B3:H18"/>
  <sheetViews>
    <sheetView showGridLines="0" workbookViewId="0">
      <selection activeCell="J8" sqref="J8"/>
    </sheetView>
  </sheetViews>
  <sheetFormatPr defaultRowHeight="15" x14ac:dyDescent="0.25"/>
  <cols>
    <col min="1" max="1" width="10.85546875" customWidth="1"/>
    <col min="2" max="2" width="27.85546875" bestFit="1" customWidth="1"/>
    <col min="3" max="3" width="14.28515625" bestFit="1" customWidth="1"/>
    <col min="4" max="4" width="20.7109375" bestFit="1" customWidth="1"/>
    <col min="5" max="8" width="16.42578125" bestFit="1" customWidth="1"/>
  </cols>
  <sheetData>
    <row r="3" spans="2:8" ht="31.5" customHeight="1" x14ac:dyDescent="0.25">
      <c r="B3" s="15" t="s">
        <v>10</v>
      </c>
      <c r="C3" s="15" t="s">
        <v>0</v>
      </c>
      <c r="D3" s="15" t="s">
        <v>1</v>
      </c>
      <c r="E3" s="15" t="s">
        <v>2</v>
      </c>
      <c r="F3" s="15" t="s">
        <v>3</v>
      </c>
      <c r="G3" s="15" t="s">
        <v>4</v>
      </c>
      <c r="H3" s="15" t="s">
        <v>5</v>
      </c>
    </row>
    <row r="4" spans="2:8" x14ac:dyDescent="0.25">
      <c r="B4" s="2" t="s">
        <v>6</v>
      </c>
      <c r="C4" s="3">
        <f>Sistema!C26</f>
        <v>20000</v>
      </c>
      <c r="D4" s="3">
        <f>Sistema!D26</f>
        <v>20500</v>
      </c>
      <c r="E4" s="3">
        <f>Sistema!E26</f>
        <v>22500</v>
      </c>
      <c r="F4" s="3">
        <f>Sistema!F26</f>
        <v>28000</v>
      </c>
      <c r="G4" s="3">
        <f>Sistema!G26</f>
        <v>18000</v>
      </c>
      <c r="H4" s="3">
        <f>Sistema!H26</f>
        <v>0</v>
      </c>
    </row>
    <row r="5" spans="2:8" x14ac:dyDescent="0.25">
      <c r="B5" s="2" t="s">
        <v>16</v>
      </c>
      <c r="C5" s="4">
        <f>Sistema!C27</f>
        <v>50</v>
      </c>
      <c r="D5" s="4">
        <f>Sistema!D27</f>
        <v>50</v>
      </c>
      <c r="E5" s="4">
        <f>Sistema!E27</f>
        <v>50</v>
      </c>
      <c r="F5" s="4">
        <f>Sistema!F27</f>
        <v>50</v>
      </c>
      <c r="G5" s="4">
        <f>Sistema!G27</f>
        <v>40</v>
      </c>
      <c r="H5" s="4">
        <f>Sistema!H27</f>
        <v>0</v>
      </c>
    </row>
    <row r="6" spans="2:8" x14ac:dyDescent="0.25">
      <c r="B6" s="2" t="s">
        <v>9</v>
      </c>
      <c r="C6" s="4">
        <f>Sistema!C28</f>
        <v>30</v>
      </c>
      <c r="D6" s="4">
        <f>Sistema!D28</f>
        <v>30</v>
      </c>
      <c r="E6" s="4">
        <f>Sistema!E28</f>
        <v>30</v>
      </c>
      <c r="F6" s="4">
        <f>Sistema!F28</f>
        <v>30</v>
      </c>
      <c r="G6" s="4">
        <f>Sistema!G28</f>
        <v>30</v>
      </c>
      <c r="H6" s="4">
        <f>Sistema!H28</f>
        <v>0</v>
      </c>
    </row>
    <row r="7" spans="2:8" x14ac:dyDescent="0.25">
      <c r="B7" s="2" t="s">
        <v>14</v>
      </c>
      <c r="C7" s="22">
        <f>Sistema!C29</f>
        <v>30</v>
      </c>
      <c r="D7" s="22">
        <f>Sistema!D29</f>
        <v>30</v>
      </c>
      <c r="E7" s="22">
        <f>Sistema!E29</f>
        <v>50</v>
      </c>
      <c r="F7" s="22">
        <f>Sistema!F29</f>
        <v>90</v>
      </c>
      <c r="G7" s="22">
        <f>Sistema!G29</f>
        <v>30</v>
      </c>
      <c r="H7" s="22">
        <f>Sistema!H29</f>
        <v>0</v>
      </c>
    </row>
    <row r="8" spans="2:8" x14ac:dyDescent="0.25">
      <c r="B8" s="2" t="s">
        <v>7</v>
      </c>
      <c r="C8" s="6">
        <f>Sistema!C30</f>
        <v>0.01</v>
      </c>
      <c r="D8" s="6">
        <f>Sistema!D30</f>
        <v>1.4999999999999999E-2</v>
      </c>
      <c r="E8" s="6">
        <f>Sistema!E30</f>
        <v>2.5000000000000001E-2</v>
      </c>
      <c r="F8" s="6">
        <f>Sistema!F30</f>
        <v>0.115</v>
      </c>
      <c r="G8" s="6">
        <f>Sistema!G30</f>
        <v>0.01</v>
      </c>
      <c r="H8" s="6">
        <f>Sistema!H30</f>
        <v>0</v>
      </c>
    </row>
    <row r="9" spans="2:8" x14ac:dyDescent="0.25">
      <c r="B9" s="2" t="s">
        <v>8</v>
      </c>
      <c r="C9" s="6">
        <f>Sistema!C31</f>
        <v>0.2</v>
      </c>
      <c r="D9" s="6">
        <f>Sistema!D31</f>
        <v>0.2</v>
      </c>
      <c r="E9" s="6">
        <f>Sistema!E31</f>
        <v>0.2</v>
      </c>
      <c r="F9" s="6">
        <f>Sistema!F31</f>
        <v>0.2</v>
      </c>
      <c r="G9" s="6">
        <f>Sistema!G31</f>
        <v>0.2</v>
      </c>
      <c r="H9" s="6">
        <f>Sistema!H31</f>
        <v>0</v>
      </c>
    </row>
    <row r="10" spans="2:8" ht="6" customHeight="1" x14ac:dyDescent="0.25"/>
    <row r="11" spans="2:8" x14ac:dyDescent="0.25">
      <c r="B11" s="16" t="s">
        <v>11</v>
      </c>
      <c r="C11" s="7" t="s">
        <v>15</v>
      </c>
      <c r="D11" s="8">
        <f>(D4-$C$4)*(D5-D6)</f>
        <v>10000</v>
      </c>
      <c r="E11" s="8">
        <f t="shared" ref="E11:H11" si="0">(E4-$C$4)*(E5-E6)</f>
        <v>50000</v>
      </c>
      <c r="F11" s="8">
        <f>(F4-$C$4)*(F5-F6)</f>
        <v>160000</v>
      </c>
      <c r="G11" s="8">
        <f>(G4-$C$4)*(G5-G6)</f>
        <v>-20000</v>
      </c>
      <c r="H11" s="8">
        <f t="shared" si="0"/>
        <v>0</v>
      </c>
    </row>
    <row r="12" spans="2:8" ht="3.75" customHeight="1" x14ac:dyDescent="0.25">
      <c r="B12" s="17"/>
    </row>
    <row r="13" spans="2:8" x14ac:dyDescent="0.25">
      <c r="B13" s="18" t="s">
        <v>12</v>
      </c>
      <c r="C13" s="9">
        <f>C4*C6/(360/C7)</f>
        <v>50000</v>
      </c>
      <c r="D13" s="9">
        <f>(D4*D6/(360/D7)-$C$13)*D9</f>
        <v>250</v>
      </c>
      <c r="E13" s="9">
        <f t="shared" ref="E13:H13" si="1">(E4*E6/(360/E7)-$C$13)*E9</f>
        <v>8750</v>
      </c>
      <c r="F13" s="9">
        <f t="shared" si="1"/>
        <v>32000</v>
      </c>
      <c r="G13" s="9">
        <f t="shared" si="1"/>
        <v>-1000</v>
      </c>
      <c r="H13" s="9" t="e">
        <f t="shared" si="1"/>
        <v>#DIV/0!</v>
      </c>
    </row>
    <row r="14" spans="2:8" ht="3" customHeight="1" x14ac:dyDescent="0.25">
      <c r="B14" s="17"/>
      <c r="C14" s="1"/>
      <c r="D14" s="1"/>
      <c r="E14" s="1"/>
      <c r="F14" s="1"/>
      <c r="G14" s="1"/>
      <c r="H14" s="1"/>
    </row>
    <row r="15" spans="2:8" x14ac:dyDescent="0.25">
      <c r="B15" s="19" t="s">
        <v>13</v>
      </c>
      <c r="C15" s="10">
        <f>(C4*C5)*C8</f>
        <v>10000</v>
      </c>
      <c r="D15" s="10">
        <f>(D4*D5)*D8-$C$15</f>
        <v>5375</v>
      </c>
      <c r="E15" s="10">
        <f t="shared" ref="E15:H15" si="2">(E4*E5)*E8-$C$15</f>
        <v>18125</v>
      </c>
      <c r="F15" s="10">
        <f t="shared" si="2"/>
        <v>151000</v>
      </c>
      <c r="G15" s="10">
        <f t="shared" si="2"/>
        <v>-2800</v>
      </c>
      <c r="H15" s="10">
        <f t="shared" si="2"/>
        <v>-10000</v>
      </c>
    </row>
    <row r="16" spans="2:8" ht="6.75" customHeight="1" x14ac:dyDescent="0.25"/>
    <row r="17" spans="2:8" x14ac:dyDescent="0.25">
      <c r="B17" s="12" t="s">
        <v>17</v>
      </c>
      <c r="C17" s="12"/>
      <c r="D17" s="13">
        <f>D11-D13-D15</f>
        <v>4375</v>
      </c>
      <c r="E17" s="13">
        <f t="shared" ref="E17:H17" si="3">E11-E13-E15</f>
        <v>23125</v>
      </c>
      <c r="F17" s="13">
        <f t="shared" si="3"/>
        <v>-23000</v>
      </c>
      <c r="G17" s="13">
        <f t="shared" si="3"/>
        <v>-16200</v>
      </c>
      <c r="H17" s="13" t="e">
        <f t="shared" si="3"/>
        <v>#DIV/0!</v>
      </c>
    </row>
    <row r="18" spans="2:8" x14ac:dyDescent="0.25">
      <c r="B18" s="11" t="s">
        <v>36</v>
      </c>
      <c r="C18" s="11"/>
      <c r="D18" s="23" t="str">
        <f>IF(D17&lt;0,"NEGATIVO",IF(D17&gt;=1,"POSITIVO"))</f>
        <v>POSITIVO</v>
      </c>
      <c r="E18" s="23" t="str">
        <f t="shared" ref="E18:H18" si="4">IF(E17&lt;0,"NEGATIVO",IF(E17&gt;=1,"POSITIVO"))</f>
        <v>POSITIVO</v>
      </c>
      <c r="F18" s="23" t="str">
        <f t="shared" si="4"/>
        <v>NEGATIVO</v>
      </c>
      <c r="G18" s="23" t="str">
        <f t="shared" si="4"/>
        <v>NEGATIVO</v>
      </c>
      <c r="H18" s="23" t="e">
        <f t="shared" si="4"/>
        <v>#DIV/0!</v>
      </c>
    </row>
  </sheetData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354AF-D4B5-46CC-9BB2-902C7CB0C1A3}">
  <dimension ref="C5:H15"/>
  <sheetViews>
    <sheetView topLeftCell="A4" workbookViewId="0">
      <selection activeCell="F12" sqref="F12"/>
    </sheetView>
  </sheetViews>
  <sheetFormatPr defaultRowHeight="15" x14ac:dyDescent="0.25"/>
  <cols>
    <col min="3" max="3" width="15.85546875" bestFit="1" customWidth="1"/>
    <col min="4" max="4" width="36.85546875" customWidth="1"/>
    <col min="6" max="6" width="23" bestFit="1" customWidth="1"/>
    <col min="7" max="7" width="24.140625" customWidth="1"/>
    <col min="8" max="8" width="26.140625" customWidth="1"/>
  </cols>
  <sheetData>
    <row r="5" spans="3:8" ht="30" customHeight="1" x14ac:dyDescent="0.25">
      <c r="C5" s="102" t="s">
        <v>79</v>
      </c>
      <c r="D5" s="102" t="s">
        <v>25</v>
      </c>
      <c r="F5" s="102" t="s">
        <v>79</v>
      </c>
      <c r="G5" s="102" t="s">
        <v>89</v>
      </c>
      <c r="H5" s="102" t="s">
        <v>90</v>
      </c>
    </row>
    <row r="6" spans="3:8" x14ac:dyDescent="0.25">
      <c r="C6" s="98" t="s">
        <v>76</v>
      </c>
      <c r="D6" s="99">
        <f>Sistema!K8</f>
        <v>50</v>
      </c>
      <c r="F6" s="62" t="s">
        <v>91</v>
      </c>
      <c r="G6" s="100">
        <f>Sistema!K11</f>
        <v>0</v>
      </c>
      <c r="H6" s="114">
        <f>Sistema!K12</f>
        <v>0.2</v>
      </c>
    </row>
    <row r="7" spans="3:8" x14ac:dyDescent="0.25">
      <c r="C7" s="98" t="s">
        <v>77</v>
      </c>
      <c r="D7" s="99">
        <f>Sistema!K9</f>
        <v>30</v>
      </c>
      <c r="F7" s="117" t="s">
        <v>92</v>
      </c>
      <c r="G7" s="100">
        <f>(G6+D8)/D9</f>
        <v>104010</v>
      </c>
      <c r="H7" s="100">
        <f>D8/(D15-H6)</f>
        <v>10401000</v>
      </c>
    </row>
    <row r="8" spans="3:8" x14ac:dyDescent="0.25">
      <c r="C8" s="98" t="s">
        <v>78</v>
      </c>
      <c r="D8" s="99">
        <f>Sistema!K10</f>
        <v>2080200</v>
      </c>
      <c r="F8" s="117" t="s">
        <v>30</v>
      </c>
      <c r="G8" s="100">
        <f>G7*D6</f>
        <v>5200500</v>
      </c>
      <c r="H8" s="100">
        <f>H7/D6</f>
        <v>208020</v>
      </c>
    </row>
    <row r="9" spans="3:8" x14ac:dyDescent="0.25">
      <c r="C9" s="98" t="s">
        <v>80</v>
      </c>
      <c r="D9" s="100">
        <f>D6-D7</f>
        <v>20</v>
      </c>
    </row>
    <row r="10" spans="3:8" x14ac:dyDescent="0.25">
      <c r="C10" s="98" t="s">
        <v>81</v>
      </c>
      <c r="D10" s="112">
        <f>D8/D9</f>
        <v>104010</v>
      </c>
      <c r="F10" s="46"/>
    </row>
    <row r="11" spans="3:8" x14ac:dyDescent="0.25">
      <c r="C11" s="98" t="s">
        <v>85</v>
      </c>
      <c r="D11" s="100">
        <f>D10*D6</f>
        <v>5200500</v>
      </c>
      <c r="F11" s="97"/>
    </row>
    <row r="12" spans="3:8" x14ac:dyDescent="0.25">
      <c r="C12" s="98" t="s">
        <v>86</v>
      </c>
      <c r="D12" s="100">
        <f>D10*D7</f>
        <v>3120300</v>
      </c>
    </row>
    <row r="13" spans="3:8" x14ac:dyDescent="0.25">
      <c r="C13" s="98" t="s">
        <v>87</v>
      </c>
      <c r="D13" s="100">
        <f>D8</f>
        <v>2080200</v>
      </c>
    </row>
    <row r="14" spans="3:8" x14ac:dyDescent="0.25">
      <c r="C14" s="116" t="s">
        <v>88</v>
      </c>
      <c r="D14" s="101">
        <f>D7/D6</f>
        <v>0.6</v>
      </c>
    </row>
    <row r="15" spans="3:8" x14ac:dyDescent="0.25">
      <c r="C15" s="116"/>
      <c r="D15" s="101">
        <f>100%-D14</f>
        <v>0.4</v>
      </c>
    </row>
  </sheetData>
  <mergeCells count="1">
    <mergeCell ref="C14:C15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Sistema</vt:lpstr>
      <vt:lpstr>Determinar PME - PMR - PMP</vt:lpstr>
      <vt:lpstr>Ciclo de Conversão de Caixa</vt:lpstr>
      <vt:lpstr>Análise Marginal</vt:lpstr>
      <vt:lpstr>MC e 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CAIO CANDIDO GALERA</dc:creator>
  <cp:lastModifiedBy>CAIO CANDIDO GALERA</cp:lastModifiedBy>
  <dcterms:created xsi:type="dcterms:W3CDTF">2025-05-20T18:20:30Z</dcterms:created>
  <dcterms:modified xsi:type="dcterms:W3CDTF">2025-05-25T19:23:14Z</dcterms:modified>
</cp:coreProperties>
</file>