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c\Documents\Trabalhos Faculdade\Gestão Financeira\"/>
    </mc:Choice>
  </mc:AlternateContent>
  <xr:revisionPtr revIDLastSave="0" documentId="13_ncr:1_{B8CE559B-3A8E-4CD9-8ED9-D5DA3878C056}" xr6:coauthVersionLast="47" xr6:coauthVersionMax="47" xr10:uidLastSave="{00000000-0000-0000-0000-000000000000}"/>
  <bookViews>
    <workbookView xWindow="-120" yWindow="-120" windowWidth="29040" windowHeight="15720" xr2:uid="{A69D5DA1-CC3E-459A-8F9D-389CA8E669B5}"/>
  </bookViews>
  <sheets>
    <sheet name="Sistema" sheetId="5" r:id="rId1"/>
    <sheet name="Determinar PME - PMR - PMP" sheetId="1" r:id="rId2"/>
    <sheet name="Ciclo de Conversão de Caixa" sheetId="3" r:id="rId3"/>
    <sheet name="Análise Marginal" sheetId="2" r:id="rId4"/>
    <sheet name="MC e PE" sheetId="4" r:id="rId5"/>
    <sheet name="GA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5" l="1"/>
  <c r="H41" i="5"/>
  <c r="H42" i="5"/>
  <c r="H43" i="5"/>
  <c r="H45" i="5"/>
  <c r="H46" i="5"/>
  <c r="H47" i="5"/>
  <c r="H48" i="5"/>
  <c r="H50" i="5"/>
  <c r="H51" i="5"/>
  <c r="H52" i="5"/>
  <c r="H53" i="5"/>
  <c r="H54" i="5"/>
  <c r="G54" i="5"/>
  <c r="G53" i="5"/>
  <c r="G52" i="5"/>
  <c r="G51" i="5"/>
  <c r="G50" i="5"/>
  <c r="G48" i="5"/>
  <c r="G47" i="5"/>
  <c r="G46" i="5"/>
  <c r="G45" i="5"/>
  <c r="G43" i="5"/>
  <c r="H56" i="5"/>
  <c r="G56" i="5"/>
  <c r="G42" i="5"/>
  <c r="G41" i="5"/>
  <c r="G40" i="5"/>
  <c r="D81" i="5"/>
  <c r="C81" i="5"/>
  <c r="D79" i="5"/>
  <c r="C79" i="5"/>
  <c r="D77" i="5"/>
  <c r="C77" i="5"/>
  <c r="D73" i="5"/>
  <c r="C73" i="5"/>
  <c r="D72" i="5"/>
  <c r="C72" i="5"/>
  <c r="D70" i="5"/>
  <c r="C70" i="5"/>
  <c r="D62" i="5"/>
  <c r="D60" i="5"/>
  <c r="D56" i="5"/>
  <c r="D65" i="5" s="1"/>
  <c r="C62" i="5"/>
  <c r="C60" i="5"/>
  <c r="C56" i="5"/>
  <c r="D45" i="5"/>
  <c r="D46" i="5"/>
  <c r="D40" i="5"/>
  <c r="D53" i="5" s="1"/>
  <c r="C53" i="5"/>
  <c r="C45" i="5"/>
  <c r="C46" i="5"/>
  <c r="C40" i="5"/>
  <c r="C9" i="6"/>
  <c r="C4" i="6"/>
  <c r="C6" i="6"/>
  <c r="C8" i="6"/>
  <c r="C3" i="6"/>
  <c r="K19" i="5"/>
  <c r="K21" i="5" s="1"/>
  <c r="C7" i="6" s="1"/>
  <c r="D7" i="4"/>
  <c r="D8" i="4"/>
  <c r="D13" i="4" s="1"/>
  <c r="D6" i="4"/>
  <c r="H6" i="4"/>
  <c r="G6" i="4"/>
  <c r="C9" i="2"/>
  <c r="D9" i="2"/>
  <c r="E9" i="2"/>
  <c r="F9" i="2"/>
  <c r="G9" i="2"/>
  <c r="H9" i="2"/>
  <c r="D8" i="2"/>
  <c r="E8" i="2"/>
  <c r="F8" i="2"/>
  <c r="G8" i="2"/>
  <c r="H8" i="2"/>
  <c r="C8" i="2"/>
  <c r="D7" i="2"/>
  <c r="E7" i="2"/>
  <c r="F7" i="2"/>
  <c r="G7" i="2"/>
  <c r="H7" i="2"/>
  <c r="C7" i="2"/>
  <c r="C6" i="2"/>
  <c r="D6" i="2"/>
  <c r="E6" i="2"/>
  <c r="F6" i="2"/>
  <c r="G6" i="2"/>
  <c r="H6" i="2"/>
  <c r="D5" i="2"/>
  <c r="E5" i="2"/>
  <c r="F5" i="2"/>
  <c r="G5" i="2"/>
  <c r="H5" i="2"/>
  <c r="C5" i="2"/>
  <c r="D4" i="2"/>
  <c r="E4" i="2"/>
  <c r="F4" i="2"/>
  <c r="G4" i="2"/>
  <c r="H4" i="2"/>
  <c r="C4" i="2"/>
  <c r="C8" i="3"/>
  <c r="C9" i="3"/>
  <c r="C7" i="3"/>
  <c r="D3" i="3"/>
  <c r="C12" i="3" s="1"/>
  <c r="E3" i="3"/>
  <c r="D4" i="3"/>
  <c r="C13" i="3" s="1"/>
  <c r="E4" i="3"/>
  <c r="D5" i="3"/>
  <c r="C19" i="3" s="1"/>
  <c r="E5" i="3"/>
  <c r="C4" i="3"/>
  <c r="C5" i="3"/>
  <c r="C3" i="3"/>
  <c r="C4" i="1"/>
  <c r="C5" i="1"/>
  <c r="C6" i="1"/>
  <c r="C7" i="1"/>
  <c r="C8" i="1"/>
  <c r="C3" i="1"/>
  <c r="C65" i="5" l="1"/>
  <c r="D7" i="6"/>
  <c r="L21" i="5" s="1"/>
  <c r="D3" i="6"/>
  <c r="L17" i="5" s="1"/>
  <c r="D6" i="6"/>
  <c r="L20" i="5" s="1"/>
  <c r="C5" i="6"/>
  <c r="C14" i="6" s="1"/>
  <c r="D4" i="6"/>
  <c r="L18" i="5" s="1"/>
  <c r="C11" i="6"/>
  <c r="N17" i="5" s="1"/>
  <c r="D14" i="4"/>
  <c r="D15" i="4" s="1"/>
  <c r="H7" i="4" s="1"/>
  <c r="H8" i="4" s="1"/>
  <c r="N12" i="5" s="1"/>
  <c r="D17" i="3"/>
  <c r="E17" i="3" s="1"/>
  <c r="F17" i="3" s="1"/>
  <c r="C18" i="3"/>
  <c r="C12" i="1"/>
  <c r="D12" i="1" s="1"/>
  <c r="C17" i="3"/>
  <c r="D9" i="4"/>
  <c r="D19" i="3"/>
  <c r="E19" i="3" s="1"/>
  <c r="F19" i="3" s="1"/>
  <c r="E18" i="3"/>
  <c r="D18" i="3"/>
  <c r="C15" i="2"/>
  <c r="G15" i="2" s="1"/>
  <c r="D11" i="2"/>
  <c r="H11" i="2"/>
  <c r="G11" i="2"/>
  <c r="E11" i="2"/>
  <c r="F11" i="2"/>
  <c r="C13" i="2"/>
  <c r="C13" i="1"/>
  <c r="D13" i="1" s="1"/>
  <c r="H12" i="5" s="1"/>
  <c r="C11" i="1"/>
  <c r="D11" i="1" s="1"/>
  <c r="H8" i="5" s="1"/>
  <c r="C14" i="3"/>
  <c r="D5" i="6" l="1"/>
  <c r="C12" i="6" s="1"/>
  <c r="N20" i="5"/>
  <c r="C15" i="6"/>
  <c r="N21" i="5" s="1"/>
  <c r="F18" i="3"/>
  <c r="D10" i="4"/>
  <c r="D11" i="4" s="1"/>
  <c r="N8" i="5"/>
  <c r="D20" i="3"/>
  <c r="H19" i="5" s="1"/>
  <c r="G7" i="4"/>
  <c r="G8" i="4" s="1"/>
  <c r="N11" i="5" s="1"/>
  <c r="C14" i="1"/>
  <c r="F15" i="2"/>
  <c r="D15" i="2"/>
  <c r="H15" i="2"/>
  <c r="E15" i="2"/>
  <c r="E13" i="2"/>
  <c r="H13" i="2"/>
  <c r="D13" i="2"/>
  <c r="F13" i="2"/>
  <c r="G13" i="2"/>
  <c r="G17" i="2" s="1"/>
  <c r="C20" i="3"/>
  <c r="H18" i="5" s="1"/>
  <c r="H17" i="5"/>
  <c r="D14" i="1"/>
  <c r="H13" i="5" s="1"/>
  <c r="H10" i="5"/>
  <c r="E20" i="3"/>
  <c r="L19" i="5" l="1"/>
  <c r="D21" i="3"/>
  <c r="C13" i="6"/>
  <c r="N19" i="5" s="1"/>
  <c r="N18" i="5"/>
  <c r="E17" i="2"/>
  <c r="H17" i="2"/>
  <c r="H18" i="2" s="1"/>
  <c r="D12" i="4"/>
  <c r="N9" i="5"/>
  <c r="F17" i="2"/>
  <c r="F18" i="2" s="1"/>
  <c r="D17" i="2"/>
  <c r="D34" i="5" s="1"/>
  <c r="D35" i="5" s="1"/>
  <c r="E34" i="5"/>
  <c r="E35" i="5" s="1"/>
  <c r="E18" i="2"/>
  <c r="G34" i="5"/>
  <c r="G35" i="5" s="1"/>
  <c r="G18" i="2"/>
  <c r="F20" i="3"/>
  <c r="F21" i="3" s="1"/>
  <c r="E21" i="3"/>
  <c r="H20" i="5"/>
  <c r="F34" i="5" l="1"/>
  <c r="F35" i="5" s="1"/>
  <c r="H34" i="5"/>
  <c r="H35" i="5" s="1"/>
  <c r="D18" i="2"/>
  <c r="H22" i="5"/>
  <c r="H21" i="5"/>
</calcChain>
</file>

<file path=xl/sharedStrings.xml><?xml version="1.0" encoding="utf-8"?>
<sst xmlns="http://schemas.openxmlformats.org/spreadsheetml/2006/main" count="240" uniqueCount="168">
  <si>
    <t>Atual</t>
  </si>
  <si>
    <t xml:space="preserve">Proposta 1 </t>
  </si>
  <si>
    <t>Proposta 2</t>
  </si>
  <si>
    <t>Proposta 3</t>
  </si>
  <si>
    <t>Proposta 4</t>
  </si>
  <si>
    <t>Proposta 5</t>
  </si>
  <si>
    <t>Quantidade de Venda por Ano</t>
  </si>
  <si>
    <t>Inademplência</t>
  </si>
  <si>
    <t>Taxa de Juros</t>
  </si>
  <si>
    <t>Preço Variável</t>
  </si>
  <si>
    <t>ÁNALISE MARGINAL</t>
  </si>
  <si>
    <t>AL</t>
  </si>
  <si>
    <t>CIMDR</t>
  </si>
  <si>
    <t>CPM</t>
  </si>
  <si>
    <t>PMR Dias</t>
  </si>
  <si>
    <t>-</t>
  </si>
  <si>
    <t>Preço Unitário</t>
  </si>
  <si>
    <t>TOTAL</t>
  </si>
  <si>
    <t>CICLO DE CONVERSÃO DE CAIXA</t>
  </si>
  <si>
    <t>Receita Anual</t>
  </si>
  <si>
    <t>Custo M. Vendida (Ano)</t>
  </si>
  <si>
    <t>Estoque Final</t>
  </si>
  <si>
    <t>Clientes (Mês)</t>
  </si>
  <si>
    <t>Estoque Inicial</t>
  </si>
  <si>
    <t>Fornecedores (Mês)</t>
  </si>
  <si>
    <t>Valor</t>
  </si>
  <si>
    <t>PME</t>
  </si>
  <si>
    <t>PMR</t>
  </si>
  <si>
    <t>PMP</t>
  </si>
  <si>
    <t>Dias</t>
  </si>
  <si>
    <t>Total</t>
  </si>
  <si>
    <t>DETERMINAR: PME - PMR - PMP</t>
  </si>
  <si>
    <t>CICLO OPERACIONAL</t>
  </si>
  <si>
    <t>Estoques</t>
  </si>
  <si>
    <t>Fornecedores</t>
  </si>
  <si>
    <t>Duplicatas a Receber</t>
  </si>
  <si>
    <t>STATUS</t>
  </si>
  <si>
    <t>VALOR</t>
  </si>
  <si>
    <t>DADOS DA EMPRESA</t>
  </si>
  <si>
    <t>TEMPO</t>
  </si>
  <si>
    <t>PROPOSTA</t>
  </si>
  <si>
    <t>TEMPO (DIAS)</t>
  </si>
  <si>
    <t>PROPOSTA TEMPO</t>
  </si>
  <si>
    <t>DIFERENÇA</t>
  </si>
  <si>
    <t>TOTAL COM TAXA</t>
  </si>
  <si>
    <t>TAXA VALOR</t>
  </si>
  <si>
    <t>TAXA PROPOSTA</t>
  </si>
  <si>
    <t>TAXA DIFERENÇA</t>
  </si>
  <si>
    <t>Insira os dados de sua empresa abaixo:</t>
  </si>
  <si>
    <t>FINANCIAL CONTROL</t>
  </si>
  <si>
    <t>Receita (ANO)</t>
  </si>
  <si>
    <t>Custo de Mercadoria Vendida (ANO)</t>
  </si>
  <si>
    <t>Clientes (MÊS)</t>
  </si>
  <si>
    <t>Fornecedores (MÊS)</t>
  </si>
  <si>
    <t>Investimentos em Estoque</t>
  </si>
  <si>
    <t>Investimentos em Fornecedores</t>
  </si>
  <si>
    <t>ATUAL (DIAS)</t>
  </si>
  <si>
    <t>PROPOSTA (DIAS)</t>
  </si>
  <si>
    <t>Ciclo Operacional e Ciclo de Conversão de Caixa</t>
  </si>
  <si>
    <t>Prazo Médio de Estoque - Prazo Médio a Receber - Prazo Médio de Pagamentos (PME - PMR - PMP)</t>
  </si>
  <si>
    <t>Análise Marginal</t>
  </si>
  <si>
    <t>Quantidade de Venda (ANO)</t>
  </si>
  <si>
    <t>PRAZO MÉDIO</t>
  </si>
  <si>
    <t>PMP (-)</t>
  </si>
  <si>
    <t>PMR +</t>
  </si>
  <si>
    <t>PME +</t>
  </si>
  <si>
    <t>VALOR ATUAL</t>
  </si>
  <si>
    <t>C.O</t>
  </si>
  <si>
    <t>C.C.C</t>
  </si>
  <si>
    <t>Taxa do VALOR ATUAL</t>
  </si>
  <si>
    <t>Taxa da PROPOSTA</t>
  </si>
  <si>
    <t>Taxa da DIFERENÇA</t>
  </si>
  <si>
    <t>DESCRIÇÃO</t>
  </si>
  <si>
    <t>TOTAL DIAS</t>
  </si>
  <si>
    <t>TOTAL c/ TAXA</t>
  </si>
  <si>
    <t>Preço de Venda</t>
  </si>
  <si>
    <t>Gastos Variaveis</t>
  </si>
  <si>
    <t>Gastos Fixos</t>
  </si>
  <si>
    <t>Descrição</t>
  </si>
  <si>
    <t>MC</t>
  </si>
  <si>
    <t>PE</t>
  </si>
  <si>
    <t>Gastos Variáveis</t>
  </si>
  <si>
    <t>Lucro (Número)</t>
  </si>
  <si>
    <t>Lucro (Porcentagem)</t>
  </si>
  <si>
    <t>Receita</t>
  </si>
  <si>
    <t>Gastos V.</t>
  </si>
  <si>
    <t>Gastos F.</t>
  </si>
  <si>
    <t>Porcentagem</t>
  </si>
  <si>
    <t>Lucro (NÚMERO)</t>
  </si>
  <si>
    <t>Lucro (PORCENTAGEM)</t>
  </si>
  <si>
    <t>Necessidade de Vendas:</t>
  </si>
  <si>
    <t>Valor divídido</t>
  </si>
  <si>
    <t>Necessidade de Venda (Número):</t>
  </si>
  <si>
    <t>Necessidade de Venda (Porcentagem):</t>
  </si>
  <si>
    <t>Margem de Contribuição</t>
  </si>
  <si>
    <t>GAO</t>
  </si>
  <si>
    <t>Preço de Venda Unit</t>
  </si>
  <si>
    <t>Margem de Contribuição e Ponto de Equilibrio (Unitário)</t>
  </si>
  <si>
    <t>Grau de Alavancagem Operacional</t>
  </si>
  <si>
    <t>Lucro</t>
  </si>
  <si>
    <t>Produtos Unit</t>
  </si>
  <si>
    <t>Produtos Unitário</t>
  </si>
  <si>
    <t>Gasto Fixos</t>
  </si>
  <si>
    <t>UNIDADES</t>
  </si>
  <si>
    <t>PE QUANTIDADE</t>
  </si>
  <si>
    <t>PE VALOR</t>
  </si>
  <si>
    <t>Aumento de Lucro</t>
  </si>
  <si>
    <t>GAO Aumento de Lucro</t>
  </si>
  <si>
    <t>UNID</t>
  </si>
  <si>
    <t>Taxa de LUCRO</t>
  </si>
  <si>
    <t>(MC) Margem de Contribuição</t>
  </si>
  <si>
    <t>(PE) Ponto de Equilibrio QUANTIDADE</t>
  </si>
  <si>
    <t>(PE) Ponto de Equilibrio VALOR</t>
  </si>
  <si>
    <t>(GAO) Grau de Alavancagem Operacional</t>
  </si>
  <si>
    <t>(GAO) Aumento de lucro</t>
  </si>
  <si>
    <t>(PE) Ponto de Equilibrio</t>
  </si>
  <si>
    <t>ATIVO</t>
  </si>
  <si>
    <t>Caixa</t>
  </si>
  <si>
    <t>Títulos Negociáveis</t>
  </si>
  <si>
    <t>ANO 1</t>
  </si>
  <si>
    <t>ANO 2</t>
  </si>
  <si>
    <t>CIRCULANTE</t>
  </si>
  <si>
    <t>NÃO CIRCULANTE</t>
  </si>
  <si>
    <t>Imoblizado</t>
  </si>
  <si>
    <t>Terrenos e Edificios</t>
  </si>
  <si>
    <t>Máquinas e equipamentos</t>
  </si>
  <si>
    <t>Móveis e utensílios</t>
  </si>
  <si>
    <t>Veículos</t>
  </si>
  <si>
    <t>Instalações</t>
  </si>
  <si>
    <t>Depreciação Acumulada</t>
  </si>
  <si>
    <t>PASSIVO</t>
  </si>
  <si>
    <t>Duplicatas a Pagar</t>
  </si>
  <si>
    <t>Títulos a Pagar</t>
  </si>
  <si>
    <t>Contas a Pagar</t>
  </si>
  <si>
    <t>Financiamentos</t>
  </si>
  <si>
    <t>PATRIMONIO LIQUIDO</t>
  </si>
  <si>
    <t>Ações Preferencias</t>
  </si>
  <si>
    <t>Lucros Acumulados</t>
  </si>
  <si>
    <t>DRE</t>
  </si>
  <si>
    <t>Receita Bruta</t>
  </si>
  <si>
    <t>Devoluções</t>
  </si>
  <si>
    <t>Receita Líquida</t>
  </si>
  <si>
    <t>CPV</t>
  </si>
  <si>
    <t>Lucro Bruto</t>
  </si>
  <si>
    <t>Despesas Operacionas</t>
  </si>
  <si>
    <t>Despesas de Vendas</t>
  </si>
  <si>
    <t>Despesas Administ.</t>
  </si>
  <si>
    <t>Depreciação</t>
  </si>
  <si>
    <t>Resultado Operacional</t>
  </si>
  <si>
    <t>Despesas Financeiras</t>
  </si>
  <si>
    <t>Resultado Antes I.Renda</t>
  </si>
  <si>
    <t>I.Renda</t>
  </si>
  <si>
    <t>Lucro Líquido do Exercício</t>
  </si>
  <si>
    <t>Indices Financeiros</t>
  </si>
  <si>
    <t>Liquidez Corrente</t>
  </si>
  <si>
    <t>Liquidez Geral</t>
  </si>
  <si>
    <t>Liquidez Seca</t>
  </si>
  <si>
    <t>Liquidez Imediata</t>
  </si>
  <si>
    <t>Participação do capital de 3º</t>
  </si>
  <si>
    <t>Composição de endividamento</t>
  </si>
  <si>
    <t>Grau de endividamento</t>
  </si>
  <si>
    <t>Imobilizado do capital próprio</t>
  </si>
  <si>
    <t>Grau de estoque</t>
  </si>
  <si>
    <t>Giro Contas á receber</t>
  </si>
  <si>
    <t>Retorno sobre investimentos</t>
  </si>
  <si>
    <t>Rentabilidade Capital Próprio</t>
  </si>
  <si>
    <t>Margem Líquida</t>
  </si>
  <si>
    <t>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</si>
</sst>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_-&quot;R$&quot;\ * #,##0.00_-;\-&quot;R$&quot;\ * #,##0.00_-;_-&quot;R$&quot;\ * &quot;-&quot;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Arial Black"/>
      <family val="2"/>
    </font>
    <font>
      <b/>
      <sz val="12"/>
      <color theme="1"/>
      <name val="Arial Black"/>
      <family val="2"/>
    </font>
    <font>
      <b/>
      <sz val="18"/>
      <color theme="0"/>
      <name val="Arial Black"/>
      <family val="2"/>
    </font>
    <font>
      <sz val="48"/>
      <color theme="9" tint="-0.499984740745262"/>
      <name val="Arial Black"/>
      <family val="2"/>
    </font>
  </fonts>
  <fills count="3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5EF0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23270"/>
        <bgColor indexed="64"/>
      </patternFill>
    </fill>
    <fill>
      <patternFill patternType="solid">
        <fgColor rgb="FF9E8DCD"/>
        <bgColor indexed="64"/>
      </patternFill>
    </fill>
    <fill>
      <patternFill patternType="solid">
        <fgColor rgb="FFE1DCF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2" fillId="0" borderId="2" xfId="1" applyBorder="1" applyAlignment="1">
      <alignment horizontal="left" vertical="top"/>
    </xf>
    <xf numFmtId="3" fontId="2" fillId="0" borderId="2" xfId="1" applyNumberFormat="1" applyBorder="1" applyAlignment="1">
      <alignment horizontal="center" vertical="center"/>
    </xf>
    <xf numFmtId="164" fontId="2" fillId="0" borderId="2" xfId="1" applyNumberFormat="1" applyBorder="1" applyAlignment="1">
      <alignment horizontal="center" vertical="center"/>
    </xf>
    <xf numFmtId="0" fontId="2" fillId="0" borderId="2" xfId="1" applyNumberFormat="1" applyBorder="1" applyAlignment="1">
      <alignment horizontal="center" vertical="center"/>
    </xf>
    <xf numFmtId="10" fontId="2" fillId="0" borderId="2" xfId="1" applyNumberFormat="1" applyBorder="1" applyAlignment="1">
      <alignment horizontal="center" vertical="center"/>
    </xf>
    <xf numFmtId="0" fontId="3" fillId="2" borderId="1" xfId="2"/>
    <xf numFmtId="0" fontId="3" fillId="2" borderId="2" xfId="2" applyBorder="1"/>
    <xf numFmtId="44" fontId="3" fillId="2" borderId="2" xfId="2" applyNumberFormat="1" applyBorder="1"/>
    <xf numFmtId="0" fontId="2" fillId="0" borderId="2" xfId="1" applyBorder="1" applyAlignment="1">
      <alignment horizontal="center" vertical="center"/>
    </xf>
    <xf numFmtId="0" fontId="2" fillId="6" borderId="2" xfId="1" applyFill="1" applyBorder="1" applyAlignment="1">
      <alignment horizontal="center" vertical="center"/>
    </xf>
    <xf numFmtId="0" fontId="5" fillId="5" borderId="2" xfId="5" applyFont="1" applyBorder="1" applyAlignment="1">
      <alignment horizontal="left" vertical="top"/>
    </xf>
    <xf numFmtId="0" fontId="5" fillId="0" borderId="0" xfId="0" applyFont="1"/>
    <xf numFmtId="0" fontId="5" fillId="4" borderId="2" xfId="4" applyFont="1" applyBorder="1"/>
    <xf numFmtId="0" fontId="5" fillId="3" borderId="2" xfId="3" applyFont="1" applyBorder="1"/>
    <xf numFmtId="165" fontId="2" fillId="0" borderId="2" xfId="1" applyNumberFormat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1" fontId="2" fillId="0" borderId="2" xfId="1" applyNumberFormat="1" applyBorder="1" applyAlignment="1">
      <alignment horizontal="center" vertical="center"/>
    </xf>
    <xf numFmtId="0" fontId="3" fillId="2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0" applyNumberFormat="1"/>
    <xf numFmtId="0" fontId="2" fillId="8" borderId="2" xfId="1" applyFill="1" applyBorder="1"/>
    <xf numFmtId="0" fontId="2" fillId="8" borderId="2" xfId="1" applyFill="1" applyBorder="1" applyAlignment="1">
      <alignment horizontal="center" vertical="center"/>
    </xf>
    <xf numFmtId="0" fontId="2" fillId="9" borderId="2" xfId="1" applyFill="1" applyBorder="1"/>
    <xf numFmtId="165" fontId="2" fillId="9" borderId="2" xfId="1" applyNumberFormat="1" applyFill="1" applyBorder="1" applyAlignment="1">
      <alignment horizontal="center" vertical="center"/>
    </xf>
    <xf numFmtId="0" fontId="5" fillId="7" borderId="2" xfId="0" applyFont="1" applyFill="1" applyBorder="1"/>
    <xf numFmtId="165" fontId="5" fillId="7" borderId="2" xfId="0" applyNumberFormat="1" applyFont="1" applyFill="1" applyBorder="1"/>
    <xf numFmtId="0" fontId="5" fillId="6" borderId="2" xfId="0" applyFont="1" applyFill="1" applyBorder="1"/>
    <xf numFmtId="0" fontId="5" fillId="10" borderId="2" xfId="0" applyFont="1" applyFill="1" applyBorder="1"/>
    <xf numFmtId="0" fontId="5" fillId="11" borderId="2" xfId="0" applyFont="1" applyFill="1" applyBorder="1"/>
    <xf numFmtId="0" fontId="0" fillId="7" borderId="2" xfId="0" applyFill="1" applyBorder="1"/>
    <xf numFmtId="165" fontId="0" fillId="7" borderId="2" xfId="0" applyNumberFormat="1" applyFill="1" applyBorder="1"/>
    <xf numFmtId="0" fontId="2" fillId="12" borderId="2" xfId="1" applyFill="1" applyBorder="1"/>
    <xf numFmtId="10" fontId="2" fillId="12" borderId="2" xfId="1" applyNumberFormat="1" applyFill="1" applyBorder="1" applyAlignment="1">
      <alignment horizontal="center" vertical="center"/>
    </xf>
    <xf numFmtId="2" fontId="0" fillId="0" borderId="0" xfId="0" applyNumberFormat="1"/>
    <xf numFmtId="0" fontId="7" fillId="19" borderId="2" xfId="0" applyFont="1" applyFill="1" applyBorder="1" applyAlignment="1">
      <alignment horizontal="center" vertical="center"/>
    </xf>
    <xf numFmtId="1" fontId="5" fillId="20" borderId="2" xfId="0" applyNumberFormat="1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5" fillId="20" borderId="2" xfId="0" applyFont="1" applyFill="1" applyBorder="1" applyAlignment="1">
      <alignment horizontal="left" vertical="top"/>
    </xf>
    <xf numFmtId="44" fontId="5" fillId="20" borderId="2" xfId="6" applyFont="1" applyFill="1" applyBorder="1" applyAlignment="1">
      <alignment horizontal="center"/>
    </xf>
    <xf numFmtId="44" fontId="5" fillId="0" borderId="2" xfId="6" applyFont="1" applyBorder="1" applyAlignment="1">
      <alignment horizontal="center"/>
    </xf>
    <xf numFmtId="0" fontId="2" fillId="13" borderId="2" xfId="1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9" fontId="5" fillId="20" borderId="2" xfId="8" applyFont="1" applyFill="1" applyBorder="1" applyAlignment="1">
      <alignment horizontal="center" vertical="center"/>
    </xf>
    <xf numFmtId="0" fontId="2" fillId="10" borderId="2" xfId="1" applyFill="1" applyBorder="1" applyAlignment="1">
      <alignment horizontal="left" vertical="top"/>
    </xf>
    <xf numFmtId="164" fontId="2" fillId="10" borderId="2" xfId="1" applyNumberFormat="1" applyFill="1" applyBorder="1" applyAlignment="1">
      <alignment horizontal="center" vertical="center"/>
    </xf>
    <xf numFmtId="0" fontId="2" fillId="22" borderId="2" xfId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5" fillId="13" borderId="2" xfId="0" applyFont="1" applyFill="1" applyBorder="1"/>
    <xf numFmtId="1" fontId="5" fillId="13" borderId="2" xfId="0" applyNumberFormat="1" applyFont="1" applyFill="1" applyBorder="1"/>
    <xf numFmtId="0" fontId="5" fillId="0" borderId="2" xfId="0" applyFont="1" applyBorder="1"/>
    <xf numFmtId="1" fontId="5" fillId="0" borderId="2" xfId="0" applyNumberFormat="1" applyFont="1" applyBorder="1"/>
    <xf numFmtId="0" fontId="7" fillId="18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20" borderId="2" xfId="0" applyFont="1" applyFill="1" applyBorder="1"/>
    <xf numFmtId="0" fontId="5" fillId="17" borderId="2" xfId="0" applyFont="1" applyFill="1" applyBorder="1"/>
    <xf numFmtId="9" fontId="5" fillId="17" borderId="2" xfId="8" applyFont="1" applyFill="1" applyBorder="1" applyAlignment="1">
      <alignment horizontal="center" vertical="center"/>
    </xf>
    <xf numFmtId="44" fontId="5" fillId="13" borderId="2" xfId="6" applyFont="1" applyFill="1" applyBorder="1" applyAlignment="1"/>
    <xf numFmtId="44" fontId="5" fillId="0" borderId="2" xfId="6" applyFont="1" applyBorder="1" applyAlignment="1"/>
    <xf numFmtId="0" fontId="5" fillId="0" borderId="2" xfId="0" applyFont="1" applyBorder="1" applyAlignment="1">
      <alignment horizontal="left" vertical="center" wrapText="1"/>
    </xf>
    <xf numFmtId="0" fontId="7" fillId="19" borderId="7" xfId="0" applyFont="1" applyFill="1" applyBorder="1" applyAlignment="1">
      <alignment horizontal="center" vertical="center"/>
    </xf>
    <xf numFmtId="165" fontId="5" fillId="20" borderId="2" xfId="0" applyNumberFormat="1" applyFont="1" applyFill="1" applyBorder="1"/>
    <xf numFmtId="165" fontId="5" fillId="0" borderId="2" xfId="0" applyNumberFormat="1" applyFont="1" applyBorder="1"/>
    <xf numFmtId="1" fontId="5" fillId="20" borderId="2" xfId="7" applyNumberFormat="1" applyFont="1" applyFill="1" applyBorder="1"/>
    <xf numFmtId="1" fontId="5" fillId="17" borderId="2" xfId="7" applyNumberFormat="1" applyFont="1" applyFill="1" applyBorder="1"/>
    <xf numFmtId="10" fontId="2" fillId="10" borderId="2" xfId="1" applyNumberFormat="1" applyFill="1" applyBorder="1" applyAlignment="1">
      <alignment horizontal="center" vertical="center"/>
    </xf>
    <xf numFmtId="3" fontId="2" fillId="0" borderId="2" xfId="1" applyNumberFormat="1" applyBorder="1" applyAlignment="1">
      <alignment vertical="center"/>
    </xf>
    <xf numFmtId="164" fontId="2" fillId="10" borderId="2" xfId="1" applyNumberFormat="1" applyFill="1" applyBorder="1" applyAlignment="1">
      <alignment vertical="center"/>
    </xf>
    <xf numFmtId="164" fontId="2" fillId="0" borderId="2" xfId="1" applyNumberFormat="1" applyBorder="1" applyAlignment="1">
      <alignment vertical="center"/>
    </xf>
    <xf numFmtId="10" fontId="2" fillId="0" borderId="2" xfId="1" applyNumberFormat="1" applyBorder="1" applyAlignment="1">
      <alignment vertical="center"/>
    </xf>
    <xf numFmtId="10" fontId="2" fillId="10" borderId="2" xfId="1" applyNumberForma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2" fillId="9" borderId="2" xfId="1" applyNumberFormat="1" applyFill="1" applyBorder="1" applyAlignment="1">
      <alignment horizontal="center" vertical="center"/>
    </xf>
    <xf numFmtId="44" fontId="5" fillId="10" borderId="2" xfId="0" applyNumberFormat="1" applyFont="1" applyFill="1" applyBorder="1"/>
    <xf numFmtId="1" fontId="2" fillId="10" borderId="2" xfId="1" applyNumberFormat="1" applyFill="1" applyBorder="1" applyAlignment="1">
      <alignment horizontal="center" vertical="center"/>
    </xf>
    <xf numFmtId="0" fontId="7" fillId="25" borderId="2" xfId="0" applyFont="1" applyFill="1" applyBorder="1" applyAlignment="1">
      <alignment horizontal="center" vertical="center"/>
    </xf>
    <xf numFmtId="10" fontId="0" fillId="0" borderId="0" xfId="0" applyNumberFormat="1"/>
    <xf numFmtId="0" fontId="5" fillId="26" borderId="2" xfId="0" applyFont="1" applyFill="1" applyBorder="1"/>
    <xf numFmtId="44" fontId="5" fillId="9" borderId="2" xfId="6" applyFont="1" applyFill="1" applyBorder="1"/>
    <xf numFmtId="44" fontId="5" fillId="0" borderId="2" xfId="6" applyFont="1" applyBorder="1"/>
    <xf numFmtId="10" fontId="5" fillId="0" borderId="2" xfId="0" applyNumberFormat="1" applyFont="1" applyBorder="1"/>
    <xf numFmtId="0" fontId="7" fillId="24" borderId="2" xfId="0" applyFont="1" applyFill="1" applyBorder="1" applyAlignment="1">
      <alignment horizontal="center" vertical="center"/>
    </xf>
    <xf numFmtId="0" fontId="7" fillId="25" borderId="6" xfId="0" applyFont="1" applyFill="1" applyBorder="1" applyAlignment="1">
      <alignment horizontal="center" vertical="center"/>
    </xf>
    <xf numFmtId="0" fontId="7" fillId="25" borderId="8" xfId="0" applyFont="1" applyFill="1" applyBorder="1" applyAlignment="1">
      <alignment horizontal="center" vertical="center"/>
    </xf>
    <xf numFmtId="166" fontId="5" fillId="7" borderId="2" xfId="7" applyNumberFormat="1" applyFont="1" applyFill="1" applyBorder="1"/>
    <xf numFmtId="166" fontId="5" fillId="0" borderId="2" xfId="7" applyNumberFormat="1" applyFont="1" applyBorder="1"/>
    <xf numFmtId="9" fontId="5" fillId="7" borderId="2" xfId="8" applyFont="1" applyFill="1" applyBorder="1"/>
    <xf numFmtId="3" fontId="5" fillId="7" borderId="2" xfId="0" applyNumberFormat="1" applyFont="1" applyFill="1" applyBorder="1"/>
    <xf numFmtId="3" fontId="5" fillId="0" borderId="2" xfId="0" applyNumberFormat="1" applyFont="1" applyBorder="1"/>
    <xf numFmtId="9" fontId="5" fillId="0" borderId="2" xfId="0" applyNumberFormat="1" applyFont="1" applyBorder="1"/>
    <xf numFmtId="44" fontId="5" fillId="7" borderId="2" xfId="6" applyFont="1" applyFill="1" applyBorder="1"/>
    <xf numFmtId="0" fontId="5" fillId="0" borderId="2" xfId="0" applyFont="1" applyBorder="1" applyAlignment="1">
      <alignment vertical="center"/>
    </xf>
    <xf numFmtId="0" fontId="7" fillId="29" borderId="2" xfId="0" applyFont="1" applyFill="1" applyBorder="1" applyAlignment="1">
      <alignment horizontal="center" vertical="center"/>
    </xf>
    <xf numFmtId="0" fontId="5" fillId="8" borderId="2" xfId="0" applyFont="1" applyFill="1" applyBorder="1"/>
    <xf numFmtId="2" fontId="5" fillId="0" borderId="2" xfId="0" applyNumberFormat="1" applyFont="1" applyBorder="1"/>
    <xf numFmtId="2" fontId="5" fillId="9" borderId="2" xfId="0" applyNumberFormat="1" applyFont="1" applyFill="1" applyBorder="1"/>
    <xf numFmtId="0" fontId="5" fillId="28" borderId="7" xfId="0" applyFont="1" applyFill="1" applyBorder="1" applyAlignment="1">
      <alignment horizontal="center" vertical="center"/>
    </xf>
    <xf numFmtId="0" fontId="5" fillId="30" borderId="2" xfId="0" applyFont="1" applyFill="1" applyBorder="1"/>
    <xf numFmtId="44" fontId="5" fillId="30" borderId="2" xfId="6" applyFont="1" applyFill="1" applyBorder="1"/>
    <xf numFmtId="10" fontId="5" fillId="30" borderId="2" xfId="0" applyNumberFormat="1" applyFont="1" applyFill="1" applyBorder="1"/>
    <xf numFmtId="44" fontId="5" fillId="30" borderId="2" xfId="0" applyNumberFormat="1" applyFont="1" applyFill="1" applyBorder="1"/>
    <xf numFmtId="44" fontId="5" fillId="0" borderId="2" xfId="0" applyNumberFormat="1" applyFont="1" applyBorder="1"/>
    <xf numFmtId="2" fontId="5" fillId="30" borderId="2" xfId="0" applyNumberFormat="1" applyFont="1" applyFill="1" applyBorder="1"/>
    <xf numFmtId="10" fontId="5" fillId="9" borderId="2" xfId="0" applyNumberFormat="1" applyFont="1" applyFill="1" applyBorder="1"/>
    <xf numFmtId="44" fontId="5" fillId="9" borderId="2" xfId="0" applyNumberFormat="1" applyFont="1" applyFill="1" applyBorder="1"/>
    <xf numFmtId="0" fontId="5" fillId="5" borderId="2" xfId="5" applyNumberFormat="1" applyFont="1" applyBorder="1" applyAlignment="1">
      <alignment horizontal="center"/>
    </xf>
    <xf numFmtId="44" fontId="5" fillId="5" borderId="2" xfId="5" applyNumberFormat="1" applyFont="1" applyBorder="1"/>
    <xf numFmtId="164" fontId="5" fillId="4" borderId="2" xfId="4" applyNumberFormat="1" applyFont="1" applyBorder="1"/>
    <xf numFmtId="164" fontId="5" fillId="0" borderId="0" xfId="0" applyNumberFormat="1" applyFont="1"/>
    <xf numFmtId="44" fontId="5" fillId="3" borderId="2" xfId="3" applyNumberFormat="1" applyFont="1" applyBorder="1"/>
    <xf numFmtId="0" fontId="9" fillId="27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/>
    </xf>
    <xf numFmtId="0" fontId="11" fillId="15" borderId="2" xfId="0" applyFont="1" applyFill="1" applyBorder="1" applyAlignment="1">
      <alignment horizontal="center" vertical="center"/>
    </xf>
    <xf numFmtId="0" fontId="10" fillId="23" borderId="3" xfId="0" applyFont="1" applyFill="1" applyBorder="1" applyAlignment="1">
      <alignment horizontal="center" vertical="center"/>
    </xf>
    <xf numFmtId="0" fontId="10" fillId="23" borderId="4" xfId="0" applyFont="1" applyFill="1" applyBorder="1" applyAlignment="1">
      <alignment horizontal="center" vertical="center"/>
    </xf>
    <xf numFmtId="0" fontId="10" fillId="23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7" fillId="18" borderId="2" xfId="0" applyFont="1" applyFill="1" applyBorder="1" applyAlignment="1">
      <alignment horizontal="center" vertical="center"/>
    </xf>
    <xf numFmtId="0" fontId="10" fillId="16" borderId="3" xfId="0" applyFont="1" applyFill="1" applyBorder="1" applyAlignment="1">
      <alignment horizontal="center" vertical="center"/>
    </xf>
    <xf numFmtId="0" fontId="10" fillId="16" borderId="4" xfId="0" applyFont="1" applyFill="1" applyBorder="1" applyAlignment="1">
      <alignment horizontal="center" vertical="center"/>
    </xf>
    <xf numFmtId="0" fontId="10" fillId="16" borderId="5" xfId="0" applyFont="1" applyFill="1" applyBorder="1" applyAlignment="1">
      <alignment horizontal="center" vertical="center"/>
    </xf>
    <xf numFmtId="0" fontId="12" fillId="21" borderId="3" xfId="0" applyFont="1" applyFill="1" applyBorder="1" applyAlignment="1">
      <alignment horizontal="center" vertical="center"/>
    </xf>
    <xf numFmtId="0" fontId="12" fillId="21" borderId="4" xfId="0" applyFont="1" applyFill="1" applyBorder="1" applyAlignment="1">
      <alignment horizontal="center" vertical="center"/>
    </xf>
    <xf numFmtId="0" fontId="12" fillId="21" borderId="5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5" fillId="26" borderId="2" xfId="0" applyFont="1" applyFill="1" applyBorder="1" applyAlignment="1">
      <alignment horizontal="center" vertical="center"/>
    </xf>
    <xf numFmtId="0" fontId="5" fillId="32" borderId="7" xfId="0" applyFont="1" applyFill="1" applyBorder="1" applyAlignment="1">
      <alignment horizontal="center" vertical="center"/>
    </xf>
    <xf numFmtId="0" fontId="5" fillId="33" borderId="2" xfId="0" applyFont="1" applyFill="1" applyBorder="1" applyAlignment="1">
      <alignment horizontal="center" vertical="center"/>
    </xf>
    <xf numFmtId="0" fontId="5" fillId="32" borderId="2" xfId="0" applyFont="1" applyFill="1" applyBorder="1" applyAlignment="1">
      <alignment horizontal="center"/>
    </xf>
    <xf numFmtId="44" fontId="5" fillId="32" borderId="2" xfId="6" applyFont="1" applyFill="1" applyBorder="1" applyAlignment="1">
      <alignment horizontal="center"/>
    </xf>
    <xf numFmtId="2" fontId="5" fillId="32" borderId="2" xfId="0" applyNumberFormat="1" applyFont="1" applyFill="1" applyBorder="1" applyAlignment="1">
      <alignment horizontal="center"/>
    </xf>
    <xf numFmtId="0" fontId="5" fillId="33" borderId="2" xfId="0" applyFont="1" applyFill="1" applyBorder="1" applyAlignment="1">
      <alignment horizontal="center"/>
    </xf>
    <xf numFmtId="0" fontId="0" fillId="17" borderId="2" xfId="0" applyFont="1" applyFill="1" applyBorder="1"/>
    <xf numFmtId="0" fontId="0" fillId="33" borderId="2" xfId="0" applyFont="1" applyFill="1" applyBorder="1"/>
    <xf numFmtId="0" fontId="5" fillId="17" borderId="2" xfId="0" applyFont="1" applyFill="1" applyBorder="1" applyAlignment="1">
      <alignment horizontal="center" vertical="center"/>
    </xf>
    <xf numFmtId="0" fontId="0" fillId="17" borderId="2" xfId="0" applyFont="1" applyFill="1" applyBorder="1" applyAlignment="1">
      <alignment horizontal="left"/>
    </xf>
    <xf numFmtId="0" fontId="5" fillId="17" borderId="2" xfId="0" applyFont="1" applyFill="1" applyBorder="1" applyAlignment="1">
      <alignment horizontal="center"/>
    </xf>
    <xf numFmtId="0" fontId="12" fillId="31" borderId="9" xfId="0" applyFont="1" applyFill="1" applyBorder="1" applyAlignment="1">
      <alignment horizontal="center" vertical="center"/>
    </xf>
    <xf numFmtId="0" fontId="12" fillId="31" borderId="0" xfId="0" applyFont="1" applyFill="1" applyBorder="1" applyAlignment="1">
      <alignment horizontal="center" vertical="center"/>
    </xf>
    <xf numFmtId="0" fontId="0" fillId="33" borderId="2" xfId="0" applyFont="1" applyFill="1" applyBorder="1" applyAlignment="1">
      <alignment horizontal="center" vertical="center"/>
    </xf>
    <xf numFmtId="0" fontId="0" fillId="33" borderId="2" xfId="0" applyFont="1" applyFill="1" applyBorder="1" applyAlignment="1">
      <alignment horizontal="left" vertical="center"/>
    </xf>
    <xf numFmtId="0" fontId="0" fillId="33" borderId="2" xfId="0" applyFont="1" applyFill="1" applyBorder="1" applyAlignment="1">
      <alignment horizontal="left"/>
    </xf>
    <xf numFmtId="0" fontId="5" fillId="17" borderId="2" xfId="0" applyFont="1" applyFill="1" applyBorder="1" applyAlignment="1">
      <alignment horizontal="left" vertical="center"/>
    </xf>
    <xf numFmtId="0" fontId="5" fillId="33" borderId="2" xfId="0" applyFont="1" applyFill="1" applyBorder="1" applyAlignment="1">
      <alignment horizontal="left" vertical="center"/>
    </xf>
    <xf numFmtId="0" fontId="5" fillId="32" borderId="2" xfId="0" applyFont="1" applyFill="1" applyBorder="1" applyAlignment="1">
      <alignment horizontal="center" vertical="center"/>
    </xf>
    <xf numFmtId="1" fontId="5" fillId="33" borderId="2" xfId="6" applyNumberFormat="1" applyFont="1" applyFill="1" applyBorder="1"/>
    <xf numFmtId="1" fontId="1" fillId="17" borderId="2" xfId="6" applyNumberFormat="1" applyFont="1" applyFill="1" applyBorder="1"/>
    <xf numFmtId="1" fontId="1" fillId="33" borderId="2" xfId="6" applyNumberFormat="1" applyFont="1" applyFill="1" applyBorder="1"/>
    <xf numFmtId="0" fontId="0" fillId="33" borderId="0" xfId="0" applyFill="1"/>
    <xf numFmtId="0" fontId="5" fillId="33" borderId="2" xfId="0" applyFont="1" applyFill="1" applyBorder="1" applyAlignment="1">
      <alignment horizontal="left"/>
    </xf>
    <xf numFmtId="1" fontId="0" fillId="17" borderId="2" xfId="0" applyNumberFormat="1" applyFont="1" applyFill="1" applyBorder="1"/>
    <xf numFmtId="1" fontId="0" fillId="33" borderId="2" xfId="0" applyNumberFormat="1" applyFont="1" applyFill="1" applyBorder="1"/>
    <xf numFmtId="1" fontId="5" fillId="17" borderId="2" xfId="6" applyNumberFormat="1" applyFont="1" applyFill="1" applyBorder="1" applyAlignment="1">
      <alignment horizontal="center"/>
    </xf>
    <xf numFmtId="1" fontId="5" fillId="33" borderId="2" xfId="6" applyNumberFormat="1" applyFont="1" applyFill="1" applyBorder="1" applyAlignment="1">
      <alignment horizontal="center"/>
    </xf>
    <xf numFmtId="1" fontId="5" fillId="33" borderId="2" xfId="0" applyNumberFormat="1" applyFont="1" applyFill="1" applyBorder="1" applyAlignment="1">
      <alignment horizontal="center"/>
    </xf>
    <xf numFmtId="2" fontId="1" fillId="33" borderId="2" xfId="6" applyNumberFormat="1" applyFont="1" applyFill="1" applyBorder="1"/>
    <xf numFmtId="2" fontId="1" fillId="17" borderId="2" xfId="6" applyNumberFormat="1" applyFont="1" applyFill="1" applyBorder="1"/>
    <xf numFmtId="0" fontId="0" fillId="33" borderId="2" xfId="0" applyFill="1" applyBorder="1"/>
    <xf numFmtId="1" fontId="0" fillId="33" borderId="2" xfId="0" applyNumberFormat="1" applyFill="1" applyBorder="1"/>
  </cellXfs>
  <cellStyles count="9">
    <cellStyle name="20% - Ênfase2" xfId="3" builtinId="34"/>
    <cellStyle name="20% - Ênfase4" xfId="4" builtinId="42"/>
    <cellStyle name="20% - Ênfase6" xfId="5" builtinId="50"/>
    <cellStyle name="Moeda" xfId="6" builtinId="4"/>
    <cellStyle name="Moeda [0]" xfId="7" builtinId="7"/>
    <cellStyle name="Normal" xfId="0" builtinId="0"/>
    <cellStyle name="Porcentagem" xfId="8" builtinId="5"/>
    <cellStyle name="Saída" xfId="2" builtinId="21"/>
    <cellStyle name="Título 4" xfId="1" builtinId="19"/>
  </cellStyles>
  <dxfs count="0"/>
  <tableStyles count="0" defaultTableStyle="TableStyleMedium2" defaultPivotStyle="PivotStyleLight16"/>
  <colors>
    <mruColors>
      <color rgb="FFE1DCF0"/>
      <color rgb="FF9E8DCD"/>
      <color rgb="FF423270"/>
      <color rgb="FFFFFFCC"/>
      <color rgb="FFFFFF66"/>
      <color rgb="FFF5EF03"/>
      <color rgb="FFFDFD4D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4A1B-E94D-426E-B8D6-FD34E41B3A12}">
  <dimension ref="B1:XFD1048574"/>
  <sheetViews>
    <sheetView showGridLines="0" tabSelected="1" workbookViewId="0">
      <selection activeCell="K53" sqref="K53"/>
    </sheetView>
  </sheetViews>
  <sheetFormatPr defaultRowHeight="15" x14ac:dyDescent="0.25"/>
  <cols>
    <col min="2" max="2" width="30" customWidth="1"/>
    <col min="3" max="3" width="15.5703125" customWidth="1"/>
    <col min="4" max="4" width="18.5703125" customWidth="1"/>
    <col min="5" max="5" width="16.140625" customWidth="1"/>
    <col min="6" max="6" width="28.85546875" bestFit="1" customWidth="1"/>
    <col min="7" max="7" width="18.85546875" bestFit="1" customWidth="1"/>
    <col min="8" max="8" width="17.42578125" customWidth="1"/>
    <col min="9" max="9" width="5.7109375" customWidth="1"/>
    <col min="10" max="10" width="23.42578125" bestFit="1" customWidth="1"/>
    <col min="11" max="11" width="16.85546875" bestFit="1" customWidth="1"/>
    <col min="12" max="12" width="7.5703125" customWidth="1"/>
    <col min="13" max="13" width="37.28515625" bestFit="1" customWidth="1"/>
    <col min="14" max="14" width="15.7109375" customWidth="1"/>
  </cols>
  <sheetData>
    <row r="1" spans="2:14" ht="18" customHeight="1" x14ac:dyDescent="0.25"/>
    <row r="2" spans="2:14" s="19" customFormat="1" ht="67.5" customHeight="1" x14ac:dyDescent="0.25">
      <c r="B2" s="114" t="s">
        <v>49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2:14" s="19" customFormat="1" ht="3.75" customHeight="1" x14ac:dyDescent="0.25"/>
    <row r="4" spans="2:14" ht="25.5" customHeight="1" x14ac:dyDescent="0.4">
      <c r="B4" s="115" t="s">
        <v>48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</row>
    <row r="5" spans="2:14" ht="15.75" customHeight="1" x14ac:dyDescent="0.25"/>
    <row r="6" spans="2:14" ht="33.75" customHeight="1" x14ac:dyDescent="0.25">
      <c r="B6" s="116" t="s">
        <v>59</v>
      </c>
      <c r="C6" s="116"/>
      <c r="D6" s="116"/>
      <c r="E6" s="116"/>
      <c r="F6" s="116"/>
      <c r="G6" s="116"/>
      <c r="H6" s="116"/>
      <c r="J6" s="117" t="s">
        <v>97</v>
      </c>
      <c r="K6" s="118"/>
      <c r="L6" s="118"/>
      <c r="M6" s="118"/>
      <c r="N6" s="119"/>
    </row>
    <row r="7" spans="2:14" ht="24.75" customHeight="1" x14ac:dyDescent="0.25">
      <c r="B7" s="121" t="s">
        <v>38</v>
      </c>
      <c r="C7" s="121"/>
      <c r="D7" s="121"/>
      <c r="E7" s="53" t="s">
        <v>37</v>
      </c>
      <c r="G7" s="48" t="s">
        <v>62</v>
      </c>
      <c r="H7" s="48" t="s">
        <v>73</v>
      </c>
      <c r="J7" s="78" t="s">
        <v>38</v>
      </c>
      <c r="K7" s="78" t="s">
        <v>37</v>
      </c>
      <c r="M7" s="86" t="s">
        <v>72</v>
      </c>
      <c r="N7" s="85" t="s">
        <v>17</v>
      </c>
    </row>
    <row r="8" spans="2:14" x14ac:dyDescent="0.25">
      <c r="B8" s="128" t="s">
        <v>50</v>
      </c>
      <c r="C8" s="128"/>
      <c r="D8" s="128"/>
      <c r="E8" s="59">
        <v>2615000</v>
      </c>
      <c r="G8" s="49" t="s">
        <v>65</v>
      </c>
      <c r="H8" s="50">
        <f>'Determinar PME - PMR - PMP'!D11</f>
        <v>129.87481510877015</v>
      </c>
      <c r="J8" s="26" t="s">
        <v>96</v>
      </c>
      <c r="K8" s="87">
        <v>50</v>
      </c>
      <c r="M8" s="87" t="s">
        <v>110</v>
      </c>
      <c r="N8" s="93">
        <f>'MC e PE'!D9</f>
        <v>20</v>
      </c>
    </row>
    <row r="9" spans="2:14" x14ac:dyDescent="0.25">
      <c r="B9" s="120" t="s">
        <v>51</v>
      </c>
      <c r="C9" s="120"/>
      <c r="D9" s="120"/>
      <c r="E9" s="60">
        <v>1385950</v>
      </c>
      <c r="G9" s="51"/>
      <c r="H9" s="51"/>
      <c r="J9" s="51" t="s">
        <v>81</v>
      </c>
      <c r="K9" s="88">
        <v>30</v>
      </c>
      <c r="M9" s="88" t="s">
        <v>115</v>
      </c>
      <c r="N9" s="91">
        <f>'MC e PE'!D10</f>
        <v>104010</v>
      </c>
    </row>
    <row r="10" spans="2:14" x14ac:dyDescent="0.25">
      <c r="B10" s="128" t="s">
        <v>21</v>
      </c>
      <c r="C10" s="128"/>
      <c r="D10" s="128"/>
      <c r="E10" s="59">
        <v>500000</v>
      </c>
      <c r="G10" s="49" t="s">
        <v>64</v>
      </c>
      <c r="H10" s="50">
        <f>'Determinar PME - PMR - PMP'!D12</f>
        <v>44.999586998087956</v>
      </c>
      <c r="J10" s="26" t="s">
        <v>77</v>
      </c>
      <c r="K10" s="87">
        <v>2080200</v>
      </c>
    </row>
    <row r="11" spans="2:14" x14ac:dyDescent="0.25">
      <c r="B11" s="120" t="s">
        <v>52</v>
      </c>
      <c r="C11" s="120"/>
      <c r="D11" s="120"/>
      <c r="E11" s="60">
        <v>326872</v>
      </c>
      <c r="G11" s="51"/>
      <c r="H11" s="51"/>
      <c r="J11" s="57" t="s">
        <v>82</v>
      </c>
      <c r="K11" s="88">
        <v>0</v>
      </c>
      <c r="M11" s="87" t="s">
        <v>92</v>
      </c>
      <c r="N11" s="90">
        <f>'MC e PE'!G8</f>
        <v>5200500</v>
      </c>
    </row>
    <row r="12" spans="2:14" x14ac:dyDescent="0.25">
      <c r="B12" s="128" t="s">
        <v>23</v>
      </c>
      <c r="C12" s="128"/>
      <c r="D12" s="128"/>
      <c r="E12" s="59">
        <v>450000</v>
      </c>
      <c r="G12" s="49" t="s">
        <v>63</v>
      </c>
      <c r="H12" s="50">
        <f>'Determinar PME - PMR - PMP'!D13</f>
        <v>40.358508304606708</v>
      </c>
      <c r="J12" s="26" t="s">
        <v>83</v>
      </c>
      <c r="K12" s="89">
        <v>0.2</v>
      </c>
      <c r="M12" s="88" t="s">
        <v>93</v>
      </c>
      <c r="N12" s="91">
        <f>'MC e PE'!H8</f>
        <v>208020</v>
      </c>
    </row>
    <row r="13" spans="2:14" x14ac:dyDescent="0.25">
      <c r="B13" s="120" t="s">
        <v>53</v>
      </c>
      <c r="C13" s="120"/>
      <c r="D13" s="120"/>
      <c r="E13" s="60">
        <v>160980</v>
      </c>
      <c r="G13" s="51" t="s">
        <v>17</v>
      </c>
      <c r="H13" s="52">
        <f>'Determinar PME - PMR - PMP'!D14</f>
        <v>134.51589380225138</v>
      </c>
    </row>
    <row r="14" spans="2:14" ht="12.75" customHeight="1" x14ac:dyDescent="0.25">
      <c r="B14" s="129"/>
      <c r="C14" s="129"/>
      <c r="D14" s="129"/>
      <c r="E14" s="130"/>
      <c r="F14" s="130"/>
      <c r="G14" s="130"/>
      <c r="H14" s="130"/>
      <c r="I14" s="130"/>
    </row>
    <row r="15" spans="2:14" ht="28.5" customHeight="1" x14ac:dyDescent="0.25">
      <c r="B15" s="122" t="s">
        <v>58</v>
      </c>
      <c r="C15" s="123"/>
      <c r="D15" s="123"/>
      <c r="E15" s="123"/>
      <c r="F15" s="123"/>
      <c r="G15" s="123"/>
      <c r="H15" s="124"/>
      <c r="J15" s="113" t="s">
        <v>98</v>
      </c>
      <c r="K15" s="113"/>
      <c r="L15" s="113"/>
      <c r="M15" s="113"/>
      <c r="N15" s="113"/>
    </row>
    <row r="16" spans="2:14" ht="27.75" customHeight="1" x14ac:dyDescent="0.25">
      <c r="B16" s="62" t="s">
        <v>38</v>
      </c>
      <c r="C16" s="62" t="s">
        <v>37</v>
      </c>
      <c r="D16" s="62" t="s">
        <v>56</v>
      </c>
      <c r="E16" s="62" t="s">
        <v>57</v>
      </c>
      <c r="G16" s="36" t="s">
        <v>72</v>
      </c>
      <c r="H16" s="36" t="s">
        <v>17</v>
      </c>
      <c r="J16" s="99" t="s">
        <v>38</v>
      </c>
      <c r="K16" s="99" t="s">
        <v>37</v>
      </c>
      <c r="L16" s="99" t="s">
        <v>108</v>
      </c>
      <c r="M16" s="99" t="s">
        <v>72</v>
      </c>
      <c r="N16" s="99" t="s">
        <v>17</v>
      </c>
    </row>
    <row r="17" spans="2:14" x14ac:dyDescent="0.25">
      <c r="B17" s="39" t="s">
        <v>54</v>
      </c>
      <c r="C17" s="40">
        <v>9000000</v>
      </c>
      <c r="D17" s="37">
        <v>45</v>
      </c>
      <c r="E17" s="37">
        <v>0</v>
      </c>
      <c r="G17" s="39" t="s">
        <v>67</v>
      </c>
      <c r="H17" s="65">
        <f>'Ciclo de Conversão de Caixa'!C14</f>
        <v>105</v>
      </c>
      <c r="J17" s="100" t="s">
        <v>84</v>
      </c>
      <c r="K17" s="101">
        <v>498150</v>
      </c>
      <c r="L17" s="105">
        <f>GAO!D3</f>
        <v>33.21</v>
      </c>
      <c r="M17" s="100" t="s">
        <v>110</v>
      </c>
      <c r="N17" s="103">
        <f>GAO!C11</f>
        <v>263150</v>
      </c>
    </row>
    <row r="18" spans="2:14" x14ac:dyDescent="0.25">
      <c r="B18" s="61" t="s">
        <v>35</v>
      </c>
      <c r="C18" s="41">
        <v>6000000</v>
      </c>
      <c r="D18" s="38">
        <v>60</v>
      </c>
      <c r="E18" s="38">
        <v>35</v>
      </c>
      <c r="G18" s="61" t="s">
        <v>68</v>
      </c>
      <c r="H18" s="66">
        <f>'Ciclo de Conversão de Caixa'!C20</f>
        <v>70</v>
      </c>
      <c r="J18" s="51" t="s">
        <v>81</v>
      </c>
      <c r="K18" s="82">
        <v>235000</v>
      </c>
      <c r="L18" s="97">
        <f>GAO!D4</f>
        <v>15.666666666666666</v>
      </c>
      <c r="M18" s="51" t="s">
        <v>111</v>
      </c>
      <c r="N18" s="104">
        <f>GAO!C12</f>
        <v>9320.919627588828</v>
      </c>
    </row>
    <row r="19" spans="2:14" x14ac:dyDescent="0.25">
      <c r="B19" s="39" t="s">
        <v>55</v>
      </c>
      <c r="C19" s="40">
        <v>5000000</v>
      </c>
      <c r="D19" s="37">
        <v>35</v>
      </c>
      <c r="E19" s="37">
        <v>0</v>
      </c>
      <c r="G19" s="39" t="s">
        <v>66</v>
      </c>
      <c r="H19" s="63">
        <f>'Ciclo de Conversão de Caixa'!D20</f>
        <v>1638888.888888889</v>
      </c>
      <c r="J19" s="100" t="s">
        <v>94</v>
      </c>
      <c r="K19" s="101">
        <f>K17-K18</f>
        <v>263150</v>
      </c>
      <c r="L19" s="105">
        <f>GAO!D5</f>
        <v>17.543333333333333</v>
      </c>
      <c r="M19" s="100" t="s">
        <v>112</v>
      </c>
      <c r="N19" s="103">
        <f>GAO!C13</f>
        <v>309547.74083222501</v>
      </c>
    </row>
    <row r="20" spans="2:14" x14ac:dyDescent="0.25">
      <c r="B20" s="51" t="s">
        <v>69</v>
      </c>
      <c r="C20" s="58">
        <v>0</v>
      </c>
      <c r="G20" s="51" t="s">
        <v>40</v>
      </c>
      <c r="H20" s="64">
        <f>'Ciclo de Conversão de Caixa'!E20</f>
        <v>1222222.2222222225</v>
      </c>
      <c r="J20" s="51" t="s">
        <v>77</v>
      </c>
      <c r="K20" s="82">
        <v>163520</v>
      </c>
      <c r="L20" s="97">
        <f>GAO!D6</f>
        <v>10.901333333333334</v>
      </c>
      <c r="M20" s="51" t="s">
        <v>113</v>
      </c>
      <c r="N20" s="104">
        <f>GAO!C14</f>
        <v>2.6412727090233865</v>
      </c>
    </row>
    <row r="21" spans="2:14" x14ac:dyDescent="0.25">
      <c r="B21" s="56" t="s">
        <v>70</v>
      </c>
      <c r="C21" s="44">
        <v>0</v>
      </c>
      <c r="G21" s="56" t="s">
        <v>43</v>
      </c>
      <c r="H21" s="63">
        <f>'Ciclo de Conversão de Caixa'!F20</f>
        <v>416666.66666666651</v>
      </c>
      <c r="J21" s="100" t="s">
        <v>99</v>
      </c>
      <c r="K21" s="101">
        <f>K19-K20</f>
        <v>99630</v>
      </c>
      <c r="L21" s="105">
        <f>GAO!D7</f>
        <v>6.6420000000000003</v>
      </c>
      <c r="M21" s="100" t="s">
        <v>114</v>
      </c>
      <c r="N21" s="103">
        <f>GAO!C15</f>
        <v>39.619090635350801</v>
      </c>
    </row>
    <row r="22" spans="2:14" x14ac:dyDescent="0.25">
      <c r="B22" s="51" t="s">
        <v>71</v>
      </c>
      <c r="C22" s="58">
        <v>0.2</v>
      </c>
      <c r="G22" s="51" t="s">
        <v>74</v>
      </c>
      <c r="H22" s="64">
        <f>'Ciclo de Conversão de Caixa'!F21</f>
        <v>83333.333333333314</v>
      </c>
      <c r="J22" s="51" t="s">
        <v>101</v>
      </c>
      <c r="K22" s="91">
        <v>15000</v>
      </c>
    </row>
    <row r="23" spans="2:14" x14ac:dyDescent="0.25">
      <c r="J23" s="100" t="s">
        <v>109</v>
      </c>
      <c r="K23" s="102">
        <v>0.15</v>
      </c>
    </row>
    <row r="24" spans="2:14" ht="23.25" customHeight="1" x14ac:dyDescent="0.25"/>
    <row r="25" spans="2:14" ht="27" x14ac:dyDescent="0.25">
      <c r="B25" s="125" t="s">
        <v>60</v>
      </c>
      <c r="C25" s="126"/>
      <c r="D25" s="126"/>
      <c r="E25" s="126"/>
      <c r="F25" s="126"/>
      <c r="G25" s="126"/>
      <c r="H25" s="127"/>
    </row>
    <row r="26" spans="2:14" x14ac:dyDescent="0.25">
      <c r="B26" s="47" t="s">
        <v>38</v>
      </c>
      <c r="C26" s="47" t="s">
        <v>0</v>
      </c>
      <c r="D26" s="47" t="s">
        <v>1</v>
      </c>
      <c r="E26" s="47" t="s">
        <v>2</v>
      </c>
      <c r="F26" s="47" t="s">
        <v>3</v>
      </c>
      <c r="G26" s="47" t="s">
        <v>4</v>
      </c>
      <c r="H26" s="47" t="s">
        <v>5</v>
      </c>
    </row>
    <row r="27" spans="2:14" x14ac:dyDescent="0.25">
      <c r="B27" s="1" t="s">
        <v>61</v>
      </c>
      <c r="C27" s="2">
        <v>20000</v>
      </c>
      <c r="D27" s="2">
        <v>20500</v>
      </c>
      <c r="E27" s="2">
        <v>22500</v>
      </c>
      <c r="F27" s="2">
        <v>28000</v>
      </c>
      <c r="G27" s="2">
        <v>18000</v>
      </c>
      <c r="H27" s="68"/>
    </row>
    <row r="28" spans="2:14" x14ac:dyDescent="0.25">
      <c r="B28" s="45" t="s">
        <v>16</v>
      </c>
      <c r="C28" s="46">
        <v>50</v>
      </c>
      <c r="D28" s="46">
        <v>50</v>
      </c>
      <c r="E28" s="46">
        <v>50</v>
      </c>
      <c r="F28" s="46">
        <v>50</v>
      </c>
      <c r="G28" s="46">
        <v>40</v>
      </c>
      <c r="H28" s="69"/>
    </row>
    <row r="29" spans="2:14" x14ac:dyDescent="0.25">
      <c r="B29" s="1" t="s">
        <v>9</v>
      </c>
      <c r="C29" s="3">
        <v>30</v>
      </c>
      <c r="D29" s="3">
        <v>30</v>
      </c>
      <c r="E29" s="3">
        <v>30</v>
      </c>
      <c r="F29" s="3">
        <v>30</v>
      </c>
      <c r="G29" s="3">
        <v>30</v>
      </c>
      <c r="H29" s="70"/>
    </row>
    <row r="30" spans="2:14" x14ac:dyDescent="0.25">
      <c r="B30" s="45" t="s">
        <v>14</v>
      </c>
      <c r="C30" s="77">
        <v>30</v>
      </c>
      <c r="D30" s="77">
        <v>30</v>
      </c>
      <c r="E30" s="77">
        <v>50</v>
      </c>
      <c r="F30" s="77">
        <v>90</v>
      </c>
      <c r="G30" s="77">
        <v>30</v>
      </c>
      <c r="H30" s="77"/>
    </row>
    <row r="31" spans="2:14" ht="15.75" customHeight="1" x14ac:dyDescent="0.25">
      <c r="B31" s="1" t="s">
        <v>7</v>
      </c>
      <c r="C31" s="5">
        <v>0.01</v>
      </c>
      <c r="D31" s="5">
        <v>1.4999999999999999E-2</v>
      </c>
      <c r="E31" s="5">
        <v>2.5000000000000001E-2</v>
      </c>
      <c r="F31" s="5">
        <v>0.115</v>
      </c>
      <c r="G31" s="5">
        <v>0.01</v>
      </c>
      <c r="H31" s="71"/>
    </row>
    <row r="32" spans="2:14" x14ac:dyDescent="0.25">
      <c r="B32" s="45" t="s">
        <v>8</v>
      </c>
      <c r="C32" s="67">
        <v>0.2</v>
      </c>
      <c r="D32" s="67">
        <v>0.2</v>
      </c>
      <c r="E32" s="67">
        <v>0.2</v>
      </c>
      <c r="F32" s="67">
        <v>0.2</v>
      </c>
      <c r="G32" s="67">
        <v>0.2</v>
      </c>
      <c r="H32" s="72"/>
    </row>
    <row r="33" spans="2:8" ht="4.5" customHeight="1" x14ac:dyDescent="0.25"/>
    <row r="34" spans="2:8" x14ac:dyDescent="0.25">
      <c r="B34" s="29" t="s">
        <v>17</v>
      </c>
      <c r="C34" s="76">
        <v>0</v>
      </c>
      <c r="D34" s="76">
        <f>'Análise Marginal'!D17</f>
        <v>4375</v>
      </c>
      <c r="E34" s="76">
        <f>'Análise Marginal'!E17</f>
        <v>23125</v>
      </c>
      <c r="F34" s="76">
        <f>'Análise Marginal'!F17</f>
        <v>-23000</v>
      </c>
      <c r="G34" s="76">
        <f>'Análise Marginal'!G17</f>
        <v>-16200</v>
      </c>
      <c r="H34" s="76" t="e">
        <f>'Análise Marginal'!H17</f>
        <v>#DIV/0!</v>
      </c>
    </row>
    <row r="35" spans="2:8" x14ac:dyDescent="0.25">
      <c r="B35" s="73" t="s">
        <v>36</v>
      </c>
      <c r="C35" s="74" t="s">
        <v>15</v>
      </c>
      <c r="D35" s="73" t="str">
        <f>IF(D34&lt;0,"NEGATIVO",IF(D34&gt;=1,"POSITIVO"))</f>
        <v>POSITIVO</v>
      </c>
      <c r="E35" s="73" t="str">
        <f t="shared" ref="E35:H35" si="0">IF(E34&lt;0,"NEGATIVO",IF(E34&gt;=1,"POSITIVO"))</f>
        <v>POSITIVO</v>
      </c>
      <c r="F35" s="73" t="str">
        <f t="shared" si="0"/>
        <v>NEGATIVO</v>
      </c>
      <c r="G35" s="73" t="str">
        <f t="shared" si="0"/>
        <v>NEGATIVO</v>
      </c>
      <c r="H35" s="73" t="e">
        <f t="shared" si="0"/>
        <v>#DIV/0!</v>
      </c>
    </row>
    <row r="38" spans="2:8" ht="27" x14ac:dyDescent="0.25">
      <c r="B38" s="143" t="s">
        <v>153</v>
      </c>
      <c r="C38" s="144"/>
      <c r="D38" s="144"/>
      <c r="E38" s="144"/>
      <c r="F38" s="144"/>
      <c r="G38" s="144"/>
      <c r="H38" s="144"/>
    </row>
    <row r="39" spans="2:8" x14ac:dyDescent="0.25">
      <c r="B39" s="132" t="s">
        <v>116</v>
      </c>
      <c r="C39" s="132" t="s">
        <v>119</v>
      </c>
      <c r="D39" s="132" t="s">
        <v>120</v>
      </c>
      <c r="F39" s="150" t="s">
        <v>78</v>
      </c>
      <c r="G39" s="150" t="s">
        <v>119</v>
      </c>
      <c r="H39" s="150" t="s">
        <v>120</v>
      </c>
    </row>
    <row r="40" spans="2:8" x14ac:dyDescent="0.25">
      <c r="B40" s="133" t="s">
        <v>121</v>
      </c>
      <c r="C40" s="159">
        <f>SUM(C41:C44)</f>
        <v>1004</v>
      </c>
      <c r="D40" s="159">
        <f>SUM(D41:D44)</f>
        <v>1223</v>
      </c>
      <c r="F40" s="146" t="s">
        <v>154</v>
      </c>
      <c r="G40" s="161">
        <f>C40/C56</f>
        <v>2.0786749482401654</v>
      </c>
      <c r="H40" s="161">
        <f>D40/D56</f>
        <v>1.9725806451612904</v>
      </c>
    </row>
    <row r="41" spans="2:8" x14ac:dyDescent="0.25">
      <c r="B41" s="138" t="s">
        <v>117</v>
      </c>
      <c r="C41" s="152">
        <v>288</v>
      </c>
      <c r="D41" s="156">
        <v>363</v>
      </c>
      <c r="F41" s="138" t="s">
        <v>155</v>
      </c>
      <c r="G41" s="162">
        <f>C40/(C56+C60)</f>
        <v>0.69241379310344831</v>
      </c>
      <c r="H41" s="162">
        <f>D40/(D56+D60)</f>
        <v>0.74437005477784546</v>
      </c>
    </row>
    <row r="42" spans="2:8" x14ac:dyDescent="0.25">
      <c r="B42" s="139" t="s">
        <v>118</v>
      </c>
      <c r="C42" s="153">
        <v>51</v>
      </c>
      <c r="D42" s="157">
        <v>68</v>
      </c>
      <c r="F42" s="139" t="s">
        <v>156</v>
      </c>
      <c r="G42" s="161">
        <f>(C40-C44)/C56</f>
        <v>1.4575569358178053</v>
      </c>
      <c r="H42" s="161">
        <f>(D40-D44)/D56</f>
        <v>1.5064516129032257</v>
      </c>
    </row>
    <row r="43" spans="2:8" x14ac:dyDescent="0.25">
      <c r="B43" s="138" t="s">
        <v>35</v>
      </c>
      <c r="C43" s="152">
        <v>365</v>
      </c>
      <c r="D43" s="156">
        <v>503</v>
      </c>
      <c r="F43" s="138" t="s">
        <v>157</v>
      </c>
      <c r="G43" s="162">
        <f>G56/C56</f>
        <v>0.59627329192546585</v>
      </c>
      <c r="H43" s="162">
        <f>H56/D56</f>
        <v>0.5854838709677419</v>
      </c>
    </row>
    <row r="44" spans="2:8" x14ac:dyDescent="0.25">
      <c r="B44" s="139" t="s">
        <v>33</v>
      </c>
      <c r="C44" s="153">
        <v>300</v>
      </c>
      <c r="D44" s="157">
        <v>289</v>
      </c>
      <c r="F44" s="139"/>
      <c r="G44" s="161"/>
      <c r="H44" s="161"/>
    </row>
    <row r="45" spans="2:8" x14ac:dyDescent="0.25">
      <c r="B45" s="140" t="s">
        <v>122</v>
      </c>
      <c r="C45" s="158">
        <f>SUM(C47:C52)</f>
        <v>2266</v>
      </c>
      <c r="D45" s="158">
        <f>SUM(D47:D52)</f>
        <v>2374</v>
      </c>
      <c r="F45" s="138" t="s">
        <v>158</v>
      </c>
      <c r="G45" s="162">
        <f>(C56+C60)/C62</f>
        <v>0.79670329670329665</v>
      </c>
      <c r="H45" s="162">
        <f>(D56+D60)/D62</f>
        <v>0.84083930399181162</v>
      </c>
    </row>
    <row r="46" spans="2:8" x14ac:dyDescent="0.25">
      <c r="B46" s="137" t="s">
        <v>123</v>
      </c>
      <c r="C46" s="159">
        <f>SUM(C47:C52)</f>
        <v>2266</v>
      </c>
      <c r="D46" s="159">
        <f>SUM(D47:D52)</f>
        <v>2374</v>
      </c>
      <c r="F46" s="145" t="s">
        <v>159</v>
      </c>
      <c r="G46" s="161">
        <f>C56/(C56+C60)</f>
        <v>0.33310344827586208</v>
      </c>
      <c r="H46" s="161">
        <f>D56/(D56+D60)</f>
        <v>0.37735849056603776</v>
      </c>
    </row>
    <row r="47" spans="2:8" x14ac:dyDescent="0.25">
      <c r="B47" s="138" t="s">
        <v>124</v>
      </c>
      <c r="C47" s="152">
        <v>1903</v>
      </c>
      <c r="D47" s="156">
        <v>2072</v>
      </c>
      <c r="F47" s="138" t="s">
        <v>160</v>
      </c>
      <c r="G47" s="162">
        <f>(C56+C60)/C65</f>
        <v>0.44342507645259938</v>
      </c>
      <c r="H47" s="162">
        <f>(D56+D60)/D65</f>
        <v>0.45676953016402555</v>
      </c>
    </row>
    <row r="48" spans="2:8" x14ac:dyDescent="0.25">
      <c r="B48" s="139" t="s">
        <v>125</v>
      </c>
      <c r="C48" s="153">
        <v>1693</v>
      </c>
      <c r="D48" s="157">
        <v>1866</v>
      </c>
      <c r="F48" s="139" t="s">
        <v>161</v>
      </c>
      <c r="G48" s="161">
        <f>C46/C62</f>
        <v>1.2450549450549451</v>
      </c>
      <c r="H48" s="161">
        <f>D46/D62</f>
        <v>1.2149437052200613</v>
      </c>
    </row>
    <row r="49" spans="2:8" x14ac:dyDescent="0.25">
      <c r="B49" s="138" t="s">
        <v>126</v>
      </c>
      <c r="C49" s="152">
        <v>316</v>
      </c>
      <c r="D49" s="156">
        <v>358</v>
      </c>
      <c r="F49" s="138"/>
      <c r="G49" s="162"/>
      <c r="H49" s="162"/>
    </row>
    <row r="50" spans="2:8" x14ac:dyDescent="0.25">
      <c r="B50" s="139" t="s">
        <v>127</v>
      </c>
      <c r="C50" s="153">
        <v>314</v>
      </c>
      <c r="D50" s="157">
        <v>275</v>
      </c>
      <c r="F50" s="139" t="s">
        <v>162</v>
      </c>
      <c r="G50" s="161">
        <f>C71/C44</f>
        <v>-5.7033333333333331</v>
      </c>
      <c r="H50" s="161">
        <f>D71/D44</f>
        <v>-7.2249134948096883</v>
      </c>
    </row>
    <row r="51" spans="2:8" x14ac:dyDescent="0.25">
      <c r="B51" s="138" t="s">
        <v>128</v>
      </c>
      <c r="C51" s="152">
        <v>96</v>
      </c>
      <c r="D51" s="156">
        <v>98</v>
      </c>
      <c r="F51" s="138" t="s">
        <v>163</v>
      </c>
      <c r="G51" s="162">
        <f>C68/C43</f>
        <v>7.3068493150684928</v>
      </c>
      <c r="H51" s="162">
        <f>D68/D43</f>
        <v>6.3260437375745528</v>
      </c>
    </row>
    <row r="52" spans="2:8" x14ac:dyDescent="0.25">
      <c r="B52" s="139" t="s">
        <v>129</v>
      </c>
      <c r="C52" s="153">
        <v>-2056</v>
      </c>
      <c r="D52" s="157">
        <v>-2295</v>
      </c>
      <c r="F52" s="145" t="s">
        <v>164</v>
      </c>
      <c r="G52" s="161">
        <f>(C81/C53)*100</f>
        <v>4.525993883792049</v>
      </c>
      <c r="H52" s="161">
        <f>(D81/D53)*100</f>
        <v>6.4220183486238538</v>
      </c>
    </row>
    <row r="53" spans="2:8" x14ac:dyDescent="0.25">
      <c r="B53" s="142" t="s">
        <v>17</v>
      </c>
      <c r="C53" s="158">
        <f>C45+C40</f>
        <v>3270</v>
      </c>
      <c r="D53" s="158">
        <f>D45+D40</f>
        <v>3597</v>
      </c>
      <c r="F53" s="138" t="s">
        <v>165</v>
      </c>
      <c r="G53" s="162">
        <f>(C81/C62)*100</f>
        <v>8.1318681318681314</v>
      </c>
      <c r="H53" s="162">
        <f>(D81/D62)*100</f>
        <v>11.821903787103377</v>
      </c>
    </row>
    <row r="54" spans="2:8" x14ac:dyDescent="0.25">
      <c r="B54" s="154"/>
      <c r="C54" s="154"/>
      <c r="D54" s="154"/>
      <c r="F54" s="147" t="s">
        <v>166</v>
      </c>
      <c r="G54" s="161">
        <f>(C81/C70)*100</f>
        <v>5.7654850019477992</v>
      </c>
      <c r="H54" s="161">
        <f>(D81/D70)*100</f>
        <v>7.514638906961614</v>
      </c>
    </row>
    <row r="55" spans="2:8" ht="18" customHeight="1" x14ac:dyDescent="0.25">
      <c r="B55" s="134" t="s">
        <v>130</v>
      </c>
      <c r="C55" s="135" t="s">
        <v>119</v>
      </c>
      <c r="D55" s="136" t="s">
        <v>120</v>
      </c>
    </row>
    <row r="56" spans="2:8" x14ac:dyDescent="0.25">
      <c r="B56" s="137" t="s">
        <v>121</v>
      </c>
      <c r="C56" s="159">
        <f>SUM(C57:C59)</f>
        <v>483</v>
      </c>
      <c r="D56" s="151">
        <f>SUM(D57:D59)</f>
        <v>620</v>
      </c>
      <c r="F56" s="163" t="s">
        <v>167</v>
      </c>
      <c r="G56" s="164">
        <f>C41</f>
        <v>288</v>
      </c>
      <c r="H56" s="164">
        <f>D41</f>
        <v>363</v>
      </c>
    </row>
    <row r="57" spans="2:8" x14ac:dyDescent="0.25">
      <c r="B57" s="138" t="s">
        <v>131</v>
      </c>
      <c r="C57" s="152">
        <v>270</v>
      </c>
      <c r="D57" s="156">
        <v>382</v>
      </c>
    </row>
    <row r="58" spans="2:8" x14ac:dyDescent="0.25">
      <c r="B58" s="139" t="s">
        <v>132</v>
      </c>
      <c r="C58" s="153">
        <v>99</v>
      </c>
      <c r="D58" s="157">
        <v>79</v>
      </c>
    </row>
    <row r="59" spans="2:8" x14ac:dyDescent="0.25">
      <c r="B59" s="138" t="s">
        <v>133</v>
      </c>
      <c r="C59" s="152">
        <v>114</v>
      </c>
      <c r="D59" s="156">
        <v>159</v>
      </c>
    </row>
    <row r="60" spans="2:8" x14ac:dyDescent="0.25">
      <c r="B60" s="137" t="s">
        <v>122</v>
      </c>
      <c r="C60" s="159">
        <f>SUM(C61)</f>
        <v>967</v>
      </c>
      <c r="D60" s="151">
        <f>SUM(D61)</f>
        <v>1023</v>
      </c>
    </row>
    <row r="61" spans="2:8" x14ac:dyDescent="0.25">
      <c r="B61" s="138" t="s">
        <v>134</v>
      </c>
      <c r="C61" s="152">
        <v>967</v>
      </c>
      <c r="D61" s="156">
        <v>1023</v>
      </c>
    </row>
    <row r="62" spans="2:8" x14ac:dyDescent="0.25">
      <c r="B62" s="133" t="s">
        <v>135</v>
      </c>
      <c r="C62" s="159">
        <f>SUM(C63:C64)</f>
        <v>1820</v>
      </c>
      <c r="D62" s="151">
        <f>SUM(D63:D64)</f>
        <v>1954</v>
      </c>
    </row>
    <row r="63" spans="2:8" x14ac:dyDescent="0.25">
      <c r="B63" s="138" t="s">
        <v>136</v>
      </c>
      <c r="C63" s="152">
        <v>808</v>
      </c>
      <c r="D63" s="156">
        <v>808</v>
      </c>
    </row>
    <row r="64" spans="2:8" x14ac:dyDescent="0.25">
      <c r="B64" s="139" t="s">
        <v>137</v>
      </c>
      <c r="C64" s="153">
        <v>1012</v>
      </c>
      <c r="D64" s="157">
        <v>1146</v>
      </c>
    </row>
    <row r="65" spans="2:4" x14ac:dyDescent="0.25">
      <c r="B65" s="142" t="s">
        <v>17</v>
      </c>
      <c r="C65" s="158">
        <f>SUM(C62,C60,C56)</f>
        <v>3270</v>
      </c>
      <c r="D65" s="158">
        <f>SUM(D62,D60,D56)</f>
        <v>3597</v>
      </c>
    </row>
    <row r="66" spans="2:4" x14ac:dyDescent="0.25">
      <c r="B66" s="154"/>
      <c r="C66" s="154"/>
      <c r="D66" s="154"/>
    </row>
    <row r="67" spans="2:4" x14ac:dyDescent="0.25">
      <c r="B67" s="150" t="s">
        <v>138</v>
      </c>
      <c r="C67" s="135" t="s">
        <v>119</v>
      </c>
      <c r="D67" s="136" t="s">
        <v>120</v>
      </c>
    </row>
    <row r="68" spans="2:4" x14ac:dyDescent="0.25">
      <c r="B68" s="149" t="s">
        <v>139</v>
      </c>
      <c r="C68" s="159">
        <v>2667</v>
      </c>
      <c r="D68" s="160">
        <v>3182</v>
      </c>
    </row>
    <row r="69" spans="2:4" x14ac:dyDescent="0.25">
      <c r="B69" s="141" t="s">
        <v>140</v>
      </c>
      <c r="C69" s="152">
        <v>-100</v>
      </c>
      <c r="D69" s="156">
        <v>-108</v>
      </c>
    </row>
    <row r="70" spans="2:4" x14ac:dyDescent="0.25">
      <c r="B70" s="155" t="s">
        <v>141</v>
      </c>
      <c r="C70" s="159">
        <f>C68+C69</f>
        <v>2567</v>
      </c>
      <c r="D70" s="159">
        <f>D68+D69</f>
        <v>3074</v>
      </c>
    </row>
    <row r="71" spans="2:4" x14ac:dyDescent="0.25">
      <c r="B71" s="141" t="s">
        <v>142</v>
      </c>
      <c r="C71" s="152">
        <v>-1711</v>
      </c>
      <c r="D71" s="156">
        <v>-2088</v>
      </c>
    </row>
    <row r="72" spans="2:4" x14ac:dyDescent="0.25">
      <c r="B72" s="149" t="s">
        <v>143</v>
      </c>
      <c r="C72" s="159">
        <f>C70+C71</f>
        <v>856</v>
      </c>
      <c r="D72" s="159">
        <f>D70+D71</f>
        <v>986</v>
      </c>
    </row>
    <row r="73" spans="2:4" x14ac:dyDescent="0.25">
      <c r="B73" s="148" t="s">
        <v>144</v>
      </c>
      <c r="C73" s="158">
        <f>SUM(C74:C76)</f>
        <v>-553</v>
      </c>
      <c r="D73" s="158">
        <f>SUM(D74:D76)</f>
        <v>-568</v>
      </c>
    </row>
    <row r="74" spans="2:4" x14ac:dyDescent="0.25">
      <c r="B74" s="147" t="s">
        <v>145</v>
      </c>
      <c r="C74" s="153">
        <v>-108</v>
      </c>
      <c r="D74" s="157">
        <v>-100</v>
      </c>
    </row>
    <row r="75" spans="2:4" x14ac:dyDescent="0.25">
      <c r="B75" s="141" t="s">
        <v>146</v>
      </c>
      <c r="C75" s="152">
        <v>-222</v>
      </c>
      <c r="D75" s="156">
        <v>-229</v>
      </c>
    </row>
    <row r="76" spans="2:4" x14ac:dyDescent="0.25">
      <c r="B76" s="147" t="s">
        <v>147</v>
      </c>
      <c r="C76" s="153">
        <v>-223</v>
      </c>
      <c r="D76" s="157">
        <v>-239</v>
      </c>
    </row>
    <row r="77" spans="2:4" x14ac:dyDescent="0.25">
      <c r="B77" s="148" t="s">
        <v>148</v>
      </c>
      <c r="C77" s="158">
        <f>C72+C73</f>
        <v>303</v>
      </c>
      <c r="D77" s="158">
        <f>D72+D73</f>
        <v>418</v>
      </c>
    </row>
    <row r="78" spans="2:4" x14ac:dyDescent="0.25">
      <c r="B78" s="147" t="s">
        <v>149</v>
      </c>
      <c r="C78" s="153">
        <v>-91</v>
      </c>
      <c r="D78" s="157">
        <v>-93</v>
      </c>
    </row>
    <row r="79" spans="2:4" x14ac:dyDescent="0.25">
      <c r="B79" s="148" t="s">
        <v>150</v>
      </c>
      <c r="C79" s="158">
        <f>C77+C78</f>
        <v>212</v>
      </c>
      <c r="D79" s="158">
        <f>D77+D78</f>
        <v>325</v>
      </c>
    </row>
    <row r="80" spans="2:4" x14ac:dyDescent="0.25">
      <c r="B80" s="147" t="s">
        <v>151</v>
      </c>
      <c r="C80" s="153">
        <v>-64</v>
      </c>
      <c r="D80" s="157">
        <v>-94</v>
      </c>
    </row>
    <row r="81" spans="2:4" x14ac:dyDescent="0.25">
      <c r="B81" s="148" t="s">
        <v>152</v>
      </c>
      <c r="C81" s="158">
        <f>C79+C80</f>
        <v>148</v>
      </c>
      <c r="D81" s="158">
        <f>D79+D80</f>
        <v>231</v>
      </c>
    </row>
    <row r="1048574" spans="16384:16384" x14ac:dyDescent="0.25">
      <c r="XFD1048574">
        <v>0</v>
      </c>
    </row>
  </sheetData>
  <mergeCells count="17">
    <mergeCell ref="E14:I14"/>
    <mergeCell ref="B25:H25"/>
    <mergeCell ref="B38:H38"/>
    <mergeCell ref="B2:N2"/>
    <mergeCell ref="B4:N4"/>
    <mergeCell ref="B6:H6"/>
    <mergeCell ref="J6:N6"/>
    <mergeCell ref="B9:D9"/>
    <mergeCell ref="B7:D7"/>
    <mergeCell ref="J15:N15"/>
    <mergeCell ref="B15:H15"/>
    <mergeCell ref="B8:D8"/>
    <mergeCell ref="B13:D13"/>
    <mergeCell ref="B12:D12"/>
    <mergeCell ref="B11:D11"/>
    <mergeCell ref="B10:D10"/>
    <mergeCell ref="B14:D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152A-9EFD-4EF7-B61C-E4488F6F1622}">
  <dimension ref="B1:D14"/>
  <sheetViews>
    <sheetView showGridLines="0" workbookViewId="0">
      <selection activeCell="B35" sqref="B35"/>
    </sheetView>
  </sheetViews>
  <sheetFormatPr defaultRowHeight="15" x14ac:dyDescent="0.25"/>
  <cols>
    <col min="2" max="2" width="31.42578125" bestFit="1" customWidth="1"/>
    <col min="3" max="3" width="14.5703125" bestFit="1" customWidth="1"/>
    <col min="4" max="4" width="18.7109375" bestFit="1" customWidth="1"/>
    <col min="5" max="5" width="9" customWidth="1"/>
    <col min="6" max="6" width="5.7109375" customWidth="1"/>
    <col min="7" max="7" width="8" customWidth="1"/>
  </cols>
  <sheetData>
    <row r="1" spans="2:4" ht="27" customHeight="1" x14ac:dyDescent="0.25"/>
    <row r="2" spans="2:4" ht="34.5" customHeight="1" x14ac:dyDescent="0.25">
      <c r="B2" s="42" t="s">
        <v>31</v>
      </c>
      <c r="C2" s="42" t="s">
        <v>25</v>
      </c>
    </row>
    <row r="3" spans="2:4" x14ac:dyDescent="0.25">
      <c r="B3" s="1" t="s">
        <v>19</v>
      </c>
      <c r="C3" s="15">
        <f>Sistema!E8</f>
        <v>2615000</v>
      </c>
    </row>
    <row r="4" spans="2:4" x14ac:dyDescent="0.25">
      <c r="B4" s="1" t="s">
        <v>20</v>
      </c>
      <c r="C4" s="15">
        <f>Sistema!E9</f>
        <v>1385950</v>
      </c>
    </row>
    <row r="5" spans="2:4" x14ac:dyDescent="0.25">
      <c r="B5" s="1" t="s">
        <v>21</v>
      </c>
      <c r="C5" s="15">
        <f>Sistema!E10</f>
        <v>500000</v>
      </c>
    </row>
    <row r="6" spans="2:4" x14ac:dyDescent="0.25">
      <c r="B6" s="1" t="s">
        <v>22</v>
      </c>
      <c r="C6" s="15">
        <f>Sistema!E11</f>
        <v>326872</v>
      </c>
    </row>
    <row r="7" spans="2:4" x14ac:dyDescent="0.25">
      <c r="B7" s="1" t="s">
        <v>23</v>
      </c>
      <c r="C7" s="15">
        <f>Sistema!E12</f>
        <v>450000</v>
      </c>
    </row>
    <row r="8" spans="2:4" x14ac:dyDescent="0.25">
      <c r="B8" s="1" t="s">
        <v>24</v>
      </c>
      <c r="C8" s="15">
        <f>Sistema!E13</f>
        <v>160980</v>
      </c>
    </row>
    <row r="10" spans="2:4" x14ac:dyDescent="0.25">
      <c r="B10" s="43"/>
      <c r="C10" s="43" t="s">
        <v>30</v>
      </c>
      <c r="D10" s="43" t="s">
        <v>29</v>
      </c>
    </row>
    <row r="11" spans="2:4" x14ac:dyDescent="0.25">
      <c r="B11" s="16" t="s">
        <v>26</v>
      </c>
      <c r="C11" s="4">
        <f>(C5/C4)*360</f>
        <v>129.87481510877015</v>
      </c>
      <c r="D11" s="17">
        <f>C11</f>
        <v>129.87481510877015</v>
      </c>
    </row>
    <row r="12" spans="2:4" x14ac:dyDescent="0.25">
      <c r="B12" s="16" t="s">
        <v>27</v>
      </c>
      <c r="C12" s="4">
        <f>(C6/C3)*360</f>
        <v>44.999586998087956</v>
      </c>
      <c r="D12" s="17">
        <f t="shared" ref="D12:D13" si="0">C12</f>
        <v>44.999586998087956</v>
      </c>
    </row>
    <row r="13" spans="2:4" x14ac:dyDescent="0.25">
      <c r="B13" s="9" t="s">
        <v>28</v>
      </c>
      <c r="C13" s="4">
        <f>C8/(C4-C7+C5)*360</f>
        <v>40.358508304606708</v>
      </c>
      <c r="D13" s="17">
        <f t="shared" si="0"/>
        <v>40.358508304606708</v>
      </c>
    </row>
    <row r="14" spans="2:4" x14ac:dyDescent="0.25">
      <c r="B14" s="16" t="s">
        <v>30</v>
      </c>
      <c r="C14" s="4">
        <f>C11+C12-C13</f>
        <v>134.51589380225138</v>
      </c>
      <c r="D14" s="17">
        <f>D11+D12-D13</f>
        <v>134.51589380225138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A34B-8F6E-4E66-9D10-A61FF683B351}">
  <dimension ref="B2:F21"/>
  <sheetViews>
    <sheetView showGridLines="0" workbookViewId="0">
      <selection activeCell="F39" sqref="F39"/>
    </sheetView>
  </sheetViews>
  <sheetFormatPr defaultRowHeight="15" x14ac:dyDescent="0.25"/>
  <cols>
    <col min="2" max="2" width="31.42578125" bestFit="1" customWidth="1"/>
    <col min="3" max="3" width="15.42578125" bestFit="1" customWidth="1"/>
    <col min="4" max="4" width="15.5703125" bestFit="1" customWidth="1"/>
    <col min="5" max="5" width="16.7109375" bestFit="1" customWidth="1"/>
    <col min="6" max="6" width="15" bestFit="1" customWidth="1"/>
  </cols>
  <sheetData>
    <row r="2" spans="2:6" x14ac:dyDescent="0.25">
      <c r="B2" s="22" t="s">
        <v>38</v>
      </c>
      <c r="C2" s="23" t="s">
        <v>37</v>
      </c>
      <c r="D2" s="23" t="s">
        <v>41</v>
      </c>
      <c r="E2" s="23" t="s">
        <v>42</v>
      </c>
      <c r="F2" s="19"/>
    </row>
    <row r="3" spans="2:6" x14ac:dyDescent="0.25">
      <c r="B3" s="24" t="s">
        <v>33</v>
      </c>
      <c r="C3" s="25">
        <f>Sistema!C17</f>
        <v>9000000</v>
      </c>
      <c r="D3" s="75">
        <f>Sistema!D17</f>
        <v>45</v>
      </c>
      <c r="E3" s="75">
        <f>Sistema!E17</f>
        <v>0</v>
      </c>
      <c r="F3" s="21"/>
    </row>
    <row r="4" spans="2:6" x14ac:dyDescent="0.25">
      <c r="B4" s="24" t="s">
        <v>35</v>
      </c>
      <c r="C4" s="25">
        <f>Sistema!C18</f>
        <v>6000000</v>
      </c>
      <c r="D4" s="75">
        <f>Sistema!D18</f>
        <v>60</v>
      </c>
      <c r="E4" s="75">
        <f>Sistema!E18</f>
        <v>35</v>
      </c>
    </row>
    <row r="5" spans="2:6" x14ac:dyDescent="0.25">
      <c r="B5" s="24" t="s">
        <v>34</v>
      </c>
      <c r="C5" s="25">
        <f>Sistema!C19</f>
        <v>5000000</v>
      </c>
      <c r="D5" s="75">
        <f>Sistema!D19</f>
        <v>35</v>
      </c>
      <c r="E5" s="75">
        <f>Sistema!E19</f>
        <v>0</v>
      </c>
    </row>
    <row r="6" spans="2:6" ht="6.75" customHeight="1" x14ac:dyDescent="0.25">
      <c r="C6" s="20"/>
      <c r="D6" s="19"/>
      <c r="E6" s="19"/>
    </row>
    <row r="7" spans="2:6" x14ac:dyDescent="0.25">
      <c r="B7" s="33" t="s">
        <v>45</v>
      </c>
      <c r="C7" s="34">
        <f>Sistema!C20</f>
        <v>0</v>
      </c>
      <c r="D7" s="19"/>
      <c r="E7" s="19"/>
    </row>
    <row r="8" spans="2:6" x14ac:dyDescent="0.25">
      <c r="B8" s="33" t="s">
        <v>46</v>
      </c>
      <c r="C8" s="34">
        <f>Sistema!C21</f>
        <v>0</v>
      </c>
    </row>
    <row r="9" spans="2:6" x14ac:dyDescent="0.25">
      <c r="B9" s="33" t="s">
        <v>47</v>
      </c>
      <c r="C9" s="34">
        <f>Sistema!C22</f>
        <v>0.2</v>
      </c>
    </row>
    <row r="10" spans="2:6" ht="3.75" customHeight="1" x14ac:dyDescent="0.25"/>
    <row r="11" spans="2:6" x14ac:dyDescent="0.25">
      <c r="B11" s="28" t="s">
        <v>32</v>
      </c>
      <c r="C11" s="28" t="s">
        <v>39</v>
      </c>
    </row>
    <row r="12" spans="2:6" x14ac:dyDescent="0.25">
      <c r="B12" s="29" t="s">
        <v>26</v>
      </c>
      <c r="C12" s="54">
        <f>D3</f>
        <v>45</v>
      </c>
    </row>
    <row r="13" spans="2:6" x14ac:dyDescent="0.25">
      <c r="B13" s="29" t="s">
        <v>27</v>
      </c>
      <c r="C13" s="54">
        <f>D4</f>
        <v>60</v>
      </c>
    </row>
    <row r="14" spans="2:6" x14ac:dyDescent="0.25">
      <c r="B14" s="29" t="s">
        <v>17</v>
      </c>
      <c r="C14" s="55">
        <f>C13+C12</f>
        <v>105</v>
      </c>
    </row>
    <row r="15" spans="2:6" ht="5.25" customHeight="1" x14ac:dyDescent="0.25"/>
    <row r="16" spans="2:6" x14ac:dyDescent="0.25">
      <c r="B16" s="30" t="s">
        <v>18</v>
      </c>
      <c r="C16" s="30" t="s">
        <v>39</v>
      </c>
      <c r="D16" s="30" t="s">
        <v>66</v>
      </c>
      <c r="E16" s="30" t="s">
        <v>40</v>
      </c>
      <c r="F16" s="30" t="s">
        <v>43</v>
      </c>
    </row>
    <row r="17" spans="2:6" x14ac:dyDescent="0.25">
      <c r="B17" s="26" t="s">
        <v>26</v>
      </c>
      <c r="C17" s="31">
        <f>D3</f>
        <v>45</v>
      </c>
      <c r="D17" s="32">
        <f>($C3/360)*D3</f>
        <v>1125000</v>
      </c>
      <c r="E17" s="32">
        <f>IF(($C3/360)*E3&gt;0, ($C3/360)*E3, D17)</f>
        <v>1125000</v>
      </c>
      <c r="F17" s="32">
        <f>D17-E17</f>
        <v>0</v>
      </c>
    </row>
    <row r="18" spans="2:6" x14ac:dyDescent="0.25">
      <c r="B18" s="26" t="s">
        <v>27</v>
      </c>
      <c r="C18" s="31">
        <f>D4</f>
        <v>60</v>
      </c>
      <c r="D18" s="32">
        <f>($C4/360)*D4</f>
        <v>1000000.0000000001</v>
      </c>
      <c r="E18" s="32">
        <f>IF(($C4/360)*E4&gt;0, ($C4/360)*E4, D18)</f>
        <v>583333.33333333337</v>
      </c>
      <c r="F18" s="32">
        <f t="shared" ref="F18:F20" si="0">D18-E18</f>
        <v>416666.66666666674</v>
      </c>
    </row>
    <row r="19" spans="2:6" x14ac:dyDescent="0.25">
      <c r="B19" s="26" t="s">
        <v>28</v>
      </c>
      <c r="C19" s="31">
        <f>D5</f>
        <v>35</v>
      </c>
      <c r="D19" s="32">
        <f>($C5/360)*D5</f>
        <v>486111.11111111112</v>
      </c>
      <c r="E19" s="32">
        <f>IF(($C5/360)*E5&gt;0,($C5/360)*E5,D19)</f>
        <v>486111.11111111112</v>
      </c>
      <c r="F19" s="32">
        <f t="shared" si="0"/>
        <v>0</v>
      </c>
    </row>
    <row r="20" spans="2:6" x14ac:dyDescent="0.25">
      <c r="B20" s="26" t="s">
        <v>17</v>
      </c>
      <c r="C20" s="26">
        <f>C14-C19</f>
        <v>70</v>
      </c>
      <c r="D20" s="27">
        <f>D17+D18-D19</f>
        <v>1638888.888888889</v>
      </c>
      <c r="E20" s="27">
        <f>E17+E18-E19</f>
        <v>1222222.2222222225</v>
      </c>
      <c r="F20" s="27">
        <f t="shared" si="0"/>
        <v>416666.66666666651</v>
      </c>
    </row>
    <row r="21" spans="2:6" x14ac:dyDescent="0.25">
      <c r="B21" s="26" t="s">
        <v>44</v>
      </c>
      <c r="C21" s="26"/>
      <c r="D21" s="27">
        <f>D20*$C7</f>
        <v>0</v>
      </c>
      <c r="E21" s="27">
        <f>E20*$C8</f>
        <v>0</v>
      </c>
      <c r="F21" s="27">
        <f>(C7+C8+C9)*F20</f>
        <v>83333.333333333314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81DF-6C18-4D3B-8685-015AD2172F96}">
  <dimension ref="B3:H18"/>
  <sheetViews>
    <sheetView showGridLines="0" workbookViewId="0">
      <selection activeCell="O21" sqref="O21"/>
    </sheetView>
  </sheetViews>
  <sheetFormatPr defaultRowHeight="15" x14ac:dyDescent="0.25"/>
  <cols>
    <col min="1" max="1" width="10.85546875" customWidth="1"/>
    <col min="2" max="2" width="27.85546875" bestFit="1" customWidth="1"/>
    <col min="3" max="3" width="14.28515625" bestFit="1" customWidth="1"/>
    <col min="4" max="4" width="20.7109375" bestFit="1" customWidth="1"/>
    <col min="5" max="8" width="16.42578125" bestFit="1" customWidth="1"/>
  </cols>
  <sheetData>
    <row r="3" spans="2:8" ht="31.5" customHeight="1" x14ac:dyDescent="0.25">
      <c r="B3" s="10" t="s">
        <v>10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</row>
    <row r="4" spans="2:8" x14ac:dyDescent="0.25">
      <c r="B4" s="1" t="s">
        <v>6</v>
      </c>
      <c r="C4" s="2">
        <f>Sistema!C27</f>
        <v>20000</v>
      </c>
      <c r="D4" s="2">
        <f>Sistema!D27</f>
        <v>20500</v>
      </c>
      <c r="E4" s="2">
        <f>Sistema!E27</f>
        <v>22500</v>
      </c>
      <c r="F4" s="2">
        <f>Sistema!F27</f>
        <v>28000</v>
      </c>
      <c r="G4" s="2">
        <f>Sistema!G27</f>
        <v>18000</v>
      </c>
      <c r="H4" s="2">
        <f>Sistema!H27</f>
        <v>0</v>
      </c>
    </row>
    <row r="5" spans="2:8" x14ac:dyDescent="0.25">
      <c r="B5" s="1" t="s">
        <v>16</v>
      </c>
      <c r="C5" s="3">
        <f>Sistema!C28</f>
        <v>50</v>
      </c>
      <c r="D5" s="3">
        <f>Sistema!D28</f>
        <v>50</v>
      </c>
      <c r="E5" s="3">
        <f>Sistema!E28</f>
        <v>50</v>
      </c>
      <c r="F5" s="3">
        <f>Sistema!F28</f>
        <v>50</v>
      </c>
      <c r="G5" s="3">
        <f>Sistema!G28</f>
        <v>40</v>
      </c>
      <c r="H5" s="3">
        <f>Sistema!H28</f>
        <v>0</v>
      </c>
    </row>
    <row r="6" spans="2:8" x14ac:dyDescent="0.25">
      <c r="B6" s="1" t="s">
        <v>9</v>
      </c>
      <c r="C6" s="3">
        <f>Sistema!C29</f>
        <v>30</v>
      </c>
      <c r="D6" s="3">
        <f>Sistema!D29</f>
        <v>30</v>
      </c>
      <c r="E6" s="3">
        <f>Sistema!E29</f>
        <v>30</v>
      </c>
      <c r="F6" s="3">
        <f>Sistema!F29</f>
        <v>30</v>
      </c>
      <c r="G6" s="3">
        <f>Sistema!G29</f>
        <v>30</v>
      </c>
      <c r="H6" s="3">
        <f>Sistema!H29</f>
        <v>0</v>
      </c>
    </row>
    <row r="7" spans="2:8" x14ac:dyDescent="0.25">
      <c r="B7" s="1" t="s">
        <v>14</v>
      </c>
      <c r="C7" s="17">
        <f>Sistema!C30</f>
        <v>30</v>
      </c>
      <c r="D7" s="17">
        <f>Sistema!D30</f>
        <v>30</v>
      </c>
      <c r="E7" s="17">
        <f>Sistema!E30</f>
        <v>50</v>
      </c>
      <c r="F7" s="17">
        <f>Sistema!F30</f>
        <v>90</v>
      </c>
      <c r="G7" s="17">
        <f>Sistema!G30</f>
        <v>30</v>
      </c>
      <c r="H7" s="17">
        <f>Sistema!H30</f>
        <v>0</v>
      </c>
    </row>
    <row r="8" spans="2:8" x14ac:dyDescent="0.25">
      <c r="B8" s="1" t="s">
        <v>7</v>
      </c>
      <c r="C8" s="5">
        <f>Sistema!C31</f>
        <v>0.01</v>
      </c>
      <c r="D8" s="5">
        <f>Sistema!D31</f>
        <v>1.4999999999999999E-2</v>
      </c>
      <c r="E8" s="5">
        <f>Sistema!E31</f>
        <v>2.5000000000000001E-2</v>
      </c>
      <c r="F8" s="5">
        <f>Sistema!F31</f>
        <v>0.115</v>
      </c>
      <c r="G8" s="5">
        <f>Sistema!G31</f>
        <v>0.01</v>
      </c>
      <c r="H8" s="5">
        <f>Sistema!H31</f>
        <v>0</v>
      </c>
    </row>
    <row r="9" spans="2:8" x14ac:dyDescent="0.25">
      <c r="B9" s="1" t="s">
        <v>8</v>
      </c>
      <c r="C9" s="5">
        <f>Sistema!C32</f>
        <v>0.2</v>
      </c>
      <c r="D9" s="5">
        <f>Sistema!D32</f>
        <v>0.2</v>
      </c>
      <c r="E9" s="5">
        <f>Sistema!E32</f>
        <v>0.2</v>
      </c>
      <c r="F9" s="5">
        <f>Sistema!F32</f>
        <v>0.2</v>
      </c>
      <c r="G9" s="5">
        <f>Sistema!G32</f>
        <v>0.2</v>
      </c>
      <c r="H9" s="5">
        <f>Sistema!H32</f>
        <v>0</v>
      </c>
    </row>
    <row r="10" spans="2:8" ht="6" customHeight="1" x14ac:dyDescent="0.25"/>
    <row r="11" spans="2:8" x14ac:dyDescent="0.25">
      <c r="B11" s="11" t="s">
        <v>11</v>
      </c>
      <c r="C11" s="108" t="s">
        <v>15</v>
      </c>
      <c r="D11" s="109">
        <f>(D4-$C$4)*(D5-D6)</f>
        <v>10000</v>
      </c>
      <c r="E11" s="109">
        <f t="shared" ref="E11:H11" si="0">(E4-$C$4)*(E5-E6)</f>
        <v>50000</v>
      </c>
      <c r="F11" s="109">
        <f>(F4-$C$4)*(F5-F6)</f>
        <v>160000</v>
      </c>
      <c r="G11" s="109">
        <f>(G4-$C$4)*(G5-G6)</f>
        <v>-20000</v>
      </c>
      <c r="H11" s="109">
        <f t="shared" si="0"/>
        <v>0</v>
      </c>
    </row>
    <row r="12" spans="2:8" ht="3.75" customHeight="1" x14ac:dyDescent="0.25">
      <c r="B12" s="12"/>
      <c r="C12" s="12"/>
      <c r="D12" s="12"/>
      <c r="E12" s="12"/>
      <c r="F12" s="12"/>
      <c r="G12" s="12"/>
      <c r="H12" s="12"/>
    </row>
    <row r="13" spans="2:8" x14ac:dyDescent="0.25">
      <c r="B13" s="13" t="s">
        <v>12</v>
      </c>
      <c r="C13" s="110">
        <f>C4*C6/(360/C7)</f>
        <v>50000</v>
      </c>
      <c r="D13" s="110">
        <f>(D4*D6/(360/D7)-$C$13)*D9</f>
        <v>250</v>
      </c>
      <c r="E13" s="110">
        <f t="shared" ref="E13:H13" si="1">(E4*E6/(360/E7)-$C$13)*E9</f>
        <v>8750</v>
      </c>
      <c r="F13" s="110">
        <f t="shared" si="1"/>
        <v>32000</v>
      </c>
      <c r="G13" s="110">
        <f t="shared" si="1"/>
        <v>-1000</v>
      </c>
      <c r="H13" s="110" t="e">
        <f t="shared" si="1"/>
        <v>#DIV/0!</v>
      </c>
    </row>
    <row r="14" spans="2:8" ht="3" customHeight="1" x14ac:dyDescent="0.25">
      <c r="B14" s="12"/>
      <c r="C14" s="111"/>
      <c r="D14" s="111"/>
      <c r="E14" s="111"/>
      <c r="F14" s="111"/>
      <c r="G14" s="111"/>
      <c r="H14" s="111"/>
    </row>
    <row r="15" spans="2:8" x14ac:dyDescent="0.25">
      <c r="B15" s="14" t="s">
        <v>13</v>
      </c>
      <c r="C15" s="112">
        <f>(C4*C5)*C8</f>
        <v>10000</v>
      </c>
      <c r="D15" s="112">
        <f>(D4*D5)*D8-$C$15</f>
        <v>5375</v>
      </c>
      <c r="E15" s="112">
        <f t="shared" ref="E15:H15" si="2">(E4*E5)*E8-$C$15</f>
        <v>18125</v>
      </c>
      <c r="F15" s="112">
        <f t="shared" si="2"/>
        <v>151000</v>
      </c>
      <c r="G15" s="112">
        <f t="shared" si="2"/>
        <v>-2800</v>
      </c>
      <c r="H15" s="112">
        <f t="shared" si="2"/>
        <v>-10000</v>
      </c>
    </row>
    <row r="16" spans="2:8" ht="6.75" customHeight="1" x14ac:dyDescent="0.25"/>
    <row r="17" spans="2:8" x14ac:dyDescent="0.25">
      <c r="B17" s="7" t="s">
        <v>17</v>
      </c>
      <c r="C17" s="7"/>
      <c r="D17" s="8">
        <f>D11-D13-D15</f>
        <v>4375</v>
      </c>
      <c r="E17" s="8">
        <f t="shared" ref="E17:H17" si="3">E11-E13-E15</f>
        <v>23125</v>
      </c>
      <c r="F17" s="8">
        <f t="shared" si="3"/>
        <v>-23000</v>
      </c>
      <c r="G17" s="8">
        <f t="shared" si="3"/>
        <v>-16200</v>
      </c>
      <c r="H17" s="8" t="e">
        <f t="shared" si="3"/>
        <v>#DIV/0!</v>
      </c>
    </row>
    <row r="18" spans="2:8" x14ac:dyDescent="0.25">
      <c r="B18" s="6" t="s">
        <v>36</v>
      </c>
      <c r="C18" s="6"/>
      <c r="D18" s="18" t="str">
        <f>IF(D17&lt;0,"NEGATIVO",IF(D17&gt;=1,"POSITIVO"))</f>
        <v>POSITIVO</v>
      </c>
      <c r="E18" s="18" t="str">
        <f t="shared" ref="E18:H18" si="4">IF(E17&lt;0,"NEGATIVO",IF(E17&gt;=1,"POSITIVO"))</f>
        <v>POSITIVO</v>
      </c>
      <c r="F18" s="18" t="str">
        <f t="shared" si="4"/>
        <v>NEGATIVO</v>
      </c>
      <c r="G18" s="18" t="str">
        <f t="shared" si="4"/>
        <v>NEGATIVO</v>
      </c>
      <c r="H18" s="18" t="e">
        <f t="shared" si="4"/>
        <v>#DIV/0!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54AF-D4B5-46CC-9BB2-902C7CB0C1A3}">
  <dimension ref="C5:H15"/>
  <sheetViews>
    <sheetView showGridLines="0" topLeftCell="A4" workbookViewId="0">
      <selection activeCell="F31" sqref="F31"/>
    </sheetView>
  </sheetViews>
  <sheetFormatPr defaultRowHeight="15" x14ac:dyDescent="0.25"/>
  <cols>
    <col min="3" max="3" width="15.85546875" bestFit="1" customWidth="1"/>
    <col min="4" max="4" width="36.85546875" customWidth="1"/>
    <col min="6" max="6" width="23" bestFit="1" customWidth="1"/>
    <col min="7" max="7" width="24.140625" customWidth="1"/>
    <col min="8" max="8" width="26.140625" customWidth="1"/>
  </cols>
  <sheetData>
    <row r="5" spans="3:8" ht="30" customHeight="1" x14ac:dyDescent="0.25">
      <c r="C5" s="84" t="s">
        <v>78</v>
      </c>
      <c r="D5" s="84" t="s">
        <v>25</v>
      </c>
      <c r="F5" s="84" t="s">
        <v>78</v>
      </c>
      <c r="G5" s="84" t="s">
        <v>88</v>
      </c>
      <c r="H5" s="84" t="s">
        <v>89</v>
      </c>
    </row>
    <row r="6" spans="3:8" x14ac:dyDescent="0.25">
      <c r="C6" s="80" t="s">
        <v>75</v>
      </c>
      <c r="D6" s="81">
        <f>Sistema!K8</f>
        <v>50</v>
      </c>
      <c r="F6" s="51" t="s">
        <v>90</v>
      </c>
      <c r="G6" s="82">
        <f>Sistema!K11</f>
        <v>0</v>
      </c>
      <c r="H6" s="92">
        <f>Sistema!K12</f>
        <v>0.2</v>
      </c>
    </row>
    <row r="7" spans="3:8" x14ac:dyDescent="0.25">
      <c r="C7" s="80" t="s">
        <v>76</v>
      </c>
      <c r="D7" s="81">
        <f>Sistema!K9</f>
        <v>30</v>
      </c>
      <c r="F7" s="94" t="s">
        <v>91</v>
      </c>
      <c r="G7" s="82">
        <f>(G6+D8)/D9</f>
        <v>104010</v>
      </c>
      <c r="H7" s="82">
        <f>D8/(D15-H6)</f>
        <v>10401000</v>
      </c>
    </row>
    <row r="8" spans="3:8" x14ac:dyDescent="0.25">
      <c r="C8" s="80" t="s">
        <v>77</v>
      </c>
      <c r="D8" s="81">
        <f>Sistema!K10</f>
        <v>2080200</v>
      </c>
      <c r="F8" s="94" t="s">
        <v>30</v>
      </c>
      <c r="G8" s="82">
        <f>G7*D6</f>
        <v>5200500</v>
      </c>
      <c r="H8" s="82">
        <f>H7/D6</f>
        <v>208020</v>
      </c>
    </row>
    <row r="9" spans="3:8" x14ac:dyDescent="0.25">
      <c r="C9" s="80" t="s">
        <v>79</v>
      </c>
      <c r="D9" s="82">
        <f>D6-D7</f>
        <v>20</v>
      </c>
    </row>
    <row r="10" spans="3:8" x14ac:dyDescent="0.25">
      <c r="C10" s="80" t="s">
        <v>80</v>
      </c>
      <c r="D10" s="91">
        <f>D8/D9</f>
        <v>104010</v>
      </c>
      <c r="F10" s="35"/>
    </row>
    <row r="11" spans="3:8" x14ac:dyDescent="0.25">
      <c r="C11" s="80" t="s">
        <v>84</v>
      </c>
      <c r="D11" s="82">
        <f>D10*D6</f>
        <v>5200500</v>
      </c>
      <c r="F11" s="79"/>
    </row>
    <row r="12" spans="3:8" x14ac:dyDescent="0.25">
      <c r="C12" s="80" t="s">
        <v>85</v>
      </c>
      <c r="D12" s="82">
        <f>D10*D7</f>
        <v>3120300</v>
      </c>
    </row>
    <row r="13" spans="3:8" x14ac:dyDescent="0.25">
      <c r="C13" s="80" t="s">
        <v>86</v>
      </c>
      <c r="D13" s="82">
        <f>D8</f>
        <v>2080200</v>
      </c>
    </row>
    <row r="14" spans="3:8" x14ac:dyDescent="0.25">
      <c r="C14" s="131" t="s">
        <v>87</v>
      </c>
      <c r="D14" s="83">
        <f>D7/D6</f>
        <v>0.6</v>
      </c>
    </row>
    <row r="15" spans="3:8" x14ac:dyDescent="0.25">
      <c r="C15" s="131"/>
      <c r="D15" s="83">
        <f>100%-D14</f>
        <v>0.4</v>
      </c>
    </row>
  </sheetData>
  <mergeCells count="1">
    <mergeCell ref="C14:C1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1F09-6430-45ED-95F2-2C6F6028AA45}">
  <dimension ref="B2:D15"/>
  <sheetViews>
    <sheetView showGridLines="0" workbookViewId="0">
      <selection activeCell="J17" sqref="J17"/>
    </sheetView>
  </sheetViews>
  <sheetFormatPr defaultRowHeight="15" x14ac:dyDescent="0.25"/>
  <cols>
    <col min="2" max="2" width="22.140625" bestFit="1" customWidth="1"/>
    <col min="3" max="3" width="28.140625" customWidth="1"/>
    <col min="4" max="4" width="10.5703125" bestFit="1" customWidth="1"/>
  </cols>
  <sheetData>
    <row r="2" spans="2:4" ht="35.25" customHeight="1" x14ac:dyDescent="0.25">
      <c r="B2" s="95" t="s">
        <v>78</v>
      </c>
      <c r="C2" s="95" t="s">
        <v>25</v>
      </c>
      <c r="D2" s="95" t="s">
        <v>103</v>
      </c>
    </row>
    <row r="3" spans="2:4" x14ac:dyDescent="0.25">
      <c r="B3" s="96" t="s">
        <v>84</v>
      </c>
      <c r="C3" s="81">
        <f>Sistema!K17</f>
        <v>498150</v>
      </c>
      <c r="D3" s="98">
        <f>C3/$C$8</f>
        <v>33.21</v>
      </c>
    </row>
    <row r="4" spans="2:4" x14ac:dyDescent="0.25">
      <c r="B4" s="96" t="s">
        <v>76</v>
      </c>
      <c r="C4" s="81">
        <f>Sistema!K18</f>
        <v>235000</v>
      </c>
      <c r="D4" s="98">
        <f t="shared" ref="D4:D7" si="0">C4/$C$8</f>
        <v>15.666666666666666</v>
      </c>
    </row>
    <row r="5" spans="2:4" x14ac:dyDescent="0.25">
      <c r="B5" s="96" t="s">
        <v>79</v>
      </c>
      <c r="C5" s="81">
        <f>Sistema!K19</f>
        <v>263150</v>
      </c>
      <c r="D5" s="98">
        <f t="shared" si="0"/>
        <v>17.543333333333333</v>
      </c>
    </row>
    <row r="6" spans="2:4" x14ac:dyDescent="0.25">
      <c r="B6" s="96" t="s">
        <v>102</v>
      </c>
      <c r="C6" s="81">
        <f>Sistema!K20</f>
        <v>163520</v>
      </c>
      <c r="D6" s="98">
        <f t="shared" si="0"/>
        <v>10.901333333333334</v>
      </c>
    </row>
    <row r="7" spans="2:4" x14ac:dyDescent="0.25">
      <c r="B7" s="96" t="s">
        <v>99</v>
      </c>
      <c r="C7" s="81">
        <f>Sistema!K21</f>
        <v>99630</v>
      </c>
      <c r="D7" s="98">
        <f t="shared" si="0"/>
        <v>6.6420000000000003</v>
      </c>
    </row>
    <row r="8" spans="2:4" x14ac:dyDescent="0.25">
      <c r="B8" s="96" t="s">
        <v>100</v>
      </c>
      <c r="C8" s="81">
        <f>Sistema!K22</f>
        <v>15000</v>
      </c>
      <c r="D8" s="79"/>
    </row>
    <row r="9" spans="2:4" x14ac:dyDescent="0.25">
      <c r="B9" s="96" t="s">
        <v>106</v>
      </c>
      <c r="C9" s="106">
        <f>Sistema!K23</f>
        <v>0.15</v>
      </c>
    </row>
    <row r="10" spans="2:4" ht="4.5" customHeight="1" x14ac:dyDescent="0.25">
      <c r="C10" s="12"/>
    </row>
    <row r="11" spans="2:4" x14ac:dyDescent="0.25">
      <c r="B11" s="96" t="s">
        <v>79</v>
      </c>
      <c r="C11" s="107">
        <f>C5</f>
        <v>263150</v>
      </c>
    </row>
    <row r="12" spans="2:4" x14ac:dyDescent="0.25">
      <c r="B12" s="96" t="s">
        <v>104</v>
      </c>
      <c r="C12" s="107">
        <f>C6/D5</f>
        <v>9320.919627588828</v>
      </c>
    </row>
    <row r="13" spans="2:4" x14ac:dyDescent="0.25">
      <c r="B13" s="96" t="s">
        <v>105</v>
      </c>
      <c r="C13" s="107">
        <f>C12*D3</f>
        <v>309547.74083222501</v>
      </c>
    </row>
    <row r="14" spans="2:4" x14ac:dyDescent="0.25">
      <c r="B14" s="96" t="s">
        <v>95</v>
      </c>
      <c r="C14" s="98">
        <f>C5/C7</f>
        <v>2.6412727090233865</v>
      </c>
    </row>
    <row r="15" spans="2:4" x14ac:dyDescent="0.25">
      <c r="B15" s="96" t="s">
        <v>107</v>
      </c>
      <c r="C15" s="98">
        <f>(C9*100)*C14</f>
        <v>39.619090635350801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Sistema</vt:lpstr>
      <vt:lpstr>Determinar PME - PMR - PMP</vt:lpstr>
      <vt:lpstr>Ciclo de Conversão de Caixa</vt:lpstr>
      <vt:lpstr>Análise Marginal</vt:lpstr>
      <vt:lpstr>MC e PE</vt:lpstr>
      <vt:lpstr>GAO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CANDIDO GALERA</dc:creator>
  <cp:lastModifiedBy>CAIO CANDIDO GALERA</cp:lastModifiedBy>
  <dcterms:created xsi:type="dcterms:W3CDTF">2025-05-20T18:20:30Z</dcterms:created>
  <dcterms:modified xsi:type="dcterms:W3CDTF">2025-06-10T18:16:55Z</dcterms:modified>
</cp:coreProperties>
</file>