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io\OneDrive\Documentos\PROJETOS\OUTROS\"/>
    </mc:Choice>
  </mc:AlternateContent>
  <xr:revisionPtr revIDLastSave="32" documentId="14_{FBAAA31E-B43C-4F70-80D9-3FC29C9E37D6}" xr6:coauthVersionLast="36" xr6:coauthVersionMax="36" xr10:uidLastSave="{611DBCB1-2C09-443C-82F8-15E83DB53269}"/>
  <bookViews>
    <workbookView xWindow="0" yWindow="0" windowWidth="26520" windowHeight="11490" firstSheet="2" activeTab="7" xr2:uid="{CD8D6024-3018-49A4-82B6-2C8784DA9FAE}"/>
  </bookViews>
  <sheets>
    <sheet name="Formulas" sheetId="11" r:id="rId1"/>
    <sheet name="Tabela_Clientes" sheetId="6" r:id="rId2"/>
    <sheet name="Clientes_Cadastrados" sheetId="2" r:id="rId3"/>
    <sheet name="Estoque - Novembro" sheetId="3" r:id="rId4"/>
    <sheet name="Pedidos" sheetId="1" r:id="rId5"/>
    <sheet name="Pedidos - Sal_Nov" sheetId="7" r:id="rId6"/>
    <sheet name="Pedidos - Pele_Nov" sheetId="9" r:id="rId7"/>
    <sheet name="Tabela_Auxiliar" sheetId="14" r:id="rId8"/>
    <sheet name="Layout_Dashboard_Relatório" sheetId="13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4" l="1"/>
  <c r="G61" i="14"/>
  <c r="C50" i="14"/>
  <c r="C84" i="14"/>
  <c r="K7" i="3"/>
  <c r="J7" i="3"/>
  <c r="K9" i="3"/>
  <c r="C49" i="14"/>
  <c r="G94" i="14"/>
  <c r="G60" i="14"/>
  <c r="C83" i="14"/>
  <c r="K8" i="3" l="1"/>
  <c r="K6" i="3"/>
  <c r="B9" i="14"/>
  <c r="I26" i="14"/>
  <c r="H26" i="14"/>
  <c r="G26" i="14"/>
  <c r="F26" i="14"/>
  <c r="F35" i="9"/>
  <c r="C35" i="9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" i="2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5" i="1"/>
  <c r="J6" i="1" s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5" i="1"/>
  <c r="H6" i="1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" i="2"/>
  <c r="J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" i="2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7" i="6"/>
  <c r="J58" i="6"/>
  <c r="J60" i="6"/>
  <c r="J61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J56" i="6" s="1"/>
  <c r="I57" i="6"/>
  <c r="I58" i="6"/>
  <c r="I59" i="6"/>
  <c r="J59" i="6" s="1"/>
  <c r="I60" i="6"/>
  <c r="I61" i="6"/>
  <c r="J33" i="1" l="1"/>
  <c r="J25" i="1"/>
  <c r="J17" i="1"/>
  <c r="J9" i="1"/>
  <c r="H25" i="1"/>
  <c r="H17" i="1"/>
  <c r="H9" i="1"/>
  <c r="J28" i="1"/>
  <c r="J8" i="1"/>
  <c r="H12" i="1"/>
  <c r="J35" i="1"/>
  <c r="J31" i="1"/>
  <c r="J27" i="1"/>
  <c r="J23" i="1"/>
  <c r="J19" i="1"/>
  <c r="J15" i="1"/>
  <c r="J11" i="1"/>
  <c r="J7" i="1"/>
  <c r="H35" i="1"/>
  <c r="H31" i="1"/>
  <c r="H27" i="1"/>
  <c r="H23" i="1"/>
  <c r="H19" i="1"/>
  <c r="H15" i="1"/>
  <c r="H11" i="1"/>
  <c r="H7" i="1"/>
  <c r="J29" i="1"/>
  <c r="J21" i="1"/>
  <c r="J13" i="1"/>
  <c r="H33" i="1"/>
  <c r="H29" i="1"/>
  <c r="H21" i="1"/>
  <c r="H13" i="1"/>
  <c r="J32" i="1"/>
  <c r="J24" i="1"/>
  <c r="J20" i="1"/>
  <c r="J16" i="1"/>
  <c r="J12" i="1"/>
  <c r="H32" i="1"/>
  <c r="H28" i="1"/>
  <c r="H24" i="1"/>
  <c r="H20" i="1"/>
  <c r="H16" i="1"/>
  <c r="H8" i="1"/>
  <c r="J34" i="1"/>
  <c r="J30" i="1"/>
  <c r="J26" i="1"/>
  <c r="J22" i="1"/>
  <c r="J18" i="1"/>
  <c r="J14" i="1"/>
  <c r="J10" i="1"/>
  <c r="H34" i="1"/>
  <c r="H30" i="1"/>
  <c r="H26" i="1"/>
  <c r="H22" i="1"/>
  <c r="H18" i="1"/>
  <c r="H14" i="1"/>
  <c r="H10" i="1"/>
  <c r="I6" i="6"/>
  <c r="J6" i="6"/>
  <c r="N6" i="6"/>
  <c r="O6" i="6"/>
  <c r="M3" i="14"/>
  <c r="L9" i="14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C69" i="7"/>
  <c r="H13" i="14" s="1"/>
  <c r="D69" i="7"/>
  <c r="H14" i="14" s="1"/>
  <c r="E69" i="7"/>
  <c r="H15" i="14" s="1"/>
  <c r="F69" i="7"/>
  <c r="H16" i="14" s="1"/>
  <c r="G69" i="7"/>
  <c r="F21" i="3" s="1"/>
  <c r="H69" i="7"/>
  <c r="H18" i="14" s="1"/>
  <c r="I69" i="7"/>
  <c r="F23" i="3" s="1"/>
  <c r="J69" i="7"/>
  <c r="F24" i="3" s="1"/>
  <c r="K69" i="7"/>
  <c r="M4" i="14"/>
  <c r="H21" i="14"/>
  <c r="L35" i="7"/>
  <c r="H12" i="14" s="1"/>
  <c r="I35" i="7"/>
  <c r="F12" i="3" s="1"/>
  <c r="C35" i="7"/>
  <c r="H3" i="14" s="1"/>
  <c r="J9" i="3"/>
  <c r="E26" i="3"/>
  <c r="E16" i="3"/>
  <c r="K35" i="7"/>
  <c r="F14" i="3" s="1"/>
  <c r="J35" i="7"/>
  <c r="H10" i="14" s="1"/>
  <c r="H35" i="7"/>
  <c r="F11" i="3" s="1"/>
  <c r="G35" i="7"/>
  <c r="H7" i="14" s="1"/>
  <c r="F35" i="7"/>
  <c r="H6" i="14" s="1"/>
  <c r="E35" i="7"/>
  <c r="F8" i="3" s="1"/>
  <c r="D35" i="7"/>
  <c r="H4" i="14" s="1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B3" i="14"/>
  <c r="D3" i="14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5" i="3"/>
  <c r="M5" i="14" l="1"/>
  <c r="L6" i="14" s="1"/>
  <c r="M9" i="14"/>
  <c r="F20" i="3"/>
  <c r="F17" i="3"/>
  <c r="H20" i="14"/>
  <c r="H17" i="14"/>
  <c r="H19" i="14"/>
  <c r="F18" i="3"/>
  <c r="F19" i="3"/>
  <c r="L69" i="7"/>
  <c r="F22" i="3"/>
  <c r="H11" i="14"/>
  <c r="H9" i="14"/>
  <c r="H8" i="14"/>
  <c r="F13" i="3"/>
  <c r="F10" i="3"/>
  <c r="F6" i="3"/>
  <c r="F15" i="3"/>
  <c r="H5" i="14"/>
  <c r="F9" i="3"/>
  <c r="M35" i="7"/>
  <c r="F7" i="3"/>
  <c r="O11" i="1"/>
  <c r="M14" i="1"/>
  <c r="M8" i="1"/>
  <c r="M10" i="1"/>
  <c r="M12" i="1"/>
  <c r="M16" i="1"/>
  <c r="M18" i="1"/>
  <c r="M21" i="1"/>
  <c r="M23" i="1"/>
  <c r="M25" i="1"/>
  <c r="M28" i="1"/>
  <c r="M30" i="1"/>
  <c r="M32" i="1"/>
  <c r="M34" i="1"/>
  <c r="M20" i="1"/>
  <c r="M6" i="1"/>
  <c r="M7" i="1"/>
  <c r="M9" i="1"/>
  <c r="M15" i="1"/>
  <c r="M17" i="1"/>
  <c r="M22" i="1"/>
  <c r="M24" i="1"/>
  <c r="M26" i="1"/>
  <c r="M29" i="1"/>
  <c r="M31" i="1"/>
  <c r="M33" i="1"/>
  <c r="M27" i="1"/>
  <c r="M13" i="1"/>
  <c r="M35" i="1"/>
  <c r="M11" i="1"/>
  <c r="M19" i="1"/>
  <c r="O28" i="1"/>
  <c r="F4" i="11"/>
  <c r="O31" i="1"/>
  <c r="C4" i="11"/>
  <c r="L5" i="14" l="1"/>
  <c r="N6" i="14" s="1"/>
  <c r="F26" i="3"/>
  <c r="H22" i="14"/>
  <c r="G23" i="14" s="1"/>
  <c r="F16" i="3"/>
  <c r="N55" i="2" a="1"/>
  <c r="N55" i="2" s="1"/>
  <c r="N50" i="2" a="1"/>
  <c r="N57" i="2" a="1"/>
  <c r="N41" i="2" a="1"/>
  <c r="N41" i="2" s="1"/>
  <c r="N56" i="2" a="1"/>
  <c r="N56" i="2" s="1"/>
  <c r="N61" i="2" a="1"/>
  <c r="N45" i="2" a="1"/>
  <c r="N45" i="2" s="1"/>
  <c r="N60" i="2" a="1"/>
  <c r="N60" i="2" s="1"/>
  <c r="N44" i="2" a="1"/>
  <c r="P26" i="1"/>
  <c r="N26" i="2" s="1" a="1"/>
  <c r="N26" i="2" s="1"/>
  <c r="N40" i="2" a="1"/>
  <c r="N40" i="2" s="1"/>
  <c r="N47" i="2" a="1"/>
  <c r="N43" i="2" a="1"/>
  <c r="N46" i="2" a="1"/>
  <c r="N53" i="2" a="1"/>
  <c r="N53" i="2" s="1"/>
  <c r="N59" i="2" a="1"/>
  <c r="N52" i="2" a="1"/>
  <c r="N54" i="2" a="1"/>
  <c r="N58" i="2" a="1"/>
  <c r="N42" i="2" a="1"/>
  <c r="N42" i="2" s="1"/>
  <c r="N49" i="2" a="1"/>
  <c r="N49" i="2" s="1"/>
  <c r="N51" i="2" a="1"/>
  <c r="N48" i="2" a="1"/>
  <c r="O21" i="1"/>
  <c r="O9" i="1"/>
  <c r="O23" i="1"/>
  <c r="O16" i="1"/>
  <c r="O35" i="1"/>
  <c r="O24" i="1"/>
  <c r="O10" i="1"/>
  <c r="O17" i="1"/>
  <c r="O22" i="1"/>
  <c r="P22" i="1" s="1"/>
  <c r="O6" i="1"/>
  <c r="O20" i="1"/>
  <c r="O25" i="1"/>
  <c r="P11" i="1"/>
  <c r="O33" i="1"/>
  <c r="N37" i="2" a="1"/>
  <c r="N37" i="2" s="1"/>
  <c r="O8" i="1"/>
  <c r="O19" i="1"/>
  <c r="O7" i="1"/>
  <c r="O34" i="1"/>
  <c r="O18" i="1"/>
  <c r="O14" i="1"/>
  <c r="O26" i="1"/>
  <c r="O30" i="1"/>
  <c r="O27" i="1"/>
  <c r="O29" i="1"/>
  <c r="O15" i="1"/>
  <c r="O13" i="1"/>
  <c r="O32" i="1"/>
  <c r="O12" i="1"/>
  <c r="P21" i="1"/>
  <c r="N21" i="2" s="1" a="1"/>
  <c r="N21" i="2" s="1"/>
  <c r="P28" i="1"/>
  <c r="N28" i="2" s="1" a="1"/>
  <c r="N28" i="2" s="1"/>
  <c r="C5" i="11"/>
  <c r="P35" i="1"/>
  <c r="P31" i="1"/>
  <c r="P9" i="1"/>
  <c r="N9" i="2" s="1" a="1"/>
  <c r="P20" i="1"/>
  <c r="N20" i="2" s="1" a="1"/>
  <c r="N20" i="2" s="1"/>
  <c r="P10" i="1"/>
  <c r="G22" i="14" l="1"/>
  <c r="I23" i="14" s="1"/>
  <c r="P32" i="1"/>
  <c r="N32" i="2" s="1" a="1"/>
  <c r="N32" i="2" s="1"/>
  <c r="P27" i="1"/>
  <c r="N27" i="2" s="1" a="1"/>
  <c r="N27" i="2" s="1"/>
  <c r="P8" i="1"/>
  <c r="N8" i="2" s="1" a="1"/>
  <c r="P25" i="1"/>
  <c r="P30" i="1"/>
  <c r="N30" i="2" s="1" a="1"/>
  <c r="N10" i="2" a="1"/>
  <c r="N10" i="2" s="1"/>
  <c r="N11" i="2" a="1"/>
  <c r="N11" i="2" s="1"/>
  <c r="N25" i="2" a="1"/>
  <c r="N25" i="2" s="1"/>
  <c r="N47" i="2"/>
  <c r="N31" i="2" a="1"/>
  <c r="N31" i="2" s="1"/>
  <c r="N35" i="2" a="1"/>
  <c r="N35" i="2" s="1"/>
  <c r="N22" i="2" a="1"/>
  <c r="N22" i="2" s="1"/>
  <c r="N36" i="2" a="1"/>
  <c r="N36" i="2" s="1"/>
  <c r="P6" i="1"/>
  <c r="N6" i="2" s="1" a="1"/>
  <c r="P16" i="1"/>
  <c r="P19" i="1"/>
  <c r="P7" i="1"/>
  <c r="P24" i="1"/>
  <c r="P23" i="1"/>
  <c r="N23" i="2" s="1" a="1"/>
  <c r="P15" i="1"/>
  <c r="N39" i="2" a="1"/>
  <c r="N39" i="2" s="1"/>
  <c r="P14" i="1"/>
  <c r="P34" i="1"/>
  <c r="P17" i="1"/>
  <c r="P12" i="1"/>
  <c r="N12" i="2" s="1" a="1"/>
  <c r="P18" i="1"/>
  <c r="P13" i="1"/>
  <c r="P29" i="1"/>
  <c r="P33" i="1"/>
  <c r="N9" i="2"/>
  <c r="N44" i="2"/>
  <c r="N46" i="2"/>
  <c r="N43" i="2"/>
  <c r="N54" i="2"/>
  <c r="N8" i="2" l="1"/>
  <c r="N6" i="2"/>
  <c r="N23" i="2"/>
  <c r="N30" i="2"/>
  <c r="N12" i="2"/>
  <c r="N61" i="2"/>
  <c r="N18" i="2" a="1"/>
  <c r="N18" i="2" s="1"/>
  <c r="N57" i="2"/>
  <c r="N33" i="2" a="1"/>
  <c r="N33" i="2" s="1"/>
  <c r="N14" i="2" a="1"/>
  <c r="N14" i="2" s="1"/>
  <c r="N48" i="2"/>
  <c r="N16" i="2" a="1"/>
  <c r="N16" i="2" s="1"/>
  <c r="N34" i="2" a="1"/>
  <c r="N34" i="2" s="1"/>
  <c r="N58" i="2"/>
  <c r="N19" i="2" a="1"/>
  <c r="N19" i="2" s="1"/>
  <c r="N50" i="2"/>
  <c r="N38" i="2" a="1"/>
  <c r="N38" i="2" s="1"/>
  <c r="N59" i="2"/>
  <c r="N24" i="2" a="1"/>
  <c r="N24" i="2" s="1"/>
  <c r="N29" i="2" a="1"/>
  <c r="N29" i="2" s="1"/>
  <c r="N13" i="2" a="1"/>
  <c r="N13" i="2" s="1"/>
  <c r="N51" i="2"/>
  <c r="N17" i="2" a="1"/>
  <c r="N17" i="2" s="1"/>
  <c r="N15" i="2" a="1"/>
  <c r="N15" i="2" s="1"/>
  <c r="N7" i="2" a="1"/>
  <c r="N7" i="2" s="1"/>
  <c r="B12" i="14"/>
  <c r="N52" i="2"/>
  <c r="B15" i="14"/>
  <c r="B6" i="14"/>
</calcChain>
</file>

<file path=xl/sharedStrings.xml><?xml version="1.0" encoding="utf-8"?>
<sst xmlns="http://schemas.openxmlformats.org/spreadsheetml/2006/main" count="471" uniqueCount="152">
  <si>
    <t>Data</t>
  </si>
  <si>
    <t>Cliente</t>
  </si>
  <si>
    <t>Qtd.Total</t>
  </si>
  <si>
    <t>Valor Total</t>
  </si>
  <si>
    <t>Qtd.Pedidos</t>
  </si>
  <si>
    <t>Valor em Compras</t>
  </si>
  <si>
    <t>Sabores</t>
  </si>
  <si>
    <t>Salgados</t>
  </si>
  <si>
    <t>Pele</t>
  </si>
  <si>
    <t>Tipo</t>
  </si>
  <si>
    <r>
      <rPr>
        <b/>
        <sz val="10"/>
        <color theme="0"/>
        <rFont val="Arial"/>
        <family val="2"/>
      </rPr>
      <t>Cliente</t>
    </r>
  </si>
  <si>
    <t>R$ 9,50</t>
  </si>
  <si>
    <t>R$ 10,75</t>
  </si>
  <si>
    <t>R$ 10,25</t>
  </si>
  <si>
    <t>R$ 7,50</t>
  </si>
  <si>
    <t>R$ 9,75</t>
  </si>
  <si>
    <t>Salgadinho</t>
  </si>
  <si>
    <t>R$ 10,00</t>
  </si>
  <si>
    <t>R$ 15,50</t>
  </si>
  <si>
    <t>R$ 16,00</t>
  </si>
  <si>
    <t>R$ 15,75</t>
  </si>
  <si>
    <t>Salgadinho - Preço Cheio</t>
  </si>
  <si>
    <t>3kg</t>
  </si>
  <si>
    <t>13kg</t>
  </si>
  <si>
    <t>Salgadinhos</t>
  </si>
  <si>
    <t>Pimentinha</t>
  </si>
  <si>
    <t>Salg. Sabor Pimenta Mexicana</t>
  </si>
  <si>
    <t>Bolinha de Bacon</t>
  </si>
  <si>
    <t>Pastelzinho de Queijo</t>
  </si>
  <si>
    <t>Pastelzinho de Pizza</t>
  </si>
  <si>
    <t>Salg. Sabor Churrasco</t>
  </si>
  <si>
    <t>Salg. Sabor Costela c/Limão</t>
  </si>
  <si>
    <t>Salg. Sabor Picanha</t>
  </si>
  <si>
    <t>Salg. Sabor Cebola &amp; Salsa</t>
  </si>
  <si>
    <t>Baconzitos</t>
  </si>
  <si>
    <t>Peso</t>
  </si>
  <si>
    <t>2kg</t>
  </si>
  <si>
    <t>3,5kg</t>
  </si>
  <si>
    <t>Pele Listrada</t>
  </si>
  <si>
    <t>Sal</t>
  </si>
  <si>
    <t>Quantidade em kg</t>
  </si>
  <si>
    <t>Total</t>
  </si>
  <si>
    <t>Coluna1</t>
  </si>
  <si>
    <t>Projeto Kaio | Pedidos - Sal</t>
  </si>
  <si>
    <t>Projeto Kaio | Pedidos - Pele</t>
  </si>
  <si>
    <t>Subtotal</t>
  </si>
  <si>
    <t>Formula Anti-erro</t>
  </si>
  <si>
    <t>SAL</t>
  </si>
  <si>
    <t>PELE</t>
  </si>
  <si>
    <t>3KG</t>
  </si>
  <si>
    <t>2KG</t>
  </si>
  <si>
    <t>13KG</t>
  </si>
  <si>
    <t>=SEERRO(SES([@Cliente]=Clientes_Cadastrados!C4;[@[Qtd.Pele(2kg)]]*Clientes_Cadastrados!J4;[@Cliente]=Clientes_Cadastrados!C5;[@[Qtd.Pele(2kg)]]*Clientes_Cadastrados!J5;[@Cliente]=Clientes_Cadastrados!C6;[@[Qtd.Pele(2kg)]]*Clientes_Cadastrados!J6;[@Cliente]=Clientes_Cadastrados!C7;[@[Qtd.Pele(2kg)]]*Clientes_Cadastrados!J7;[@Cliente]=Clientes_Cadastrados!C8;[@[Qtd.Pele(2kg)]]*Clientes_Cadastrados!J8;[@Cliente]=Clientes_Cadastrados!C9;[@[Qtd.Pele(2kg)]]*Clientes_Cadastrados!J9;[@Cliente]=Clientes_Cadastrados!C10;[@[Qtd.Pele(2kg)]]*Clientes_Cadastrados!J10;[@Cliente]=Clientes_Cadastrados!C11;[@[Qtd.Pele(2kg)]]*Clientes_Cadastrados!J11;[@Cliente]=Clientes_Cadastrados!C12;[@[Qtd.Pele(2kg)]]*Clientes_Cadastrados!J12;[@Cliente]=Clientes_Cadastrados!C13;[@[Qtd.Pele(2kg)]]*Clientes_Cadastrados!J13;[@Cliente]=Clientes_Cadastrados!C14;[@[Qtd.Pele(2kg)]]*Clientes_Cadastrados!J14;[@Cliente]=Clientes_Cadastrados!C15;[@[Qtd.Pele(2kg)]]*Clientes_Cadastrados!J15;[@Cliente]=Clientes_Cadastrados!C16;[@[Qtd.Pele(2kg)]]*Clientes_Cadastrados!J16;[@Cliente]=Clientes_Cadastrados!C17;[@[Qtd.Pele(2kg)]]*Clientes_Cadastrados!J17;[@Cliente]=Clientes_Cadastrados!C18;[@[Qtd.Pele(2kg)]]*Clientes_Cadastrados!J18;[@Cliente]=Clientes_Cadastrados!C19;[@[Qtd.Pele(2kg)]]*Clientes_Cadastrados!J19;[@Cliente]=Clientes_Cadastrados!C20;[@[Qtd.Pele(2kg)]]*Clientes_Cadastrados!J20;[@Cliente]=Clientes_Cadastrados!C21;[@[Qtd.Pele(2kg)]]*Clientes_Cadastrados!J21;[@Cliente]=Clientes_Cadastrados!C23;[@[Qtd.Pele(2kg)]]*Clientes_Cadastrados!J23;[@Cliente]=Clientes_Cadastrados!C24;[@[Qtd.Pele(2kg)]]*Clientes_Cadastrados!J24;[@Cliente]=Clientes_Cadastrados!C25;[@[Qtd.Pele(2kg)]]*Clientes_Cadastrados!J25;[@Cliente]=Clientes_Cadastrados!C26;[@[Qtd.Pele(2kg)]]*Clientes_Cadastrados!J26;[@Cliente]=Clientes_Cadastrados!C27;[@[Qtd.Pele(2kg)]]*Clientes_Cadastrados!J27;[@Cliente]=Clientes_Cadastrados!C28;[@[Qtd.Pele(2kg)]]*Clientes_Cadastrados!J28;[@Cliente]=Clientes_Cadastrados!C29;[@[Qtd.Pele(2kg)]]*Clientes_Cadastrados!J29;[@Cliente]=Clientes_Cadastrados!C30;[@[Qtd.Pele(2kg)]]*Clientes_Cadastrados!J30;[@Cliente]=Clientes_Cadastrados!C31;[@[Qtd.Pele(2kg)]]*Clientes_Cadastrados!J31;[@Cliente]=Clientes_Cadastrados!C32;[@[Qtd.Pele(2kg)]]*Clientes_Cadastrados!J32;[@Cliente]=Clientes_Cadastrados!C33;[@[Qtd.Pele(2kg)]]*Clientes_Cadastrados!J33;[@Cliente]=Clientes_Cadastrados!C34;[@[Qtd.Pele(2kg)]]*Clientes_Cadastrados!J34;[@Cliente]=Clientes_Cadastrados!C35;[@[Qtd.Pele(2kg)]]*Clientes_Cadastrados!J35;[@Cliente]=Clientes_Cadastrados!C36;[@[Qtd.Pele(2kg)]]*Clientes_Cadastrados!J36;[@Cliente]=Clientes_Cadastrados!C37;[@[Qtd.Pele(2kg)]]*Clientes_Cadastrados!J37;[@Cliente]=Clientes_Cadastrados!C38;[@[Qtd.Pele(2kg)]]*Clientes_Cadastrados!J38;[@Cliente]=Clientes_Cadastrados!C39;[@[Qtd.Pele(2kg)]]*Clientes_Cadastrados!J39;[@Cliente]=Clientes_Cadastrados!C40;[@[Qtd.Pele(2kg)]]*Clientes_Cadastrados!J40;[@Cliente]=Clientes_Cadastrados!C41;[@[Qtd.Pele(2kg)]]*Clientes_Cadastrados!J41;[@Cliente]=Clientes_Cadastrados!C42;[@[Qtd.Pele(2kg)]]*Clientes_Cadastrados!J42;[@Cliente]=Clientes_Cadastrados!C43;[@[Qtd.Pele(2kg)]]*Clientes_Cadastrados!J43;[@Cliente]=Clientes_Cadastrados!C44;[@[Qtd.Pele(2kg)]]*Clientes_Cadastrados!J44;[@Cliente]=Clientes_Cadastrados!C45;[@[Qtd.Pele(2kg)]]*Clientes_Cadastrados!J45;[@Cliente]=Clientes_Cadastrados!C46;[@[Qtd.Pele(2kg)]]*Clientes_Cadastrados!J46;[@Cliente]=Clientes_Cadastrados!C47;[@[Qtd.Pele(2kg)]]*Clientes_Cadastrados!J47;[@Cliente]=Clientes_Cadastrados!C48;[@[Qtd.Pele(2kg)]]*Clientes_Cadastrados!J48;[@Cliente]=Clientes_Cadastrados!C49;[@[Qtd.Pele(2kg)]]*Clientes_Cadastrados!J49;[@Cliente]=Clientes_Cadastrados!C50;[@[Qtd.Pele(2kg)]]*Clientes_Cadastrados!J50;[@Cliente]=Clientes_Cadastrados!C51;[@[Qtd.Pele(2kg)]]*Clientes_Cadastrados!J51;[@Cliente]=Clientes_Cadastrados!C52;[@[Qtd.Pele(2kg)]]*Clientes_Cadastrados!J52;[@Cliente]=Clientes_Cadastrados!C53;[@[Qtd.Pele(2kg)]]*Clientes_Cadastrados!J53;[@Cliente]=Clientes_Cadastrados!C54;[@[Qtd.Pele(2kg)]]*Clientes_Cadastrados!J54;[@Cliente]=Clientes_Cadastrados!C55;[@[Qtd.Pele(2kg)]]*Clientes_Cadastrados!J55;[@Cliente]=Clientes_Cadastrados!C56;[@[Qtd.Pele(2kg)]]*Clientes_Cadastrados!J56;[@Cliente]=Clientes_Cadastrados!C57;[@[Qtd.Pele(2kg)]]*Clientes_Cadastrados!J57;[@Cliente]=Clientes_Cadastrados!C58;[@[Qtd.Pele(2kg)]]*Clientes_Cadastrados!J58;[@Cliente]=Clientes_Cadastrados!C59;[@[Qtd.Pele(2kg)]]*Clientes_Cadastrados!J59;[@Cliente]=Clientes_Cadastrados!C60;[@[Qtd.Pele(2kg)]]*Clientes_Cadastrados!J60);" ")</t>
  </si>
  <si>
    <t>N° de Pedidos</t>
  </si>
  <si>
    <t>N° de Clientes</t>
  </si>
  <si>
    <t>Total por dia</t>
  </si>
  <si>
    <t>Tabela de quantidade Sal</t>
  </si>
  <si>
    <t>Maior</t>
  </si>
  <si>
    <t>Tabela de quantidade Pele</t>
  </si>
  <si>
    <t>Nome</t>
  </si>
  <si>
    <t>1° Semana</t>
  </si>
  <si>
    <t>Media das Semanas</t>
  </si>
  <si>
    <t>Ultima Semana</t>
  </si>
  <si>
    <t>2°Semana</t>
  </si>
  <si>
    <t>3°Semana</t>
  </si>
  <si>
    <t>4°Semana</t>
  </si>
  <si>
    <t>Empresa AA10</t>
  </si>
  <si>
    <t>Empresa AA11</t>
  </si>
  <si>
    <t>Empresa AA12</t>
  </si>
  <si>
    <t>Empresa AA13</t>
  </si>
  <si>
    <t>Empresa AA14</t>
  </si>
  <si>
    <t>Empresa AA15</t>
  </si>
  <si>
    <t>Empresa AA16</t>
  </si>
  <si>
    <t>Empresa AA17</t>
  </si>
  <si>
    <t>Empresa AA18</t>
  </si>
  <si>
    <t>Empresa AA19</t>
  </si>
  <si>
    <t>Empresa AA20</t>
  </si>
  <si>
    <t>Empresa AA21</t>
  </si>
  <si>
    <t>Empresa AA22</t>
  </si>
  <si>
    <t>Empresa AA23</t>
  </si>
  <si>
    <t>Empresa AA24</t>
  </si>
  <si>
    <t>Empresa AA25</t>
  </si>
  <si>
    <t>Empresa AA26</t>
  </si>
  <si>
    <t>Empresa AA27</t>
  </si>
  <si>
    <t>Empresa AA28</t>
  </si>
  <si>
    <t>Empresa AA29</t>
  </si>
  <si>
    <t>Empresa AA30</t>
  </si>
  <si>
    <t>Empresa AA31</t>
  </si>
  <si>
    <t>Empresa AA32</t>
  </si>
  <si>
    <t>Empresa AA33</t>
  </si>
  <si>
    <t>Empresa AA34</t>
  </si>
  <si>
    <t>Empresa AA35</t>
  </si>
  <si>
    <t>Empresa AA36</t>
  </si>
  <si>
    <t>Empresa AA37</t>
  </si>
  <si>
    <t>Empresa AA38</t>
  </si>
  <si>
    <t>Empresa AA39</t>
  </si>
  <si>
    <t>Empresa AA40</t>
  </si>
  <si>
    <t>Empresa AA41</t>
  </si>
  <si>
    <t>Empresa AA42</t>
  </si>
  <si>
    <t>Empresa AA43</t>
  </si>
  <si>
    <t>Empresa AA44</t>
  </si>
  <si>
    <t>Empresa AA45</t>
  </si>
  <si>
    <t>Empresa AA46</t>
  </si>
  <si>
    <t>Empresa AA47</t>
  </si>
  <si>
    <t>Empresa AA48</t>
  </si>
  <si>
    <t>Empresa AA49</t>
  </si>
  <si>
    <t>Empresa AA50</t>
  </si>
  <si>
    <t>Empresa AA51</t>
  </si>
  <si>
    <t>Empresa AA52</t>
  </si>
  <si>
    <t>Empresa AA53</t>
  </si>
  <si>
    <t>Empresa AA54</t>
  </si>
  <si>
    <t>Empresa AA55</t>
  </si>
  <si>
    <t>Empresa AA56</t>
  </si>
  <si>
    <t>Empresa AA57</t>
  </si>
  <si>
    <t>Empresa AA58</t>
  </si>
  <si>
    <t>Empresa AA59</t>
  </si>
  <si>
    <t>Empresa AA60</t>
  </si>
  <si>
    <t>Empresa AA61</t>
  </si>
  <si>
    <t>Empresa AA62</t>
  </si>
  <si>
    <t>Empresa AA63</t>
  </si>
  <si>
    <t>Empresa AA64</t>
  </si>
  <si>
    <t>Empresa AA65</t>
  </si>
  <si>
    <t>15kg</t>
  </si>
  <si>
    <t>5kg</t>
  </si>
  <si>
    <t>12kg</t>
  </si>
  <si>
    <t>9kg</t>
  </si>
  <si>
    <t>Nov</t>
  </si>
  <si>
    <t>Qtd.Sal(15kg)</t>
  </si>
  <si>
    <t>Preço 15kg</t>
  </si>
  <si>
    <t>Qtd.Sal(5kg)</t>
  </si>
  <si>
    <t>Preço 5kg</t>
  </si>
  <si>
    <t>Qtd.(Pele 12kg)</t>
  </si>
  <si>
    <t>Preço Pele 12kg</t>
  </si>
  <si>
    <t>Qtd.Pele(9kg)</t>
  </si>
  <si>
    <t>Preço (9kg)</t>
  </si>
  <si>
    <t>Bancon I</t>
  </si>
  <si>
    <t>Bancon II</t>
  </si>
  <si>
    <t>Bancon IIII</t>
  </si>
  <si>
    <t>Bancon IV</t>
  </si>
  <si>
    <t>Pastel I</t>
  </si>
  <si>
    <t>Pastel II</t>
  </si>
  <si>
    <t>Pastel III</t>
  </si>
  <si>
    <t>Pastel IV</t>
  </si>
  <si>
    <t>Cebola II</t>
  </si>
  <si>
    <t>Cebola I</t>
  </si>
  <si>
    <t>Picanha</t>
  </si>
  <si>
    <t>Painel de Bordo  |  Portifólio Caio</t>
  </si>
  <si>
    <t>Porcentagem</t>
  </si>
  <si>
    <t>Soma de Estoque 15kg</t>
  </si>
  <si>
    <t>Soma de Estoque 5kg</t>
  </si>
  <si>
    <t>Soma de Estoque 12kg</t>
  </si>
  <si>
    <t>Soma de Estoque 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</si>
</sst>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rial"/>
      <family val="2"/>
    </font>
    <font>
      <b/>
      <sz val="9"/>
      <color theme="0"/>
      <name val="Calibri"/>
      <family val="2"/>
      <scheme val="minor"/>
    </font>
    <font>
      <sz val="10"/>
      <name val="Bahnschrift"/>
      <family val="2"/>
    </font>
    <font>
      <b/>
      <sz val="10"/>
      <color theme="0"/>
      <name val="Bahnschrift"/>
      <family val="2"/>
    </font>
    <font>
      <sz val="9"/>
      <color theme="1"/>
      <name val="Bahnschrift"/>
      <family val="2"/>
    </font>
    <font>
      <sz val="11"/>
      <color theme="1"/>
      <name val="Bahnschrift Light"/>
      <family val="2"/>
    </font>
    <font>
      <sz val="9"/>
      <color theme="1"/>
      <name val="Bahnschrift Light"/>
      <family val="2"/>
    </font>
    <font>
      <sz val="12"/>
      <color theme="0"/>
      <name val="Avignon Pro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9"/>
      <color theme="0"/>
      <name val="Bahnschrift"/>
      <family val="2"/>
    </font>
    <font>
      <b/>
      <sz val="9"/>
      <color theme="0"/>
      <name val="Bahnschrift"/>
      <family val="2"/>
    </font>
    <font>
      <b/>
      <sz val="11"/>
      <color theme="1"/>
      <name val="Bahnschrift"/>
      <family val="2"/>
    </font>
    <font>
      <b/>
      <sz val="8"/>
      <color theme="0" tint="-0.14999847407452621"/>
      <name val="Bahnschrift"/>
      <family val="2"/>
    </font>
    <font>
      <b/>
      <sz val="12"/>
      <color theme="0"/>
      <name val="Avignon Pro Demi"/>
    </font>
    <font>
      <b/>
      <sz val="11"/>
      <color theme="0"/>
      <name val="Avignon Pro Demi"/>
    </font>
    <font>
      <b/>
      <sz val="10"/>
      <color theme="0"/>
      <name val="Avignon Pro Demi"/>
    </font>
    <font>
      <sz val="11"/>
      <color theme="1"/>
      <name val="Avignon Pro Demi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theme="1"/>
      <name val="Bahnschrift SemiBold SemiConden"/>
      <family val="2"/>
    </font>
    <font>
      <sz val="11"/>
      <color theme="1"/>
      <name val="Bahnschrift SemiCondensed"/>
      <family val="2"/>
    </font>
    <font>
      <sz val="10"/>
      <color rgb="FF000000"/>
      <name val="Times New Roman"/>
      <family val="1"/>
    </font>
    <font>
      <sz val="10"/>
      <name val="Bahnschrift Light"/>
      <family val="2"/>
    </font>
    <font>
      <sz val="11"/>
      <color theme="0"/>
      <name val="Bahnschrift Light"/>
      <family val="2"/>
    </font>
    <font>
      <sz val="14"/>
      <color theme="1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D192D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3">
    <xf numFmtId="0" fontId="0" fillId="0" borderId="0"/>
    <xf numFmtId="0" fontId="4" fillId="0" borderId="0"/>
    <xf numFmtId="0" fontId="27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14" fillId="7" borderId="4" xfId="0" applyFont="1" applyFill="1" applyBorder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6" fontId="9" fillId="9" borderId="3" xfId="0" applyNumberFormat="1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10" borderId="0" xfId="0" applyFill="1"/>
    <xf numFmtId="0" fontId="0" fillId="6" borderId="0" xfId="0" applyFont="1" applyFill="1"/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6" borderId="0" xfId="0" applyFont="1" applyFill="1"/>
    <xf numFmtId="0" fontId="22" fillId="0" borderId="0" xfId="0" applyFont="1"/>
    <xf numFmtId="0" fontId="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23" fillId="9" borderId="6" xfId="0" applyFont="1" applyFill="1" applyBorder="1"/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9" fillId="0" borderId="0" xfId="0" applyNumberFormat="1" applyFont="1" applyAlignment="1">
      <alignment horizontal="center" vertical="center"/>
    </xf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4" fillId="0" borderId="0" xfId="0" applyNumberFormat="1" applyFont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0" fillId="11" borderId="0" xfId="0" applyFill="1"/>
    <xf numFmtId="164" fontId="10" fillId="0" borderId="0" xfId="0" applyNumberFormat="1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/>
    <xf numFmtId="44" fontId="10" fillId="0" borderId="0" xfId="0" applyNumberFormat="1" applyFont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164" fontId="10" fillId="9" borderId="5" xfId="0" applyNumberFormat="1" applyFont="1" applyFill="1" applyBorder="1" applyAlignment="1">
      <alignment horizontal="center" vertical="center"/>
    </xf>
    <xf numFmtId="0" fontId="29" fillId="6" borderId="5" xfId="0" applyFont="1" applyFill="1" applyBorder="1"/>
    <xf numFmtId="0" fontId="10" fillId="9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4" fontId="24" fillId="9" borderId="5" xfId="0" applyNumberFormat="1" applyFont="1" applyFill="1" applyBorder="1" applyAlignment="1">
      <alignment horizontal="center" vertical="center"/>
    </xf>
    <xf numFmtId="14" fontId="24" fillId="0" borderId="5" xfId="0" applyNumberFormat="1" applyFont="1" applyBorder="1" applyAlignment="1">
      <alignment horizontal="center" vertical="center"/>
    </xf>
    <xf numFmtId="164" fontId="28" fillId="0" borderId="0" xfId="1" applyNumberFormat="1" applyFont="1" applyFill="1" applyBorder="1" applyAlignment="1">
      <alignment horizontal="left" vertical="top"/>
    </xf>
    <xf numFmtId="164" fontId="28" fillId="0" borderId="0" xfId="1" applyNumberFormat="1" applyFont="1" applyFill="1" applyBorder="1" applyAlignment="1">
      <alignment horizontal="left" vertical="center"/>
    </xf>
    <xf numFmtId="164" fontId="28" fillId="0" borderId="0" xfId="1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30" fillId="6" borderId="0" xfId="0" applyFont="1" applyFill="1" applyBorder="1" applyAlignment="1">
      <alignment vertical="center" textRotation="90"/>
    </xf>
    <xf numFmtId="164" fontId="0" fillId="6" borderId="0" xfId="0" applyNumberFormat="1" applyFill="1"/>
    <xf numFmtId="164" fontId="0" fillId="6" borderId="0" xfId="0" applyNumberFormat="1" applyFont="1" applyFill="1"/>
    <xf numFmtId="0" fontId="19" fillId="2" borderId="0" xfId="0" applyFont="1" applyFill="1" applyBorder="1" applyAlignment="1">
      <alignment horizontal="left" vertical="center"/>
    </xf>
    <xf numFmtId="164" fontId="19" fillId="2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164" fontId="12" fillId="5" borderId="0" xfId="0" applyNumberFormat="1" applyFont="1" applyFill="1" applyAlignment="1">
      <alignment horizontal="center" vertical="center"/>
    </xf>
    <xf numFmtId="0" fontId="30" fillId="0" borderId="8" xfId="0" applyFont="1" applyBorder="1" applyAlignment="1">
      <alignment horizontal="center" vertical="center" textRotation="90"/>
    </xf>
    <xf numFmtId="0" fontId="30" fillId="0" borderId="9" xfId="0" applyFont="1" applyBorder="1" applyAlignment="1">
      <alignment horizontal="center" vertical="center" textRotation="90"/>
    </xf>
    <xf numFmtId="0" fontId="30" fillId="0" borderId="10" xfId="0" applyFont="1" applyBorder="1" applyAlignment="1">
      <alignment horizontal="center" vertical="center" textRotation="90"/>
    </xf>
    <xf numFmtId="0" fontId="14" fillId="7" borderId="4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 indent="7"/>
    </xf>
    <xf numFmtId="0" fontId="14" fillId="7" borderId="0" xfId="0" applyFont="1" applyFill="1" applyBorder="1" applyAlignment="1">
      <alignment horizontal="center" vertical="center"/>
    </xf>
    <xf numFmtId="0" fontId="23" fillId="9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1" fillId="10" borderId="0" xfId="0" applyFont="1" applyFill="1" applyAlignment="1">
      <alignment horizontal="left" vertical="center" indent="3"/>
    </xf>
    <xf numFmtId="0" fontId="9" fillId="11" borderId="0" xfId="0" applyFont="1" applyFill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0" fontId="10" fillId="11" borderId="0" xfId="0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A72364E8-4A15-4A35-9C9F-8299B326E1D7}"/>
    <cellStyle name="Normal 2 2" xfId="2" xr:uid="{A72364E8-4A15-4A35-9C9F-8299B326E1D7}"/>
  </cellStyles>
  <dxfs count="105">
    <dxf>
      <font>
        <color theme="1" tint="0.34998626667073579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1"/>
        <name val="Bahnschrift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vignon Pro Demi"/>
        <scheme val="none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8997"/>
      <color rgb="FF1D192D"/>
      <color rgb="FF080042"/>
      <color rgb="FFFF7575"/>
      <color rgb="FFFF5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Tabela_Auxiliar!$F$25:$J$25</c:f>
              <c:strCache>
                <c:ptCount val="4"/>
                <c:pt idx="0">
                  <c:v>1° Semana</c:v>
                </c:pt>
                <c:pt idx="1">
                  <c:v>2°Semana</c:v>
                </c:pt>
                <c:pt idx="2">
                  <c:v>3°Semana</c:v>
                </c:pt>
                <c:pt idx="3">
                  <c:v>4°Semana</c:v>
                </c:pt>
              </c:strCache>
            </c:strRef>
          </c:cat>
          <c:val>
            <c:numRef>
              <c:f>Tabela_Auxiliar!$F$26:$J$26</c:f>
              <c:numCache>
                <c:formatCode>_("R$"* #,##0.00_);_("R$"* \(#,##0.00\);_("R$"* "-"??_);_(@_)</c:formatCode>
                <c:ptCount val="5"/>
                <c:pt idx="0">
                  <c:v>12691.5</c:v>
                </c:pt>
                <c:pt idx="1">
                  <c:v>21296.25</c:v>
                </c:pt>
                <c:pt idx="2">
                  <c:v>15208</c:v>
                </c:pt>
                <c:pt idx="3">
                  <c:v>16773.849999999999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6-4C5B-8F2D-A21CCBE7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86168"/>
        <c:axId val="586486496"/>
      </c:lineChart>
      <c:catAx>
        <c:axId val="586486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496"/>
        <c:crosses val="autoZero"/>
        <c:auto val="1"/>
        <c:lblAlgn val="ctr"/>
        <c:lblOffset val="100"/>
        <c:noMultiLvlLbl val="0"/>
      </c:catAx>
      <c:valAx>
        <c:axId val="5864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13KG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9-4F63-B067-D40B492682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9-4F63-B067-D40B492682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F9-4F63-B067-D40B492682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F9-4F63-B067-D40B492682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F9-4F63-B067-D40B492682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CF9-4F63-B067-D40B492682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CF9-4F63-B067-D40B492682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CF9-4F63-B067-D40B492682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CF9-4F63-B067-D40B492682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CF9-4F63-B067-D40B492682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Tabela_Auxiliar!$F$3:$F$12</c:f>
              <c:strCache>
                <c:ptCount val="10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  <c:pt idx="9">
                  <c:v>Cebola II</c:v>
                </c:pt>
              </c:strCache>
            </c:strRef>
          </c:cat>
          <c:val>
            <c:numRef>
              <c:f>Tabela_Auxiliar!$H$3:$H$12</c:f>
              <c:numCache>
                <c:formatCode>General</c:formatCode>
                <c:ptCount val="10"/>
                <c:pt idx="0">
                  <c:v>208</c:v>
                </c:pt>
                <c:pt idx="1">
                  <c:v>1092</c:v>
                </c:pt>
                <c:pt idx="2">
                  <c:v>260</c:v>
                </c:pt>
                <c:pt idx="3">
                  <c:v>338</c:v>
                </c:pt>
                <c:pt idx="4">
                  <c:v>195</c:v>
                </c:pt>
                <c:pt idx="5">
                  <c:v>130</c:v>
                </c:pt>
                <c:pt idx="6">
                  <c:v>260</c:v>
                </c:pt>
                <c:pt idx="7">
                  <c:v>65</c:v>
                </c:pt>
                <c:pt idx="8">
                  <c:v>169</c:v>
                </c:pt>
                <c:pt idx="9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88BE-4BDE-9761-C2C8B43E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845773936569697E-2"/>
          <c:y val="0.13383883832702731"/>
          <c:w val="0.34475622030161818"/>
          <c:h val="0.83333946893002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12KG | 9KG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 | 2KG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C86-488F-AFEA-ABDD909C9B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86-488F-AFEA-ABDD909C9B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Tabela_Auxiliar!$L$8:$M$8</c:f>
              <c:strCache>
                <c:ptCount val="2"/>
                <c:pt idx="0">
                  <c:v>3KG</c:v>
                </c:pt>
                <c:pt idx="1">
                  <c:v>2KG</c:v>
                </c:pt>
              </c:strCache>
            </c:strRef>
          </c:cat>
          <c:val>
            <c:numRef>
              <c:f>Tabela_Auxiliar!$L$9:$M$9</c:f>
              <c:numCache>
                <c:formatCode>General</c:formatCode>
                <c:ptCount val="2"/>
                <c:pt idx="0">
                  <c:v>1350</c:v>
                </c:pt>
                <c:pt idx="1">
                  <c:v>1824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6-488F-AFEA-ABDD909C9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bg1">
                  <a:lumMod val="7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4C-4D5E-99DB-F802AF8194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4C-4D5E-99DB-F802AF8194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4C-4D5E-99DB-F802AF8194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4C-4D5E-99DB-F802AF8194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4C-4D5E-99DB-F802AF8194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64C-4D5E-99DB-F802AF8194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64C-4D5E-99DB-F802AF8194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64C-4D5E-99DB-F802AF8194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64C-4D5E-99DB-F802AF8194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Tabela_Auxiliar!$F$13:$F$21</c:f>
              <c:strCache>
                <c:ptCount val="9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</c:strCache>
            </c:strRef>
          </c:cat>
          <c:val>
            <c:numRef>
              <c:f>Tabela_Auxiliar!$H$13:$H$21</c:f>
              <c:numCache>
                <c:formatCode>General</c:formatCode>
                <c:ptCount val="9"/>
                <c:pt idx="0">
                  <c:v>150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150</c:v>
                </c:pt>
                <c:pt idx="5">
                  <c:v>200</c:v>
                </c:pt>
                <c:pt idx="6">
                  <c:v>100</c:v>
                </c:pt>
                <c:pt idx="7">
                  <c:v>200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14C-4379-BB36-4D5BAA239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image" Target="../media/image4.svg"/><Relationship Id="rId12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svg"/><Relationship Id="rId5" Type="http://schemas.openxmlformats.org/officeDocument/2006/relationships/image" Target="../media/image2.svg"/><Relationship Id="rId10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173936</xdr:colOff>
      <xdr:row>1</xdr:row>
      <xdr:rowOff>8282</xdr:rowOff>
    </xdr:from>
    <xdr:to>
      <xdr:col>15</xdr:col>
      <xdr:colOff>24849</xdr:colOff>
      <xdr:row>1</xdr:row>
      <xdr:rowOff>346948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A809DDF7-B0A8-44D1-9E17-68AD15EBF688}"/>
            </a:ext>
          </a:extLst>
        </xdr:cNvPr>
        <xdr:cNvSpPr/>
      </xdr:nvSpPr>
      <xdr:spPr>
        <a:xfrm>
          <a:off x="173936" y="198782"/>
          <a:ext cx="13881652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Tabela de clientes (novo preço 01/07/2022 )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1480705</xdr:colOff>
      <xdr:row>1</xdr:row>
      <xdr:rowOff>51954</xdr:rowOff>
    </xdr:from>
    <xdr:to>
      <xdr:col>14</xdr:col>
      <xdr:colOff>0</xdr:colOff>
      <xdr:row>2</xdr:row>
      <xdr:rowOff>18279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80F206C-5267-4156-B36E-9F254B95382E}"/>
            </a:ext>
          </a:extLst>
        </xdr:cNvPr>
        <xdr:cNvSpPr/>
      </xdr:nvSpPr>
      <xdr:spPr>
        <a:xfrm>
          <a:off x="3117273" y="242454"/>
          <a:ext cx="8970818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Cadastro de Clientes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137948</xdr:colOff>
      <xdr:row>0</xdr:row>
      <xdr:rowOff>137948</xdr:rowOff>
    </xdr:from>
    <xdr:to>
      <xdr:col>11</xdr:col>
      <xdr:colOff>19706</xdr:colOff>
      <xdr:row>1</xdr:row>
      <xdr:rowOff>286114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94E4306-B9E6-44B6-96DA-B87BE921A35D}"/>
            </a:ext>
          </a:extLst>
        </xdr:cNvPr>
        <xdr:cNvSpPr/>
      </xdr:nvSpPr>
      <xdr:spPr>
        <a:xfrm>
          <a:off x="282465" y="137948"/>
          <a:ext cx="9505293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Estoque de Produtos</a:t>
          </a:r>
        </a:p>
      </xdr:txBody>
    </xdr:sp>
    <xdr:clientData/>
  </xdr:twoCellAnchor>
  <xdr:twoCellAnchor>
    <xdr:from>
      <xdr:col>7</xdr:col>
      <xdr:colOff>59121</xdr:colOff>
      <xdr:row>9</xdr:row>
      <xdr:rowOff>59121</xdr:rowOff>
    </xdr:from>
    <xdr:to>
      <xdr:col>8</xdr:col>
      <xdr:colOff>886811</xdr:colOff>
      <xdr:row>18</xdr:row>
      <xdr:rowOff>60290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1F195D3-E85E-4554-A7D3-3C4215E256FA}"/>
            </a:ext>
          </a:extLst>
        </xdr:cNvPr>
        <xdr:cNvSpPr/>
      </xdr:nvSpPr>
      <xdr:spPr>
        <a:xfrm>
          <a:off x="5839811" y="1964121"/>
          <a:ext cx="1773621" cy="1715669"/>
        </a:xfrm>
        <a:prstGeom prst="roundRect">
          <a:avLst>
            <a:gd name="adj" fmla="val 5556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213491</xdr:colOff>
      <xdr:row>11</xdr:row>
      <xdr:rowOff>95834</xdr:rowOff>
    </xdr:from>
    <xdr:to>
      <xdr:col>8</xdr:col>
      <xdr:colOff>732440</xdr:colOff>
      <xdr:row>16</xdr:row>
      <xdr:rowOff>23577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DC2295C-2A25-4C6C-A50F-21FA31E6C235}"/>
            </a:ext>
          </a:extLst>
        </xdr:cNvPr>
        <xdr:cNvSpPr/>
      </xdr:nvSpPr>
      <xdr:spPr>
        <a:xfrm>
          <a:off x="5994181" y="2381834"/>
          <a:ext cx="1464880" cy="88024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Realizar periodicamente a vistoria da quantidade do Estoque,</a:t>
          </a:r>
          <a:r>
            <a:rPr lang="pt-BR" sz="1100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 para ver indicadores favoráveis.</a:t>
          </a:r>
          <a:endParaRPr lang="pt-BR" sz="1100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1725085</xdr:colOff>
      <xdr:row>1</xdr:row>
      <xdr:rowOff>0</xdr:rowOff>
    </xdr:from>
    <xdr:to>
      <xdr:col>16</xdr:col>
      <xdr:colOff>1</xdr:colOff>
      <xdr:row>1</xdr:row>
      <xdr:rowOff>338666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C8B97772-8D5C-4F9C-AF43-1A43BC7A3422}"/>
            </a:ext>
          </a:extLst>
        </xdr:cNvPr>
        <xdr:cNvSpPr/>
      </xdr:nvSpPr>
      <xdr:spPr>
        <a:xfrm>
          <a:off x="2973918" y="190500"/>
          <a:ext cx="14022916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Projeto</a:t>
          </a:r>
          <a:r>
            <a:rPr lang="pt-BR" sz="1400" baseline="0">
              <a:latin typeface="Avignon Pro" panose="02000503040000020004" pitchFamily="2" charset="0"/>
            </a:rPr>
            <a:t> Kaio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266307</xdr:colOff>
      <xdr:row>15</xdr:row>
      <xdr:rowOff>190499</xdr:rowOff>
    </xdr:from>
    <xdr:to>
      <xdr:col>18</xdr:col>
      <xdr:colOff>0</xdr:colOff>
      <xdr:row>38</xdr:row>
      <xdr:rowOff>47624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67BEC749-259F-483A-B194-4B2F568F5257}"/>
            </a:ext>
          </a:extLst>
        </xdr:cNvPr>
        <xdr:cNvSpPr/>
      </xdr:nvSpPr>
      <xdr:spPr>
        <a:xfrm>
          <a:off x="266307" y="3315555"/>
          <a:ext cx="10714199" cy="4287856"/>
        </a:xfrm>
        <a:prstGeom prst="roundRect">
          <a:avLst>
            <a:gd name="adj" fmla="val 3433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7</xdr:col>
      <xdr:colOff>538844</xdr:colOff>
      <xdr:row>2</xdr:row>
      <xdr:rowOff>93209</xdr:rowOff>
    </xdr:from>
    <xdr:to>
      <xdr:col>17</xdr:col>
      <xdr:colOff>579782</xdr:colOff>
      <xdr:row>14</xdr:row>
      <xdr:rowOff>174171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ECFE7C60-8E2B-4E25-9281-A68E49BBFE28}"/>
            </a:ext>
          </a:extLst>
        </xdr:cNvPr>
        <xdr:cNvSpPr/>
      </xdr:nvSpPr>
      <xdr:spPr>
        <a:xfrm>
          <a:off x="4806044" y="521834"/>
          <a:ext cx="6136938" cy="2557462"/>
        </a:xfrm>
        <a:prstGeom prst="roundRect">
          <a:avLst>
            <a:gd name="adj" fmla="val 4657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18</xdr:col>
      <xdr:colOff>186716</xdr:colOff>
      <xdr:row>2</xdr:row>
      <xdr:rowOff>93209</xdr:rowOff>
    </xdr:from>
    <xdr:to>
      <xdr:col>29</xdr:col>
      <xdr:colOff>38099</xdr:colOff>
      <xdr:row>38</xdr:row>
      <xdr:rowOff>57150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ADD31FF7-2197-488B-87A5-7065FBDA535E}"/>
            </a:ext>
          </a:extLst>
        </xdr:cNvPr>
        <xdr:cNvSpPr/>
      </xdr:nvSpPr>
      <xdr:spPr>
        <a:xfrm>
          <a:off x="11159516" y="521834"/>
          <a:ext cx="6556983" cy="7012441"/>
        </a:xfrm>
        <a:prstGeom prst="roundRect">
          <a:avLst>
            <a:gd name="adj" fmla="val 2285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</xdr:col>
      <xdr:colOff>0</xdr:colOff>
      <xdr:row>16</xdr:row>
      <xdr:rowOff>101254</xdr:rowOff>
    </xdr:from>
    <xdr:to>
      <xdr:col>3</xdr:col>
      <xdr:colOff>152708</xdr:colOff>
      <xdr:row>17</xdr:row>
      <xdr:rowOff>177454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10A79F0B-F458-444C-8CDF-3767698859B2}"/>
            </a:ext>
          </a:extLst>
        </xdr:cNvPr>
        <xdr:cNvSpPr/>
      </xdr:nvSpPr>
      <xdr:spPr>
        <a:xfrm>
          <a:off x="612913" y="3389450"/>
          <a:ext cx="137853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Faturamento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17</xdr:col>
      <xdr:colOff>201391</xdr:colOff>
      <xdr:row>22</xdr:row>
      <xdr:rowOff>0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AF29E55F-E18C-4787-B0B6-28DDEDBDEA52}"/>
            </a:ext>
          </a:extLst>
        </xdr:cNvPr>
        <xdr:cNvSpPr/>
      </xdr:nvSpPr>
      <xdr:spPr>
        <a:xfrm>
          <a:off x="608135" y="3853962"/>
          <a:ext cx="9931544" cy="5715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240935</xdr:colOff>
      <xdr:row>19</xdr:row>
      <xdr:rowOff>48039</xdr:rowOff>
    </xdr:from>
    <xdr:to>
      <xdr:col>5</xdr:col>
      <xdr:colOff>360531</xdr:colOff>
      <xdr:row>20</xdr:row>
      <xdr:rowOff>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2EC99778-67F7-4E10-818F-9E64CF4D5E0A}"/>
            </a:ext>
          </a:extLst>
        </xdr:cNvPr>
        <xdr:cNvSpPr/>
      </xdr:nvSpPr>
      <xdr:spPr>
        <a:xfrm>
          <a:off x="1457204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1°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3</xdr:col>
      <xdr:colOff>12916</xdr:colOff>
      <xdr:row>20</xdr:row>
      <xdr:rowOff>102676</xdr:rowOff>
    </xdr:from>
    <xdr:to>
      <xdr:col>3</xdr:col>
      <xdr:colOff>59716</xdr:colOff>
      <xdr:row>20</xdr:row>
      <xdr:rowOff>149476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11ADE08-18C2-4C22-9FC5-F509EC53CCD3}"/>
            </a:ext>
          </a:extLst>
        </xdr:cNvPr>
        <xdr:cNvSpPr/>
      </xdr:nvSpPr>
      <xdr:spPr>
        <a:xfrm>
          <a:off x="1843653" y="4151608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610245</xdr:colOff>
      <xdr:row>19</xdr:row>
      <xdr:rowOff>190500</xdr:rowOff>
    </xdr:from>
    <xdr:to>
      <xdr:col>5</xdr:col>
      <xdr:colOff>7731</xdr:colOff>
      <xdr:row>21</xdr:row>
      <xdr:rowOff>76200</xdr:rowOff>
    </xdr:to>
    <xdr:sp macro="" textlink="Tabela_Auxiliar!B9">
      <xdr:nvSpPr>
        <xdr:cNvPr id="47" name="Retângulo 46">
          <a:extLst>
            <a:ext uri="{FF2B5EF4-FFF2-40B4-BE49-F238E27FC236}">
              <a16:creationId xmlns:a16="http://schemas.microsoft.com/office/drawing/2014/main" id="{33C60F6F-D572-44FB-850E-485034AAF2C3}"/>
            </a:ext>
          </a:extLst>
        </xdr:cNvPr>
        <xdr:cNvSpPr/>
      </xdr:nvSpPr>
      <xdr:spPr>
        <a:xfrm>
          <a:off x="1830737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CE3ADC9-1812-4287-9D5B-CB03978B725E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R$ 13.122,00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48039</xdr:rowOff>
    </xdr:from>
    <xdr:to>
      <xdr:col>16</xdr:col>
      <xdr:colOff>119596</xdr:colOff>
      <xdr:row>20</xdr:row>
      <xdr:rowOff>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11415CDB-2082-4132-97A7-5DD25B605CE9}"/>
            </a:ext>
          </a:extLst>
        </xdr:cNvPr>
        <xdr:cNvSpPr/>
      </xdr:nvSpPr>
      <xdr:spPr>
        <a:xfrm>
          <a:off x="7905750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Ultima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13</xdr:col>
      <xdr:colOff>288382</xdr:colOff>
      <xdr:row>19</xdr:row>
      <xdr:rowOff>190500</xdr:rowOff>
    </xdr:from>
    <xdr:to>
      <xdr:col>15</xdr:col>
      <xdr:colOff>476113</xdr:colOff>
      <xdr:row>21</xdr:row>
      <xdr:rowOff>76200</xdr:rowOff>
    </xdr:to>
    <xdr:sp macro="" textlink="Tabela_Auxiliar!B15">
      <xdr:nvSpPr>
        <xdr:cNvPr id="50" name="Retângulo 49">
          <a:extLst>
            <a:ext uri="{FF2B5EF4-FFF2-40B4-BE49-F238E27FC236}">
              <a16:creationId xmlns:a16="http://schemas.microsoft.com/office/drawing/2014/main" id="{F1721A6D-E084-4521-8D4D-75583F6DE6B8}"/>
            </a:ext>
          </a:extLst>
        </xdr:cNvPr>
        <xdr:cNvSpPr/>
      </xdr:nvSpPr>
      <xdr:spPr>
        <a:xfrm>
          <a:off x="8221577" y="4048932"/>
          <a:ext cx="1408222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C5F8BA6-C733-4A3C-8DDA-A4846012F697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R$ 12.904,00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240935</xdr:colOff>
      <xdr:row>19</xdr:row>
      <xdr:rowOff>48039</xdr:rowOff>
    </xdr:from>
    <xdr:to>
      <xdr:col>10</xdr:col>
      <xdr:colOff>360531</xdr:colOff>
      <xdr:row>20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F7253D4-27CA-49D6-B56F-0BFA1FFFF74E}"/>
            </a:ext>
          </a:extLst>
        </xdr:cNvPr>
        <xdr:cNvSpPr/>
      </xdr:nvSpPr>
      <xdr:spPr>
        <a:xfrm>
          <a:off x="4497877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Media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das Semanas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8</xdr:col>
      <xdr:colOff>19373</xdr:colOff>
      <xdr:row>20</xdr:row>
      <xdr:rowOff>102677</xdr:rowOff>
    </xdr:from>
    <xdr:to>
      <xdr:col>8</xdr:col>
      <xdr:colOff>66173</xdr:colOff>
      <xdr:row>20</xdr:row>
      <xdr:rowOff>149477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A6C041B1-F4F2-4173-827B-ED9294C5CD7E}"/>
            </a:ext>
          </a:extLst>
        </xdr:cNvPr>
        <xdr:cNvSpPr/>
      </xdr:nvSpPr>
      <xdr:spPr>
        <a:xfrm>
          <a:off x="4901339" y="4151609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0</xdr:colOff>
      <xdr:row>19</xdr:row>
      <xdr:rowOff>190500</xdr:rowOff>
    </xdr:from>
    <xdr:to>
      <xdr:col>10</xdr:col>
      <xdr:colOff>7731</xdr:colOff>
      <xdr:row>21</xdr:row>
      <xdr:rowOff>76200</xdr:rowOff>
    </xdr:to>
    <xdr:sp macro="" textlink="Tabela_Auxiliar!B12">
      <xdr:nvSpPr>
        <xdr:cNvPr id="53" name="Retângulo 52">
          <a:extLst>
            <a:ext uri="{FF2B5EF4-FFF2-40B4-BE49-F238E27FC236}">
              <a16:creationId xmlns:a16="http://schemas.microsoft.com/office/drawing/2014/main" id="{B60A5A2B-DC94-4F82-8A3F-FE3726AF1CAE}"/>
            </a:ext>
          </a:extLst>
        </xdr:cNvPr>
        <xdr:cNvSpPr/>
      </xdr:nvSpPr>
      <xdr:spPr>
        <a:xfrm>
          <a:off x="4881966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D7E2E17-F72A-4DCE-B01F-C2D4F212F85F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R$ 2.198,99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364856</xdr:colOff>
      <xdr:row>20</xdr:row>
      <xdr:rowOff>109950</xdr:rowOff>
    </xdr:from>
    <xdr:to>
      <xdr:col>13</xdr:col>
      <xdr:colOff>411656</xdr:colOff>
      <xdr:row>20</xdr:row>
      <xdr:rowOff>156750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42F7E808-9422-4B93-97C0-663A6F7E17E8}"/>
            </a:ext>
          </a:extLst>
        </xdr:cNvPr>
        <xdr:cNvSpPr/>
      </xdr:nvSpPr>
      <xdr:spPr>
        <a:xfrm>
          <a:off x="8298051" y="4158882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8282</xdr:colOff>
      <xdr:row>22</xdr:row>
      <xdr:rowOff>107674</xdr:rowOff>
    </xdr:from>
    <xdr:to>
      <xdr:col>17</xdr:col>
      <xdr:colOff>157369</xdr:colOff>
      <xdr:row>37</xdr:row>
      <xdr:rowOff>38100</xdr:rowOff>
    </xdr:to>
    <xdr:graphicFrame macro="">
      <xdr:nvGraphicFramePr>
        <xdr:cNvPr id="55" name="Gráfico 54">
          <a:extLst>
            <a:ext uri="{FF2B5EF4-FFF2-40B4-BE49-F238E27FC236}">
              <a16:creationId xmlns:a16="http://schemas.microsoft.com/office/drawing/2014/main" id="{F7A99A3C-676B-434E-8CE7-A97BBF159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379341</xdr:colOff>
      <xdr:row>3</xdr:row>
      <xdr:rowOff>141217</xdr:rowOff>
    </xdr:from>
    <xdr:to>
      <xdr:col>20</xdr:col>
      <xdr:colOff>528736</xdr:colOff>
      <xdr:row>4</xdr:row>
      <xdr:rowOff>217417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260F4049-1032-48E9-A3A5-00DB10D1A2D4}"/>
            </a:ext>
          </a:extLst>
        </xdr:cNvPr>
        <xdr:cNvSpPr/>
      </xdr:nvSpPr>
      <xdr:spPr>
        <a:xfrm>
          <a:off x="11352141" y="760342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Tipos</a:t>
          </a:r>
          <a:r>
            <a:rPr lang="pt-BR" sz="1400" b="0" baseline="0">
              <a:latin typeface="Bahnschrift Light" panose="020B0502040204020203" pitchFamily="34" charset="0"/>
            </a:rPr>
            <a:t> Sal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21</xdr:row>
      <xdr:rowOff>6004</xdr:rowOff>
    </xdr:from>
    <xdr:to>
      <xdr:col>20</xdr:col>
      <xdr:colOff>528736</xdr:colOff>
      <xdr:row>22</xdr:row>
      <xdr:rowOff>82204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60C87EB7-4E8C-448B-9E63-A15862B3FFA0}"/>
            </a:ext>
          </a:extLst>
        </xdr:cNvPr>
        <xdr:cNvSpPr/>
      </xdr:nvSpPr>
      <xdr:spPr>
        <a:xfrm>
          <a:off x="11352141" y="4244629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 Pele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5</xdr:row>
      <xdr:rowOff>19050</xdr:rowOff>
    </xdr:from>
    <xdr:to>
      <xdr:col>24</xdr:col>
      <xdr:colOff>57150</xdr:colOff>
      <xdr:row>20</xdr:row>
      <xdr:rowOff>95250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DD53E4B4-2869-413F-B14F-6B8676E8B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392566</xdr:colOff>
      <xdr:row>22</xdr:row>
      <xdr:rowOff>179687</xdr:rowOff>
    </xdr:from>
    <xdr:to>
      <xdr:col>28</xdr:col>
      <xdr:colOff>441848</xdr:colOff>
      <xdr:row>36</xdr:row>
      <xdr:rowOff>161925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DFD13667-3E43-49A0-9251-F819478CD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266307</xdr:colOff>
      <xdr:row>2</xdr:row>
      <xdr:rowOff>93209</xdr:rowOff>
    </xdr:from>
    <xdr:to>
      <xdr:col>3</xdr:col>
      <xdr:colOff>494907</xdr:colOff>
      <xdr:row>14</xdr:row>
      <xdr:rowOff>174171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AF4D7D44-AA3E-41E0-8056-A7FCCD6BC3CE}"/>
            </a:ext>
          </a:extLst>
        </xdr:cNvPr>
        <xdr:cNvGrpSpPr/>
      </xdr:nvGrpSpPr>
      <xdr:grpSpPr>
        <a:xfrm>
          <a:off x="266307" y="521834"/>
          <a:ext cx="2057400" cy="2557462"/>
          <a:chOff x="266307" y="518794"/>
          <a:chExt cx="2052536" cy="2557462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DD171160-DF06-4A78-8414-80BE07F84204}"/>
              </a:ext>
            </a:extLst>
          </xdr:cNvPr>
          <xdr:cNvSpPr/>
        </xdr:nvSpPr>
        <xdr:spPr>
          <a:xfrm>
            <a:off x="266307" y="518794"/>
            <a:ext cx="2052536" cy="2557462"/>
          </a:xfrm>
          <a:prstGeom prst="roundRect">
            <a:avLst>
              <a:gd name="adj" fmla="val 5977"/>
            </a:avLst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9F931629-76D3-4BDD-A359-0E5C86463EC0}"/>
              </a:ext>
            </a:extLst>
          </xdr:cNvPr>
          <xdr:cNvGrpSpPr/>
        </xdr:nvGrpSpPr>
        <xdr:grpSpPr>
          <a:xfrm>
            <a:off x="372892" y="1457329"/>
            <a:ext cx="1739251" cy="665893"/>
            <a:chOff x="392824" y="1414750"/>
            <a:chExt cx="1739251" cy="665893"/>
          </a:xfrm>
        </xdr:grpSpPr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3D9C7544-02B3-4B62-B23A-38874B05AE8D}"/>
                </a:ext>
              </a:extLst>
            </xdr:cNvPr>
            <xdr:cNvSpPr/>
          </xdr:nvSpPr>
          <xdr:spPr>
            <a:xfrm>
              <a:off x="392824" y="1452008"/>
              <a:ext cx="786234" cy="28111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Pedidos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B3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A765482F-6AA0-4D77-956E-0203E5E82668}"/>
                </a:ext>
              </a:extLst>
            </xdr:cNvPr>
            <xdr:cNvSpPr/>
          </xdr:nvSpPr>
          <xdr:spPr>
            <a:xfrm>
              <a:off x="392824" y="1790710"/>
              <a:ext cx="1421983" cy="289933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053C74E1-34EB-4746-8DED-787BD4B0F6B6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30</a:t>
              </a:fld>
              <a:endParaRPr lang="pt-BR" sz="16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3" name="Agrupar 32">
              <a:extLst>
                <a:ext uri="{FF2B5EF4-FFF2-40B4-BE49-F238E27FC236}">
                  <a16:creationId xmlns:a16="http://schemas.microsoft.com/office/drawing/2014/main" id="{6D84E687-A566-424C-81A5-7FEA95DBD043}"/>
                </a:ext>
              </a:extLst>
            </xdr:cNvPr>
            <xdr:cNvGrpSpPr/>
          </xdr:nvGrpSpPr>
          <xdr:grpSpPr>
            <a:xfrm>
              <a:off x="1713724" y="1414750"/>
              <a:ext cx="418351" cy="396000"/>
              <a:chOff x="1695330" y="1415283"/>
              <a:chExt cx="421200" cy="396000"/>
            </a:xfrm>
          </xdr:grpSpPr>
          <xdr:sp macro="" textlink="">
            <xdr:nvSpPr>
              <xdr:cNvPr id="13" name="Retângulo: Cantos Arredondados 12">
                <a:extLst>
                  <a:ext uri="{FF2B5EF4-FFF2-40B4-BE49-F238E27FC236}">
                    <a16:creationId xmlns:a16="http://schemas.microsoft.com/office/drawing/2014/main" id="{E4FEBD0F-22AF-4204-89FD-230C81B0021A}"/>
                  </a:ext>
                </a:extLst>
              </xdr:cNvPr>
              <xdr:cNvSpPr/>
            </xdr:nvSpPr>
            <xdr:spPr>
              <a:xfrm>
                <a:off x="1695330" y="1415283"/>
                <a:ext cx="421200" cy="39600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3" name="Gráfico 2" descr="Sacola de compras">
                <a:extLst>
                  <a:ext uri="{FF2B5EF4-FFF2-40B4-BE49-F238E27FC236}">
                    <a16:creationId xmlns:a16="http://schemas.microsoft.com/office/drawing/2014/main" id="{B4068674-2250-43E1-814C-2FB5EAB843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1728279" y="1452525"/>
                <a:ext cx="355303" cy="321516"/>
              </a:xfrm>
              <a:prstGeom prst="rect">
                <a:avLst/>
              </a:prstGeom>
            </xdr:spPr>
          </xdr:pic>
        </xdr:grp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FAFC2B38-C932-42E0-883E-AD0B567B5876}"/>
              </a:ext>
            </a:extLst>
          </xdr:cNvPr>
          <xdr:cNvGrpSpPr/>
        </xdr:nvGrpSpPr>
        <xdr:grpSpPr>
          <a:xfrm>
            <a:off x="372892" y="2245114"/>
            <a:ext cx="1739763" cy="738187"/>
            <a:chOff x="388259" y="2245114"/>
            <a:chExt cx="1739763" cy="738187"/>
          </a:xfrm>
        </xdr:grpSpPr>
        <xdr:sp macro="" textlink="">
          <xdr:nvSpPr>
            <xdr:cNvPr id="17" name="Retângulo 16">
              <a:extLst>
                <a:ext uri="{FF2B5EF4-FFF2-40B4-BE49-F238E27FC236}">
                  <a16:creationId xmlns:a16="http://schemas.microsoft.com/office/drawing/2014/main" id="{80971B26-CEB5-4920-BE32-9512595EA9FD}"/>
                </a:ext>
              </a:extLst>
            </xdr:cNvPr>
            <xdr:cNvSpPr/>
          </xdr:nvSpPr>
          <xdr:spPr>
            <a:xfrm>
              <a:off x="388259" y="2273689"/>
              <a:ext cx="703673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 SemiCondensed" panose="020B0502040204020203" pitchFamily="34" charset="0"/>
                </a:rPr>
                <a:t>Vendas</a:t>
              </a:r>
              <a:endParaRPr lang="pt-BR" sz="1100" b="0">
                <a:latin typeface="Bahnschrift Light SemiCondensed" panose="020B0502040204020203" pitchFamily="34" charset="0"/>
              </a:endParaRPr>
            </a:p>
          </xdr:txBody>
        </xdr:sp>
        <xdr:sp macro="" textlink="Tabela_Auxiliar!B6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88FA2A51-6218-4865-A810-A666DB0C928D}"/>
                </a:ext>
              </a:extLst>
            </xdr:cNvPr>
            <xdr:cNvSpPr/>
          </xdr:nvSpPr>
          <xdr:spPr>
            <a:xfrm>
              <a:off x="388260" y="2654857"/>
              <a:ext cx="1339297" cy="328444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ABE43191-6039-4077-8762-2E8A374257D9}" type="TxLink">
                <a:rPr lang="en-US" sz="14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 R$ 65.969,60 </a:t>
              </a:fld>
              <a:endParaRPr lang="pt-BR" sz="14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4" name="Agrupar 33">
              <a:extLst>
                <a:ext uri="{FF2B5EF4-FFF2-40B4-BE49-F238E27FC236}">
                  <a16:creationId xmlns:a16="http://schemas.microsoft.com/office/drawing/2014/main" id="{5ACD9F1F-CD07-432F-BED6-77B3B0876E77}"/>
                </a:ext>
              </a:extLst>
            </xdr:cNvPr>
            <xdr:cNvGrpSpPr/>
          </xdr:nvGrpSpPr>
          <xdr:grpSpPr>
            <a:xfrm>
              <a:off x="1709671" y="2245114"/>
              <a:ext cx="418351" cy="400050"/>
              <a:chOff x="1667255" y="2164583"/>
              <a:chExt cx="421200" cy="400050"/>
            </a:xfrm>
          </xdr:grpSpPr>
          <xdr:sp macro="" textlink="">
            <xdr:nvSpPr>
              <xdr:cNvPr id="19" name="Retângulo: Cantos Arredondados 18">
                <a:extLst>
                  <a:ext uri="{FF2B5EF4-FFF2-40B4-BE49-F238E27FC236}">
                    <a16:creationId xmlns:a16="http://schemas.microsoft.com/office/drawing/2014/main" id="{30D90545-3F52-4A29-AB08-80B0BB7B1362}"/>
                  </a:ext>
                </a:extLst>
              </xdr:cNvPr>
              <xdr:cNvSpPr/>
            </xdr:nvSpPr>
            <xdr:spPr>
              <a:xfrm>
                <a:off x="1667255" y="2164583"/>
                <a:ext cx="421200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22" name="Gráfico 21" descr="Dinheiro">
                <a:extLst>
                  <a:ext uri="{FF2B5EF4-FFF2-40B4-BE49-F238E27FC236}">
                    <a16:creationId xmlns:a16="http://schemas.microsoft.com/office/drawing/2014/main" id="{56ECB003-CC79-47E8-80F9-B2BD6E65BF0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1713075" y="2188208"/>
                <a:ext cx="329560" cy="352800"/>
              </a:xfrm>
              <a:prstGeom prst="rect">
                <a:avLst/>
              </a:prstGeom>
            </xdr:spPr>
          </xdr:pic>
        </xdr:grpSp>
      </xdr:grpSp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F8DA056D-2AF6-4991-A776-3DE7A10E9D4C}"/>
              </a:ext>
            </a:extLst>
          </xdr:cNvPr>
          <xdr:cNvGrpSpPr/>
        </xdr:nvGrpSpPr>
        <xdr:grpSpPr>
          <a:xfrm>
            <a:off x="372892" y="578200"/>
            <a:ext cx="1758213" cy="757237"/>
            <a:chOff x="372892" y="578200"/>
            <a:chExt cx="1758213" cy="757237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FDF7BAD2-198B-4547-9121-CED3403F5D29}"/>
                </a:ext>
              </a:extLst>
            </xdr:cNvPr>
            <xdr:cNvSpPr/>
          </xdr:nvSpPr>
          <xdr:spPr>
            <a:xfrm>
              <a:off x="372892" y="606775"/>
              <a:ext cx="760394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Clientes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D3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9C6E8316-A339-4B8C-AAFE-FE9AA8E6E28B}"/>
                </a:ext>
              </a:extLst>
            </xdr:cNvPr>
            <xdr:cNvSpPr/>
          </xdr:nvSpPr>
          <xdr:spPr>
            <a:xfrm>
              <a:off x="372892" y="935387"/>
              <a:ext cx="1497665" cy="40005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55B8B443-BE6A-4F58-A558-87A6805295E1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cs typeface="Calibri"/>
                </a:rPr>
                <a:pPr algn="l"/>
                <a:t>56</a:t>
              </a:fld>
              <a:endParaRPr lang="pt-BR" sz="2400" b="1">
                <a:solidFill>
                  <a:schemeClr val="bg1"/>
                </a:solidFill>
                <a:latin typeface="Bahnschrift SemiBold" panose="020B0502040204020203" pitchFamily="34" charset="0"/>
              </a:endParaRPr>
            </a:p>
          </xdr:txBody>
        </xdr:sp>
        <xdr:grpSp>
          <xdr:nvGrpSpPr>
            <xdr:cNvPr id="32" name="Agrupar 31">
              <a:extLst>
                <a:ext uri="{FF2B5EF4-FFF2-40B4-BE49-F238E27FC236}">
                  <a16:creationId xmlns:a16="http://schemas.microsoft.com/office/drawing/2014/main" id="{3E57547B-0455-4EC9-8A2D-8D40BCCDE3A1}"/>
                </a:ext>
              </a:extLst>
            </xdr:cNvPr>
            <xdr:cNvGrpSpPr/>
          </xdr:nvGrpSpPr>
          <xdr:grpSpPr>
            <a:xfrm>
              <a:off x="1714694" y="578200"/>
              <a:ext cx="416411" cy="400050"/>
              <a:chOff x="1777110" y="578733"/>
              <a:chExt cx="419254" cy="400050"/>
            </a:xfrm>
          </xdr:grpSpPr>
          <xdr:sp macro="" textlink="">
            <xdr:nvSpPr>
              <xdr:cNvPr id="10" name="Retângulo: Cantos Arredondados 9">
                <a:extLst>
                  <a:ext uri="{FF2B5EF4-FFF2-40B4-BE49-F238E27FC236}">
                    <a16:creationId xmlns:a16="http://schemas.microsoft.com/office/drawing/2014/main" id="{950D72DE-2D36-46C9-906A-BDE43A79B63B}"/>
                  </a:ext>
                </a:extLst>
              </xdr:cNvPr>
              <xdr:cNvSpPr/>
            </xdr:nvSpPr>
            <xdr:spPr>
              <a:xfrm>
                <a:off x="1777110" y="578733"/>
                <a:ext cx="419254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15" name="Gráfico 14" descr="Perfil masculino">
                <a:extLst>
                  <a:ext uri="{FF2B5EF4-FFF2-40B4-BE49-F238E27FC236}">
                    <a16:creationId xmlns:a16="http://schemas.microsoft.com/office/drawing/2014/main" id="{AE1C9DA9-EF35-4DAF-AB84-9AF50169190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9"/>
                  </a:ext>
                </a:extLst>
              </a:blip>
              <a:stretch>
                <a:fillRect/>
              </a:stretch>
            </xdr:blipFill>
            <xdr:spPr>
              <a:xfrm>
                <a:off x="1809263" y="600164"/>
                <a:ext cx="354948" cy="352800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4</xdr:col>
      <xdr:colOff>48986</xdr:colOff>
      <xdr:row>2</xdr:row>
      <xdr:rowOff>93209</xdr:rowOff>
    </xdr:from>
    <xdr:to>
      <xdr:col>7</xdr:col>
      <xdr:colOff>391886</xdr:colOff>
      <xdr:row>8</xdr:row>
      <xdr:rowOff>19050</xdr:rowOff>
    </xdr:to>
    <xdr:grpSp>
      <xdr:nvGrpSpPr>
        <xdr:cNvPr id="73" name="Agrupar 72">
          <a:extLst>
            <a:ext uri="{FF2B5EF4-FFF2-40B4-BE49-F238E27FC236}">
              <a16:creationId xmlns:a16="http://schemas.microsoft.com/office/drawing/2014/main" id="{0468D645-595D-41A2-9FED-5B885F3D8D8F}"/>
            </a:ext>
          </a:extLst>
        </xdr:cNvPr>
        <xdr:cNvGrpSpPr/>
      </xdr:nvGrpSpPr>
      <xdr:grpSpPr>
        <a:xfrm>
          <a:off x="2487386" y="521834"/>
          <a:ext cx="2171700" cy="1259341"/>
          <a:chOff x="2487386" y="521834"/>
          <a:chExt cx="2171700" cy="1259341"/>
        </a:xfrm>
      </xdr:grpSpPr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CC8ACB7A-B728-402D-9E32-98E562C1B7D6}"/>
              </a:ext>
            </a:extLst>
          </xdr:cNvPr>
          <xdr:cNvSpPr/>
        </xdr:nvSpPr>
        <xdr:spPr>
          <a:xfrm>
            <a:off x="2487386" y="521834"/>
            <a:ext cx="2171700" cy="1259341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5855295A-78A0-42C2-9252-79B7C32AC349}"/>
              </a:ext>
            </a:extLst>
          </xdr:cNvPr>
          <xdr:cNvSpPr/>
        </xdr:nvSpPr>
        <xdr:spPr>
          <a:xfrm>
            <a:off x="2659590" y="665052"/>
            <a:ext cx="1379010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Sal Mais Vendido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G23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7BB82875-1360-484E-B8A4-C2CB26996CBE}"/>
              </a:ext>
            </a:extLst>
          </xdr:cNvPr>
          <xdr:cNvSpPr/>
        </xdr:nvSpPr>
        <xdr:spPr>
          <a:xfrm>
            <a:off x="2669115" y="975358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200A372D-75F7-40F0-B39F-A2959B928FF6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cs typeface="Calibri"/>
              </a:rPr>
              <a:pPr algn="l"/>
              <a:t>Bancon II</a:t>
            </a:fld>
            <a:endParaRPr lang="pt-BR" sz="1400" b="1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</a:endParaRPr>
          </a:p>
        </xdr:txBody>
      </xdr:sp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747F4E70-97C2-4816-9037-AE8762C6CFFC}"/>
              </a:ext>
            </a:extLst>
          </xdr:cNvPr>
          <xdr:cNvSpPr/>
        </xdr:nvSpPr>
        <xdr:spPr>
          <a:xfrm>
            <a:off x="4030058" y="636408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8" name="Gráfico 57" descr="Caixa">
            <a:extLst>
              <a:ext uri="{FF2B5EF4-FFF2-40B4-BE49-F238E27FC236}">
                <a16:creationId xmlns:a16="http://schemas.microsoft.com/office/drawing/2014/main" id="{20F34B85-EE07-43F7-9D26-B9C683B63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674913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69" name="Retângulo: Cantos Arredondados 68">
            <a:extLst>
              <a:ext uri="{FF2B5EF4-FFF2-40B4-BE49-F238E27FC236}">
                <a16:creationId xmlns:a16="http://schemas.microsoft.com/office/drawing/2014/main" id="{D7E2D596-2A2C-4F57-8DAB-A1D1D040C586}"/>
              </a:ext>
            </a:extLst>
          </xdr:cNvPr>
          <xdr:cNvSpPr/>
        </xdr:nvSpPr>
        <xdr:spPr>
          <a:xfrm>
            <a:off x="2669115" y="1381125"/>
            <a:ext cx="427871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4</xdr:col>
      <xdr:colOff>48986</xdr:colOff>
      <xdr:row>8</xdr:row>
      <xdr:rowOff>180974</xdr:rowOff>
    </xdr:from>
    <xdr:to>
      <xdr:col>7</xdr:col>
      <xdr:colOff>391886</xdr:colOff>
      <xdr:row>14</xdr:row>
      <xdr:rowOff>174171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5BE00F91-8527-40C5-A841-8DE10909CC11}"/>
            </a:ext>
          </a:extLst>
        </xdr:cNvPr>
        <xdr:cNvGrpSpPr/>
      </xdr:nvGrpSpPr>
      <xdr:grpSpPr>
        <a:xfrm>
          <a:off x="2487386" y="1943099"/>
          <a:ext cx="2171700" cy="1136197"/>
          <a:chOff x="2487386" y="1944460"/>
          <a:chExt cx="2171700" cy="1136197"/>
        </a:xfrm>
      </xdr:grpSpPr>
      <xdr:sp macro="" textlink="">
        <xdr:nvSpPr>
          <xdr:cNvPr id="63" name="Retângulo: Cantos Arredondados 62">
            <a:extLst>
              <a:ext uri="{FF2B5EF4-FFF2-40B4-BE49-F238E27FC236}">
                <a16:creationId xmlns:a16="http://schemas.microsoft.com/office/drawing/2014/main" id="{F18FF348-6E4D-40D9-8E55-F1CA8F0FA99F}"/>
              </a:ext>
            </a:extLst>
          </xdr:cNvPr>
          <xdr:cNvSpPr/>
        </xdr:nvSpPr>
        <xdr:spPr>
          <a:xfrm>
            <a:off x="2487386" y="1944460"/>
            <a:ext cx="2171700" cy="1136197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64" name="Retângulo 63">
            <a:extLst>
              <a:ext uri="{FF2B5EF4-FFF2-40B4-BE49-F238E27FC236}">
                <a16:creationId xmlns:a16="http://schemas.microsoft.com/office/drawing/2014/main" id="{A9FE072A-AACD-4D5A-8E57-42AA779F37A1}"/>
              </a:ext>
            </a:extLst>
          </xdr:cNvPr>
          <xdr:cNvSpPr/>
        </xdr:nvSpPr>
        <xdr:spPr>
          <a:xfrm>
            <a:off x="2659590" y="2087678"/>
            <a:ext cx="1444324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Pele Mais Vendida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L6">
        <xdr:nvSpPr>
          <xdr:cNvPr id="65" name="Retângulo: Cantos Arredondados 64">
            <a:extLst>
              <a:ext uri="{FF2B5EF4-FFF2-40B4-BE49-F238E27FC236}">
                <a16:creationId xmlns:a16="http://schemas.microsoft.com/office/drawing/2014/main" id="{D9F56C08-F350-483F-B185-4882C914A9DD}"/>
              </a:ext>
            </a:extLst>
          </xdr:cNvPr>
          <xdr:cNvSpPr/>
        </xdr:nvSpPr>
        <xdr:spPr>
          <a:xfrm>
            <a:off x="2669115" y="2397984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3D3D3928-723E-4CBC-856B-2767F9E142D4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Picanha</a:t>
            </a:fld>
            <a:endParaRPr lang="pt-BR" sz="105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  <xdr:sp macro="" textlink="">
        <xdr:nvSpPr>
          <xdr:cNvPr id="66" name="Retângulo: Cantos Arredondados 65">
            <a:extLst>
              <a:ext uri="{FF2B5EF4-FFF2-40B4-BE49-F238E27FC236}">
                <a16:creationId xmlns:a16="http://schemas.microsoft.com/office/drawing/2014/main" id="{E8879E3A-FEDE-423D-9AC6-0ED6BB5BD1BC}"/>
              </a:ext>
            </a:extLst>
          </xdr:cNvPr>
          <xdr:cNvSpPr/>
        </xdr:nvSpPr>
        <xdr:spPr>
          <a:xfrm>
            <a:off x="4030058" y="2059034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67" name="Gráfico 66" descr="Caixa">
            <a:extLst>
              <a:ext uri="{FF2B5EF4-FFF2-40B4-BE49-F238E27FC236}">
                <a16:creationId xmlns:a16="http://schemas.microsoft.com/office/drawing/2014/main" id="{3F5D36FA-7C44-4BAC-9412-B490F3B52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2097539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71" name="Retângulo: Cantos Arredondados 70">
            <a:extLst>
              <a:ext uri="{FF2B5EF4-FFF2-40B4-BE49-F238E27FC236}">
                <a16:creationId xmlns:a16="http://schemas.microsoft.com/office/drawing/2014/main" id="{58BE7D53-A9BC-4B97-8F7B-774278F87CD3}"/>
              </a:ext>
            </a:extLst>
          </xdr:cNvPr>
          <xdr:cNvSpPr/>
        </xdr:nvSpPr>
        <xdr:spPr>
          <a:xfrm>
            <a:off x="2669115" y="2629582"/>
            <a:ext cx="406099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23</xdr:col>
      <xdr:colOff>242047</xdr:colOff>
      <xdr:row>5</xdr:row>
      <xdr:rowOff>16474</xdr:rowOff>
    </xdr:from>
    <xdr:to>
      <xdr:col>28</xdr:col>
      <xdr:colOff>529456</xdr:colOff>
      <xdr:row>20</xdr:row>
      <xdr:rowOff>92674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E502AF68-A334-49BC-B2AE-83344123B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AB7E3-EB63-4FD0-990D-1C38AFE42261}" name="Tabela2" displayName="Tabela2" ref="D5:P35" totalsRowShown="0" headerRowDxfId="104" dataDxfId="103" tableBorderDxfId="102">
  <autoFilter ref="D5:P35" xr:uid="{AEDA9DF6-C1F3-4BA3-B308-5815F8D1FE8C}"/>
  <tableColumns count="13">
    <tableColumn id="1" xr3:uid="{56BD45FD-D6C5-4C24-A3DA-B36F19D0EAE1}" name="Data" dataDxfId="101"/>
    <tableColumn id="2" xr3:uid="{BC6FFE2B-BF3E-4BA0-96EE-978CF2B06159}" name="Cliente" dataDxfId="100" dataCellStyle="Normal 2"/>
    <tableColumn id="3" xr3:uid="{43281571-012E-4A23-A56F-F0184718625D}" name="Qtd.Total" dataDxfId="99">
      <calculatedColumnFormula>Pedidos!$G6+Pedidos!$I6+Pedidos!$L6+Pedidos!$N6</calculatedColumnFormula>
    </tableColumn>
    <tableColumn id="4" xr3:uid="{2D6C8798-6731-4D5C-BBB3-2CB0AE77C1D3}" name="Qtd.Sal(15kg)" dataDxfId="98"/>
    <tableColumn id="5" xr3:uid="{F76D6588-15B7-4B81-A38F-7A9E7672722D}" name="Preço 15kg" dataDxfId="97">
      <calculatedColumnFormula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calculatedColumnFormula>
    </tableColumn>
    <tableColumn id="6" xr3:uid="{66D14CAB-33D7-4870-8792-8EE988D3B6C6}" name="Qtd.Sal(5kg)" dataDxfId="96"/>
    <tableColumn id="7" xr3:uid="{ADF83233-4099-4376-9E2C-F70D0CFCEAC9}" name="Preço 5kg" dataDxfId="95">
      <calculatedColumnFormula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calculatedColumnFormula>
    </tableColumn>
    <tableColumn id="8" xr3:uid="{D210CAC2-FF2B-4571-A713-884E9DDC9E0F}" name="Coluna1" dataDxfId="94"/>
    <tableColumn id="9" xr3:uid="{2FAADD19-486A-4188-89E1-166EB45AA28D}" name="Qtd.(Pele 12kg)" dataDxfId="93"/>
    <tableColumn id="10" xr3:uid="{E3485962-E742-4065-BC5D-2CC575C11C0C}" name="Preço Pele 12kg" dataDxfId="92">
      <calculatedColumnFormula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calculatedColumnFormula>
    </tableColumn>
    <tableColumn id="11" xr3:uid="{E19AF008-841A-409C-A262-9BE03A823B50}" name="Qtd.Pele(9kg)" dataDxfId="91"/>
    <tableColumn id="12" xr3:uid="{EAE70F0C-F0CB-4F5A-8F34-EE8974756258}" name="Preço (9kg)" dataDxfId="90">
      <calculatedColumnFormula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calculatedColumnFormula>
    </tableColumn>
    <tableColumn id="13" xr3:uid="{31E59013-2BA9-4C7A-A440-97844B6932C7}" name="Valor Total" dataDxfId="89">
      <calculatedColumnFormula>Tabela2[[#This Row],[Preço 15kg]]+Tabela2[[#This Row],[Preço 5kg]]+Tabela2[[#This Row],[Preço Pele 12kg]]+O6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2166EC-A560-425C-BCDB-4DC5E75A04E8}" name="Tabela4" displayName="Tabela4" ref="B4:M35" headerRowDxfId="88">
  <autoFilter ref="B4:M35" xr:uid="{FC7241C8-48F5-4709-8E31-78123ED18D1E}"/>
  <tableColumns count="12">
    <tableColumn id="1" xr3:uid="{E9EA4335-3DEB-4D36-9D89-D7522F970D2E}" name="Data" totalsRowLabel="Total" dataDxfId="87" totalsRowDxfId="86"/>
    <tableColumn id="2" xr3:uid="{67B93EB3-8B6F-477E-B2D5-829EED20725A}" name="Pimentinha" totalsRowFunction="sum" dataDxfId="85" totalsRowDxfId="84"/>
    <tableColumn id="3" xr3:uid="{E6EE796D-0504-4A48-85B8-DDD5890E26B3}" name="Salg. Sabor Pimenta Mexicana" totalsRowFunction="sum" dataDxfId="83" totalsRowDxfId="82"/>
    <tableColumn id="4" xr3:uid="{667E0974-558E-46CA-9589-B65F1C37A9AD}" name="Bolinha de Bacon" totalsRowFunction="sum" dataDxfId="81" totalsRowDxfId="80"/>
    <tableColumn id="5" xr3:uid="{815DEFB2-F577-4518-B4B8-BC61B6E9B561}" name="Pastelzinho de Queijo" totalsRowFunction="sum" dataDxfId="79" totalsRowDxfId="78"/>
    <tableColumn id="6" xr3:uid="{384E1A7D-2822-483E-8C2D-AB920AF6F765}" name="Pastelzinho de Pizza" totalsRowFunction="sum" dataDxfId="77" totalsRowDxfId="76"/>
    <tableColumn id="7" xr3:uid="{B1EBAE26-BF7A-4A46-BBDA-440C9C07DA3E}" name="Salg. Sabor Churrasco" totalsRowFunction="sum" dataDxfId="75" totalsRowDxfId="74"/>
    <tableColumn id="8" xr3:uid="{D486BE85-A040-4501-A240-5D5FF0273466}" name="Salg. Sabor Costela c/Limão" totalsRowFunction="sum" dataDxfId="73" totalsRowDxfId="72"/>
    <tableColumn id="9" xr3:uid="{5F0829E1-C67B-4781-80B3-8506A090C2EF}" name="Salg. Sabor Picanha" totalsRowFunction="sum" dataDxfId="71" totalsRowDxfId="70"/>
    <tableColumn id="10" xr3:uid="{31B5D8AE-FBEB-486F-A8BE-714F05FDC7E1}" name="Salg. Sabor Cebola &amp; Salsa" totalsRowFunction="sum" dataDxfId="69" totalsRowDxfId="68"/>
    <tableColumn id="11" xr3:uid="{05ED1ABB-2854-4D05-BB2C-8B3A5B754492}" name="Baconzitos" totalsRowFunction="sum" dataDxfId="67" totalsRowDxfId="66"/>
    <tableColumn id="13" xr3:uid="{C6030ED6-4B18-4400-9720-BBB8CAE4F2B4}" name="Total por dia" dataDxfId="65" totalsRowDxfId="64">
      <calculatedColumnFormula>SUM(Tabela4[[#This Row],[Pimentinha]:[Baconzitos]])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3A617-62EF-41DF-9117-FB7E7C7972DE}" name="Tabela5" displayName="Tabela5" ref="B38:L69" headerRowDxfId="63">
  <autoFilter ref="B38:L69" xr:uid="{CF70EDF5-5A32-45E1-9FC2-0E9377D54DE6}"/>
  <tableColumns count="11">
    <tableColumn id="1" xr3:uid="{5A2ADD06-F31D-45AE-A2E0-F9CB7C18E1F8}" name="Data" totalsRowLabel="Total" dataDxfId="62" totalsRowDxfId="61"/>
    <tableColumn id="2" xr3:uid="{9ABB45D5-6176-4C4D-A8A3-558F248B0B8A}" name="Pimentinha" totalsRowFunction="sum" dataDxfId="60">
      <calculatedColumnFormula>SUM(C9:C38)*10</calculatedColumnFormula>
    </tableColumn>
    <tableColumn id="3" xr3:uid="{142A10FC-BBB5-4C23-A9A4-0B792B1F16F3}" name="Salg. Sabor Pimenta Mexicana" totalsRowFunction="sum"/>
    <tableColumn id="4" xr3:uid="{BB3A2312-35D3-4244-8F27-27E54495E276}" name="Bolinha de Bacon" totalsRowFunction="sum"/>
    <tableColumn id="5" xr3:uid="{2D483D7A-1B01-409B-9505-E4EFBF21ED95}" name="Pastelzinho de Queijo" totalsRowFunction="sum"/>
    <tableColumn id="6" xr3:uid="{DD1BFEDD-DAE9-4095-B19F-C0C104B51707}" name="Pastelzinho de Pizza" totalsRowFunction="sum"/>
    <tableColumn id="7" xr3:uid="{87962A42-CB28-451C-AEE1-0BFA9E2516F4}" name="Salg. Sabor Churrasco" totalsRowFunction="sum"/>
    <tableColumn id="8" xr3:uid="{EEB3504D-D458-40A7-9116-52BFF0F2D309}" name="Salg. Sabor Costela c/Limão" totalsRowFunction="sum"/>
    <tableColumn id="9" xr3:uid="{A7340F22-E5E3-499B-AA38-CE0D0F19B9F9}" name="Salg. Sabor Picanha" totalsRowFunction="sum"/>
    <tableColumn id="10" xr3:uid="{C3E53876-DB0A-4AE6-86DB-DC9612A20C4F}" name="Salg. Sabor Cebola &amp; Salsa" totalsRowFunction="sum"/>
    <tableColumn id="11" xr3:uid="{418ED255-A6DC-4FE9-9574-A7015DD795FC}" name="Total por dia" dataDxfId="59" totalsRowDxfId="58">
      <calculatedColumnFormula>SUM(Tabela5[[#This Row],[Pimentinha]:[Salg. Sabor Cebola &amp; Salsa]])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18F38-182F-471A-A7EB-B5544E2770EC}" name="Tabela6" displayName="Tabela6" ref="B4:C35" totalsRowCount="1" tableBorderDxfId="57">
  <autoFilter ref="B4:C34" xr:uid="{C08C4C99-1DA3-4ED9-8678-880A1599EA75}"/>
  <tableColumns count="2">
    <tableColumn id="1" xr3:uid="{8DB3B47C-95AD-42BB-B58C-D126AE0BA710}" name="Data" totalsRowLabel="Total" dataDxfId="56" totalsRowDxfId="55"/>
    <tableColumn id="2" xr3:uid="{F66D5D83-AABE-4814-AC75-8E4D9ADDBCC3}" name="Pele Listrada" totalsRowFunction="custom" dataDxfId="54" totalsRowDxfId="53">
      <totalsRowFormula>SUBTOTAL(109,Tabela6[Pele Listrada])*12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01353-37FC-4EAC-9521-2BDAE974AA7F}" name="Tabela7" displayName="Tabela7" ref="E4:F35" totalsRowCount="1">
  <autoFilter ref="E4:F34" xr:uid="{29AD491B-4037-4332-A823-0BBBD7CF6CF8}"/>
  <tableColumns count="2">
    <tableColumn id="1" xr3:uid="{00C52FF9-6294-4559-B503-8B75311C5905}" name="Data" totalsRowLabel="Total" dataDxfId="52" totalsRowDxfId="51"/>
    <tableColumn id="2" xr3:uid="{5D919922-C87D-43F3-BCB6-8BC3CFA2B4E6}" name="Pele Listrada" totalsRowFunction="custom" dataDxfId="50" totalsRowDxfId="49">
      <totalsRowFormula>SUBTOTAL(109,Tabela7[Pele Listrada])*9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16F-AD16-4B9D-9ABF-8C47EFC7B940}">
  <sheetPr codeName="Planilha2"/>
  <dimension ref="B2:F5"/>
  <sheetViews>
    <sheetView workbookViewId="0">
      <selection activeCell="B4" sqref="B4"/>
    </sheetView>
  </sheetViews>
  <sheetFormatPr defaultRowHeight="15" x14ac:dyDescent="0.25"/>
  <cols>
    <col min="2" max="2" width="9" customWidth="1"/>
    <col min="3" max="3" width="22.5703125" customWidth="1"/>
    <col min="5" max="5" width="7.7109375" customWidth="1"/>
    <col min="6" max="6" width="22" customWidth="1"/>
  </cols>
  <sheetData>
    <row r="2" spans="2:6" ht="15.75" x14ac:dyDescent="0.25">
      <c r="C2" s="39" t="s">
        <v>47</v>
      </c>
      <c r="D2" s="42"/>
      <c r="E2" s="42"/>
      <c r="F2" s="39" t="s">
        <v>48</v>
      </c>
    </row>
    <row r="3" spans="2:6" ht="15.75" x14ac:dyDescent="0.25">
      <c r="C3" s="39" t="s">
        <v>46</v>
      </c>
      <c r="D3" s="42"/>
      <c r="E3" s="42"/>
      <c r="F3" s="39" t="s">
        <v>46</v>
      </c>
    </row>
    <row r="4" spans="2:6" ht="15.75" x14ac:dyDescent="0.25">
      <c r="B4" s="39" t="s">
        <v>51</v>
      </c>
      <c r="C4" s="26" t="str">
        <f>IFERROR(_xlfn.IFS(D5=Clientes_Cadastrados!D6,F5*3*Clientes_Cadastrados!E6,D5=Clientes_Cadastrados!D7,F5*3*Clientes_Cadastrados!E7,D5=Clientes_Cadastrados!D8,F5*3*Clientes_Cadastrados!E8,D5=Clientes_Cadastrados!D9,F5*3*Clientes_Cadastrados!E9,D5=Clientes_Cadastrados!D10,F5*3*Clientes_Cadastrados!E10,D5=Clientes_Cadastrados!D11,F5*3*Clientes_Cadastrados!E11,D5=Clientes_Cadastrados!D12,F5*3*Clientes_Cadastrados!E12,D5=Clientes_Cadastrados!D13,F5*3*Clientes_Cadastrados!E13,D5=Clientes_Cadastrados!D14,F5*3*Clientes_Cadastrados!E14,D5=Clientes_Cadastrados!D15,F5*3*Clientes_Cadastrados!E15,D5=Clientes_Cadastrados!D16,F5*3*Clientes_Cadastrados!E16,D5=Clientes_Cadastrados!D17,F5*3*Clientes_Cadastrados!E17,D5=Clientes_Cadastrados!D18,F5*3*Clientes_Cadastrados!E18,D5=Clientes_Cadastrados!D19,F5*3*Clientes_Cadastrados!E19,D5=Clientes_Cadastrados!D20,F5*3*Clientes_Cadastrados!E20,D5=Clientes_Cadastrados!D21,F5*3*Clientes_Cadastrados!E21,D5=Clientes_Cadastrados!D22,F5*3*Clientes_Cadastrados!E22,D5=Clientes_Cadastrados!D23,F5*3*Clientes_Cadastrados!E23,D5=Clientes_Cadastrados!D24,F5*3*Clientes_Cadastrados!E24,D5=Clientes_Cadastrados!D25,F5*3*Clientes_Cadastrados!E25,D5=Clientes_Cadastrados!D26,F5*3*Clientes_Cadastrados!E26,D5=Clientes_Cadastrados!D27,F5*3*Clientes_Cadastrados!E27,D5=Clientes_Cadastrados!D28,F5*3*Clientes_Cadastrados!E28,D5=Clientes_Cadastrados!D29,F5*3*Clientes_Cadastrados!E29,D5=Clientes_Cadastrados!D30,F5*3*Clientes_Cadastrados!E30,D5=Clientes_Cadastrados!D31,F5*3*Clientes_Cadastrados!E31,D5=Clientes_Cadastrados!D32,F5*3*Clientes_Cadastrados!E32,D5=Clientes_Cadastrados!D33,F5*3*Clientes_Cadastrados!E33,D5=Clientes_Cadastrados!D34,F5*3*Clientes_Cadastrados!E34,D5=Clientes_Cadastrados!D35,F5*3*Clientes_Cadastrados!E35,D5=Clientes_Cadastrados!D36,F5*3*Clientes_Cadastrados!E36,D5=Clientes_Cadastrados!D37,F5*3*Clientes_Cadastrados!E37,D5=Clientes_Cadastrados!D38,F5*3*Clientes_Cadastrados!E39,D5=Clientes_Cadastrados!D39,F5*3*Clientes_Cadastrados!E39,D5=Clientes_Cadastrados!D40,F5*3*Clientes_Cadastrados!E40,D5=Clientes_Cadastrados!D41,F5*3*Clientes_Cadastrados!E41,D5=Clientes_Cadastrados!D42,F5*3*Clientes_Cadastrados!E42,D5=Clientes_Cadastrados!D43,F5*3*Clientes_Cadastrados!E43,D5=Clientes_Cadastrados!D44,F5*3*Clientes_Cadastrados!E44,D5=Clientes_Cadastrados!D45,F5*3*Clientes_Cadastrados!E45,D5=Clientes_Cadastrados!D46,F5*3*Clientes_Cadastrados!E46,D5=Clientes_Cadastrados!D47,F5*3*Clientes_Cadastrados!E47,D5=Clientes_Cadastrados!D48,F5*3*Clientes_Cadastrados!E47,D5=Clientes_Cadastrados!D49,F5*3*Clientes_Cadastrados!E49,D5=Clientes_Cadastrados!D50,F5*3*Clientes_Cadastrados!E50,D5=Clientes_Cadastrados!D51,F5*3*Clientes_Cadastrados!E51,D5=Clientes_Cadastrados!D52,F5*3*Clientes_Cadastrados!E52,D5=Clientes_Cadastrados!D53,F5*3*Clientes_Cadastrados!E53,D5=Clientes_Cadastrados!D54,F5*3*Clientes_Cadastrados!E54,D5=Clientes_Cadastrados!D55,F5*3*Clientes_Cadastrados!E55,D5=Clientes_Cadastrados!D56,F5*3*Clientes_Cadastrados!E56,D5=Clientes_Cadastrados!D57,F5*3*Clientes_Cadastrados!E57,D5=Clientes_Cadastrados!D58,F5*3*Clientes_Cadastrados!E58,D5=Clientes_Cadastrados!D59,F5*3*Clientes_Cadastrados!E59,D5=Clientes_Cadastrados!D60,F5*3*Clientes_Cadastrados!E60,D5=Clientes_Cadastrados!D61,F5*3*Clientes_Cadastrados!E61),"R$ -")</f>
        <v>R$ -</v>
      </c>
      <c r="E4" s="25" t="s">
        <v>49</v>
      </c>
      <c r="F4" s="26" t="str">
        <f>IFERROR(_xlfn.IFS(D5=Clientes_Cadastrados!D6,K5*Clientes_Cadastrados!J6,D5=Clientes_Cadastrados!D7,K5*Clientes_Cadastrados!J7,D5=Clientes_Cadastrados!D8,K5*Clientes_Cadastrados!J8,D5=Clientes_Cadastrados!D9,K5*Clientes_Cadastrados!J9,D5=Clientes_Cadastrados!D10,K5*Clientes_Cadastrados!J10,D5=Clientes_Cadastrados!D11,K5*Clientes_Cadastrados!J11,D5=Clientes_Cadastrados!D12,K5*Clientes_Cadastrados!J12,D5=Clientes_Cadastrados!D13,K5*Clientes_Cadastrados!J13,D5=Clientes_Cadastrados!D14,K5*Clientes_Cadastrados!J14,D5=Clientes_Cadastrados!D15,K5*Clientes_Cadastrados!J15,D5=Clientes_Cadastrados!D16,K5*Clientes_Cadastrados!J16,D5=Clientes_Cadastrados!D17,K5*Clientes_Cadastrados!J17,D5=Clientes_Cadastrados!D18,K5*Clientes_Cadastrados!J18,D5=Clientes_Cadastrados!D19,K5*Clientes_Cadastrados!J19,D5=Clientes_Cadastrados!D20,K5*Clientes_Cadastrados!J20,D5=Clientes_Cadastrados!D21,K5*Clientes_Cadastrados!J21,D5=Clientes_Cadastrados!D22,K5*Clientes_Cadastrados!J22,D5=Clientes_Cadastrados!D23,K5*Clientes_Cadastrados!J23,D5=Clientes_Cadastrados!D24,K5*Clientes_Cadastrados!J24,D5=Clientes_Cadastrados!D25,K5*Clientes_Cadastrados!J25,D5=Clientes_Cadastrados!D26,K5*Clientes_Cadastrados!J26,D5=Clientes_Cadastrados!D27,K5*Clientes_Cadastrados!J27,D5=Clientes_Cadastrados!D28,K5*Clientes_Cadastrados!J28,D5=Clientes_Cadastrados!D29,K5*Clientes_Cadastrados!J29,D5=Clientes_Cadastrados!D30,K5*Clientes_Cadastrados!J30,D5=Clientes_Cadastrados!D31,K5*Clientes_Cadastrados!J31,D5=Clientes_Cadastrados!D32,"O5*Clientes_Cadastrados!K31'",D5=Clientes_Cadastrados!D33,K5*Clientes_Cadastrados!J33,D5=Clientes_Cadastrados!D34,K5*Clientes_Cadastrados!J34,D5=Clientes_Cadastrados!D35,K5*Clientes_Cadastrados!J36,D5=Clientes_Cadastrados!D36,K5*Clientes_Cadastrados!J36,D5=Clientes_Cadastrados!D37,K5*Clientes_Cadastrados!J37,D5=Clientes_Cadastrados!D38,K5*Clientes_Cadastrados!J38,D5=Clientes_Cadastrados!D39,K5*Clientes_Cadastrados!J39,D5=Clientes_Cadastrados!D40,K5*Clientes_Cadastrados!J40,D5=Clientes_Cadastrados!D41,K5*Clientes_Cadastrados!J41,D5=Clientes_Cadastrados!D42,K5*Clientes_Cadastrados!J42,D5=Clientes_Cadastrados!D43,K5*Clientes_Cadastrados!J43,D5=Clientes_Cadastrados!D44,K5*Clientes_Cadastrados!J44,D5=Clientes_Cadastrados!D45,K5*Clientes_Cadastrados!J45,D5=Clientes_Cadastrados!D46,K5*Clientes_Cadastrados!J46,D5=Clientes_Cadastrados!D47,K5*Clientes_Cadastrados!J47,D5=Clientes_Cadastrados!D48,K5*Clientes_Cadastrados!J48,D5=Clientes_Cadastrados!D49,K5*Clientes_Cadastrados!J49,D5=Clientes_Cadastrados!D50,K5*Clientes_Cadastrados!J50,D5=Clientes_Cadastrados!D51,K5*Clientes_Cadastrados!J51,D5=Clientes_Cadastrados!D52,K5*Clientes_Cadastrados!J52,D5=Clientes_Cadastrados!D53,K5*Clientes_Cadastrados!J53,D5=Clientes_Cadastrados!D54,K5*Clientes_Cadastrados!J54,D5=Clientes_Cadastrados!D55,K5*Clientes_Cadastrados!J55,D5=Clientes_Cadastrados!D56,K5*Clientes_Cadastrados!J56,D5=Clientes_Cadastrados!D57,K5*Clientes_Cadastrados!J57,D5=Clientes_Cadastrados!D58,K5*Clientes_Cadastrados!J58,D5=Clientes_Cadastrados!D59,K5*Clientes_Cadastrados!J59,D5=Clientes_Cadastrados!D60,K5*Clientes_Cadastrados!J60,D5=Clientes_Cadastrados!D61,K5*Clientes_Cadastrados!J61),"R$ -")</f>
        <v>R$ -</v>
      </c>
    </row>
    <row r="5" spans="2:6" ht="15.75" x14ac:dyDescent="0.25">
      <c r="B5" s="39" t="s">
        <v>49</v>
      </c>
      <c r="C5" s="26" t="str">
        <f>IFERROR(_xlfn.IFS(D5=Clientes_Cadastrados!D6,H5*Clientes_Cadastrados!F6,D5=Clientes_Cadastrados!D7,H5*Clientes_Cadastrados!F7,D5=Clientes_Cadastrados!D8,H5*Clientes_Cadastrados!F8,D5=Clientes_Cadastrados!D9,H5*Clientes_Cadastrados!F9,D5=Clientes_Cadastrados!D10,H5*Clientes_Cadastrados!F10,D5=Clientes_Cadastrados!D11,H5*Clientes_Cadastrados!F11,D5=Clientes_Cadastrados!D12,H5*Clientes_Cadastrados!F12,D5=Clientes_Cadastrados!D13,H5*Clientes_Cadastrados!F13,D5=Clientes_Cadastrados!D14,H5*Clientes_Cadastrados!F14,D5=Clientes_Cadastrados!D15,H5*Clientes_Cadastrados!F15,D5=Clientes_Cadastrados!D16,H5*Clientes_Cadastrados!F16,D5=Clientes_Cadastrados!D17,H5*Clientes_Cadastrados!F17,D5=Clientes_Cadastrados!D18,H5*Clientes_Cadastrados!F18,D5=Clientes_Cadastrados!D19,H5*Clientes_Cadastrados!F19,D5=Clientes_Cadastrados!D20,H5*Clientes_Cadastrados!F20,D5=Clientes_Cadastrados!D21,H5*Clientes_Cadastrados!F21,D5=Clientes_Cadastrados!D22,H5*Clientes_Cadastrados!F22,D5=Clientes_Cadastrados!D23,H5*Clientes_Cadastrados!F23,D5=Clientes_Cadastrados!D24,H5*Clientes_Cadastrados!F24,D5=Clientes_Cadastrados!D25,H5*Clientes_Cadastrados!F25,D5=Clientes_Cadastrados!D26,H5*Clientes_Cadastrados!F26,D5=Clientes_Cadastrados!D27,H5*Clientes_Cadastrados!F27,D5=Clientes_Cadastrados!D28,H5*Clientes_Cadastrados!F28,D5=Clientes_Cadastrados!D29,H5*Clientes_Cadastrados!F29,D5=Clientes_Cadastrados!D30,H5*Clientes_Cadastrados!F30,D5=Clientes_Cadastrados!D31,H5*Clientes_Cadastrados!F31,D5=Clientes_Cadastrados!D32,H5*Clientes_Cadastrados!F32,D5=Clientes_Cadastrados!D33,H5*Clientes_Cadastrados!F33,D5=Clientes_Cadastrados!D34,H5*Clientes_Cadastrados!F34,D5=Clientes_Cadastrados!D35,H5*Clientes_Cadastrados!F35,D5=Clientes_Cadastrados!D36,H5*Clientes_Cadastrados!F36,D5=Clientes_Cadastrados!D37,H5*Clientes_Cadastrados!F37,D5=Clientes_Cadastrados!D38,H5*Clientes_Cadastrados!F38,D5=Clientes_Cadastrados!D39,H5*Clientes_Cadastrados!F39,D5=Clientes_Cadastrados!D40,H5*Clientes_Cadastrados!F40,D5=Clientes_Cadastrados!D41,H5*Clientes_Cadastrados!F41,D5=Clientes_Cadastrados!D42,H5*Clientes_Cadastrados!F42,D5=Clientes_Cadastrados!D43,H5*Clientes_Cadastrados!F43,D5=Clientes_Cadastrados!D44,H5*Clientes_Cadastrados!F44,D5=Clientes_Cadastrados!D45,H5*Clientes_Cadastrados!F45,D5=Clientes_Cadastrados!D46,H5*Clientes_Cadastrados!F46,D5=Clientes_Cadastrados!D47,H5*Clientes_Cadastrados!F47,D5=Clientes_Cadastrados!D48,H5*Clientes_Cadastrados!F48,D5=Clientes_Cadastrados!D49,H5*Clientes_Cadastrados!F49,D5=Clientes_Cadastrados!D50,H5*Clientes_Cadastrados!F50,D5=Clientes_Cadastrados!D51,H5*Clientes_Cadastrados!F51,D5=Clientes_Cadastrados!D52,H5*Clientes_Cadastrados!F52,D5=Clientes_Cadastrados!D53,H5*Clientes_Cadastrados!F53,D5=Clientes_Cadastrados!D54,H5*Clientes_Cadastrados!F54,D5=Clientes_Cadastrados!D55,H5*Clientes_Cadastrados!F55,D5=Clientes_Cadastrados!D56,H5*Clientes_Cadastrados!F56,D5=Clientes_Cadastrados!D57,H5*Clientes_Cadastrados!F57,D5=Clientes_Cadastrados!D58,H5*Clientes_Cadastrados!F58,D5=Clientes_Cadastrados!D59,H5*Clientes_Cadastrados!F59,D5=Clientes_Cadastrados!D60,H5*Clientes_Cadastrados!F60,D5=Clientes_Cadastrados!D61,H5*Clientes_Cadastrados!F61),"R$ -")</f>
        <v>R$ -</v>
      </c>
      <c r="E5" s="25" t="s">
        <v>50</v>
      </c>
      <c r="F5" s="27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9922-8D48-48EF-B7A6-3F93C3E95C2A}">
  <sheetPr codeName="Planilha3"/>
  <dimension ref="B2:Q61"/>
  <sheetViews>
    <sheetView zoomScaleNormal="100" workbookViewId="0">
      <selection activeCell="I6" sqref="I6"/>
    </sheetView>
  </sheetViews>
  <sheetFormatPr defaultColWidth="9.140625" defaultRowHeight="15" x14ac:dyDescent="0.25"/>
  <cols>
    <col min="1" max="1" width="2.7109375" style="30" customWidth="1"/>
    <col min="2" max="2" width="3.85546875" style="30" bestFit="1" customWidth="1"/>
    <col min="3" max="3" width="42.28515625" style="30" customWidth="1"/>
    <col min="4" max="5" width="54.42578125" style="30" customWidth="1"/>
    <col min="6" max="6" width="1.140625" style="30" customWidth="1"/>
    <col min="7" max="7" width="0.5703125" style="7" customWidth="1"/>
    <col min="8" max="8" width="1.7109375" style="34" customWidth="1"/>
    <col min="9" max="9" width="9.140625" style="34"/>
    <col min="10" max="10" width="12.85546875" style="34" bestFit="1" customWidth="1"/>
    <col min="11" max="11" width="2" style="7" customWidth="1"/>
    <col min="12" max="12" width="0.5703125" style="7" customWidth="1"/>
    <col min="13" max="13" width="2.42578125" style="7" customWidth="1"/>
    <col min="14" max="14" width="9.140625" style="7"/>
    <col min="15" max="15" width="12.85546875" style="7" bestFit="1" customWidth="1"/>
    <col min="16" max="16384" width="9.140625" style="30"/>
  </cols>
  <sheetData>
    <row r="2" spans="2:17" ht="29.25" customHeight="1" x14ac:dyDescent="0.25">
      <c r="G2" s="30"/>
      <c r="H2" s="30"/>
      <c r="I2" s="30"/>
      <c r="J2" s="30"/>
      <c r="K2" s="30"/>
      <c r="L2" s="30"/>
      <c r="M2" s="30"/>
      <c r="N2" s="30"/>
      <c r="O2" s="30"/>
    </row>
    <row r="3" spans="2:17" x14ac:dyDescent="0.25">
      <c r="G3"/>
      <c r="H3" s="30"/>
      <c r="I3" s="30"/>
      <c r="J3" s="30"/>
      <c r="K3" s="30"/>
      <c r="L3" s="30"/>
      <c r="M3" s="30"/>
      <c r="N3" s="30"/>
      <c r="O3" s="30"/>
    </row>
    <row r="4" spans="2:17" x14ac:dyDescent="0.25">
      <c r="G4" s="6"/>
      <c r="I4" s="86" t="s">
        <v>21</v>
      </c>
      <c r="J4" s="86"/>
      <c r="K4" s="30"/>
      <c r="L4" s="6"/>
      <c r="N4" s="86" t="s">
        <v>8</v>
      </c>
      <c r="O4" s="86"/>
    </row>
    <row r="5" spans="2:17" x14ac:dyDescent="0.25">
      <c r="C5" s="4" t="s">
        <v>10</v>
      </c>
      <c r="D5" s="4" t="s">
        <v>16</v>
      </c>
      <c r="E5" s="4" t="s">
        <v>8</v>
      </c>
      <c r="G5" s="6"/>
      <c r="I5" s="4" t="s">
        <v>23</v>
      </c>
      <c r="J5" s="4" t="s">
        <v>22</v>
      </c>
      <c r="K5" s="30"/>
      <c r="L5" s="6"/>
      <c r="N5" s="4" t="s">
        <v>22</v>
      </c>
      <c r="O5" s="4" t="s">
        <v>36</v>
      </c>
    </row>
    <row r="6" spans="2:17" x14ac:dyDescent="0.25">
      <c r="B6" s="5">
        <v>1</v>
      </c>
      <c r="C6" s="8" t="s">
        <v>66</v>
      </c>
      <c r="D6" s="76">
        <v>6.9</v>
      </c>
      <c r="E6" s="76" t="s">
        <v>18</v>
      </c>
      <c r="G6" s="6"/>
      <c r="I6" s="64">
        <f>D6</f>
        <v>6.9</v>
      </c>
      <c r="J6" s="64">
        <f>I6</f>
        <v>6.9</v>
      </c>
      <c r="K6" s="30"/>
      <c r="L6" s="6"/>
      <c r="N6" s="64" t="str">
        <f>E6</f>
        <v>R$ 15,50</v>
      </c>
      <c r="O6" s="64" t="str">
        <f>N6</f>
        <v>R$ 15,50</v>
      </c>
      <c r="P6" s="7"/>
      <c r="Q6" s="7"/>
    </row>
    <row r="7" spans="2:17" x14ac:dyDescent="0.25">
      <c r="B7" s="5">
        <v>2</v>
      </c>
      <c r="C7" s="8" t="s">
        <v>67</v>
      </c>
      <c r="D7" s="76">
        <v>6.9</v>
      </c>
      <c r="E7" s="76">
        <v>6.9</v>
      </c>
      <c r="G7" s="6"/>
      <c r="I7" s="64">
        <f t="shared" ref="I7:I61" si="0">D7</f>
        <v>6.9</v>
      </c>
      <c r="J7" s="64">
        <f t="shared" ref="J7:J61" si="1">I7</f>
        <v>6.9</v>
      </c>
      <c r="K7" s="30"/>
      <c r="L7" s="6"/>
      <c r="N7" s="64">
        <f t="shared" ref="N7:N61" si="2">E7</f>
        <v>6.9</v>
      </c>
      <c r="O7" s="64">
        <f t="shared" ref="O7:O61" si="3">N7</f>
        <v>6.9</v>
      </c>
      <c r="P7" s="7"/>
      <c r="Q7" s="7"/>
    </row>
    <row r="8" spans="2:17" x14ac:dyDescent="0.25">
      <c r="B8" s="5">
        <v>3</v>
      </c>
      <c r="C8" s="8" t="s">
        <v>68</v>
      </c>
      <c r="D8" s="76">
        <v>2.1</v>
      </c>
      <c r="E8" s="76">
        <v>2.1</v>
      </c>
      <c r="G8" s="6"/>
      <c r="I8" s="64">
        <f t="shared" si="0"/>
        <v>2.1</v>
      </c>
      <c r="J8" s="64">
        <f t="shared" si="1"/>
        <v>2.1</v>
      </c>
      <c r="K8" s="30"/>
      <c r="L8" s="6"/>
      <c r="N8" s="64">
        <f t="shared" si="2"/>
        <v>2.1</v>
      </c>
      <c r="O8" s="64">
        <f t="shared" si="3"/>
        <v>2.1</v>
      </c>
      <c r="P8" s="7"/>
      <c r="Q8" s="7"/>
    </row>
    <row r="9" spans="2:17" x14ac:dyDescent="0.25">
      <c r="B9" s="5">
        <v>4</v>
      </c>
      <c r="C9" s="8" t="s">
        <v>69</v>
      </c>
      <c r="D9" s="76">
        <v>6.9</v>
      </c>
      <c r="E9" s="76" t="s">
        <v>19</v>
      </c>
      <c r="G9" s="6"/>
      <c r="I9" s="64">
        <f t="shared" si="0"/>
        <v>6.9</v>
      </c>
      <c r="J9" s="64">
        <f t="shared" si="1"/>
        <v>6.9</v>
      </c>
      <c r="K9" s="30"/>
      <c r="L9" s="6"/>
      <c r="N9" s="64" t="str">
        <f t="shared" si="2"/>
        <v>R$ 16,00</v>
      </c>
      <c r="O9" s="64" t="str">
        <f t="shared" si="3"/>
        <v>R$ 16,00</v>
      </c>
      <c r="P9" s="7"/>
      <c r="Q9" s="7"/>
    </row>
    <row r="10" spans="2:17" x14ac:dyDescent="0.25">
      <c r="B10" s="5">
        <v>5</v>
      </c>
      <c r="C10" s="8" t="s">
        <v>70</v>
      </c>
      <c r="D10" s="76">
        <v>6.9</v>
      </c>
      <c r="E10" s="76">
        <v>6.9</v>
      </c>
      <c r="G10" s="6"/>
      <c r="I10" s="64">
        <f t="shared" si="0"/>
        <v>6.9</v>
      </c>
      <c r="J10" s="64">
        <f t="shared" si="1"/>
        <v>6.9</v>
      </c>
      <c r="K10" s="30"/>
      <c r="L10" s="6"/>
      <c r="N10" s="64">
        <f t="shared" si="2"/>
        <v>6.9</v>
      </c>
      <c r="O10" s="64">
        <f t="shared" si="3"/>
        <v>6.9</v>
      </c>
      <c r="P10" s="7"/>
      <c r="Q10" s="7"/>
    </row>
    <row r="11" spans="2:17" x14ac:dyDescent="0.25">
      <c r="B11" s="5">
        <v>6</v>
      </c>
      <c r="C11" s="8" t="s">
        <v>71</v>
      </c>
      <c r="D11" s="76">
        <v>6.9</v>
      </c>
      <c r="E11" s="76" t="s">
        <v>19</v>
      </c>
      <c r="G11" s="6"/>
      <c r="I11" s="64">
        <f t="shared" si="0"/>
        <v>6.9</v>
      </c>
      <c r="J11" s="64">
        <f t="shared" si="1"/>
        <v>6.9</v>
      </c>
      <c r="K11" s="30"/>
      <c r="L11" s="6"/>
      <c r="N11" s="64" t="str">
        <f t="shared" si="2"/>
        <v>R$ 16,00</v>
      </c>
      <c r="O11" s="64" t="str">
        <f t="shared" si="3"/>
        <v>R$ 16,00</v>
      </c>
      <c r="P11" s="7"/>
      <c r="Q11" s="7"/>
    </row>
    <row r="12" spans="2:17" x14ac:dyDescent="0.25">
      <c r="B12" s="5">
        <v>7</v>
      </c>
      <c r="C12" s="8" t="s">
        <v>72</v>
      </c>
      <c r="D12" s="77" t="s">
        <v>20</v>
      </c>
      <c r="E12" s="76">
        <v>2.1</v>
      </c>
      <c r="G12" s="6"/>
      <c r="I12" s="64" t="str">
        <f t="shared" si="0"/>
        <v>R$ 15,75</v>
      </c>
      <c r="J12" s="64" t="str">
        <f t="shared" si="1"/>
        <v>R$ 15,75</v>
      </c>
      <c r="K12" s="30"/>
      <c r="L12" s="6"/>
      <c r="N12" s="64">
        <f t="shared" si="2"/>
        <v>2.1</v>
      </c>
      <c r="O12" s="64">
        <f t="shared" si="3"/>
        <v>2.1</v>
      </c>
      <c r="P12" s="7"/>
      <c r="Q12" s="7"/>
    </row>
    <row r="13" spans="2:17" x14ac:dyDescent="0.25">
      <c r="B13" s="5">
        <v>8</v>
      </c>
      <c r="C13" s="8" t="s">
        <v>73</v>
      </c>
      <c r="D13" s="76">
        <v>2.1</v>
      </c>
      <c r="E13" s="76">
        <v>2.1</v>
      </c>
      <c r="G13" s="6"/>
      <c r="I13" s="64">
        <f t="shared" si="0"/>
        <v>2.1</v>
      </c>
      <c r="J13" s="64">
        <f t="shared" si="1"/>
        <v>2.1</v>
      </c>
      <c r="K13" s="30"/>
      <c r="L13" s="6"/>
      <c r="N13" s="64">
        <f t="shared" si="2"/>
        <v>2.1</v>
      </c>
      <c r="O13" s="64">
        <f t="shared" si="3"/>
        <v>2.1</v>
      </c>
      <c r="P13" s="7"/>
      <c r="Q13" s="7"/>
    </row>
    <row r="14" spans="2:17" x14ac:dyDescent="0.25">
      <c r="B14" s="5">
        <v>9</v>
      </c>
      <c r="C14" s="8" t="s">
        <v>74</v>
      </c>
      <c r="D14" s="76">
        <v>6.9</v>
      </c>
      <c r="E14" s="77" t="s">
        <v>18</v>
      </c>
      <c r="G14" s="6"/>
      <c r="I14" s="64">
        <f t="shared" si="0"/>
        <v>6.9</v>
      </c>
      <c r="J14" s="64">
        <f t="shared" si="1"/>
        <v>6.9</v>
      </c>
      <c r="K14" s="30"/>
      <c r="L14" s="6"/>
      <c r="N14" s="64" t="str">
        <f t="shared" si="2"/>
        <v>R$ 15,50</v>
      </c>
      <c r="O14" s="64" t="str">
        <f t="shared" si="3"/>
        <v>R$ 15,50</v>
      </c>
      <c r="P14" s="7"/>
      <c r="Q14" s="7"/>
    </row>
    <row r="15" spans="2:17" x14ac:dyDescent="0.25">
      <c r="B15" s="5">
        <v>10</v>
      </c>
      <c r="C15" s="8" t="s">
        <v>75</v>
      </c>
      <c r="D15" s="76">
        <v>6.9</v>
      </c>
      <c r="E15" s="76" t="s">
        <v>18</v>
      </c>
      <c r="G15" s="6"/>
      <c r="I15" s="64">
        <f t="shared" si="0"/>
        <v>6.9</v>
      </c>
      <c r="J15" s="64">
        <f t="shared" si="1"/>
        <v>6.9</v>
      </c>
      <c r="K15" s="30"/>
      <c r="L15" s="6"/>
      <c r="N15" s="64" t="str">
        <f t="shared" si="2"/>
        <v>R$ 15,50</v>
      </c>
      <c r="O15" s="64" t="str">
        <f t="shared" si="3"/>
        <v>R$ 15,50</v>
      </c>
      <c r="P15" s="7"/>
      <c r="Q15" s="7"/>
    </row>
    <row r="16" spans="2:17" x14ac:dyDescent="0.25">
      <c r="B16" s="5">
        <v>11</v>
      </c>
      <c r="C16" s="8" t="s">
        <v>76</v>
      </c>
      <c r="D16" s="76">
        <v>6.9</v>
      </c>
      <c r="E16" s="76" t="s">
        <v>18</v>
      </c>
      <c r="G16" s="6"/>
      <c r="I16" s="64">
        <f t="shared" si="0"/>
        <v>6.9</v>
      </c>
      <c r="J16" s="64">
        <f t="shared" si="1"/>
        <v>6.9</v>
      </c>
      <c r="K16" s="30"/>
      <c r="L16" s="6"/>
      <c r="N16" s="64" t="str">
        <f t="shared" si="2"/>
        <v>R$ 15,50</v>
      </c>
      <c r="O16" s="64" t="str">
        <f t="shared" si="3"/>
        <v>R$ 15,50</v>
      </c>
      <c r="P16" s="7"/>
      <c r="Q16" s="7"/>
    </row>
    <row r="17" spans="2:17" x14ac:dyDescent="0.25">
      <c r="B17" s="5">
        <v>12</v>
      </c>
      <c r="C17" s="8" t="s">
        <v>77</v>
      </c>
      <c r="D17" s="76">
        <v>6.9</v>
      </c>
      <c r="E17" s="76" t="s">
        <v>18</v>
      </c>
      <c r="G17" s="6"/>
      <c r="I17" s="64">
        <f t="shared" si="0"/>
        <v>6.9</v>
      </c>
      <c r="J17" s="64">
        <f t="shared" si="1"/>
        <v>6.9</v>
      </c>
      <c r="K17" s="30"/>
      <c r="L17" s="6"/>
      <c r="N17" s="64" t="str">
        <f t="shared" si="2"/>
        <v>R$ 15,50</v>
      </c>
      <c r="O17" s="64" t="str">
        <f t="shared" si="3"/>
        <v>R$ 15,50</v>
      </c>
      <c r="P17" s="7"/>
      <c r="Q17" s="7"/>
    </row>
    <row r="18" spans="2:17" x14ac:dyDescent="0.25">
      <c r="B18" s="5">
        <v>13</v>
      </c>
      <c r="C18" s="8" t="s">
        <v>78</v>
      </c>
      <c r="D18" s="76">
        <v>6.9</v>
      </c>
      <c r="E18" s="76" t="s">
        <v>18</v>
      </c>
      <c r="G18" s="6"/>
      <c r="I18" s="64">
        <f t="shared" si="0"/>
        <v>6.9</v>
      </c>
      <c r="J18" s="64">
        <f t="shared" si="1"/>
        <v>6.9</v>
      </c>
      <c r="K18" s="30"/>
      <c r="L18" s="6"/>
      <c r="N18" s="64" t="str">
        <f t="shared" si="2"/>
        <v>R$ 15,50</v>
      </c>
      <c r="O18" s="64" t="str">
        <f t="shared" si="3"/>
        <v>R$ 15,50</v>
      </c>
      <c r="P18" s="7"/>
      <c r="Q18" s="7"/>
    </row>
    <row r="19" spans="2:17" x14ac:dyDescent="0.25">
      <c r="B19" s="5">
        <v>14</v>
      </c>
      <c r="C19" s="8" t="s">
        <v>79</v>
      </c>
      <c r="D19" s="76">
        <v>6.9</v>
      </c>
      <c r="E19" s="77" t="s">
        <v>20</v>
      </c>
      <c r="G19" s="6"/>
      <c r="I19" s="64">
        <f t="shared" si="0"/>
        <v>6.9</v>
      </c>
      <c r="J19" s="64">
        <f t="shared" si="1"/>
        <v>6.9</v>
      </c>
      <c r="K19" s="30"/>
      <c r="L19" s="6"/>
      <c r="N19" s="64" t="str">
        <f t="shared" si="2"/>
        <v>R$ 15,75</v>
      </c>
      <c r="O19" s="64" t="str">
        <f t="shared" si="3"/>
        <v>R$ 15,75</v>
      </c>
      <c r="P19" s="7"/>
      <c r="Q19" s="7"/>
    </row>
    <row r="20" spans="2:17" x14ac:dyDescent="0.25">
      <c r="B20" s="5">
        <v>15</v>
      </c>
      <c r="C20" s="8" t="s">
        <v>80</v>
      </c>
      <c r="D20" s="76">
        <v>0</v>
      </c>
      <c r="E20" s="77" t="s">
        <v>20</v>
      </c>
      <c r="G20" s="6"/>
      <c r="I20" s="64">
        <f t="shared" si="0"/>
        <v>0</v>
      </c>
      <c r="J20" s="64">
        <f t="shared" si="1"/>
        <v>0</v>
      </c>
      <c r="K20" s="30"/>
      <c r="L20" s="6"/>
      <c r="N20" s="64" t="str">
        <f t="shared" si="2"/>
        <v>R$ 15,75</v>
      </c>
      <c r="O20" s="64" t="str">
        <f t="shared" si="3"/>
        <v>R$ 15,75</v>
      </c>
      <c r="P20" s="7"/>
      <c r="Q20" s="7"/>
    </row>
    <row r="21" spans="2:17" x14ac:dyDescent="0.25">
      <c r="B21" s="5">
        <v>16</v>
      </c>
      <c r="C21" s="8" t="s">
        <v>81</v>
      </c>
      <c r="D21" s="76" t="s">
        <v>11</v>
      </c>
      <c r="E21" s="77" t="s">
        <v>20</v>
      </c>
      <c r="G21" s="6"/>
      <c r="I21" s="64" t="str">
        <f t="shared" si="0"/>
        <v>R$ 9,50</v>
      </c>
      <c r="J21" s="64" t="str">
        <f t="shared" si="1"/>
        <v>R$ 9,50</v>
      </c>
      <c r="K21" s="30"/>
      <c r="L21" s="6"/>
      <c r="N21" s="64" t="str">
        <f t="shared" si="2"/>
        <v>R$ 15,75</v>
      </c>
      <c r="O21" s="64" t="str">
        <f t="shared" si="3"/>
        <v>R$ 15,75</v>
      </c>
      <c r="P21" s="7"/>
      <c r="Q21" s="7"/>
    </row>
    <row r="22" spans="2:17" x14ac:dyDescent="0.25">
      <c r="B22" s="5">
        <v>17</v>
      </c>
      <c r="C22" s="8" t="s">
        <v>82</v>
      </c>
      <c r="D22" s="76">
        <v>6.9</v>
      </c>
      <c r="E22" s="77" t="s">
        <v>20</v>
      </c>
      <c r="G22" s="6"/>
      <c r="I22" s="64">
        <f t="shared" si="0"/>
        <v>6.9</v>
      </c>
      <c r="J22" s="64">
        <f t="shared" si="1"/>
        <v>6.9</v>
      </c>
      <c r="K22" s="30"/>
      <c r="L22" s="6"/>
      <c r="N22" s="64" t="str">
        <f t="shared" si="2"/>
        <v>R$ 15,75</v>
      </c>
      <c r="O22" s="64" t="str">
        <f t="shared" si="3"/>
        <v>R$ 15,75</v>
      </c>
      <c r="P22" s="7"/>
      <c r="Q22" s="7"/>
    </row>
    <row r="23" spans="2:17" x14ac:dyDescent="0.25">
      <c r="B23" s="5">
        <v>18</v>
      </c>
      <c r="C23" s="8" t="s">
        <v>83</v>
      </c>
      <c r="D23" s="76">
        <v>6.9</v>
      </c>
      <c r="E23" s="77" t="s">
        <v>20</v>
      </c>
      <c r="G23" s="6"/>
      <c r="I23" s="64">
        <f t="shared" si="0"/>
        <v>6.9</v>
      </c>
      <c r="J23" s="64">
        <f t="shared" si="1"/>
        <v>6.9</v>
      </c>
      <c r="K23" s="30"/>
      <c r="L23" s="6"/>
      <c r="N23" s="64" t="str">
        <f t="shared" si="2"/>
        <v>R$ 15,75</v>
      </c>
      <c r="O23" s="64" t="str">
        <f t="shared" si="3"/>
        <v>R$ 15,75</v>
      </c>
      <c r="P23" s="7"/>
      <c r="Q23" s="7"/>
    </row>
    <row r="24" spans="2:17" x14ac:dyDescent="0.25">
      <c r="B24" s="5">
        <v>19</v>
      </c>
      <c r="C24" s="8" t="s">
        <v>84</v>
      </c>
      <c r="D24" s="76" t="s">
        <v>11</v>
      </c>
      <c r="E24" s="77" t="s">
        <v>20</v>
      </c>
      <c r="G24" s="6"/>
      <c r="I24" s="64" t="str">
        <f t="shared" si="0"/>
        <v>R$ 9,50</v>
      </c>
      <c r="J24" s="64" t="str">
        <f t="shared" si="1"/>
        <v>R$ 9,50</v>
      </c>
      <c r="K24" s="30"/>
      <c r="L24" s="6"/>
      <c r="N24" s="64" t="str">
        <f t="shared" si="2"/>
        <v>R$ 15,75</v>
      </c>
      <c r="O24" s="64" t="str">
        <f t="shared" si="3"/>
        <v>R$ 15,75</v>
      </c>
      <c r="P24" s="7"/>
      <c r="Q24" s="7"/>
    </row>
    <row r="25" spans="2:17" x14ac:dyDescent="0.25">
      <c r="B25" s="5">
        <v>20</v>
      </c>
      <c r="C25" s="8" t="s">
        <v>85</v>
      </c>
      <c r="D25" s="77" t="s">
        <v>20</v>
      </c>
      <c r="E25" s="77" t="s">
        <v>20</v>
      </c>
      <c r="G25" s="6"/>
      <c r="I25" s="64" t="str">
        <f t="shared" si="0"/>
        <v>R$ 15,75</v>
      </c>
      <c r="J25" s="64" t="str">
        <f t="shared" si="1"/>
        <v>R$ 15,75</v>
      </c>
      <c r="K25" s="30"/>
      <c r="L25" s="6"/>
      <c r="N25" s="64" t="str">
        <f t="shared" si="2"/>
        <v>R$ 15,75</v>
      </c>
      <c r="O25" s="64" t="str">
        <f t="shared" si="3"/>
        <v>R$ 15,75</v>
      </c>
      <c r="P25" s="7"/>
      <c r="Q25" s="7"/>
    </row>
    <row r="26" spans="2:17" x14ac:dyDescent="0.25">
      <c r="B26" s="5">
        <v>21</v>
      </c>
      <c r="C26" s="8" t="s">
        <v>86</v>
      </c>
      <c r="D26" s="76">
        <v>2.1</v>
      </c>
      <c r="E26" s="76">
        <v>2.1</v>
      </c>
      <c r="G26" s="6"/>
      <c r="I26" s="64">
        <f t="shared" si="0"/>
        <v>2.1</v>
      </c>
      <c r="J26" s="64">
        <f t="shared" si="1"/>
        <v>2.1</v>
      </c>
      <c r="K26" s="30"/>
      <c r="L26" s="6"/>
      <c r="N26" s="64">
        <f t="shared" si="2"/>
        <v>2.1</v>
      </c>
      <c r="O26" s="64">
        <f t="shared" si="3"/>
        <v>2.1</v>
      </c>
      <c r="P26" s="7"/>
      <c r="Q26" s="7"/>
    </row>
    <row r="27" spans="2:17" x14ac:dyDescent="0.25">
      <c r="B27" s="5">
        <v>22</v>
      </c>
      <c r="C27" s="8" t="s">
        <v>87</v>
      </c>
      <c r="D27" s="77" t="s">
        <v>11</v>
      </c>
      <c r="E27" s="76">
        <v>2.1</v>
      </c>
      <c r="G27" s="6"/>
      <c r="I27" s="64" t="str">
        <f t="shared" si="0"/>
        <v>R$ 9,50</v>
      </c>
      <c r="J27" s="64" t="str">
        <f t="shared" si="1"/>
        <v>R$ 9,50</v>
      </c>
      <c r="K27" s="30"/>
      <c r="L27" s="6"/>
      <c r="N27" s="64">
        <f t="shared" si="2"/>
        <v>2.1</v>
      </c>
      <c r="O27" s="64">
        <f t="shared" si="3"/>
        <v>2.1</v>
      </c>
      <c r="P27" s="7"/>
      <c r="Q27" s="7"/>
    </row>
    <row r="28" spans="2:17" x14ac:dyDescent="0.25">
      <c r="B28" s="5">
        <v>23</v>
      </c>
      <c r="C28" s="8" t="s">
        <v>88</v>
      </c>
      <c r="D28" s="78">
        <v>9.6999999999999993</v>
      </c>
      <c r="E28" s="77" t="s">
        <v>20</v>
      </c>
      <c r="G28" s="6"/>
      <c r="I28" s="64">
        <f t="shared" si="0"/>
        <v>9.6999999999999993</v>
      </c>
      <c r="J28" s="64">
        <f t="shared" si="1"/>
        <v>9.6999999999999993</v>
      </c>
      <c r="K28" s="30"/>
      <c r="L28" s="6"/>
      <c r="N28" s="64" t="str">
        <f t="shared" si="2"/>
        <v>R$ 15,75</v>
      </c>
      <c r="O28" s="64" t="str">
        <f t="shared" si="3"/>
        <v>R$ 15,75</v>
      </c>
      <c r="P28" s="7"/>
      <c r="Q28" s="7"/>
    </row>
    <row r="29" spans="2:17" x14ac:dyDescent="0.25">
      <c r="B29" s="5">
        <v>24</v>
      </c>
      <c r="C29" s="8" t="s">
        <v>89</v>
      </c>
      <c r="D29" s="77" t="s">
        <v>20</v>
      </c>
      <c r="E29" s="76">
        <v>2.1</v>
      </c>
      <c r="G29" s="6"/>
      <c r="I29" s="64" t="str">
        <f t="shared" si="0"/>
        <v>R$ 15,75</v>
      </c>
      <c r="J29" s="64" t="str">
        <f t="shared" si="1"/>
        <v>R$ 15,75</v>
      </c>
      <c r="K29" s="30"/>
      <c r="L29" s="6"/>
      <c r="N29" s="64">
        <f t="shared" si="2"/>
        <v>2.1</v>
      </c>
      <c r="O29" s="64">
        <f t="shared" si="3"/>
        <v>2.1</v>
      </c>
      <c r="P29" s="7"/>
      <c r="Q29" s="7"/>
    </row>
    <row r="30" spans="2:17" x14ac:dyDescent="0.25">
      <c r="B30" s="5">
        <v>25</v>
      </c>
      <c r="C30" s="8" t="s">
        <v>90</v>
      </c>
      <c r="D30" s="76">
        <v>2.1</v>
      </c>
      <c r="E30" s="76">
        <v>2.1</v>
      </c>
      <c r="G30" s="6"/>
      <c r="I30" s="64">
        <f t="shared" si="0"/>
        <v>2.1</v>
      </c>
      <c r="J30" s="64">
        <f t="shared" si="1"/>
        <v>2.1</v>
      </c>
      <c r="K30" s="30"/>
      <c r="L30" s="6"/>
      <c r="N30" s="64">
        <f t="shared" si="2"/>
        <v>2.1</v>
      </c>
      <c r="O30" s="64">
        <f t="shared" si="3"/>
        <v>2.1</v>
      </c>
      <c r="P30" s="7"/>
      <c r="Q30" s="7"/>
    </row>
    <row r="31" spans="2:17" x14ac:dyDescent="0.25">
      <c r="B31" s="5">
        <v>26</v>
      </c>
      <c r="C31" s="8" t="s">
        <v>91</v>
      </c>
      <c r="D31" s="76" t="s">
        <v>11</v>
      </c>
      <c r="E31" s="76" t="s">
        <v>18</v>
      </c>
      <c r="G31" s="6"/>
      <c r="I31" s="64" t="str">
        <f t="shared" si="0"/>
        <v>R$ 9,50</v>
      </c>
      <c r="J31" s="64" t="str">
        <f t="shared" si="1"/>
        <v>R$ 9,50</v>
      </c>
      <c r="K31" s="30"/>
      <c r="L31" s="6"/>
      <c r="N31" s="64" t="str">
        <f t="shared" si="2"/>
        <v>R$ 15,50</v>
      </c>
      <c r="O31" s="64" t="str">
        <f t="shared" si="3"/>
        <v>R$ 15,50</v>
      </c>
      <c r="P31" s="7"/>
      <c r="Q31" s="7"/>
    </row>
    <row r="32" spans="2:17" x14ac:dyDescent="0.25">
      <c r="B32" s="5">
        <v>27</v>
      </c>
      <c r="C32" s="8" t="s">
        <v>92</v>
      </c>
      <c r="D32" s="77" t="s">
        <v>20</v>
      </c>
      <c r="E32" s="76" t="s">
        <v>18</v>
      </c>
      <c r="G32" s="6"/>
      <c r="I32" s="64" t="str">
        <f t="shared" si="0"/>
        <v>R$ 15,75</v>
      </c>
      <c r="J32" s="64" t="str">
        <f t="shared" si="1"/>
        <v>R$ 15,75</v>
      </c>
      <c r="K32" s="30"/>
      <c r="L32" s="6"/>
      <c r="N32" s="64" t="str">
        <f t="shared" si="2"/>
        <v>R$ 15,50</v>
      </c>
      <c r="O32" s="64" t="str">
        <f t="shared" si="3"/>
        <v>R$ 15,50</v>
      </c>
      <c r="P32" s="7"/>
      <c r="Q32" s="7"/>
    </row>
    <row r="33" spans="2:17" x14ac:dyDescent="0.25">
      <c r="B33" s="5">
        <v>28</v>
      </c>
      <c r="C33" s="8" t="s">
        <v>93</v>
      </c>
      <c r="D33" s="76">
        <v>6.9</v>
      </c>
      <c r="E33" s="76" t="s">
        <v>18</v>
      </c>
      <c r="G33" s="6"/>
      <c r="I33" s="64">
        <f t="shared" si="0"/>
        <v>6.9</v>
      </c>
      <c r="J33" s="64">
        <f t="shared" si="1"/>
        <v>6.9</v>
      </c>
      <c r="K33" s="30"/>
      <c r="L33" s="6"/>
      <c r="N33" s="64" t="str">
        <f t="shared" si="2"/>
        <v>R$ 15,50</v>
      </c>
      <c r="O33" s="64" t="str">
        <f t="shared" si="3"/>
        <v>R$ 15,50</v>
      </c>
      <c r="P33" s="7"/>
      <c r="Q33" s="7"/>
    </row>
    <row r="34" spans="2:17" x14ac:dyDescent="0.25">
      <c r="B34" s="5">
        <v>29</v>
      </c>
      <c r="C34" s="8" t="s">
        <v>94</v>
      </c>
      <c r="D34" s="76">
        <v>6.9</v>
      </c>
      <c r="E34" s="76">
        <v>2.1</v>
      </c>
      <c r="G34" s="6"/>
      <c r="I34" s="64">
        <f t="shared" si="0"/>
        <v>6.9</v>
      </c>
      <c r="J34" s="64">
        <f t="shared" si="1"/>
        <v>6.9</v>
      </c>
      <c r="K34" s="30"/>
      <c r="L34" s="6"/>
      <c r="N34" s="64">
        <f t="shared" si="2"/>
        <v>2.1</v>
      </c>
      <c r="O34" s="64">
        <f t="shared" si="3"/>
        <v>2.1</v>
      </c>
      <c r="P34" s="7"/>
      <c r="Q34" s="7"/>
    </row>
    <row r="35" spans="2:17" x14ac:dyDescent="0.25">
      <c r="B35" s="5">
        <v>30</v>
      </c>
      <c r="C35" s="8" t="s">
        <v>95</v>
      </c>
      <c r="D35" s="76">
        <v>6.9</v>
      </c>
      <c r="E35" s="76" t="s">
        <v>18</v>
      </c>
      <c r="G35" s="6"/>
      <c r="I35" s="64">
        <f t="shared" si="0"/>
        <v>6.9</v>
      </c>
      <c r="J35" s="64">
        <f t="shared" si="1"/>
        <v>6.9</v>
      </c>
      <c r="K35" s="30"/>
      <c r="L35" s="6"/>
      <c r="N35" s="64" t="str">
        <f t="shared" si="2"/>
        <v>R$ 15,50</v>
      </c>
      <c r="O35" s="64" t="str">
        <f t="shared" si="3"/>
        <v>R$ 15,50</v>
      </c>
      <c r="P35" s="7"/>
      <c r="Q35" s="7"/>
    </row>
    <row r="36" spans="2:17" x14ac:dyDescent="0.25">
      <c r="B36" s="5">
        <v>31</v>
      </c>
      <c r="C36" s="8" t="s">
        <v>96</v>
      </c>
      <c r="D36" s="76">
        <v>6.9</v>
      </c>
      <c r="E36" s="76" t="s">
        <v>18</v>
      </c>
      <c r="G36" s="6"/>
      <c r="I36" s="64">
        <f t="shared" si="0"/>
        <v>6.9</v>
      </c>
      <c r="J36" s="64">
        <f t="shared" si="1"/>
        <v>6.9</v>
      </c>
      <c r="K36" s="30"/>
      <c r="L36" s="6"/>
      <c r="N36" s="64" t="str">
        <f t="shared" si="2"/>
        <v>R$ 15,50</v>
      </c>
      <c r="O36" s="64" t="str">
        <f t="shared" si="3"/>
        <v>R$ 15,50</v>
      </c>
      <c r="P36" s="7"/>
      <c r="Q36" s="7"/>
    </row>
    <row r="37" spans="2:17" x14ac:dyDescent="0.25">
      <c r="B37" s="5">
        <v>32</v>
      </c>
      <c r="C37" s="8" t="s">
        <v>97</v>
      </c>
      <c r="D37" s="76">
        <v>2.1</v>
      </c>
      <c r="E37" s="78">
        <v>9.6999999999999993</v>
      </c>
      <c r="G37" s="6"/>
      <c r="I37" s="64">
        <f t="shared" si="0"/>
        <v>2.1</v>
      </c>
      <c r="J37" s="64">
        <f t="shared" si="1"/>
        <v>2.1</v>
      </c>
      <c r="K37" s="30"/>
      <c r="L37" s="6"/>
      <c r="N37" s="64">
        <f t="shared" si="2"/>
        <v>9.6999999999999993</v>
      </c>
      <c r="O37" s="64">
        <f t="shared" si="3"/>
        <v>9.6999999999999993</v>
      </c>
      <c r="P37" s="7"/>
      <c r="Q37" s="7"/>
    </row>
    <row r="38" spans="2:17" x14ac:dyDescent="0.25">
      <c r="B38" s="5">
        <v>33</v>
      </c>
      <c r="C38" s="8" t="s">
        <v>98</v>
      </c>
      <c r="D38" s="76" t="s">
        <v>11</v>
      </c>
      <c r="E38" s="78">
        <v>9.6999999999999993</v>
      </c>
      <c r="G38" s="6"/>
      <c r="I38" s="64" t="str">
        <f t="shared" si="0"/>
        <v>R$ 9,50</v>
      </c>
      <c r="J38" s="64" t="str">
        <f t="shared" si="1"/>
        <v>R$ 9,50</v>
      </c>
      <c r="K38" s="30"/>
      <c r="L38" s="6"/>
      <c r="N38" s="64">
        <f t="shared" si="2"/>
        <v>9.6999999999999993</v>
      </c>
      <c r="O38" s="64">
        <f t="shared" si="3"/>
        <v>9.6999999999999993</v>
      </c>
      <c r="P38" s="7"/>
      <c r="Q38" s="7"/>
    </row>
    <row r="39" spans="2:17" x14ac:dyDescent="0.25">
      <c r="B39" s="5">
        <v>34</v>
      </c>
      <c r="C39" s="8" t="s">
        <v>99</v>
      </c>
      <c r="D39" s="76" t="s">
        <v>13</v>
      </c>
      <c r="E39" s="78">
        <v>9.6999999999999993</v>
      </c>
      <c r="G39" s="6"/>
      <c r="I39" s="64" t="str">
        <f t="shared" si="0"/>
        <v>R$ 10,25</v>
      </c>
      <c r="J39" s="64" t="str">
        <f t="shared" si="1"/>
        <v>R$ 10,25</v>
      </c>
      <c r="K39" s="30"/>
      <c r="L39" s="6"/>
      <c r="N39" s="64">
        <f t="shared" si="2"/>
        <v>9.6999999999999993</v>
      </c>
      <c r="O39" s="64">
        <f t="shared" si="3"/>
        <v>9.6999999999999993</v>
      </c>
      <c r="P39" s="7"/>
      <c r="Q39" s="7"/>
    </row>
    <row r="40" spans="2:17" x14ac:dyDescent="0.25">
      <c r="B40" s="5">
        <v>35</v>
      </c>
      <c r="C40" s="8" t="s">
        <v>100</v>
      </c>
      <c r="D40" s="77" t="s">
        <v>14</v>
      </c>
      <c r="E40" s="78">
        <v>9.6999999999999993</v>
      </c>
      <c r="G40" s="6"/>
      <c r="I40" s="64" t="str">
        <f t="shared" si="0"/>
        <v>R$ 7,50</v>
      </c>
      <c r="J40" s="64" t="str">
        <f t="shared" si="1"/>
        <v>R$ 7,50</v>
      </c>
      <c r="K40" s="30"/>
      <c r="L40" s="6"/>
      <c r="N40" s="64">
        <f t="shared" si="2"/>
        <v>9.6999999999999993</v>
      </c>
      <c r="O40" s="64">
        <f t="shared" si="3"/>
        <v>9.6999999999999993</v>
      </c>
      <c r="P40" s="7"/>
      <c r="Q40" s="7"/>
    </row>
    <row r="41" spans="2:17" x14ac:dyDescent="0.25">
      <c r="B41" s="5">
        <v>36</v>
      </c>
      <c r="C41" s="8" t="s">
        <v>101</v>
      </c>
      <c r="D41" s="76" t="s">
        <v>12</v>
      </c>
      <c r="E41" s="78">
        <v>9.6999999999999993</v>
      </c>
      <c r="G41" s="6"/>
      <c r="I41" s="64" t="str">
        <f t="shared" si="0"/>
        <v>R$ 10,75</v>
      </c>
      <c r="J41" s="64" t="str">
        <f t="shared" si="1"/>
        <v>R$ 10,75</v>
      </c>
      <c r="K41" s="30"/>
      <c r="L41" s="6"/>
      <c r="N41" s="64">
        <f t="shared" si="2"/>
        <v>9.6999999999999993</v>
      </c>
      <c r="O41" s="64">
        <f t="shared" si="3"/>
        <v>9.6999999999999993</v>
      </c>
      <c r="P41" s="7"/>
      <c r="Q41" s="7"/>
    </row>
    <row r="42" spans="2:17" x14ac:dyDescent="0.25">
      <c r="B42" s="5">
        <v>37</v>
      </c>
      <c r="C42" s="8" t="s">
        <v>102</v>
      </c>
      <c r="D42" s="76">
        <v>2.1</v>
      </c>
      <c r="E42" s="78">
        <v>9.6999999999999993</v>
      </c>
      <c r="G42" s="6"/>
      <c r="I42" s="64">
        <f t="shared" si="0"/>
        <v>2.1</v>
      </c>
      <c r="J42" s="64">
        <f t="shared" si="1"/>
        <v>2.1</v>
      </c>
      <c r="K42" s="30"/>
      <c r="L42" s="6"/>
      <c r="N42" s="64">
        <f t="shared" si="2"/>
        <v>9.6999999999999993</v>
      </c>
      <c r="O42" s="64">
        <f t="shared" si="3"/>
        <v>9.6999999999999993</v>
      </c>
      <c r="P42" s="7"/>
      <c r="Q42" s="7"/>
    </row>
    <row r="43" spans="2:17" x14ac:dyDescent="0.25">
      <c r="B43" s="5">
        <v>38</v>
      </c>
      <c r="C43" s="8" t="s">
        <v>103</v>
      </c>
      <c r="D43" s="76">
        <v>6.9</v>
      </c>
      <c r="E43" s="78">
        <v>9.6999999999999993</v>
      </c>
      <c r="G43" s="6"/>
      <c r="I43" s="64">
        <f t="shared" si="0"/>
        <v>6.9</v>
      </c>
      <c r="J43" s="64">
        <f t="shared" si="1"/>
        <v>6.9</v>
      </c>
      <c r="K43" s="30"/>
      <c r="L43" s="6"/>
      <c r="N43" s="64">
        <f t="shared" si="2"/>
        <v>9.6999999999999993</v>
      </c>
      <c r="O43" s="64">
        <f t="shared" si="3"/>
        <v>9.6999999999999993</v>
      </c>
      <c r="P43" s="7"/>
      <c r="Q43" s="7"/>
    </row>
    <row r="44" spans="2:17" x14ac:dyDescent="0.25">
      <c r="B44" s="5">
        <v>39</v>
      </c>
      <c r="C44" s="8" t="s">
        <v>104</v>
      </c>
      <c r="D44" s="76">
        <v>6.9</v>
      </c>
      <c r="E44" s="78">
        <v>9.6999999999999993</v>
      </c>
      <c r="G44" s="6"/>
      <c r="I44" s="64">
        <f t="shared" si="0"/>
        <v>6.9</v>
      </c>
      <c r="J44" s="64">
        <f t="shared" si="1"/>
        <v>6.9</v>
      </c>
      <c r="K44" s="30"/>
      <c r="L44" s="6"/>
      <c r="N44" s="64">
        <f t="shared" si="2"/>
        <v>9.6999999999999993</v>
      </c>
      <c r="O44" s="64">
        <f t="shared" si="3"/>
        <v>9.6999999999999993</v>
      </c>
      <c r="P44" s="7"/>
      <c r="Q44" s="7"/>
    </row>
    <row r="45" spans="2:17" x14ac:dyDescent="0.25">
      <c r="B45" s="5">
        <v>40</v>
      </c>
      <c r="C45" s="8" t="s">
        <v>105</v>
      </c>
      <c r="D45" s="77" t="s">
        <v>20</v>
      </c>
      <c r="E45" s="77" t="s">
        <v>20</v>
      </c>
      <c r="G45" s="6"/>
      <c r="I45" s="64" t="str">
        <f t="shared" si="0"/>
        <v>R$ 15,75</v>
      </c>
      <c r="J45" s="64" t="str">
        <f t="shared" si="1"/>
        <v>R$ 15,75</v>
      </c>
      <c r="K45" s="30"/>
      <c r="L45" s="6"/>
      <c r="N45" s="64" t="str">
        <f t="shared" si="2"/>
        <v>R$ 15,75</v>
      </c>
      <c r="O45" s="64" t="str">
        <f t="shared" si="3"/>
        <v>R$ 15,75</v>
      </c>
      <c r="P45" s="7"/>
      <c r="Q45" s="7"/>
    </row>
    <row r="46" spans="2:17" x14ac:dyDescent="0.25">
      <c r="B46" s="5">
        <v>41</v>
      </c>
      <c r="C46" s="8" t="s">
        <v>106</v>
      </c>
      <c r="D46" s="77" t="s">
        <v>20</v>
      </c>
      <c r="E46" s="77" t="s">
        <v>20</v>
      </c>
      <c r="G46" s="6"/>
      <c r="I46" s="64" t="str">
        <f t="shared" si="0"/>
        <v>R$ 15,75</v>
      </c>
      <c r="J46" s="64" t="str">
        <f t="shared" si="1"/>
        <v>R$ 15,75</v>
      </c>
      <c r="K46" s="30"/>
      <c r="L46" s="6"/>
      <c r="N46" s="64" t="str">
        <f t="shared" si="2"/>
        <v>R$ 15,75</v>
      </c>
      <c r="O46" s="64" t="str">
        <f t="shared" si="3"/>
        <v>R$ 15,75</v>
      </c>
      <c r="P46" s="7"/>
      <c r="Q46" s="7"/>
    </row>
    <row r="47" spans="2:17" x14ac:dyDescent="0.25">
      <c r="B47" s="5">
        <v>42</v>
      </c>
      <c r="C47" s="8" t="s">
        <v>107</v>
      </c>
      <c r="D47" s="77" t="s">
        <v>20</v>
      </c>
      <c r="E47" s="77" t="s">
        <v>20</v>
      </c>
      <c r="G47" s="6"/>
      <c r="I47" s="64" t="str">
        <f t="shared" si="0"/>
        <v>R$ 15,75</v>
      </c>
      <c r="J47" s="64" t="str">
        <f t="shared" si="1"/>
        <v>R$ 15,75</v>
      </c>
      <c r="K47" s="30"/>
      <c r="L47" s="6"/>
      <c r="N47" s="64" t="str">
        <f t="shared" si="2"/>
        <v>R$ 15,75</v>
      </c>
      <c r="O47" s="64" t="str">
        <f t="shared" si="3"/>
        <v>R$ 15,75</v>
      </c>
      <c r="P47" s="7"/>
      <c r="Q47" s="7"/>
    </row>
    <row r="48" spans="2:17" x14ac:dyDescent="0.25">
      <c r="B48" s="5">
        <v>43</v>
      </c>
      <c r="C48" s="8" t="s">
        <v>108</v>
      </c>
      <c r="D48" s="77" t="s">
        <v>20</v>
      </c>
      <c r="E48" s="77" t="s">
        <v>20</v>
      </c>
      <c r="G48" s="6"/>
      <c r="I48" s="64" t="str">
        <f t="shared" si="0"/>
        <v>R$ 15,75</v>
      </c>
      <c r="J48" s="64" t="str">
        <f t="shared" si="1"/>
        <v>R$ 15,75</v>
      </c>
      <c r="K48" s="30"/>
      <c r="L48" s="6"/>
      <c r="N48" s="64" t="str">
        <f t="shared" si="2"/>
        <v>R$ 15,75</v>
      </c>
      <c r="O48" s="64" t="str">
        <f t="shared" si="3"/>
        <v>R$ 15,75</v>
      </c>
      <c r="P48" s="7"/>
      <c r="Q48" s="7"/>
    </row>
    <row r="49" spans="2:17" x14ac:dyDescent="0.25">
      <c r="B49" s="5">
        <v>44</v>
      </c>
      <c r="C49" s="8" t="s">
        <v>109</v>
      </c>
      <c r="D49" s="77" t="s">
        <v>20</v>
      </c>
      <c r="E49" s="77" t="s">
        <v>20</v>
      </c>
      <c r="G49" s="6"/>
      <c r="I49" s="64" t="str">
        <f t="shared" si="0"/>
        <v>R$ 15,75</v>
      </c>
      <c r="J49" s="64" t="str">
        <f t="shared" si="1"/>
        <v>R$ 15,75</v>
      </c>
      <c r="K49" s="30"/>
      <c r="L49" s="6"/>
      <c r="N49" s="64" t="str">
        <f t="shared" si="2"/>
        <v>R$ 15,75</v>
      </c>
      <c r="O49" s="64" t="str">
        <f t="shared" si="3"/>
        <v>R$ 15,75</v>
      </c>
      <c r="P49" s="7"/>
      <c r="Q49" s="7"/>
    </row>
    <row r="50" spans="2:17" x14ac:dyDescent="0.25">
      <c r="B50" s="5">
        <v>45</v>
      </c>
      <c r="C50" s="8" t="s">
        <v>110</v>
      </c>
      <c r="D50" s="77" t="s">
        <v>20</v>
      </c>
      <c r="E50" s="77" t="s">
        <v>20</v>
      </c>
      <c r="G50" s="6"/>
      <c r="I50" s="64" t="str">
        <f t="shared" si="0"/>
        <v>R$ 15,75</v>
      </c>
      <c r="J50" s="64" t="str">
        <f t="shared" si="1"/>
        <v>R$ 15,75</v>
      </c>
      <c r="K50" s="30"/>
      <c r="L50" s="6"/>
      <c r="N50" s="64" t="str">
        <f t="shared" si="2"/>
        <v>R$ 15,75</v>
      </c>
      <c r="O50" s="64" t="str">
        <f t="shared" si="3"/>
        <v>R$ 15,75</v>
      </c>
      <c r="P50" s="7"/>
      <c r="Q50" s="7"/>
    </row>
    <row r="51" spans="2:17" x14ac:dyDescent="0.25">
      <c r="B51" s="5">
        <v>46</v>
      </c>
      <c r="C51" s="8" t="s">
        <v>111</v>
      </c>
      <c r="D51" s="77" t="s">
        <v>20</v>
      </c>
      <c r="E51" s="77" t="s">
        <v>20</v>
      </c>
      <c r="G51" s="6"/>
      <c r="I51" s="64" t="str">
        <f t="shared" si="0"/>
        <v>R$ 15,75</v>
      </c>
      <c r="J51" s="64" t="str">
        <f t="shared" si="1"/>
        <v>R$ 15,75</v>
      </c>
      <c r="K51" s="30"/>
      <c r="L51" s="6"/>
      <c r="N51" s="64" t="str">
        <f t="shared" si="2"/>
        <v>R$ 15,75</v>
      </c>
      <c r="O51" s="64" t="str">
        <f t="shared" si="3"/>
        <v>R$ 15,75</v>
      </c>
      <c r="P51" s="7"/>
      <c r="Q51" s="7"/>
    </row>
    <row r="52" spans="2:17" x14ac:dyDescent="0.25">
      <c r="B52" s="5">
        <v>47</v>
      </c>
      <c r="C52" s="8" t="s">
        <v>112</v>
      </c>
      <c r="D52" s="76">
        <v>6.9</v>
      </c>
      <c r="E52" s="78">
        <v>9.6999999999999993</v>
      </c>
      <c r="G52" s="6"/>
      <c r="I52" s="64">
        <f t="shared" si="0"/>
        <v>6.9</v>
      </c>
      <c r="J52" s="64">
        <f t="shared" si="1"/>
        <v>6.9</v>
      </c>
      <c r="K52" s="30"/>
      <c r="L52" s="6"/>
      <c r="N52" s="64">
        <f t="shared" si="2"/>
        <v>9.6999999999999993</v>
      </c>
      <c r="O52" s="64">
        <f t="shared" si="3"/>
        <v>9.6999999999999993</v>
      </c>
      <c r="P52" s="7"/>
      <c r="Q52" s="7"/>
    </row>
    <row r="53" spans="2:17" x14ac:dyDescent="0.25">
      <c r="B53" s="5">
        <v>48</v>
      </c>
      <c r="C53" s="8" t="s">
        <v>113</v>
      </c>
      <c r="D53" s="76">
        <v>6.9</v>
      </c>
      <c r="E53" s="78">
        <v>9.6999999999999993</v>
      </c>
      <c r="G53" s="6"/>
      <c r="I53" s="64">
        <f t="shared" si="0"/>
        <v>6.9</v>
      </c>
      <c r="J53" s="64">
        <f t="shared" si="1"/>
        <v>6.9</v>
      </c>
      <c r="K53" s="30"/>
      <c r="L53" s="6"/>
      <c r="N53" s="64">
        <f t="shared" si="2"/>
        <v>9.6999999999999993</v>
      </c>
      <c r="O53" s="64">
        <f t="shared" si="3"/>
        <v>9.6999999999999993</v>
      </c>
      <c r="P53" s="7"/>
      <c r="Q53" s="7"/>
    </row>
    <row r="54" spans="2:17" x14ac:dyDescent="0.25">
      <c r="B54" s="5">
        <v>49</v>
      </c>
      <c r="C54" s="8" t="s">
        <v>114</v>
      </c>
      <c r="D54" s="77" t="s">
        <v>11</v>
      </c>
      <c r="E54" s="78">
        <v>9.6999999999999993</v>
      </c>
      <c r="G54" s="6"/>
      <c r="I54" s="64" t="str">
        <f t="shared" si="0"/>
        <v>R$ 9,50</v>
      </c>
      <c r="J54" s="64" t="str">
        <f t="shared" si="1"/>
        <v>R$ 9,50</v>
      </c>
      <c r="K54" s="30"/>
      <c r="L54" s="6"/>
      <c r="N54" s="64">
        <f t="shared" si="2"/>
        <v>9.6999999999999993</v>
      </c>
      <c r="O54" s="64">
        <f t="shared" si="3"/>
        <v>9.6999999999999993</v>
      </c>
      <c r="P54" s="7"/>
      <c r="Q54" s="7"/>
    </row>
    <row r="55" spans="2:17" x14ac:dyDescent="0.25">
      <c r="B55" s="5">
        <v>50</v>
      </c>
      <c r="C55" s="8" t="s">
        <v>115</v>
      </c>
      <c r="D55" s="76" t="s">
        <v>11</v>
      </c>
      <c r="E55" s="78">
        <v>9.6999999999999993</v>
      </c>
      <c r="G55" s="6"/>
      <c r="I55" s="64" t="str">
        <f t="shared" si="0"/>
        <v>R$ 9,50</v>
      </c>
      <c r="J55" s="64" t="str">
        <f t="shared" si="1"/>
        <v>R$ 9,50</v>
      </c>
      <c r="K55" s="30"/>
      <c r="L55" s="6"/>
      <c r="N55" s="64">
        <f t="shared" si="2"/>
        <v>9.6999999999999993</v>
      </c>
      <c r="O55" s="64">
        <f t="shared" si="3"/>
        <v>9.6999999999999993</v>
      </c>
      <c r="P55" s="7"/>
      <c r="Q55" s="7"/>
    </row>
    <row r="56" spans="2:17" x14ac:dyDescent="0.25">
      <c r="B56" s="5">
        <v>51</v>
      </c>
      <c r="C56" s="8" t="s">
        <v>116</v>
      </c>
      <c r="D56" s="76" t="s">
        <v>11</v>
      </c>
      <c r="E56" s="78">
        <v>9.6999999999999993</v>
      </c>
      <c r="G56" s="6"/>
      <c r="I56" s="64" t="str">
        <f t="shared" si="0"/>
        <v>R$ 9,50</v>
      </c>
      <c r="J56" s="64" t="str">
        <f t="shared" si="1"/>
        <v>R$ 9,50</v>
      </c>
      <c r="K56" s="30"/>
      <c r="L56" s="6"/>
      <c r="N56" s="64">
        <f t="shared" si="2"/>
        <v>9.6999999999999993</v>
      </c>
      <c r="O56" s="64">
        <f t="shared" si="3"/>
        <v>9.6999999999999993</v>
      </c>
      <c r="P56" s="7"/>
      <c r="Q56" s="7"/>
    </row>
    <row r="57" spans="2:17" x14ac:dyDescent="0.25">
      <c r="B57" s="5">
        <v>52</v>
      </c>
      <c r="C57" s="8" t="s">
        <v>117</v>
      </c>
      <c r="D57" s="76" t="s">
        <v>15</v>
      </c>
      <c r="E57" s="78">
        <v>9.6999999999999993</v>
      </c>
      <c r="G57" s="6"/>
      <c r="I57" s="64" t="str">
        <f t="shared" si="0"/>
        <v>R$ 9,75</v>
      </c>
      <c r="J57" s="64" t="str">
        <f t="shared" si="1"/>
        <v>R$ 9,75</v>
      </c>
      <c r="K57" s="30"/>
      <c r="L57" s="6"/>
      <c r="N57" s="64">
        <f t="shared" si="2"/>
        <v>9.6999999999999993</v>
      </c>
      <c r="O57" s="64">
        <f t="shared" si="3"/>
        <v>9.6999999999999993</v>
      </c>
      <c r="P57" s="7"/>
      <c r="Q57" s="7"/>
    </row>
    <row r="58" spans="2:17" x14ac:dyDescent="0.25">
      <c r="B58" s="5">
        <v>53</v>
      </c>
      <c r="C58" s="8" t="s">
        <v>118</v>
      </c>
      <c r="D58" s="77" t="s">
        <v>17</v>
      </c>
      <c r="E58" s="77" t="s">
        <v>18</v>
      </c>
      <c r="G58" s="6"/>
      <c r="I58" s="64" t="str">
        <f t="shared" si="0"/>
        <v>R$ 10,00</v>
      </c>
      <c r="J58" s="64" t="str">
        <f t="shared" si="1"/>
        <v>R$ 10,00</v>
      </c>
      <c r="K58" s="30"/>
      <c r="L58" s="6"/>
      <c r="N58" s="64" t="str">
        <f t="shared" si="2"/>
        <v>R$ 15,50</v>
      </c>
      <c r="O58" s="64" t="str">
        <f t="shared" si="3"/>
        <v>R$ 15,50</v>
      </c>
      <c r="P58" s="7"/>
      <c r="Q58" s="7"/>
    </row>
    <row r="59" spans="2:17" x14ac:dyDescent="0.25">
      <c r="B59" s="5">
        <v>54</v>
      </c>
      <c r="C59" s="8" t="s">
        <v>119</v>
      </c>
      <c r="D59" s="76">
        <v>2.1</v>
      </c>
      <c r="E59" s="76">
        <v>2.1</v>
      </c>
      <c r="G59" s="6"/>
      <c r="I59" s="64">
        <f t="shared" si="0"/>
        <v>2.1</v>
      </c>
      <c r="J59" s="64">
        <f t="shared" si="1"/>
        <v>2.1</v>
      </c>
      <c r="K59" s="30"/>
      <c r="L59" s="6"/>
      <c r="N59" s="64">
        <f t="shared" si="2"/>
        <v>2.1</v>
      </c>
      <c r="O59" s="64">
        <f t="shared" si="3"/>
        <v>2.1</v>
      </c>
      <c r="P59" s="7"/>
      <c r="Q59" s="7"/>
    </row>
    <row r="60" spans="2:17" x14ac:dyDescent="0.25">
      <c r="B60" s="5">
        <v>55</v>
      </c>
      <c r="C60" s="8" t="s">
        <v>120</v>
      </c>
      <c r="D60" s="76" t="s">
        <v>12</v>
      </c>
      <c r="E60" s="76" t="s">
        <v>18</v>
      </c>
      <c r="G60" s="6"/>
      <c r="I60" s="64" t="str">
        <f t="shared" si="0"/>
        <v>R$ 10,75</v>
      </c>
      <c r="J60" s="64" t="str">
        <f t="shared" si="1"/>
        <v>R$ 10,75</v>
      </c>
      <c r="K60" s="30"/>
      <c r="L60" s="6"/>
      <c r="N60" s="64" t="str">
        <f t="shared" si="2"/>
        <v>R$ 15,50</v>
      </c>
      <c r="O60" s="64" t="str">
        <f t="shared" si="3"/>
        <v>R$ 15,50</v>
      </c>
      <c r="P60" s="7"/>
      <c r="Q60" s="7"/>
    </row>
    <row r="61" spans="2:17" x14ac:dyDescent="0.25">
      <c r="B61" s="5">
        <v>56</v>
      </c>
      <c r="C61" s="8" t="s">
        <v>121</v>
      </c>
      <c r="D61" s="76" t="s">
        <v>12</v>
      </c>
      <c r="E61" s="76" t="s">
        <v>18</v>
      </c>
      <c r="G61" s="6"/>
      <c r="I61" s="64" t="str">
        <f t="shared" si="0"/>
        <v>R$ 10,75</v>
      </c>
      <c r="J61" s="64" t="str">
        <f t="shared" si="1"/>
        <v>R$ 10,75</v>
      </c>
      <c r="K61" s="30"/>
      <c r="L61" s="6"/>
      <c r="N61" s="64" t="str">
        <f t="shared" si="2"/>
        <v>R$ 15,50</v>
      </c>
      <c r="O61" s="64" t="str">
        <f t="shared" si="3"/>
        <v>R$ 15,50</v>
      </c>
      <c r="P61" s="7"/>
      <c r="Q61" s="7"/>
    </row>
  </sheetData>
  <mergeCells count="2">
    <mergeCell ref="N4:O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6 D31:D32 D27 D21 D54:D56 E58 E14:E18 E9 E60:E61 D38:D41 E11 D29 D24 D12 E31:E33 E35:E36 E28 E19:E27 E29:E30 E37:E53 E34 D45:D51 D57:D58 D60:D61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B162-9972-4CFE-8C2B-373057087F2F}">
  <sheetPr codeName="Planilha4"/>
  <dimension ref="C2:N61"/>
  <sheetViews>
    <sheetView zoomScale="110" zoomScaleNormal="110" workbookViewId="0">
      <selection activeCell="C62" sqref="C62"/>
    </sheetView>
  </sheetViews>
  <sheetFormatPr defaultColWidth="9.140625" defaultRowHeight="15" x14ac:dyDescent="0.25"/>
  <cols>
    <col min="1" max="1" width="24.5703125" style="30" customWidth="1"/>
    <col min="2" max="2" width="22.42578125" style="30" customWidth="1"/>
    <col min="3" max="3" width="3.140625" style="30" customWidth="1"/>
    <col min="4" max="4" width="35.5703125" style="32" customWidth="1"/>
    <col min="5" max="5" width="13.28515625" style="32" bestFit="1" customWidth="1"/>
    <col min="6" max="6" width="14.42578125" style="32" customWidth="1"/>
    <col min="7" max="7" width="1" style="30" customWidth="1"/>
    <col min="8" max="8" width="0.42578125" style="30" customWidth="1"/>
    <col min="9" max="9" width="1.28515625" style="30" customWidth="1"/>
    <col min="10" max="10" width="13.28515625" style="30" customWidth="1"/>
    <col min="11" max="11" width="10.85546875" style="30" customWidth="1"/>
    <col min="12" max="12" width="2" style="30" customWidth="1"/>
    <col min="13" max="13" width="16.5703125" style="30" customWidth="1"/>
    <col min="14" max="14" width="22.42578125" style="30" customWidth="1"/>
    <col min="15" max="16384" width="9.140625" style="30"/>
  </cols>
  <sheetData>
    <row r="2" spans="3:14" ht="29.25" customHeight="1" x14ac:dyDescent="0.25">
      <c r="D2" s="30"/>
      <c r="E2" s="30"/>
      <c r="F2" s="30"/>
    </row>
    <row r="3" spans="3:14" x14ac:dyDescent="0.25">
      <c r="D3" s="30"/>
      <c r="E3" s="30"/>
      <c r="F3" s="30"/>
    </row>
    <row r="4" spans="3:14" ht="15.75" x14ac:dyDescent="0.25">
      <c r="E4" s="87" t="s">
        <v>24</v>
      </c>
      <c r="F4" s="87"/>
      <c r="G4" s="41"/>
      <c r="H4" s="41"/>
      <c r="I4" s="41"/>
      <c r="J4" s="87" t="s">
        <v>8</v>
      </c>
      <c r="K4" s="87"/>
    </row>
    <row r="5" spans="3:14" ht="15.75" x14ac:dyDescent="0.25">
      <c r="D5" s="39" t="s">
        <v>1</v>
      </c>
      <c r="E5" s="40" t="s">
        <v>122</v>
      </c>
      <c r="F5" s="40" t="s">
        <v>123</v>
      </c>
      <c r="G5" s="41"/>
      <c r="H5" s="41"/>
      <c r="I5" s="41"/>
      <c r="J5" s="40" t="s">
        <v>124</v>
      </c>
      <c r="K5" s="40" t="s">
        <v>125</v>
      </c>
      <c r="L5" s="41"/>
      <c r="M5" s="39" t="s">
        <v>4</v>
      </c>
      <c r="N5" s="39" t="s">
        <v>5</v>
      </c>
    </row>
    <row r="6" spans="3:14" x14ac:dyDescent="0.25">
      <c r="C6" s="5">
        <v>1</v>
      </c>
      <c r="D6" s="8" t="s">
        <v>66</v>
      </c>
      <c r="E6" s="64">
        <f>Tabela_Clientes!I6*15</f>
        <v>103.5</v>
      </c>
      <c r="F6" s="64">
        <f>Tabela_Clientes!J6*5</f>
        <v>34.5</v>
      </c>
      <c r="G6" s="65"/>
      <c r="H6" s="65"/>
      <c r="I6" s="65"/>
      <c r="J6" s="64">
        <f>Tabela_Clientes!N6*12</f>
        <v>186</v>
      </c>
      <c r="K6" s="64">
        <f>Tabela_Clientes!O6*9</f>
        <v>139.5</v>
      </c>
      <c r="L6" s="66"/>
      <c r="M6" s="79">
        <f>COUNTIF(Pedidos!$E$6:$E$35,D6)</f>
        <v>1</v>
      </c>
      <c r="N6" s="67">
        <f t="array" ref="N6">SUMIF(Tabela2[Cliente],Clientes_Cadastrados!D6,Tabela2[Valor Total])</f>
        <v>2793</v>
      </c>
    </row>
    <row r="7" spans="3:14" x14ac:dyDescent="0.25">
      <c r="C7" s="5">
        <v>2</v>
      </c>
      <c r="D7" s="8" t="s">
        <v>67</v>
      </c>
      <c r="E7" s="64">
        <f>Tabela_Clientes!I7*15</f>
        <v>103.5</v>
      </c>
      <c r="F7" s="64">
        <f>Tabela_Clientes!J7*5</f>
        <v>34.5</v>
      </c>
      <c r="G7" s="65"/>
      <c r="H7" s="65"/>
      <c r="I7" s="65"/>
      <c r="J7" s="64">
        <f>Tabela_Clientes!N7*12</f>
        <v>82.800000000000011</v>
      </c>
      <c r="K7" s="64">
        <f>Tabela_Clientes!O7*9</f>
        <v>62.1</v>
      </c>
      <c r="L7" s="66"/>
      <c r="M7" s="79">
        <f>COUNTIF(Pedidos!$E$6:$E$35,D7)</f>
        <v>1</v>
      </c>
      <c r="N7" s="67">
        <f t="array" ref="N7">SUMIF(Tabela2[Cliente],Clientes_Cadastrados!D7,Tabela2[Valor Total])</f>
        <v>1414.5</v>
      </c>
    </row>
    <row r="8" spans="3:14" x14ac:dyDescent="0.25">
      <c r="C8" s="5">
        <v>3</v>
      </c>
      <c r="D8" s="8" t="s">
        <v>68</v>
      </c>
      <c r="E8" s="64">
        <f>Tabela_Clientes!I8*15</f>
        <v>31.5</v>
      </c>
      <c r="F8" s="64">
        <f>Tabela_Clientes!J8*5</f>
        <v>10.5</v>
      </c>
      <c r="G8" s="65"/>
      <c r="H8" s="65"/>
      <c r="I8" s="65"/>
      <c r="J8" s="64">
        <f>Tabela_Clientes!N8*12</f>
        <v>25.200000000000003</v>
      </c>
      <c r="K8" s="64">
        <f>Tabela_Clientes!O8*9</f>
        <v>18.900000000000002</v>
      </c>
      <c r="L8" s="66"/>
      <c r="M8" s="79">
        <f>COUNTIF(Pedidos!$E$6:$E$35,D8)</f>
        <v>1</v>
      </c>
      <c r="N8" s="67">
        <f t="array" ref="N8">SUMIF(Tabela2[Cliente],Clientes_Cadastrados!D8,Tabela2[Valor Total])</f>
        <v>430.5</v>
      </c>
    </row>
    <row r="9" spans="3:14" x14ac:dyDescent="0.25">
      <c r="C9" s="5">
        <v>4</v>
      </c>
      <c r="D9" s="8" t="s">
        <v>69</v>
      </c>
      <c r="E9" s="64">
        <f>Tabela_Clientes!I9*15</f>
        <v>103.5</v>
      </c>
      <c r="F9" s="64">
        <f>Tabela_Clientes!J9*5</f>
        <v>34.5</v>
      </c>
      <c r="G9" s="65"/>
      <c r="H9" s="65"/>
      <c r="I9" s="65"/>
      <c r="J9" s="64">
        <f>Tabela_Clientes!N9*12</f>
        <v>192</v>
      </c>
      <c r="K9" s="64">
        <f>Tabela_Clientes!O9*9</f>
        <v>144</v>
      </c>
      <c r="L9" s="66"/>
      <c r="M9" s="79">
        <f>COUNTIF(Pedidos!$E$6:$E$35,D9)</f>
        <v>1</v>
      </c>
      <c r="N9" s="67">
        <f t="array" ref="N9">SUMIF(Tabela2[Cliente],Clientes_Cadastrados!D9,Tabela2[Valor Total])</f>
        <v>2473.5</v>
      </c>
    </row>
    <row r="10" spans="3:14" x14ac:dyDescent="0.25">
      <c r="C10" s="5">
        <v>5</v>
      </c>
      <c r="D10" s="8" t="s">
        <v>70</v>
      </c>
      <c r="E10" s="64">
        <f>Tabela_Clientes!I10*15</f>
        <v>103.5</v>
      </c>
      <c r="F10" s="64">
        <f>Tabela_Clientes!J10*5</f>
        <v>34.5</v>
      </c>
      <c r="G10" s="65"/>
      <c r="H10" s="65"/>
      <c r="I10" s="65"/>
      <c r="J10" s="64">
        <f>Tabela_Clientes!N10*12</f>
        <v>82.800000000000011</v>
      </c>
      <c r="K10" s="64">
        <f>Tabela_Clientes!O10*9</f>
        <v>62.1</v>
      </c>
      <c r="L10" s="66"/>
      <c r="M10" s="79">
        <f>COUNTIF(Pedidos!$E$6:$E$35,D10)</f>
        <v>1</v>
      </c>
      <c r="N10" s="67">
        <f t="array" ref="N10">SUMIF(Tabela2[Cliente],Clientes_Cadastrados!D10,Tabela2[Valor Total])</f>
        <v>1414.5</v>
      </c>
    </row>
    <row r="11" spans="3:14" x14ac:dyDescent="0.25">
      <c r="C11" s="5">
        <v>6</v>
      </c>
      <c r="D11" s="8" t="s">
        <v>71</v>
      </c>
      <c r="E11" s="64">
        <f>Tabela_Clientes!I11*15</f>
        <v>103.5</v>
      </c>
      <c r="F11" s="64">
        <f>Tabela_Clientes!J11*5</f>
        <v>34.5</v>
      </c>
      <c r="G11" s="65"/>
      <c r="H11" s="65"/>
      <c r="I11" s="65"/>
      <c r="J11" s="64">
        <f>Tabela_Clientes!N11*12</f>
        <v>192</v>
      </c>
      <c r="K11" s="64">
        <f>Tabela_Clientes!O11*9</f>
        <v>144</v>
      </c>
      <c r="L11" s="66"/>
      <c r="M11" s="79">
        <f>COUNTIF(Pedidos!$E$6:$E$35,D11)</f>
        <v>1</v>
      </c>
      <c r="N11" s="67">
        <f t="array" ref="N11">SUMIF(Tabela2[Cliente],Clientes_Cadastrados!D11,Tabela2[Valor Total])</f>
        <v>2370</v>
      </c>
    </row>
    <row r="12" spans="3:14" x14ac:dyDescent="0.25">
      <c r="C12" s="5">
        <v>7</v>
      </c>
      <c r="D12" s="8" t="s">
        <v>72</v>
      </c>
      <c r="E12" s="64">
        <f>Tabela_Clientes!I12*15</f>
        <v>236.25</v>
      </c>
      <c r="F12" s="64">
        <f>Tabela_Clientes!J12*5</f>
        <v>78.75</v>
      </c>
      <c r="G12" s="65"/>
      <c r="H12" s="65"/>
      <c r="I12" s="65"/>
      <c r="J12" s="64">
        <f>Tabela_Clientes!N12*12</f>
        <v>25.200000000000003</v>
      </c>
      <c r="K12" s="64">
        <f>Tabela_Clientes!O12*9</f>
        <v>18.900000000000002</v>
      </c>
      <c r="L12" s="66"/>
      <c r="M12" s="79">
        <f>COUNTIF(Pedidos!$E$6:$E$35,D12)</f>
        <v>1</v>
      </c>
      <c r="N12" s="67">
        <f t="array" ref="N12">SUMIF(Tabela2[Cliente],Clientes_Cadastrados!D12,Tabela2[Valor Total])</f>
        <v>1795.5</v>
      </c>
    </row>
    <row r="13" spans="3:14" x14ac:dyDescent="0.25">
      <c r="C13" s="5">
        <v>8</v>
      </c>
      <c r="D13" s="8" t="s">
        <v>73</v>
      </c>
      <c r="E13" s="64">
        <f>Tabela_Clientes!I13*15</f>
        <v>31.5</v>
      </c>
      <c r="F13" s="64">
        <f>Tabela_Clientes!J13*5</f>
        <v>10.5</v>
      </c>
      <c r="G13" s="65"/>
      <c r="H13" s="65"/>
      <c r="I13" s="65"/>
      <c r="J13" s="64">
        <f>Tabela_Clientes!N13*12</f>
        <v>25.200000000000003</v>
      </c>
      <c r="K13" s="64">
        <f>Tabela_Clientes!O13*9</f>
        <v>18.900000000000002</v>
      </c>
      <c r="L13" s="66"/>
      <c r="M13" s="79">
        <f>COUNTIF(Pedidos!$E$6:$E$35,D13)</f>
        <v>1</v>
      </c>
      <c r="N13" s="67">
        <f t="array" ref="N13">SUMIF(Tabela2[Cliente],Clientes_Cadastrados!D13,Tabela2[Valor Total])</f>
        <v>430.5</v>
      </c>
    </row>
    <row r="14" spans="3:14" x14ac:dyDescent="0.25">
      <c r="C14" s="5">
        <v>9</v>
      </c>
      <c r="D14" s="8" t="s">
        <v>74</v>
      </c>
      <c r="E14" s="64">
        <f>Tabela_Clientes!I14*15</f>
        <v>103.5</v>
      </c>
      <c r="F14" s="64">
        <f>Tabela_Clientes!J14*5</f>
        <v>34.5</v>
      </c>
      <c r="G14" s="65"/>
      <c r="H14" s="65"/>
      <c r="I14" s="65"/>
      <c r="J14" s="64">
        <f>Tabela_Clientes!N14*12</f>
        <v>186</v>
      </c>
      <c r="K14" s="64">
        <f>Tabela_Clientes!O14*9</f>
        <v>139.5</v>
      </c>
      <c r="L14" s="66"/>
      <c r="M14" s="79">
        <f>COUNTIF(Pedidos!$E$6:$E$35,D14)</f>
        <v>1</v>
      </c>
      <c r="N14" s="67">
        <f t="array" ref="N14">SUMIF(Tabela2[Cliente],Clientes_Cadastrados!D14,Tabela2[Valor Total])</f>
        <v>2835</v>
      </c>
    </row>
    <row r="15" spans="3:14" x14ac:dyDescent="0.25">
      <c r="C15" s="5">
        <v>10</v>
      </c>
      <c r="D15" s="8" t="s">
        <v>75</v>
      </c>
      <c r="E15" s="64">
        <f>Tabela_Clientes!I15*15</f>
        <v>103.5</v>
      </c>
      <c r="F15" s="64">
        <f>Tabela_Clientes!J15*5</f>
        <v>34.5</v>
      </c>
      <c r="G15" s="65"/>
      <c r="H15" s="65"/>
      <c r="I15" s="65"/>
      <c r="J15" s="64">
        <f>Tabela_Clientes!N15*12</f>
        <v>186</v>
      </c>
      <c r="K15" s="64">
        <f>Tabela_Clientes!O15*9</f>
        <v>139.5</v>
      </c>
      <c r="L15" s="66"/>
      <c r="M15" s="79">
        <f>COUNTIF(Pedidos!$E$6:$E$35,D15)</f>
        <v>1</v>
      </c>
      <c r="N15" s="67">
        <f t="array" ref="N15">SUMIF(Tabela2[Cliente],Clientes_Cadastrados!D15,Tabela2[Valor Total])</f>
        <v>2317.5</v>
      </c>
    </row>
    <row r="16" spans="3:14" x14ac:dyDescent="0.25">
      <c r="C16" s="5">
        <v>11</v>
      </c>
      <c r="D16" s="8" t="s">
        <v>76</v>
      </c>
      <c r="E16" s="64">
        <f>Tabela_Clientes!I16*15</f>
        <v>103.5</v>
      </c>
      <c r="F16" s="64">
        <f>Tabela_Clientes!J16*5</f>
        <v>34.5</v>
      </c>
      <c r="G16" s="65"/>
      <c r="H16" s="65"/>
      <c r="I16" s="65"/>
      <c r="J16" s="64">
        <f>Tabela_Clientes!N16*12</f>
        <v>186</v>
      </c>
      <c r="K16" s="64">
        <f>Tabela_Clientes!O16*9</f>
        <v>139.5</v>
      </c>
      <c r="L16" s="66"/>
      <c r="M16" s="79">
        <f>COUNTIF(Pedidos!$E$6:$E$35,D16)</f>
        <v>1</v>
      </c>
      <c r="N16" s="67">
        <f t="array" ref="N16">SUMIF(Tabela2[Cliente],Clientes_Cadastrados!D16,Tabela2[Valor Total])</f>
        <v>8734.5</v>
      </c>
    </row>
    <row r="17" spans="3:14" x14ac:dyDescent="0.25">
      <c r="C17" s="5">
        <v>12</v>
      </c>
      <c r="D17" s="8" t="s">
        <v>77</v>
      </c>
      <c r="E17" s="64">
        <f>Tabela_Clientes!I17*15</f>
        <v>103.5</v>
      </c>
      <c r="F17" s="64">
        <f>Tabela_Clientes!J17*5</f>
        <v>34.5</v>
      </c>
      <c r="G17" s="65"/>
      <c r="H17" s="65"/>
      <c r="I17" s="65"/>
      <c r="J17" s="64">
        <f>Tabela_Clientes!N17*12</f>
        <v>186</v>
      </c>
      <c r="K17" s="64">
        <f>Tabela_Clientes!O17*9</f>
        <v>139.5</v>
      </c>
      <c r="L17" s="66"/>
      <c r="M17" s="79">
        <f>COUNTIF(Pedidos!$E$6:$E$35,D17)</f>
        <v>1</v>
      </c>
      <c r="N17" s="67">
        <f t="array" ref="N17">SUMIF(Tabela2[Cliente],Clientes_Cadastrados!D17,Tabela2[Valor Total])</f>
        <v>2317.5</v>
      </c>
    </row>
    <row r="18" spans="3:14" x14ac:dyDescent="0.25">
      <c r="C18" s="5">
        <v>13</v>
      </c>
      <c r="D18" s="8" t="s">
        <v>78</v>
      </c>
      <c r="E18" s="64">
        <f>Tabela_Clientes!I18*15</f>
        <v>103.5</v>
      </c>
      <c r="F18" s="64">
        <f>Tabela_Clientes!J18*5</f>
        <v>34.5</v>
      </c>
      <c r="G18" s="65"/>
      <c r="H18" s="65"/>
      <c r="I18" s="65"/>
      <c r="J18" s="64">
        <f>Tabela_Clientes!N18*12</f>
        <v>186</v>
      </c>
      <c r="K18" s="64">
        <f>Tabela_Clientes!O18*9</f>
        <v>139.5</v>
      </c>
      <c r="L18" s="66"/>
      <c r="M18" s="79">
        <f>COUNTIF(Pedidos!$E$6:$E$35,D18)</f>
        <v>1</v>
      </c>
      <c r="N18" s="67">
        <f t="array" ref="N18">SUMIF(Tabela2[Cliente],Clientes_Cadastrados!D18,Tabela2[Valor Total])</f>
        <v>2317.5</v>
      </c>
    </row>
    <row r="19" spans="3:14" x14ac:dyDescent="0.25">
      <c r="C19" s="5">
        <v>14</v>
      </c>
      <c r="D19" s="8" t="s">
        <v>79</v>
      </c>
      <c r="E19" s="64">
        <f>Tabela_Clientes!I19*15</f>
        <v>103.5</v>
      </c>
      <c r="F19" s="64">
        <f>Tabela_Clientes!J19*5</f>
        <v>34.5</v>
      </c>
      <c r="G19" s="65"/>
      <c r="H19" s="65"/>
      <c r="I19" s="65"/>
      <c r="J19" s="64">
        <f>Tabela_Clientes!N19*12</f>
        <v>189</v>
      </c>
      <c r="K19" s="64">
        <f>Tabela_Clientes!O19*9</f>
        <v>141.75</v>
      </c>
      <c r="L19" s="66"/>
      <c r="M19" s="79">
        <f>COUNTIF(Pedidos!$E$6:$E$35,D19)</f>
        <v>1</v>
      </c>
      <c r="N19" s="67">
        <f t="array" ref="N19">SUMIF(Tabela2[Cliente],Clientes_Cadastrados!D19,Tabela2[Valor Total])</f>
        <v>2343.75</v>
      </c>
    </row>
    <row r="20" spans="3:14" x14ac:dyDescent="0.25">
      <c r="C20" s="5">
        <v>15</v>
      </c>
      <c r="D20" s="8" t="s">
        <v>80</v>
      </c>
      <c r="E20" s="64">
        <f>Tabela_Clientes!I20*15</f>
        <v>0</v>
      </c>
      <c r="F20" s="64">
        <f>Tabela_Clientes!J20*5</f>
        <v>0</v>
      </c>
      <c r="G20" s="65"/>
      <c r="H20" s="65"/>
      <c r="I20" s="65"/>
      <c r="J20" s="64">
        <f>Tabela_Clientes!N20*12</f>
        <v>189</v>
      </c>
      <c r="K20" s="64">
        <f>Tabela_Clientes!O20*9</f>
        <v>141.75</v>
      </c>
      <c r="L20" s="66"/>
      <c r="M20" s="79">
        <f>COUNTIF(Pedidos!$E$6:$E$35,D20)</f>
        <v>1</v>
      </c>
      <c r="N20" s="67">
        <f t="array" ref="N20">SUMIF(Tabela2[Cliente],Clientes_Cadastrados!D20,Tabela2[Valor Total])</f>
        <v>1653.75</v>
      </c>
    </row>
    <row r="21" spans="3:14" x14ac:dyDescent="0.25">
      <c r="C21" s="5">
        <v>16</v>
      </c>
      <c r="D21" s="8" t="s">
        <v>81</v>
      </c>
      <c r="E21" s="64">
        <f>Tabela_Clientes!I21*15</f>
        <v>142.5</v>
      </c>
      <c r="F21" s="64">
        <f>Tabela_Clientes!J21*5</f>
        <v>47.5</v>
      </c>
      <c r="G21" s="65"/>
      <c r="H21" s="65"/>
      <c r="I21" s="65"/>
      <c r="J21" s="64">
        <f>Tabela_Clientes!N21*12</f>
        <v>189</v>
      </c>
      <c r="K21" s="64">
        <f>Tabela_Clientes!O21*9</f>
        <v>141.75</v>
      </c>
      <c r="L21" s="66"/>
      <c r="M21" s="79">
        <f>COUNTIF(Pedidos!$E$6:$E$35,D21)</f>
        <v>1</v>
      </c>
      <c r="N21" s="67">
        <f t="array" ref="N21">SUMIF(Tabela2[Cliente],Clientes_Cadastrados!D21,Tabela2[Valor Total])</f>
        <v>2603.75</v>
      </c>
    </row>
    <row r="22" spans="3:14" x14ac:dyDescent="0.25">
      <c r="C22" s="5">
        <v>17</v>
      </c>
      <c r="D22" s="8" t="s">
        <v>82</v>
      </c>
      <c r="E22" s="64">
        <f>Tabela_Clientes!I22*15</f>
        <v>103.5</v>
      </c>
      <c r="F22" s="64">
        <f>Tabela_Clientes!J22*5</f>
        <v>34.5</v>
      </c>
      <c r="G22" s="65"/>
      <c r="H22" s="65"/>
      <c r="I22" s="65"/>
      <c r="J22" s="64">
        <f>Tabela_Clientes!N22*12</f>
        <v>189</v>
      </c>
      <c r="K22" s="64">
        <f>Tabela_Clientes!O22*9</f>
        <v>141.75</v>
      </c>
      <c r="L22" s="66"/>
      <c r="M22" s="79">
        <f>COUNTIF(Pedidos!$E$6:$E$35,D22)</f>
        <v>1</v>
      </c>
      <c r="N22" s="67">
        <f t="array" ref="N22">SUMIF(Tabela2[Cliente],Clientes_Cadastrados!D22,Tabela2[Valor Total])</f>
        <v>2343.75</v>
      </c>
    </row>
    <row r="23" spans="3:14" x14ac:dyDescent="0.25">
      <c r="C23" s="5">
        <v>18</v>
      </c>
      <c r="D23" s="8" t="s">
        <v>83</v>
      </c>
      <c r="E23" s="64">
        <f>Tabela_Clientes!I23*15</f>
        <v>103.5</v>
      </c>
      <c r="F23" s="64">
        <f>Tabela_Clientes!J23*5</f>
        <v>34.5</v>
      </c>
      <c r="G23" s="65"/>
      <c r="H23" s="65"/>
      <c r="I23" s="65"/>
      <c r="J23" s="64">
        <f>Tabela_Clientes!N23*12</f>
        <v>189</v>
      </c>
      <c r="K23" s="64">
        <f>Tabela_Clientes!O23*9</f>
        <v>141.75</v>
      </c>
      <c r="L23" s="66"/>
      <c r="M23" s="79">
        <f>COUNTIF(Pedidos!$E$6:$E$35,D23)</f>
        <v>1</v>
      </c>
      <c r="N23" s="67">
        <f t="array" ref="N23">SUMIF(Tabela2[Cliente],Clientes_Cadastrados!D23,Tabela2[Valor Total])</f>
        <v>2343.75</v>
      </c>
    </row>
    <row r="24" spans="3:14" x14ac:dyDescent="0.25">
      <c r="C24" s="5">
        <v>19</v>
      </c>
      <c r="D24" s="8" t="s">
        <v>84</v>
      </c>
      <c r="E24" s="64">
        <f>Tabela_Clientes!I24*15</f>
        <v>142.5</v>
      </c>
      <c r="F24" s="64">
        <f>Tabela_Clientes!J24*5</f>
        <v>47.5</v>
      </c>
      <c r="G24" s="65"/>
      <c r="H24" s="65"/>
      <c r="I24" s="65"/>
      <c r="J24" s="64">
        <f>Tabela_Clientes!N24*12</f>
        <v>189</v>
      </c>
      <c r="K24" s="64">
        <f>Tabela_Clientes!O24*9</f>
        <v>141.75</v>
      </c>
      <c r="L24" s="66"/>
      <c r="M24" s="79">
        <f>COUNTIF(Pedidos!$E$6:$E$35,D24)</f>
        <v>1</v>
      </c>
      <c r="N24" s="67">
        <f t="array" ref="N24">SUMIF(Tabela2[Cliente],Clientes_Cadastrados!D24,Tabela2[Valor Total])</f>
        <v>2603.75</v>
      </c>
    </row>
    <row r="25" spans="3:14" x14ac:dyDescent="0.25">
      <c r="C25" s="5">
        <v>20</v>
      </c>
      <c r="D25" s="8" t="s">
        <v>85</v>
      </c>
      <c r="E25" s="64">
        <f>Tabela_Clientes!I25*15</f>
        <v>236.25</v>
      </c>
      <c r="F25" s="64">
        <f>Tabela_Clientes!J25*5</f>
        <v>78.75</v>
      </c>
      <c r="G25" s="65"/>
      <c r="H25" s="65"/>
      <c r="I25" s="65"/>
      <c r="J25" s="64">
        <f>Tabela_Clientes!N25*12</f>
        <v>189</v>
      </c>
      <c r="K25" s="64">
        <f>Tabela_Clientes!O25*9</f>
        <v>141.75</v>
      </c>
      <c r="L25" s="66"/>
      <c r="M25" s="79">
        <f>COUNTIF(Pedidos!$E$6:$E$35,D25)</f>
        <v>1</v>
      </c>
      <c r="N25" s="67">
        <f t="array" ref="N25">SUMIF(Tabela2[Cliente],Clientes_Cadastrados!D25,Tabela2[Valor Total])</f>
        <v>3228.75</v>
      </c>
    </row>
    <row r="26" spans="3:14" x14ac:dyDescent="0.25">
      <c r="C26" s="5">
        <v>21</v>
      </c>
      <c r="D26" s="8" t="s">
        <v>86</v>
      </c>
      <c r="E26" s="64">
        <f>Tabela_Clientes!I26*15</f>
        <v>31.5</v>
      </c>
      <c r="F26" s="64">
        <f>Tabela_Clientes!J26*5</f>
        <v>10.5</v>
      </c>
      <c r="G26" s="65"/>
      <c r="H26" s="65"/>
      <c r="I26" s="65"/>
      <c r="J26" s="64">
        <f>Tabela_Clientes!N26*12</f>
        <v>25.200000000000003</v>
      </c>
      <c r="K26" s="64">
        <f>Tabela_Clientes!O26*9</f>
        <v>18.900000000000002</v>
      </c>
      <c r="L26" s="66"/>
      <c r="M26" s="79">
        <f>COUNTIF(Pedidos!$E$6:$E$35,D26)</f>
        <v>1</v>
      </c>
      <c r="N26" s="67">
        <f t="array" ref="N26">SUMIF(Tabela2[Cliente],Clientes_Cadastrados!D26,Tabela2[Valor Total])</f>
        <v>430.5</v>
      </c>
    </row>
    <row r="27" spans="3:14" x14ac:dyDescent="0.25">
      <c r="C27" s="5">
        <v>22</v>
      </c>
      <c r="D27" s="8" t="s">
        <v>87</v>
      </c>
      <c r="E27" s="64">
        <f>Tabela_Clientes!I27*15</f>
        <v>142.5</v>
      </c>
      <c r="F27" s="64">
        <f>Tabela_Clientes!J27*5</f>
        <v>47.5</v>
      </c>
      <c r="G27" s="65"/>
      <c r="H27" s="65"/>
      <c r="I27" s="65"/>
      <c r="J27" s="64">
        <f>Tabela_Clientes!N27*12</f>
        <v>25.200000000000003</v>
      </c>
      <c r="K27" s="64">
        <f>Tabela_Clientes!O27*9</f>
        <v>18.900000000000002</v>
      </c>
      <c r="L27" s="66"/>
      <c r="M27" s="79">
        <f>COUNTIF(Pedidos!$E$6:$E$35,D27)</f>
        <v>1</v>
      </c>
      <c r="N27" s="67">
        <f t="array" ref="N27">SUMIF(Tabela2[Cliente],Clientes_Cadastrados!D27,Tabela2[Valor Total])</f>
        <v>1246.0999999999999</v>
      </c>
    </row>
    <row r="28" spans="3:14" x14ac:dyDescent="0.25">
      <c r="C28" s="5">
        <v>23</v>
      </c>
      <c r="D28" s="8" t="s">
        <v>88</v>
      </c>
      <c r="E28" s="64">
        <f>Tabela_Clientes!I28*15</f>
        <v>145.5</v>
      </c>
      <c r="F28" s="64">
        <f>Tabela_Clientes!J28*5</f>
        <v>48.5</v>
      </c>
      <c r="G28" s="65"/>
      <c r="H28" s="65"/>
      <c r="I28" s="65"/>
      <c r="J28" s="64">
        <f>Tabela_Clientes!N28*12</f>
        <v>189</v>
      </c>
      <c r="K28" s="64">
        <f>Tabela_Clientes!O28*9</f>
        <v>141.75</v>
      </c>
      <c r="L28" s="66"/>
      <c r="M28" s="79">
        <f>COUNTIF(Pedidos!$E$6:$E$35,D28)</f>
        <v>1</v>
      </c>
      <c r="N28" s="67">
        <f t="array" ref="N28">SUMIF(Tabela2[Cliente],Clientes_Cadastrados!D28,Tabela2[Valor Total])</f>
        <v>2623.75</v>
      </c>
    </row>
    <row r="29" spans="3:14" x14ac:dyDescent="0.25">
      <c r="C29" s="5">
        <v>24</v>
      </c>
      <c r="D29" s="8" t="s">
        <v>89</v>
      </c>
      <c r="E29" s="64">
        <f>Tabela_Clientes!I29*15</f>
        <v>236.25</v>
      </c>
      <c r="F29" s="64">
        <f>Tabela_Clientes!J29*5</f>
        <v>78.75</v>
      </c>
      <c r="G29" s="65"/>
      <c r="H29" s="65"/>
      <c r="I29" s="65"/>
      <c r="J29" s="64">
        <f>Tabela_Clientes!N29*12</f>
        <v>25.200000000000003</v>
      </c>
      <c r="K29" s="64">
        <f>Tabela_Clientes!O29*9</f>
        <v>18.900000000000002</v>
      </c>
      <c r="L29" s="66"/>
      <c r="M29" s="79">
        <f>COUNTIF(Pedidos!$E$6:$E$35,D29)</f>
        <v>1</v>
      </c>
      <c r="N29" s="67">
        <f t="array" ref="N29">SUMIF(Tabela2[Cliente],Clientes_Cadastrados!D29,Tabela2[Valor Total])</f>
        <v>1795.5</v>
      </c>
    </row>
    <row r="30" spans="3:14" x14ac:dyDescent="0.25">
      <c r="C30" s="5">
        <v>25</v>
      </c>
      <c r="D30" s="8" t="s">
        <v>90</v>
      </c>
      <c r="E30" s="64">
        <f>Tabela_Clientes!I30*15</f>
        <v>31.5</v>
      </c>
      <c r="F30" s="64">
        <f>Tabela_Clientes!J30*5</f>
        <v>10.5</v>
      </c>
      <c r="G30" s="65"/>
      <c r="H30" s="65"/>
      <c r="I30" s="65"/>
      <c r="J30" s="64">
        <f>Tabela_Clientes!N30*12</f>
        <v>25.200000000000003</v>
      </c>
      <c r="K30" s="64">
        <f>Tabela_Clientes!O30*9</f>
        <v>18.900000000000002</v>
      </c>
      <c r="L30" s="66"/>
      <c r="M30" s="79">
        <f>COUNTIF(Pedidos!$E$6:$E$35,D30)</f>
        <v>1</v>
      </c>
      <c r="N30" s="67">
        <f t="array" ref="N30">SUMIF(Tabela2[Cliente],Clientes_Cadastrados!D30,Tabela2[Valor Total])</f>
        <v>430.5</v>
      </c>
    </row>
    <row r="31" spans="3:14" x14ac:dyDescent="0.25">
      <c r="C31" s="5">
        <v>26</v>
      </c>
      <c r="D31" s="8" t="s">
        <v>91</v>
      </c>
      <c r="E31" s="64">
        <f>Tabela_Clientes!I31*15</f>
        <v>142.5</v>
      </c>
      <c r="F31" s="64">
        <f>Tabela_Clientes!J31*5</f>
        <v>47.5</v>
      </c>
      <c r="G31" s="65"/>
      <c r="H31" s="65"/>
      <c r="I31" s="65"/>
      <c r="J31" s="64">
        <f>Tabela_Clientes!N31*12</f>
        <v>186</v>
      </c>
      <c r="K31" s="64">
        <f>Tabela_Clientes!O31*9</f>
        <v>139.5</v>
      </c>
      <c r="L31" s="66"/>
      <c r="M31" s="79">
        <f>COUNTIF(Pedidos!$E$6:$E$35,D31)</f>
        <v>1</v>
      </c>
      <c r="N31" s="67">
        <f t="array" ref="N31">SUMIF(Tabela2[Cliente],Clientes_Cadastrados!D31,Tabela2[Valor Total])</f>
        <v>2102.5</v>
      </c>
    </row>
    <row r="32" spans="3:14" x14ac:dyDescent="0.25">
      <c r="C32" s="5">
        <v>27</v>
      </c>
      <c r="D32" s="8" t="s">
        <v>92</v>
      </c>
      <c r="E32" s="64">
        <f>Tabela_Clientes!I32*15</f>
        <v>236.25</v>
      </c>
      <c r="F32" s="64">
        <f>Tabela_Clientes!J32*5</f>
        <v>78.75</v>
      </c>
      <c r="G32" s="65"/>
      <c r="H32" s="65"/>
      <c r="I32" s="65"/>
      <c r="J32" s="64">
        <f>Tabela_Clientes!N32*12</f>
        <v>186</v>
      </c>
      <c r="K32" s="64">
        <f>Tabela_Clientes!O32*9</f>
        <v>139.5</v>
      </c>
      <c r="L32" s="66"/>
      <c r="M32" s="79">
        <f>COUNTIF(Pedidos!$E$6:$E$35,D32)</f>
        <v>1</v>
      </c>
      <c r="N32" s="67">
        <f t="array" ref="N32">SUMIF(Tabela2[Cliente],Clientes_Cadastrados!D32,Tabela2[Valor Total])</f>
        <v>3202.5</v>
      </c>
    </row>
    <row r="33" spans="3:14" x14ac:dyDescent="0.25">
      <c r="C33" s="5">
        <v>28</v>
      </c>
      <c r="D33" s="8" t="s">
        <v>93</v>
      </c>
      <c r="E33" s="64">
        <f>Tabela_Clientes!I33*15</f>
        <v>103.5</v>
      </c>
      <c r="F33" s="64">
        <f>Tabela_Clientes!J33*5</f>
        <v>34.5</v>
      </c>
      <c r="G33" s="65"/>
      <c r="H33" s="65"/>
      <c r="I33" s="65"/>
      <c r="J33" s="64">
        <f>Tabela_Clientes!N33*12</f>
        <v>186</v>
      </c>
      <c r="K33" s="64">
        <f>Tabela_Clientes!O33*9</f>
        <v>139.5</v>
      </c>
      <c r="L33" s="66"/>
      <c r="M33" s="79">
        <f>COUNTIF(Pedidos!$E$6:$E$35,D33)</f>
        <v>1</v>
      </c>
      <c r="N33" s="67">
        <f t="array" ref="N33">SUMIF(Tabela2[Cliente],Clientes_Cadastrados!D33,Tabela2[Valor Total])</f>
        <v>2317.5</v>
      </c>
    </row>
    <row r="34" spans="3:14" x14ac:dyDescent="0.25">
      <c r="C34" s="5">
        <v>29</v>
      </c>
      <c r="D34" s="8" t="s">
        <v>94</v>
      </c>
      <c r="E34" s="64">
        <f>Tabela_Clientes!I34*15</f>
        <v>103.5</v>
      </c>
      <c r="F34" s="64">
        <f>Tabela_Clientes!J34*5</f>
        <v>34.5</v>
      </c>
      <c r="G34" s="65"/>
      <c r="H34" s="65"/>
      <c r="I34" s="65"/>
      <c r="J34" s="64">
        <f>Tabela_Clientes!N34*12</f>
        <v>25.200000000000003</v>
      </c>
      <c r="K34" s="64">
        <f>Tabela_Clientes!O34*9</f>
        <v>18.900000000000002</v>
      </c>
      <c r="L34" s="66"/>
      <c r="M34" s="79">
        <f>COUNTIF(Pedidos!$E$6:$E$35,D34)</f>
        <v>1</v>
      </c>
      <c r="N34" s="67">
        <f t="array" ref="N34">SUMIF(Tabela2[Cliente],Clientes_Cadastrados!D34,Tabela2[Valor Total])</f>
        <v>738</v>
      </c>
    </row>
    <row r="35" spans="3:14" x14ac:dyDescent="0.25">
      <c r="C35" s="5">
        <v>30</v>
      </c>
      <c r="D35" s="8" t="s">
        <v>95</v>
      </c>
      <c r="E35" s="64">
        <f>Tabela_Clientes!I35*15</f>
        <v>103.5</v>
      </c>
      <c r="F35" s="64">
        <f>Tabela_Clientes!J35*5</f>
        <v>34.5</v>
      </c>
      <c r="G35" s="65"/>
      <c r="H35" s="65"/>
      <c r="I35" s="65"/>
      <c r="J35" s="64">
        <f>Tabela_Clientes!N35*12</f>
        <v>186</v>
      </c>
      <c r="K35" s="64">
        <f>Tabela_Clientes!O35*9</f>
        <v>139.5</v>
      </c>
      <c r="L35" s="66"/>
      <c r="M35" s="79">
        <f>COUNTIF(Pedidos!$E$6:$E$35,D35)</f>
        <v>1</v>
      </c>
      <c r="N35" s="67">
        <f t="array" ref="N35">SUMIF(Tabela2[Cliente],Clientes_Cadastrados!D35,Tabela2[Valor Total])</f>
        <v>2317.5</v>
      </c>
    </row>
    <row r="36" spans="3:14" x14ac:dyDescent="0.25">
      <c r="C36" s="5">
        <v>31</v>
      </c>
      <c r="D36" s="8" t="s">
        <v>96</v>
      </c>
      <c r="E36" s="64">
        <f>Tabela_Clientes!I36*15</f>
        <v>103.5</v>
      </c>
      <c r="F36" s="64">
        <f>Tabela_Clientes!J36*5</f>
        <v>34.5</v>
      </c>
      <c r="G36" s="65"/>
      <c r="H36" s="65"/>
      <c r="I36" s="65"/>
      <c r="J36" s="64">
        <f>Tabela_Clientes!N36*12</f>
        <v>186</v>
      </c>
      <c r="K36" s="64">
        <f>Tabela_Clientes!O36*9</f>
        <v>139.5</v>
      </c>
      <c r="L36" s="66"/>
      <c r="M36" s="79">
        <f>COUNTIF(Pedidos!$E$6:$E$35,D36)</f>
        <v>0</v>
      </c>
      <c r="N36" s="67">
        <f t="array" ref="N36">SUMIF(Tabela2[Cliente],Clientes_Cadastrados!D36,Tabela2[Valor Total])</f>
        <v>0</v>
      </c>
    </row>
    <row r="37" spans="3:14" x14ac:dyDescent="0.25">
      <c r="C37" s="5">
        <v>32</v>
      </c>
      <c r="D37" s="8" t="s">
        <v>97</v>
      </c>
      <c r="E37" s="64">
        <f>Tabela_Clientes!I37*15</f>
        <v>31.5</v>
      </c>
      <c r="F37" s="64">
        <f>Tabela_Clientes!J37*5</f>
        <v>10.5</v>
      </c>
      <c r="G37" s="65"/>
      <c r="H37" s="65"/>
      <c r="I37" s="65"/>
      <c r="J37" s="64">
        <f>Tabela_Clientes!N37*12</f>
        <v>116.39999999999999</v>
      </c>
      <c r="K37" s="64">
        <f>Tabela_Clientes!O37*9</f>
        <v>87.3</v>
      </c>
      <c r="L37" s="66"/>
      <c r="M37" s="79">
        <f>COUNTIF(Pedidos!$E$6:$E$35,D37)</f>
        <v>0</v>
      </c>
      <c r="N37" s="67">
        <f t="array" ref="N37">SUMIF(Tabela2[Cliente],Clientes_Cadastrados!D37,Tabela2[Valor Total])</f>
        <v>0</v>
      </c>
    </row>
    <row r="38" spans="3:14" x14ac:dyDescent="0.25">
      <c r="C38" s="5">
        <v>33</v>
      </c>
      <c r="D38" s="8" t="s">
        <v>98</v>
      </c>
      <c r="E38" s="64">
        <f>Tabela_Clientes!I38*15</f>
        <v>142.5</v>
      </c>
      <c r="F38" s="64">
        <f>Tabela_Clientes!J38*5</f>
        <v>47.5</v>
      </c>
      <c r="G38" s="65"/>
      <c r="H38" s="65"/>
      <c r="I38" s="65"/>
      <c r="J38" s="64">
        <f>Tabela_Clientes!N38*12</f>
        <v>116.39999999999999</v>
      </c>
      <c r="K38" s="64">
        <f>Tabela_Clientes!O38*9</f>
        <v>87.3</v>
      </c>
      <c r="L38" s="66"/>
      <c r="M38" s="79">
        <f>COUNTIF(Pedidos!$E$6:$E$35,D38)</f>
        <v>0</v>
      </c>
      <c r="N38" s="67">
        <f t="array" ref="N38">SUMIF(Tabela2[Cliente],Clientes_Cadastrados!D38,Tabela2[Valor Total])</f>
        <v>0</v>
      </c>
    </row>
    <row r="39" spans="3:14" x14ac:dyDescent="0.25">
      <c r="C39" s="5">
        <v>34</v>
      </c>
      <c r="D39" s="8" t="s">
        <v>99</v>
      </c>
      <c r="E39" s="64">
        <f>Tabela_Clientes!I39*15</f>
        <v>153.75</v>
      </c>
      <c r="F39" s="64">
        <f>Tabela_Clientes!J39*5</f>
        <v>51.25</v>
      </c>
      <c r="G39" s="65"/>
      <c r="H39" s="65"/>
      <c r="I39" s="65"/>
      <c r="J39" s="64">
        <f>Tabela_Clientes!N39*12</f>
        <v>116.39999999999999</v>
      </c>
      <c r="K39" s="64">
        <f>Tabela_Clientes!O39*9</f>
        <v>87.3</v>
      </c>
      <c r="L39" s="66"/>
      <c r="M39" s="79">
        <f>COUNTIF(Pedidos!$E$6:$E$35,D39)</f>
        <v>0</v>
      </c>
      <c r="N39" s="67">
        <f t="array" ref="N39">SUMIF(Tabela2[Cliente],Clientes_Cadastrados!D39,Tabela2[Valor Total])</f>
        <v>0</v>
      </c>
    </row>
    <row r="40" spans="3:14" x14ac:dyDescent="0.25">
      <c r="C40" s="5">
        <v>35</v>
      </c>
      <c r="D40" s="8" t="s">
        <v>100</v>
      </c>
      <c r="E40" s="64">
        <f>Tabela_Clientes!I40*15</f>
        <v>112.5</v>
      </c>
      <c r="F40" s="64">
        <f>Tabela_Clientes!J40*5</f>
        <v>37.5</v>
      </c>
      <c r="G40" s="65"/>
      <c r="H40" s="65"/>
      <c r="I40" s="65"/>
      <c r="J40" s="64">
        <f>Tabela_Clientes!N40*12</f>
        <v>116.39999999999999</v>
      </c>
      <c r="K40" s="64">
        <f>Tabela_Clientes!O40*9</f>
        <v>87.3</v>
      </c>
      <c r="L40" s="66"/>
      <c r="M40" s="79">
        <f>COUNTIF(Pedidos!$E$6:$E$35,D40)</f>
        <v>0</v>
      </c>
      <c r="N40" s="67">
        <f t="array" ref="N40">SUMIF(Tabela2[Cliente],Clientes_Cadastrados!D40,Tabela2[Valor Total])</f>
        <v>0</v>
      </c>
    </row>
    <row r="41" spans="3:14" x14ac:dyDescent="0.25">
      <c r="C41" s="5">
        <v>36</v>
      </c>
      <c r="D41" s="8" t="s">
        <v>101</v>
      </c>
      <c r="E41" s="64">
        <f>Tabela_Clientes!I41*15</f>
        <v>161.25</v>
      </c>
      <c r="F41" s="64">
        <f>Tabela_Clientes!J41*5</f>
        <v>53.75</v>
      </c>
      <c r="G41" s="65"/>
      <c r="H41" s="65"/>
      <c r="I41" s="65"/>
      <c r="J41" s="64">
        <f>Tabela_Clientes!N41*12</f>
        <v>116.39999999999999</v>
      </c>
      <c r="K41" s="64">
        <f>Tabela_Clientes!O41*9</f>
        <v>87.3</v>
      </c>
      <c r="L41" s="66"/>
      <c r="M41" s="79">
        <f>COUNTIF(Pedidos!$E$6:$E$35,D41)</f>
        <v>0</v>
      </c>
      <c r="N41" s="67">
        <f t="array" ref="N41">SUMIF(Tabela2[Cliente],Clientes_Cadastrados!D41,Tabela2[Valor Total])</f>
        <v>0</v>
      </c>
    </row>
    <row r="42" spans="3:14" x14ac:dyDescent="0.25">
      <c r="C42" s="5">
        <v>37</v>
      </c>
      <c r="D42" s="8" t="s">
        <v>102</v>
      </c>
      <c r="E42" s="64">
        <f>Tabela_Clientes!I42*15</f>
        <v>31.5</v>
      </c>
      <c r="F42" s="64">
        <f>Tabela_Clientes!J42*5</f>
        <v>10.5</v>
      </c>
      <c r="G42" s="65"/>
      <c r="H42" s="65"/>
      <c r="I42" s="65"/>
      <c r="J42" s="64">
        <f>Tabela_Clientes!N42*12</f>
        <v>116.39999999999999</v>
      </c>
      <c r="K42" s="64">
        <f>Tabela_Clientes!O42*9</f>
        <v>87.3</v>
      </c>
      <c r="L42" s="66"/>
      <c r="M42" s="79">
        <f>COUNTIF(Pedidos!$E$6:$E$35,D42)</f>
        <v>0</v>
      </c>
      <c r="N42" s="67">
        <f t="array" ref="N42">SUMIF(Tabela2[Cliente],Clientes_Cadastrados!D42,Tabela2[Valor Total])</f>
        <v>0</v>
      </c>
    </row>
    <row r="43" spans="3:14" x14ac:dyDescent="0.25">
      <c r="C43" s="5">
        <v>38</v>
      </c>
      <c r="D43" s="8" t="s">
        <v>103</v>
      </c>
      <c r="E43" s="64">
        <f>Tabela_Clientes!I43*15</f>
        <v>103.5</v>
      </c>
      <c r="F43" s="64">
        <f>Tabela_Clientes!J43*5</f>
        <v>34.5</v>
      </c>
      <c r="G43" s="65"/>
      <c r="H43" s="65"/>
      <c r="I43" s="65"/>
      <c r="J43" s="64">
        <f>Tabela_Clientes!N43*12</f>
        <v>116.39999999999999</v>
      </c>
      <c r="K43" s="64">
        <f>Tabela_Clientes!O43*9</f>
        <v>87.3</v>
      </c>
      <c r="L43" s="66"/>
      <c r="M43" s="79">
        <f>COUNTIF(Pedidos!$E$6:$E$35,D43)</f>
        <v>0</v>
      </c>
      <c r="N43" s="67">
        <f t="array" ref="N43">SUMIF(Tabela2[Cliente],Clientes_Cadastrados!D43,Tabela2[Valor Total])</f>
        <v>0</v>
      </c>
    </row>
    <row r="44" spans="3:14" x14ac:dyDescent="0.25">
      <c r="C44" s="5">
        <v>39</v>
      </c>
      <c r="D44" s="8" t="s">
        <v>104</v>
      </c>
      <c r="E44" s="64">
        <f>Tabela_Clientes!I44*15</f>
        <v>103.5</v>
      </c>
      <c r="F44" s="64">
        <f>Tabela_Clientes!J44*5</f>
        <v>34.5</v>
      </c>
      <c r="G44" s="65"/>
      <c r="H44" s="65"/>
      <c r="I44" s="65"/>
      <c r="J44" s="64">
        <f>Tabela_Clientes!N44*12</f>
        <v>116.39999999999999</v>
      </c>
      <c r="K44" s="64">
        <f>Tabela_Clientes!O44*9</f>
        <v>87.3</v>
      </c>
      <c r="L44" s="66"/>
      <c r="M44" s="79">
        <f>COUNTIF(Pedidos!$E$6:$E$35,D44)</f>
        <v>0</v>
      </c>
      <c r="N44" s="67">
        <f t="array" ref="N44">SUMIF(Tabela2[Cliente],Clientes_Cadastrados!D44,Tabela2[Valor Total])</f>
        <v>0</v>
      </c>
    </row>
    <row r="45" spans="3:14" x14ac:dyDescent="0.25">
      <c r="C45" s="5">
        <v>40</v>
      </c>
      <c r="D45" s="8" t="s">
        <v>105</v>
      </c>
      <c r="E45" s="64">
        <f>Tabela_Clientes!I45*15</f>
        <v>236.25</v>
      </c>
      <c r="F45" s="64">
        <f>Tabela_Clientes!J45*5</f>
        <v>78.75</v>
      </c>
      <c r="G45" s="65"/>
      <c r="H45" s="65"/>
      <c r="I45" s="65"/>
      <c r="J45" s="64">
        <f>Tabela_Clientes!N45*12</f>
        <v>189</v>
      </c>
      <c r="K45" s="64">
        <f>Tabela_Clientes!O45*9</f>
        <v>141.75</v>
      </c>
      <c r="L45" s="66"/>
      <c r="M45" s="79">
        <f>COUNTIF(Pedidos!$E$6:$E$35,D45)</f>
        <v>0</v>
      </c>
      <c r="N45" s="67">
        <f t="array" ref="N45">SUMIF(Tabela2[Cliente],Clientes_Cadastrados!D45,Tabela2[Valor Total])</f>
        <v>0</v>
      </c>
    </row>
    <row r="46" spans="3:14" x14ac:dyDescent="0.25">
      <c r="C46" s="5">
        <v>41</v>
      </c>
      <c r="D46" s="8" t="s">
        <v>106</v>
      </c>
      <c r="E46" s="64">
        <f>Tabela_Clientes!I46*15</f>
        <v>236.25</v>
      </c>
      <c r="F46" s="64">
        <f>Tabela_Clientes!J46*5</f>
        <v>78.75</v>
      </c>
      <c r="G46" s="65"/>
      <c r="H46" s="65"/>
      <c r="I46" s="65"/>
      <c r="J46" s="64">
        <f>Tabela_Clientes!N46*12</f>
        <v>189</v>
      </c>
      <c r="K46" s="64">
        <f>Tabela_Clientes!O46*9</f>
        <v>141.75</v>
      </c>
      <c r="L46" s="66"/>
      <c r="M46" s="79">
        <f>COUNTIF(Pedidos!$E$6:$E$35,D46)</f>
        <v>0</v>
      </c>
      <c r="N46" s="67">
        <f t="array" ref="N46">SUMIF(Tabela2[Cliente],Clientes_Cadastrados!D46,Tabela2[Valor Total])</f>
        <v>0</v>
      </c>
    </row>
    <row r="47" spans="3:14" x14ac:dyDescent="0.25">
      <c r="C47" s="5">
        <v>42</v>
      </c>
      <c r="D47" s="8" t="s">
        <v>107</v>
      </c>
      <c r="E47" s="64">
        <f>Tabela_Clientes!I47*15</f>
        <v>236.25</v>
      </c>
      <c r="F47" s="64">
        <f>Tabela_Clientes!J47*5</f>
        <v>78.75</v>
      </c>
      <c r="G47" s="65"/>
      <c r="H47" s="65"/>
      <c r="I47" s="65"/>
      <c r="J47" s="64">
        <f>Tabela_Clientes!N47*12</f>
        <v>189</v>
      </c>
      <c r="K47" s="64">
        <f>Tabela_Clientes!O47*9</f>
        <v>141.75</v>
      </c>
      <c r="L47" s="66"/>
      <c r="M47" s="79">
        <f>COUNTIF(Pedidos!$E$6:$E$35,D47)</f>
        <v>0</v>
      </c>
      <c r="N47" s="67">
        <f t="array" ref="N47">SUMIF(Tabela2[Cliente],Clientes_Cadastrados!D47,Tabela2[Valor Total])</f>
        <v>0</v>
      </c>
    </row>
    <row r="48" spans="3:14" x14ac:dyDescent="0.25">
      <c r="C48" s="5">
        <v>43</v>
      </c>
      <c r="D48" s="8" t="s">
        <v>108</v>
      </c>
      <c r="E48" s="64">
        <f>Tabela_Clientes!I48*15</f>
        <v>236.25</v>
      </c>
      <c r="F48" s="64">
        <f>Tabela_Clientes!J48*5</f>
        <v>78.75</v>
      </c>
      <c r="G48" s="65"/>
      <c r="H48" s="65"/>
      <c r="I48" s="65"/>
      <c r="J48" s="64">
        <f>Tabela_Clientes!N48*12</f>
        <v>189</v>
      </c>
      <c r="K48" s="64">
        <f>Tabela_Clientes!O48*9</f>
        <v>141.75</v>
      </c>
      <c r="L48" s="66"/>
      <c r="M48" s="79">
        <f>COUNTIF(Pedidos!$E$6:$E$35,D48)</f>
        <v>0</v>
      </c>
      <c r="N48" s="67">
        <f t="array" ref="N48">SUMIF(Tabela2[Cliente],Clientes_Cadastrados!D48,Tabela2[Valor Total])</f>
        <v>0</v>
      </c>
    </row>
    <row r="49" spans="3:14" x14ac:dyDescent="0.25">
      <c r="C49" s="5">
        <v>44</v>
      </c>
      <c r="D49" s="8" t="s">
        <v>109</v>
      </c>
      <c r="E49" s="64">
        <f>Tabela_Clientes!I49*15</f>
        <v>236.25</v>
      </c>
      <c r="F49" s="64">
        <f>Tabela_Clientes!J49*5</f>
        <v>78.75</v>
      </c>
      <c r="G49" s="65"/>
      <c r="H49" s="65"/>
      <c r="I49" s="65"/>
      <c r="J49" s="64">
        <f>Tabela_Clientes!N49*12</f>
        <v>189</v>
      </c>
      <c r="K49" s="64">
        <f>Tabela_Clientes!O49*9</f>
        <v>141.75</v>
      </c>
      <c r="L49" s="66"/>
      <c r="M49" s="79">
        <f>COUNTIF(Pedidos!$E$6:$E$35,D49)</f>
        <v>0</v>
      </c>
      <c r="N49" s="67">
        <f t="array" ref="N49">SUMIF(Tabela2[Cliente],Clientes_Cadastrados!D49,Tabela2[Valor Total])</f>
        <v>0</v>
      </c>
    </row>
    <row r="50" spans="3:14" x14ac:dyDescent="0.25">
      <c r="C50" s="5">
        <v>45</v>
      </c>
      <c r="D50" s="8" t="s">
        <v>110</v>
      </c>
      <c r="E50" s="64">
        <f>Tabela_Clientes!I50*15</f>
        <v>236.25</v>
      </c>
      <c r="F50" s="64">
        <f>Tabela_Clientes!J50*5</f>
        <v>78.75</v>
      </c>
      <c r="G50" s="65"/>
      <c r="H50" s="65"/>
      <c r="I50" s="65"/>
      <c r="J50" s="64">
        <f>Tabela_Clientes!N50*12</f>
        <v>189</v>
      </c>
      <c r="K50" s="64">
        <f>Tabela_Clientes!O50*9</f>
        <v>141.75</v>
      </c>
      <c r="L50" s="66"/>
      <c r="M50" s="79">
        <f>COUNTIF(Pedidos!$E$6:$E$35,D50)</f>
        <v>0</v>
      </c>
      <c r="N50" s="67">
        <f t="array" ref="N50">SUMIF(Tabela2[Cliente],Clientes_Cadastrados!D50,Tabela2[Valor Total])</f>
        <v>0</v>
      </c>
    </row>
    <row r="51" spans="3:14" x14ac:dyDescent="0.25">
      <c r="C51" s="5">
        <v>46</v>
      </c>
      <c r="D51" s="8" t="s">
        <v>111</v>
      </c>
      <c r="E51" s="64">
        <f>Tabela_Clientes!I51*15</f>
        <v>236.25</v>
      </c>
      <c r="F51" s="64">
        <f>Tabela_Clientes!J51*5</f>
        <v>78.75</v>
      </c>
      <c r="G51" s="65"/>
      <c r="H51" s="65"/>
      <c r="I51" s="65"/>
      <c r="J51" s="64">
        <f>Tabela_Clientes!N51*12</f>
        <v>189</v>
      </c>
      <c r="K51" s="64">
        <f>Tabela_Clientes!O51*9</f>
        <v>141.75</v>
      </c>
      <c r="L51" s="66"/>
      <c r="M51" s="79">
        <f>COUNTIF(Pedidos!$E$6:$E$35,D51)</f>
        <v>0</v>
      </c>
      <c r="N51" s="67">
        <f t="array" ref="N51">SUMIF(Tabela2[Cliente],Clientes_Cadastrados!D51,Tabela2[Valor Total])</f>
        <v>0</v>
      </c>
    </row>
    <row r="52" spans="3:14" x14ac:dyDescent="0.25">
      <c r="C52" s="5">
        <v>47</v>
      </c>
      <c r="D52" s="8" t="s">
        <v>112</v>
      </c>
      <c r="E52" s="64">
        <f>Tabela_Clientes!I52*15</f>
        <v>103.5</v>
      </c>
      <c r="F52" s="64">
        <f>Tabela_Clientes!J52*5</f>
        <v>34.5</v>
      </c>
      <c r="G52" s="65"/>
      <c r="H52" s="65"/>
      <c r="I52" s="65"/>
      <c r="J52" s="64">
        <f>Tabela_Clientes!N52*12</f>
        <v>116.39999999999999</v>
      </c>
      <c r="K52" s="64">
        <f>Tabela_Clientes!O52*9</f>
        <v>87.3</v>
      </c>
      <c r="L52" s="66"/>
      <c r="M52" s="79">
        <f>COUNTIF(Pedidos!$E$6:$E$35,D52)</f>
        <v>0</v>
      </c>
      <c r="N52" s="67">
        <f t="array" ref="N52">SUMIF(Tabela2[Cliente],Clientes_Cadastrados!D52,Tabela2[Valor Total])</f>
        <v>0</v>
      </c>
    </row>
    <row r="53" spans="3:14" x14ac:dyDescent="0.25">
      <c r="C53" s="5">
        <v>48</v>
      </c>
      <c r="D53" s="8" t="s">
        <v>113</v>
      </c>
      <c r="E53" s="64">
        <f>Tabela_Clientes!I53*15</f>
        <v>103.5</v>
      </c>
      <c r="F53" s="64">
        <f>Tabela_Clientes!J53*5</f>
        <v>34.5</v>
      </c>
      <c r="G53" s="65"/>
      <c r="H53" s="65"/>
      <c r="I53" s="65"/>
      <c r="J53" s="64">
        <f>Tabela_Clientes!N53*12</f>
        <v>116.39999999999999</v>
      </c>
      <c r="K53" s="64">
        <f>Tabela_Clientes!O53*9</f>
        <v>87.3</v>
      </c>
      <c r="L53" s="66"/>
      <c r="M53" s="79">
        <f>COUNTIF(Pedidos!$E$6:$E$35,D53)</f>
        <v>0</v>
      </c>
      <c r="N53" s="67">
        <f t="array" ref="N53">SUMIF(Tabela2[Cliente],Clientes_Cadastrados!D53,Tabela2[Valor Total])</f>
        <v>0</v>
      </c>
    </row>
    <row r="54" spans="3:14" x14ac:dyDescent="0.25">
      <c r="C54" s="5">
        <v>49</v>
      </c>
      <c r="D54" s="8" t="s">
        <v>114</v>
      </c>
      <c r="E54" s="64">
        <f>Tabela_Clientes!I54*15</f>
        <v>142.5</v>
      </c>
      <c r="F54" s="64">
        <f>Tabela_Clientes!J54*5</f>
        <v>47.5</v>
      </c>
      <c r="G54" s="65"/>
      <c r="H54" s="65"/>
      <c r="I54" s="65"/>
      <c r="J54" s="64">
        <f>Tabela_Clientes!N54*12</f>
        <v>116.39999999999999</v>
      </c>
      <c r="K54" s="64">
        <f>Tabela_Clientes!O54*9</f>
        <v>87.3</v>
      </c>
      <c r="L54" s="66"/>
      <c r="M54" s="79">
        <f>COUNTIF(Pedidos!$E$6:$E$35,D54)</f>
        <v>0</v>
      </c>
      <c r="N54" s="67">
        <f t="array" ref="N54">SUMIF(Tabela2[Cliente],Clientes_Cadastrados!D54,Tabela2[Valor Total])</f>
        <v>0</v>
      </c>
    </row>
    <row r="55" spans="3:14" x14ac:dyDescent="0.25">
      <c r="C55" s="5">
        <v>50</v>
      </c>
      <c r="D55" s="8" t="s">
        <v>115</v>
      </c>
      <c r="E55" s="64">
        <f>Tabela_Clientes!I55*15</f>
        <v>142.5</v>
      </c>
      <c r="F55" s="64">
        <f>Tabela_Clientes!J55*5</f>
        <v>47.5</v>
      </c>
      <c r="G55" s="65"/>
      <c r="H55" s="65"/>
      <c r="I55" s="65"/>
      <c r="J55" s="64">
        <f>Tabela_Clientes!N55*12</f>
        <v>116.39999999999999</v>
      </c>
      <c r="K55" s="64">
        <f>Tabela_Clientes!O55*9</f>
        <v>87.3</v>
      </c>
      <c r="L55" s="66"/>
      <c r="M55" s="79">
        <f>COUNTIF(Pedidos!$E$6:$E$35,D55)</f>
        <v>0</v>
      </c>
      <c r="N55" s="67">
        <f t="array" ref="N55">SUMIF(Tabela2[Cliente],Clientes_Cadastrados!D55,Tabela2[Valor Total])</f>
        <v>0</v>
      </c>
    </row>
    <row r="56" spans="3:14" x14ac:dyDescent="0.25">
      <c r="C56" s="5">
        <v>51</v>
      </c>
      <c r="D56" s="8" t="s">
        <v>116</v>
      </c>
      <c r="E56" s="64">
        <f>Tabela_Clientes!I56*15</f>
        <v>142.5</v>
      </c>
      <c r="F56" s="64">
        <f>Tabela_Clientes!J56*5</f>
        <v>47.5</v>
      </c>
      <c r="G56" s="65"/>
      <c r="H56" s="65"/>
      <c r="I56" s="65"/>
      <c r="J56" s="64">
        <f>Tabela_Clientes!N56*12</f>
        <v>116.39999999999999</v>
      </c>
      <c r="K56" s="64">
        <f>Tabela_Clientes!O56*9</f>
        <v>87.3</v>
      </c>
      <c r="L56" s="66"/>
      <c r="M56" s="79">
        <f>COUNTIF(Pedidos!$E$6:$E$35,D56)</f>
        <v>0</v>
      </c>
      <c r="N56" s="67">
        <f t="array" ref="N56">SUMIF(Tabela2[Cliente],Clientes_Cadastrados!D56,Tabela2[Valor Total])</f>
        <v>0</v>
      </c>
    </row>
    <row r="57" spans="3:14" x14ac:dyDescent="0.25">
      <c r="C57" s="5">
        <v>52</v>
      </c>
      <c r="D57" s="8" t="s">
        <v>117</v>
      </c>
      <c r="E57" s="64">
        <f>Tabela_Clientes!I57*15</f>
        <v>146.25</v>
      </c>
      <c r="F57" s="64">
        <f>Tabela_Clientes!J57*5</f>
        <v>48.75</v>
      </c>
      <c r="G57" s="65"/>
      <c r="H57" s="65"/>
      <c r="I57" s="65"/>
      <c r="J57" s="64">
        <f>Tabela_Clientes!N57*12</f>
        <v>116.39999999999999</v>
      </c>
      <c r="K57" s="64">
        <f>Tabela_Clientes!O57*9</f>
        <v>87.3</v>
      </c>
      <c r="L57" s="66"/>
      <c r="M57" s="79">
        <f>COUNTIF(Pedidos!$E$6:$E$35,D57)</f>
        <v>0</v>
      </c>
      <c r="N57" s="67">
        <f t="array" ref="N57">SUMIF(Tabela2[Cliente],Clientes_Cadastrados!D57,Tabela2[Valor Total])</f>
        <v>0</v>
      </c>
    </row>
    <row r="58" spans="3:14" x14ac:dyDescent="0.25">
      <c r="C58" s="5">
        <v>53</v>
      </c>
      <c r="D58" s="8" t="s">
        <v>118</v>
      </c>
      <c r="E58" s="64">
        <f>Tabela_Clientes!I58*15</f>
        <v>150</v>
      </c>
      <c r="F58" s="64">
        <f>Tabela_Clientes!J58*5</f>
        <v>50</v>
      </c>
      <c r="G58" s="65"/>
      <c r="H58" s="65"/>
      <c r="I58" s="65"/>
      <c r="J58" s="64">
        <f>Tabela_Clientes!N58*12</f>
        <v>186</v>
      </c>
      <c r="K58" s="64">
        <f>Tabela_Clientes!O58*9</f>
        <v>139.5</v>
      </c>
      <c r="L58" s="66"/>
      <c r="M58" s="79">
        <f>COUNTIF(Pedidos!$E$6:$E$35,D58)</f>
        <v>0</v>
      </c>
      <c r="N58" s="67">
        <f t="array" ref="N58">SUMIF(Tabela2[Cliente],Clientes_Cadastrados!D58,Tabela2[Valor Total])</f>
        <v>0</v>
      </c>
    </row>
    <row r="59" spans="3:14" x14ac:dyDescent="0.25">
      <c r="C59" s="5">
        <v>54</v>
      </c>
      <c r="D59" s="8" t="s">
        <v>119</v>
      </c>
      <c r="E59" s="64">
        <f>Tabela_Clientes!I59*15</f>
        <v>31.5</v>
      </c>
      <c r="F59" s="64">
        <f>Tabela_Clientes!J59*5</f>
        <v>10.5</v>
      </c>
      <c r="G59" s="65"/>
      <c r="H59" s="65"/>
      <c r="I59" s="65"/>
      <c r="J59" s="64">
        <f>Tabela_Clientes!N59*12</f>
        <v>25.200000000000003</v>
      </c>
      <c r="K59" s="64">
        <f>Tabela_Clientes!O59*9</f>
        <v>18.900000000000002</v>
      </c>
      <c r="L59" s="66"/>
      <c r="M59" s="79">
        <f>COUNTIF(Pedidos!$E$6:$E$35,D59)</f>
        <v>0</v>
      </c>
      <c r="N59" s="67">
        <f t="array" ref="N59">SUMIF(Tabela2[Cliente],Clientes_Cadastrados!D59,Tabela2[Valor Total])</f>
        <v>0</v>
      </c>
    </row>
    <row r="60" spans="3:14" x14ac:dyDescent="0.25">
      <c r="C60" s="5">
        <v>55</v>
      </c>
      <c r="D60" s="8" t="s">
        <v>120</v>
      </c>
      <c r="E60" s="64">
        <f>Tabela_Clientes!I60*15</f>
        <v>161.25</v>
      </c>
      <c r="F60" s="64">
        <f>Tabela_Clientes!J60*5</f>
        <v>53.75</v>
      </c>
      <c r="G60" s="65"/>
      <c r="H60" s="65"/>
      <c r="I60" s="65"/>
      <c r="J60" s="64">
        <f>Tabela_Clientes!N60*12</f>
        <v>186</v>
      </c>
      <c r="K60" s="64">
        <f>Tabela_Clientes!O60*9</f>
        <v>139.5</v>
      </c>
      <c r="L60" s="66"/>
      <c r="M60" s="79">
        <f>COUNTIF(Pedidos!$E$6:$E$35,D60)</f>
        <v>0</v>
      </c>
      <c r="N60" s="67">
        <f t="array" ref="N60">SUMIF(Tabela2[Cliente],Clientes_Cadastrados!D60,Tabela2[Valor Total])</f>
        <v>0</v>
      </c>
    </row>
    <row r="61" spans="3:14" x14ac:dyDescent="0.25">
      <c r="C61" s="5">
        <v>56</v>
      </c>
      <c r="D61" s="8" t="s">
        <v>121</v>
      </c>
      <c r="E61" s="64">
        <f>Tabela_Clientes!I61*15</f>
        <v>161.25</v>
      </c>
      <c r="F61" s="64">
        <f>Tabela_Clientes!J61*5</f>
        <v>53.75</v>
      </c>
      <c r="G61" s="65"/>
      <c r="H61" s="65"/>
      <c r="I61" s="65"/>
      <c r="J61" s="64">
        <f>Tabela_Clientes!N61*12</f>
        <v>186</v>
      </c>
      <c r="K61" s="64">
        <f>Tabela_Clientes!O61*9</f>
        <v>139.5</v>
      </c>
      <c r="L61" s="66"/>
      <c r="M61" s="79">
        <f>COUNTIF(Pedidos!$E$6:$E$35,D61)</f>
        <v>0</v>
      </c>
      <c r="N61" s="67">
        <f t="array" ref="N61">SUMIF(Tabela2[Cliente],Clientes_Cadastrados!D61,Tabela2[Valor Total])</f>
        <v>0</v>
      </c>
    </row>
  </sheetData>
  <mergeCells count="2">
    <mergeCell ref="E4:F4"/>
    <mergeCell ref="J4:K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7795-9632-42B9-819A-6DF5828C8D31}">
  <sheetPr codeName="Planilha5"/>
  <dimension ref="A2:O26"/>
  <sheetViews>
    <sheetView topLeftCell="A4" zoomScale="145" zoomScaleNormal="145" workbookViewId="0">
      <selection activeCell="K12" sqref="K12"/>
    </sheetView>
  </sheetViews>
  <sheetFormatPr defaultColWidth="9.140625" defaultRowHeight="15" x14ac:dyDescent="0.25"/>
  <cols>
    <col min="1" max="1" width="2.140625" style="30" customWidth="1"/>
    <col min="2" max="2" width="2.28515625" style="30" customWidth="1"/>
    <col min="3" max="3" width="30.7109375" style="30" bestFit="1" customWidth="1"/>
    <col min="4" max="4" width="15.7109375" style="30" customWidth="1"/>
    <col min="5" max="6" width="16.7109375" style="30" customWidth="1"/>
    <col min="7" max="7" width="2.28515625" style="30" customWidth="1"/>
    <col min="8" max="8" width="14.140625" style="30" bestFit="1" customWidth="1"/>
    <col min="9" max="9" width="14.5703125" style="30" customWidth="1"/>
    <col min="10" max="10" width="16.7109375" style="30" customWidth="1"/>
    <col min="11" max="11" width="14.28515625" style="30" customWidth="1"/>
    <col min="12" max="14" width="9.140625" style="30"/>
    <col min="15" max="15" width="14.42578125" style="30" customWidth="1"/>
    <col min="16" max="16" width="2.85546875" style="30" customWidth="1"/>
    <col min="17" max="16384" width="9.140625" style="30"/>
  </cols>
  <sheetData>
    <row r="2" spans="1:15" customFormat="1" ht="29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spans="1:15" ht="15.75" x14ac:dyDescent="0.25">
      <c r="C4" s="88" t="s">
        <v>7</v>
      </c>
      <c r="D4" s="88"/>
      <c r="E4" s="9"/>
      <c r="F4" s="10"/>
      <c r="H4" s="89" t="s">
        <v>8</v>
      </c>
      <c r="I4" s="89"/>
      <c r="J4" s="89"/>
      <c r="K4" s="89"/>
    </row>
    <row r="5" spans="1:15" x14ac:dyDescent="0.25">
      <c r="C5" s="11" t="s">
        <v>6</v>
      </c>
      <c r="D5" s="11" t="s">
        <v>35</v>
      </c>
      <c r="E5" s="11" t="s">
        <v>40</v>
      </c>
      <c r="F5" s="11" t="s">
        <v>45</v>
      </c>
      <c r="H5" s="11" t="s">
        <v>9</v>
      </c>
      <c r="I5" s="11" t="s">
        <v>35</v>
      </c>
      <c r="J5" s="11" t="s">
        <v>40</v>
      </c>
      <c r="K5" s="11" t="s">
        <v>45</v>
      </c>
    </row>
    <row r="6" spans="1:15" x14ac:dyDescent="0.25">
      <c r="C6" s="12" t="s">
        <v>135</v>
      </c>
      <c r="D6" s="14" t="s">
        <v>122</v>
      </c>
      <c r="E6" s="13">
        <v>5000</v>
      </c>
      <c r="F6" s="13">
        <f>E6-'Pedidos - Sal_Nov'!C35</f>
        <v>4792</v>
      </c>
      <c r="H6" s="12" t="s">
        <v>145</v>
      </c>
      <c r="I6" s="14" t="s">
        <v>124</v>
      </c>
      <c r="J6" s="13">
        <v>3500</v>
      </c>
      <c r="K6" s="13">
        <f>J6-Tabela6[[#Totals],[Pele Listrada]]</f>
        <v>1676</v>
      </c>
    </row>
    <row r="7" spans="1:15" x14ac:dyDescent="0.25">
      <c r="C7" s="52" t="s">
        <v>136</v>
      </c>
      <c r="D7" s="54" t="s">
        <v>122</v>
      </c>
      <c r="E7" s="13">
        <v>3500</v>
      </c>
      <c r="F7" s="13">
        <f>E7-'Pedidos - Sal_Nov'!D35</f>
        <v>2408</v>
      </c>
      <c r="H7" s="54" t="s">
        <v>41</v>
      </c>
      <c r="I7" s="54"/>
      <c r="J7" s="53">
        <f>SUM(J4:J6)</f>
        <v>3500</v>
      </c>
      <c r="K7" s="53">
        <f>SUM(K6)</f>
        <v>1676</v>
      </c>
    </row>
    <row r="8" spans="1:15" x14ac:dyDescent="0.25">
      <c r="C8" s="52" t="s">
        <v>137</v>
      </c>
      <c r="D8" s="54" t="s">
        <v>122</v>
      </c>
      <c r="E8" s="13">
        <v>2780</v>
      </c>
      <c r="F8" s="13">
        <f>E8-'Pedidos - Sal_Nov'!E35</f>
        <v>2520</v>
      </c>
      <c r="H8" s="52" t="s">
        <v>145</v>
      </c>
      <c r="I8" s="14" t="s">
        <v>125</v>
      </c>
      <c r="J8" s="13">
        <v>4798</v>
      </c>
      <c r="K8" s="13">
        <f>J8-Tabela7[[#Totals],[Pele Listrada]]</f>
        <v>3448</v>
      </c>
    </row>
    <row r="9" spans="1:15" x14ac:dyDescent="0.25">
      <c r="C9" s="52" t="s">
        <v>138</v>
      </c>
      <c r="D9" s="54" t="s">
        <v>122</v>
      </c>
      <c r="E9" s="13">
        <v>1790</v>
      </c>
      <c r="F9" s="13">
        <f>E9-'Pedidos - Sal_Nov'!F35</f>
        <v>1452</v>
      </c>
      <c r="H9" s="54" t="s">
        <v>41</v>
      </c>
      <c r="I9" s="54"/>
      <c r="J9" s="53">
        <f>SUM(J6:J8)</f>
        <v>11798</v>
      </c>
      <c r="K9" s="53">
        <f>SUM(K8)</f>
        <v>3448</v>
      </c>
    </row>
    <row r="10" spans="1:15" x14ac:dyDescent="0.25">
      <c r="C10" s="12" t="s">
        <v>139</v>
      </c>
      <c r="D10" s="54" t="s">
        <v>122</v>
      </c>
      <c r="E10" s="13">
        <v>2955</v>
      </c>
      <c r="F10" s="13">
        <f>E10-'Pedidos - Sal_Nov'!G35</f>
        <v>2760</v>
      </c>
      <c r="H10" s="32"/>
    </row>
    <row r="11" spans="1:15" x14ac:dyDescent="0.25">
      <c r="C11" s="52" t="s">
        <v>140</v>
      </c>
      <c r="D11" s="54" t="s">
        <v>122</v>
      </c>
      <c r="E11" s="13">
        <v>3190</v>
      </c>
      <c r="F11" s="13">
        <f>E11-'Pedidos - Sal_Nov'!H35</f>
        <v>3060</v>
      </c>
      <c r="H11" s="32"/>
    </row>
    <row r="12" spans="1:15" x14ac:dyDescent="0.25">
      <c r="C12" s="52" t="s">
        <v>141</v>
      </c>
      <c r="D12" s="54" t="s">
        <v>122</v>
      </c>
      <c r="E12" s="13">
        <v>4798</v>
      </c>
      <c r="F12" s="13">
        <f>E12-'Pedidos - Sal_Nov'!I35</f>
        <v>4538</v>
      </c>
      <c r="H12" s="32"/>
    </row>
    <row r="13" spans="1:15" x14ac:dyDescent="0.25">
      <c r="C13" s="52" t="s">
        <v>142</v>
      </c>
      <c r="D13" s="54" t="s">
        <v>122</v>
      </c>
      <c r="E13" s="13">
        <v>2311</v>
      </c>
      <c r="F13" s="13">
        <f>E13-'Pedidos - Sal_Nov'!J35</f>
        <v>2246</v>
      </c>
      <c r="H13" s="32"/>
    </row>
    <row r="14" spans="1:15" x14ac:dyDescent="0.25">
      <c r="C14" s="12" t="s">
        <v>144</v>
      </c>
      <c r="D14" s="54" t="s">
        <v>122</v>
      </c>
      <c r="E14" s="13">
        <v>2345</v>
      </c>
      <c r="F14" s="13">
        <f>E14-'Pedidos - Sal_Nov'!K35</f>
        <v>2176</v>
      </c>
    </row>
    <row r="15" spans="1:15" x14ac:dyDescent="0.25">
      <c r="C15" s="52" t="s">
        <v>143</v>
      </c>
      <c r="D15" s="54" t="s">
        <v>122</v>
      </c>
      <c r="E15" s="13">
        <v>1457</v>
      </c>
      <c r="F15" s="13">
        <f>E15-'Pedidos - Sal_Nov'!L35</f>
        <v>1327</v>
      </c>
    </row>
    <row r="16" spans="1:15" s="55" customFormat="1" x14ac:dyDescent="0.25">
      <c r="C16" s="54" t="s">
        <v>41</v>
      </c>
      <c r="D16" s="54"/>
      <c r="E16" s="53">
        <f>SUM(E6:E15)</f>
        <v>30126</v>
      </c>
      <c r="F16" s="53">
        <f>SUM(F6:F15)</f>
        <v>27279</v>
      </c>
    </row>
    <row r="17" spans="3:6" x14ac:dyDescent="0.25">
      <c r="C17" s="52" t="s">
        <v>135</v>
      </c>
      <c r="D17" s="14" t="s">
        <v>123</v>
      </c>
      <c r="E17" s="13">
        <v>4243</v>
      </c>
      <c r="F17" s="13">
        <f>E17-'Pedidos - Sal_Nov'!C69</f>
        <v>4093</v>
      </c>
    </row>
    <row r="18" spans="3:6" x14ac:dyDescent="0.25">
      <c r="C18" s="52" t="s">
        <v>136</v>
      </c>
      <c r="D18" s="54" t="s">
        <v>123</v>
      </c>
      <c r="E18" s="13">
        <v>11589</v>
      </c>
      <c r="F18" s="13">
        <f>E18-'Pedidos - Sal_Nov'!D69</f>
        <v>11339</v>
      </c>
    </row>
    <row r="19" spans="3:6" x14ac:dyDescent="0.25">
      <c r="C19" s="52" t="s">
        <v>137</v>
      </c>
      <c r="D19" s="54" t="s">
        <v>123</v>
      </c>
      <c r="E19" s="13">
        <v>1954</v>
      </c>
      <c r="F19" s="13">
        <f>E19-'Pedidos - Sal_Nov'!E69</f>
        <v>1754</v>
      </c>
    </row>
    <row r="20" spans="3:6" x14ac:dyDescent="0.25">
      <c r="C20" s="52" t="s">
        <v>138</v>
      </c>
      <c r="D20" s="54" t="s">
        <v>123</v>
      </c>
      <c r="E20" s="13">
        <v>6900</v>
      </c>
      <c r="F20" s="13">
        <f>E20-'Pedidos - Sal_Nov'!F69</f>
        <v>6750</v>
      </c>
    </row>
    <row r="21" spans="3:6" x14ac:dyDescent="0.25">
      <c r="C21" s="52" t="s">
        <v>139</v>
      </c>
      <c r="D21" s="54" t="s">
        <v>123</v>
      </c>
      <c r="E21" s="13">
        <v>1568</v>
      </c>
      <c r="F21" s="13">
        <f>E21-'Pedidos - Sal_Nov'!G69</f>
        <v>1418</v>
      </c>
    </row>
    <row r="22" spans="3:6" x14ac:dyDescent="0.25">
      <c r="C22" s="52" t="s">
        <v>140</v>
      </c>
      <c r="D22" s="54" t="s">
        <v>123</v>
      </c>
      <c r="E22" s="13">
        <v>4656</v>
      </c>
      <c r="F22" s="13">
        <f>E22-'Pedidos - Sal_Nov'!H69</f>
        <v>4456</v>
      </c>
    </row>
    <row r="23" spans="3:6" x14ac:dyDescent="0.25">
      <c r="C23" s="52" t="s">
        <v>141</v>
      </c>
      <c r="D23" s="54" t="s">
        <v>123</v>
      </c>
      <c r="E23" s="13">
        <v>1700</v>
      </c>
      <c r="F23" s="13">
        <f>E23-'Pedidos - Sal_Nov'!I69</f>
        <v>1600</v>
      </c>
    </row>
    <row r="24" spans="3:6" x14ac:dyDescent="0.25">
      <c r="C24" s="52" t="s">
        <v>142</v>
      </c>
      <c r="D24" s="54" t="s">
        <v>123</v>
      </c>
      <c r="E24" s="13">
        <v>4700</v>
      </c>
      <c r="F24" s="13">
        <f>E24-'Pedidos - Sal_Nov'!J69</f>
        <v>4500</v>
      </c>
    </row>
    <row r="25" spans="3:6" x14ac:dyDescent="0.25">
      <c r="C25" s="52" t="s">
        <v>144</v>
      </c>
      <c r="D25" s="54" t="s">
        <v>123</v>
      </c>
      <c r="E25" s="13">
        <v>2370</v>
      </c>
      <c r="F25" s="13">
        <f>E25-'Pedidos - Sal_Nov'!K69</f>
        <v>2270</v>
      </c>
    </row>
    <row r="26" spans="3:6" x14ac:dyDescent="0.25">
      <c r="C26" s="14" t="s">
        <v>41</v>
      </c>
      <c r="D26" s="14"/>
      <c r="E26" s="13">
        <f>SUM(E17:E25)</f>
        <v>39680</v>
      </c>
      <c r="F26" s="13">
        <f>SUM(F17:F25)</f>
        <v>38180</v>
      </c>
    </row>
  </sheetData>
  <mergeCells count="2">
    <mergeCell ref="C4:D4"/>
    <mergeCell ref="H4:K4"/>
  </mergeCells>
  <conditionalFormatting sqref="F6:F15 F17:F25 K6 K8">
    <cfRule type="cellIs" dxfId="48" priority="4" operator="greaterThan">
      <formula>1800</formula>
    </cfRule>
    <cfRule type="cellIs" dxfId="47" priority="5" operator="between">
      <formula>1000</formula>
      <formula>1800</formula>
    </cfRule>
    <cfRule type="cellIs" dxfId="46" priority="6" operator="lessThan">
      <formula>1000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K8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4D0F-281A-4DFF-9250-4D831EB2D4EF}">
  <sheetPr codeName="Planilha6"/>
  <dimension ref="A1:Z124"/>
  <sheetViews>
    <sheetView zoomScale="85" zoomScaleNormal="85" workbookViewId="0">
      <selection activeCell="F39" sqref="F39"/>
    </sheetView>
  </sheetViews>
  <sheetFormatPr defaultColWidth="9.140625" defaultRowHeight="15" x14ac:dyDescent="0.25"/>
  <cols>
    <col min="1" max="1" width="18.7109375" style="30" customWidth="1"/>
    <col min="2" max="2" width="18.7109375" style="55" customWidth="1"/>
    <col min="3" max="3" width="4.140625" style="55" customWidth="1"/>
    <col min="4" max="4" width="11.5703125" style="32" bestFit="1" customWidth="1"/>
    <col min="5" max="5" width="37.140625" style="32" bestFit="1" customWidth="1"/>
    <col min="6" max="6" width="14.140625" style="32" customWidth="1"/>
    <col min="7" max="7" width="20.28515625" style="32" customWidth="1"/>
    <col min="8" max="8" width="18.140625" style="34" customWidth="1"/>
    <col min="9" max="9" width="15.5703125" style="32" customWidth="1"/>
    <col min="10" max="10" width="13" style="7" customWidth="1"/>
    <col min="11" max="11" width="3.5703125" style="32" customWidth="1"/>
    <col min="12" max="12" width="21.5703125" style="35" customWidth="1"/>
    <col min="13" max="13" width="22.7109375" style="7" customWidth="1"/>
    <col min="14" max="14" width="20" style="32" customWidth="1"/>
    <col min="15" max="15" width="16.5703125" style="7" bestFit="1" customWidth="1"/>
    <col min="16" max="16" width="16.28515625" style="7" bestFit="1" customWidth="1"/>
    <col min="17" max="17" width="8.140625" style="32" customWidth="1"/>
    <col min="18" max="18" width="5.28515625" style="32" customWidth="1"/>
    <col min="19" max="19" width="9" style="32" customWidth="1"/>
    <col min="20" max="20" width="23.140625" style="32" customWidth="1"/>
    <col min="21" max="21" width="9.85546875" style="32" customWidth="1"/>
    <col min="22" max="22" width="9.140625" style="32" customWidth="1"/>
    <col min="23" max="23" width="1.85546875" style="32" customWidth="1"/>
    <col min="24" max="24" width="12" style="32" customWidth="1"/>
    <col min="25" max="25" width="9.85546875" style="32" bestFit="1" customWidth="1"/>
    <col min="26" max="16384" width="9.140625" style="32"/>
  </cols>
  <sheetData>
    <row r="1" spans="2:26" x14ac:dyDescent="0.25">
      <c r="C1" s="30"/>
    </row>
    <row r="2" spans="2:26" s="30" customFormat="1" ht="30" customHeight="1" x14ac:dyDescent="0.25">
      <c r="B2" s="55"/>
      <c r="J2" s="81"/>
      <c r="M2" s="81"/>
      <c r="O2" s="81"/>
      <c r="P2" s="81"/>
    </row>
    <row r="3" spans="2:26" s="30" customFormat="1" x14ac:dyDescent="0.25">
      <c r="B3" s="55"/>
      <c r="J3" s="81"/>
      <c r="M3" s="81"/>
      <c r="O3" s="81"/>
      <c r="P3" s="81"/>
    </row>
    <row r="4" spans="2:26" s="30" customFormat="1" ht="15.75" x14ac:dyDescent="0.25">
      <c r="B4" s="55"/>
      <c r="D4" s="32"/>
      <c r="E4" s="32"/>
      <c r="F4" s="90" t="s">
        <v>39</v>
      </c>
      <c r="G4" s="90"/>
      <c r="H4" s="90"/>
      <c r="I4" s="90"/>
      <c r="J4" s="90"/>
      <c r="K4" s="17"/>
      <c r="L4" s="91" t="s">
        <v>8</v>
      </c>
      <c r="M4" s="91"/>
      <c r="N4" s="91"/>
      <c r="O4" s="91"/>
      <c r="P4" s="91"/>
      <c r="Q4" s="32"/>
      <c r="R4" s="32"/>
      <c r="S4"/>
      <c r="T4" s="29" t="s">
        <v>1</v>
      </c>
      <c r="U4" s="28" t="s">
        <v>122</v>
      </c>
      <c r="V4" s="28" t="s">
        <v>123</v>
      </c>
      <c r="W4" s="32"/>
      <c r="X4" s="28" t="s">
        <v>124</v>
      </c>
      <c r="Y4" s="28" t="s">
        <v>125</v>
      </c>
    </row>
    <row r="5" spans="2:26" ht="15.75" customHeight="1" x14ac:dyDescent="0.25">
      <c r="C5" s="92" t="s">
        <v>126</v>
      </c>
      <c r="D5" s="38" t="s">
        <v>0</v>
      </c>
      <c r="E5" s="38" t="s">
        <v>1</v>
      </c>
      <c r="F5" s="83" t="s">
        <v>2</v>
      </c>
      <c r="G5" s="83" t="s">
        <v>127</v>
      </c>
      <c r="H5" s="83" t="s">
        <v>128</v>
      </c>
      <c r="I5" s="83" t="s">
        <v>129</v>
      </c>
      <c r="J5" s="84" t="s">
        <v>130</v>
      </c>
      <c r="K5" s="85" t="s">
        <v>42</v>
      </c>
      <c r="L5" s="83" t="s">
        <v>131</v>
      </c>
      <c r="M5" s="84" t="s">
        <v>132</v>
      </c>
      <c r="N5" s="83" t="s">
        <v>133</v>
      </c>
      <c r="O5" s="84" t="s">
        <v>134</v>
      </c>
      <c r="P5" s="84" t="s">
        <v>3</v>
      </c>
      <c r="R5" s="30"/>
      <c r="S5" s="5">
        <v>1</v>
      </c>
      <c r="T5" s="8" t="s">
        <v>66</v>
      </c>
      <c r="U5" s="2">
        <f>Clientes_Cadastrados!E6</f>
        <v>103.5</v>
      </c>
      <c r="V5" s="2">
        <f>Clientes_Cadastrados!F6</f>
        <v>34.5</v>
      </c>
      <c r="W5" s="30"/>
      <c r="X5" s="2">
        <f>Clientes_Cadastrados!J6</f>
        <v>186</v>
      </c>
      <c r="Y5" s="2">
        <f>Clientes_Cadastrados!K6</f>
        <v>139.5</v>
      </c>
      <c r="Z5" s="30"/>
    </row>
    <row r="6" spans="2:26" x14ac:dyDescent="0.25">
      <c r="C6" s="93"/>
      <c r="D6" s="74">
        <v>44866</v>
      </c>
      <c r="E6" s="8" t="s">
        <v>66</v>
      </c>
      <c r="F6" s="68">
        <f>Pedidos!$G6+Pedidos!$I6+Pedidos!$L6+Pedidos!$N6</f>
        <v>23</v>
      </c>
      <c r="G6" s="68">
        <v>6</v>
      </c>
      <c r="H6" s="69">
        <f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6" s="68">
        <v>5</v>
      </c>
      <c r="J6" s="69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6" s="70"/>
      <c r="L6" s="71">
        <v>7</v>
      </c>
      <c r="M6" s="69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1302</v>
      </c>
      <c r="N6" s="72">
        <v>5</v>
      </c>
      <c r="O6" s="69">
        <f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f>
        <v>697.5</v>
      </c>
      <c r="P6" s="69">
        <f>Tabela2[[#This Row],[Preço 15kg]]+Tabela2[[#This Row],[Preço 5kg]]+Tabela2[[#This Row],[Preço Pele 12kg]]+O6</f>
        <v>2793</v>
      </c>
      <c r="R6" s="30"/>
      <c r="S6" s="5">
        <v>2</v>
      </c>
      <c r="T6" s="8" t="s">
        <v>67</v>
      </c>
      <c r="U6" s="2">
        <f>Clientes_Cadastrados!E7</f>
        <v>103.5</v>
      </c>
      <c r="V6" s="2">
        <f>Clientes_Cadastrados!F7</f>
        <v>34.5</v>
      </c>
      <c r="W6" s="30"/>
      <c r="X6" s="2">
        <f>Clientes_Cadastrados!J7</f>
        <v>82.800000000000011</v>
      </c>
      <c r="Y6" s="2">
        <f>Clientes_Cadastrados!K7</f>
        <v>62.1</v>
      </c>
      <c r="Z6" s="30"/>
    </row>
    <row r="7" spans="2:26" x14ac:dyDescent="0.25">
      <c r="C7" s="93"/>
      <c r="D7" s="75">
        <v>44867</v>
      </c>
      <c r="E7" s="8" t="s">
        <v>67</v>
      </c>
      <c r="F7" s="72">
        <f>Pedidos!$G7+Pedidos!$I7+Pedidos!$L7+Pedidos!$N7</f>
        <v>20</v>
      </c>
      <c r="G7" s="72">
        <v>5</v>
      </c>
      <c r="H7" s="73">
        <f>_xlfn.IFS(Pedidos!$E7=$T$5,Pedidos!$G7*$U$5,Pedidos!$E7=$T$6,Pedidos!$G7*$U$6,Pedidos!$E7=$T$7,Pedidos!$G7*$U$7,Pedidos!$E7=$T$8,Pedidos!$G7*$U$8,Pedidos!$E7=$T$9,Pedidos!$G7*$U$9,Pedidos!$E7=$T$10,Pedidos!$G7*$U$10,Pedidos!$E7=$T$11,Pedidos!$G7*$U$11,Pedidos!$E7=$T$12,Pedidos!$G7*$U$12,Pedidos!$E7=$T$13,Pedidos!$G7*$U$13,Pedidos!$E7=$T$14,Pedidos!$G7*$U$14,Pedidos!$E7=$T$15,Pedidos!$G7*$U$15,Pedidos!$E7=$T$15,Pedidos!$G7*$U$15,Pedidos!$E7=$T$16,Pedidos!$G7*$U$16,Pedidos!$E7=$T$17,Pedidos!$G7*$U$17,Pedidos!$E7=$T$18,Pedidos!$G7*$U$18,Pedidos!$E7=$T$20,Pedidos!$G7*$U$20,Pedidos!$E7=$T$21,Pedidos!$G7*$U$21,Pedidos!$E7=$T$22,Pedidos!$G7*$U$22,Pedidos!$E7=$T$23,Pedidos!$G7*$U$23,Pedidos!$E7=$T$24,Pedidos!$G7*$U$24,Pedidos!$E7=$T$25,Pedidos!$G7*$U$25,Pedidos!$E7=$T$26,Pedidos!$G7*$U$26,Pedidos!$E7=$T$27,Pedidos!$G7*$U$27,Pedidos!$E7=$T$28,Pedidos!$G7*$U$28,Pedidos!$E7=$T$29,Pedidos!$G7*$U$29,Pedidos!$E7=$T$31,Pedidos!$G7*$U$31,Pedidos!$E7=$T$32,Pedidos!$G7*$U$32,Pedidos!$E7=$T$33,Pedidos!$G7*$U$33,Pedidos!$E7=$T$34,Pedidos!$G7*$U$34,Pedidos!$E7=$T$35,Pedidos!$G7*$U$35,Pedidos!$E7=$T$36,Pedidos!$G7*$U$36,Pedidos!$E7=$T$37,Pedidos!$G7*$U$37,Pedidos!$E7=$T$38,Pedidos!$G7*$U$38,Pedidos!$E7=$T$40,Pedidos!$G7*$U$40,Pedidos!$E7=$T$41,Pedidos!$G7*$U$41,Pedidos!$E7=$T$42,Pedidos!$G7*$U$42,Pedidos!$E7=$T$43,Pedidos!$G7*$U$43,Pedidos!$E7=$T$44,Pedidos!$G7*$U$44,Pedidos!$E7=$T$45,Pedidos!$G7*$U$45,Pedidos!$E7=$T$46,Pedidos!$G7*$U$46,Pedidos!$E7=$T$47,Pedidos!$G7*$U$47,Pedidos!$E7=$T$48,Pedidos!$G7*$U$48,Pedidos!$E7=$T$49,Pedidos!$G7*$U$49,Pedidos!$E7=$T$50,Pedidos!$G7*$U$50,Pedidos!$E7=$T$51,Pedidos!$G7*$U$51,Pedidos!$E7=$T$52,Pedidos!$G7*$U$52,Pedidos!$E7=$T$53,Pedidos!$G7*$U$53,Pedidos!$E7=$T$54,Pedidos!$G7*$U$54,Pedidos!$E7=$T$55,Pedidos!$G7*$U$55,Pedidos!$E7=$T$56,Pedidos!$G7*$U$56,Pedidos!$E7=$T$57,Pedidos!$G7*$U$57,Pedidos!$E7=$T$58,Pedidos!$G7*$U$58,Pedidos!$E7=$T$59,Pedidos!$G7*$U$59,Pedidos!$E7=$T$60,Pedidos!$G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7" s="72">
        <v>5</v>
      </c>
      <c r="J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7" s="72"/>
      <c r="L7" s="72">
        <v>5</v>
      </c>
      <c r="M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7" s="72">
        <v>5</v>
      </c>
      <c r="O7" s="73">
        <f>IFERROR(_xlfn.IFS(Pedidos!$E7=Clientes_Cadastrados!D6,Pedidos!$N7*Clientes_Cadastrados!K6,Pedidos!$E7=Clientes_Cadastrados!D7,Pedidos!$N7*Clientes_Cadastrados!K7,Pedidos!$E7=Clientes_Cadastrados!D8,Pedidos!$N7*Clientes_Cadastrados!K8,Pedidos!$E7=Clientes_Cadastrados!D9,Pedidos!$N7*Clientes_Cadastrados!K9,Pedidos!$E7=Clientes_Cadastrados!D10,Pedidos!$N7*Clientes_Cadastrados!K10,Pedidos!$E7=Clientes_Cadastrados!D11,Pedidos!$N7*Clientes_Cadastrados!K11,Pedidos!$E7=Clientes_Cadastrados!D12,Pedidos!$N7*Clientes_Cadastrados!K12,Pedidos!$E7=Clientes_Cadastrados!D13,Pedidos!$N7*Clientes_Cadastrados!K13,Pedidos!$E7=Clientes_Cadastrados!D14,Pedidos!$N7*Clientes_Cadastrados!K14,Pedidos!$E7=Clientes_Cadastrados!D15,Pedidos!$N7*Clientes_Cadastrados!K15,Pedidos!$E7=Clientes_Cadastrados!D16,Pedidos!$N7*Clientes_Cadastrados!K16,Pedidos!$E7=Clientes_Cadastrados!D17,Pedidos!$N7*Clientes_Cadastrados!K17,Pedidos!$E7=Clientes_Cadastrados!D18,Pedidos!$N7*Clientes_Cadastrados!K18,Pedidos!$E7=Clientes_Cadastrados!D19,Pedidos!$N7*Clientes_Cadastrados!K19,Pedidos!$E7=Clientes_Cadastrados!D20,Pedidos!$N7*Clientes_Cadastrados!K20,Pedidos!$E7=Clientes_Cadastrados!D21,Pedidos!$N7*Clientes_Cadastrados!K21,Pedidos!$E7=Clientes_Cadastrados!D22,Pedidos!$N7*Clientes_Cadastrados!K22,Pedidos!$E7=Clientes_Cadastrados!D23,Pedidos!$N7*Clientes_Cadastrados!K23,Pedidos!$E7=Clientes_Cadastrados!D25,Pedidos!$N7*Clientes_Cadastrados!K25,Pedidos!$E7=Clientes_Cadastrados!D26,Pedidos!$N7*Clientes_Cadastrados!K26,Pedidos!$E7=Clientes_Cadastrados!D27,Pedidos!$N7*Clientes_Cadastrados!K27,Pedidos!$E7=Clientes_Cadastrados!D28,Pedidos!$N7*Clientes_Cadastrados!K28,Pedidos!$E7=Clientes_Cadastrados!D29,Pedidos!$N7*Clientes_Cadastrados!K29,Pedidos!$E7=Clientes_Cadastrados!D30,Pedidos!$N7*Clientes_Cadastrados!K30,Pedidos!$E7=Clientes_Cadastrados!D31,Pedidos!$N7*Clientes_Cadastrados!K31,Pedidos!$E7=Clientes_Cadastrados!D32,Pedidos!$N7*Clientes_Cadastrados!K32,Pedidos!$E7=Clientes_Cadastrados!D33,Pedidos!$N7*Clientes_Cadastrados!K33,Pedidos!$E7=Clientes_Cadastrados!D34,Pedidos!$N7*Clientes_Cadastrados!K34,Pedidos!$E7=Clientes_Cadastrados!D35,Pedidos!$N7*Clientes_Cadastrados!K35,Pedidos!$E7=Clientes_Cadastrados!D36,Pedidos!$N7*Clientes_Cadastrados!K36,Pedidos!$E7=Clientes_Cadastrados!D37,Pedidos!$N7*Clientes_Cadastrados!K37,Pedidos!$E7=Clientes_Cadastrados!D38,Pedidos!$N7*Clientes_Cadastrados!K38,Pedidos!$E7=Clientes_Cadastrados!D39,Pedidos!$N7*Clientes_Cadastrados!K39,Pedidos!$E7=Clientes_Cadastrados!D40,Pedidos!$N7*Clientes_Cadastrados!K40,Pedidos!$E7=Clientes_Cadastrados!D41,Pedidos!$N7*Clientes_Cadastrados!K41,Pedidos!$E7=Clientes_Cadastrados!D42,Pedidos!$N7*Clientes_Cadastrados!K42,Pedidos!$E7=Clientes_Cadastrados!D43,Pedidos!$N7*Clientes_Cadastrados!K43,Pedidos!$E7=Clientes_Cadastrados!D44,Pedidos!$N7*Clientes_Cadastrados!K44,Pedidos!$E7=Clientes_Cadastrados!D45,Pedidos!$N7*Clientes_Cadastrados!K45,Pedidos!$E7=Clientes_Cadastrados!D46,Pedidos!$N7*Clientes_Cadastrados!K46,Pedidos!$E7=Clientes_Cadastrados!D47,Pedidos!$N7*Clientes_Cadastrados!K47,Pedidos!$E7=Clientes_Cadastrados!D48,Pedidos!$N7*Clientes_Cadastrados!K48,Pedidos!$E7=Clientes_Cadastrados!D49,Pedidos!$N7*Clientes_Cadastrados!K49,Pedidos!$E7=Clientes_Cadastrados!D50,Pedidos!$N7*Clientes_Cadastrados!K50,Pedidos!$E7=Clientes_Cadastrados!D51,Pedidos!$N7*Clientes_Cadastrados!K51,Pedidos!$E7=Clientes_Cadastrados!D52,Pedidos!$N7*Clientes_Cadastrados!K52,Pedidos!$E7=Clientes_Cadastrados!D53,Pedidos!$N7*Clientes_Cadastrados!K53,Pedidos!$E7=Clientes_Cadastrados!D54,Pedidos!$N7*Clientes_Cadastrados!K54,Pedidos!$E7=Clientes_Cadastrados!D55,Pedidos!$N7*Clientes_Cadastrados!K55,Pedidos!$E7=Clientes_Cadastrados!D56,Pedidos!$N7*Clientes_Cadastrados!K56,Pedidos!$E7=Clientes_Cadastrados!D57,Pedidos!$N7*Clientes_Cadastrados!K57,Pedidos!$E7=Clientes_Cadastrados!D58,Pedidos!$N7*Clientes_Cadastrados!K58,Pedidos!$E7=Clientes_Cadastrados!D59,Pedidos!$N7*Clientes_Cadastrados!K59,Pedidos!$E7=Clientes_Cadastrados!D60,Pedidos!$N7*Clientes_Cadastrados!K60,Pedidos!$E7=Clientes_Cadastrados!D61,Pedidos!$N7*Clientes_Cadastrados!K61,Pedidos!$E7=Clientes_Cadastrados!D62,Pedidos!$N7*Clientes_Cadastrados!K62)," 0")</f>
        <v>310.5</v>
      </c>
      <c r="P7" s="73">
        <f>Tabela2[[#This Row],[Preço 15kg]]+Tabela2[[#This Row],[Preço 5kg]]+Tabela2[[#This Row],[Preço Pele 12kg]]+O7</f>
        <v>1414.5</v>
      </c>
      <c r="R7" s="30"/>
      <c r="S7" s="5">
        <v>3</v>
      </c>
      <c r="T7" s="8" t="s">
        <v>68</v>
      </c>
      <c r="U7" s="2">
        <f>Clientes_Cadastrados!E8</f>
        <v>31.5</v>
      </c>
      <c r="V7" s="2">
        <f>Clientes_Cadastrados!F8</f>
        <v>10.5</v>
      </c>
      <c r="W7" s="30"/>
      <c r="X7" s="2">
        <f>Clientes_Cadastrados!J8</f>
        <v>25.200000000000003</v>
      </c>
      <c r="Y7" s="2">
        <f>Clientes_Cadastrados!K8</f>
        <v>18.900000000000002</v>
      </c>
      <c r="Z7" s="30"/>
    </row>
    <row r="8" spans="2:26" x14ac:dyDescent="0.25">
      <c r="C8" s="93"/>
      <c r="D8" s="74">
        <v>44868</v>
      </c>
      <c r="E8" s="8" t="s">
        <v>68</v>
      </c>
      <c r="F8" s="72">
        <f>Pedidos!$G8+Pedidos!$I8+Pedidos!$L8+Pedidos!$N8</f>
        <v>20</v>
      </c>
      <c r="G8" s="72">
        <v>5</v>
      </c>
      <c r="H8" s="73">
        <f>_xlfn.IFS(Pedidos!$E8=$T$5,Pedidos!$G8*$U$5,Pedidos!$E8=$T$6,Pedidos!$G8*$U$6,Pedidos!$E8=$T$7,Pedidos!$G8*$U$7,Pedidos!$E8=$T$8,Pedidos!$G8*$U$8,Pedidos!$E8=$T$9,Pedidos!$G8*$U$9,Pedidos!$E8=$T$10,Pedidos!$G8*$U$10,Pedidos!$E8=$T$11,Pedidos!$G8*$U$11,Pedidos!$E8=$T$12,Pedidos!$G8*$U$12,Pedidos!$E8=$T$13,Pedidos!$G8*$U$13,Pedidos!$E8=$T$14,Pedidos!$G8*$U$14,Pedidos!$E8=$T$15,Pedidos!$G8*$U$15,Pedidos!$E8=$T$15,Pedidos!$G8*$U$15,Pedidos!$E8=$T$16,Pedidos!$G8*$U$16,Pedidos!$E8=$T$17,Pedidos!$G8*$U$17,Pedidos!$E8=$T$18,Pedidos!$G8*$U$18,Pedidos!$E8=$T$20,Pedidos!$G8*$U$20,Pedidos!$E8=$T$21,Pedidos!$G8*$U$21,Pedidos!$E8=$T$22,Pedidos!$G8*$U$22,Pedidos!$E8=$T$23,Pedidos!$G8*$U$23,Pedidos!$E8=$T$24,Pedidos!$G8*$U$24,Pedidos!$E8=$T$25,Pedidos!$G8*$U$25,Pedidos!$E8=$T$26,Pedidos!$G8*$U$26,Pedidos!$E8=$T$27,Pedidos!$G8*$U$27,Pedidos!$E8=$T$28,Pedidos!$G8*$U$28,Pedidos!$E8=$T$29,Pedidos!$G8*$U$29,Pedidos!$E8=$T$31,Pedidos!$G8*$U$31,Pedidos!$E8=$T$32,Pedidos!$G8*$U$32,Pedidos!$E8=$T$33,Pedidos!$G8*$U$33,Pedidos!$E8=$T$34,Pedidos!$G8*$U$34,Pedidos!$E8=$T$35,Pedidos!$G8*$U$35,Pedidos!$E8=$T$36,Pedidos!$G8*$U$36,Pedidos!$E8=$T$37,Pedidos!$G8*$U$37,Pedidos!$E8=$T$38,Pedidos!$G8*$U$38,Pedidos!$E8=$T$40,Pedidos!$G8*$U$40,Pedidos!$E8=$T$41,Pedidos!$G8*$U$41,Pedidos!$E8=$T$42,Pedidos!$G8*$U$42,Pedidos!$E8=$T$43,Pedidos!$G8*$U$43,Pedidos!$E8=$T$44,Pedidos!$G8*$U$44,Pedidos!$E8=$T$45,Pedidos!$G8*$U$45,Pedidos!$E8=$T$46,Pedidos!$G8*$U$46,Pedidos!$E8=$T$47,Pedidos!$G8*$U$47,Pedidos!$E8=$T$48,Pedidos!$G8*$U$48,Pedidos!$E8=$T$49,Pedidos!$G8*$U$49,Pedidos!$E8=$T$50,Pedidos!$G8*$U$50,Pedidos!$E8=$T$51,Pedidos!$G8*$U$51,Pedidos!$E8=$T$52,Pedidos!$G8*$U$52,Pedidos!$E8=$T$53,Pedidos!$G8*$U$53,Pedidos!$E8=$T$54,Pedidos!$G8*$U$54,Pedidos!$E8=$T$55,Pedidos!$G8*$U$55,Pedidos!$E8=$T$56,Pedidos!$G8*$U$56,Pedidos!$E8=$T$57,Pedidos!$G8*$U$57,Pedidos!$E8=$T$58,Pedidos!$G8*$U$58,Pedidos!$E8=$T$59,Pedidos!$G8*$U$59,Pedidos!$E8=$T$60,Pedidos!$G8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8" s="72">
        <v>5</v>
      </c>
      <c r="J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8" s="72"/>
      <c r="L8" s="72">
        <v>5</v>
      </c>
      <c r="M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8" s="72">
        <v>5</v>
      </c>
      <c r="O8" s="73">
        <f>IFERROR(_xlfn.IFS(Pedidos!$E8=Clientes_Cadastrados!D7,Pedidos!$N8*Clientes_Cadastrados!K7,Pedidos!$E8=Clientes_Cadastrados!D8,Pedidos!$N8*Clientes_Cadastrados!K8,Pedidos!$E8=Clientes_Cadastrados!D9,Pedidos!$N8*Clientes_Cadastrados!K9,Pedidos!$E8=Clientes_Cadastrados!D10,Pedidos!$N8*Clientes_Cadastrados!K10,Pedidos!$E8=Clientes_Cadastrados!D11,Pedidos!$N8*Clientes_Cadastrados!K11,Pedidos!$E8=Clientes_Cadastrados!D12,Pedidos!$N8*Clientes_Cadastrados!K12,Pedidos!$E8=Clientes_Cadastrados!D13,Pedidos!$N8*Clientes_Cadastrados!K13,Pedidos!$E8=Clientes_Cadastrados!D14,Pedidos!$N8*Clientes_Cadastrados!K14,Pedidos!$E8=Clientes_Cadastrados!D15,Pedidos!$N8*Clientes_Cadastrados!K15,Pedidos!$E8=Clientes_Cadastrados!D16,Pedidos!$N8*Clientes_Cadastrados!K16,Pedidos!$E8=Clientes_Cadastrados!D17,Pedidos!$N8*Clientes_Cadastrados!K17,Pedidos!$E8=Clientes_Cadastrados!D18,Pedidos!$N8*Clientes_Cadastrados!K18,Pedidos!$E8=Clientes_Cadastrados!D19,Pedidos!$N8*Clientes_Cadastrados!K19,Pedidos!$E8=Clientes_Cadastrados!D20,Pedidos!$N8*Clientes_Cadastrados!K20,Pedidos!$E8=Clientes_Cadastrados!D21,Pedidos!$N8*Clientes_Cadastrados!K21,Pedidos!$E8=Clientes_Cadastrados!D22,Pedidos!$N8*Clientes_Cadastrados!K22,Pedidos!$E8=Clientes_Cadastrados!D23,Pedidos!$N8*Clientes_Cadastrados!K23,Pedidos!$E8=Clientes_Cadastrados!D24,Pedidos!$N8*Clientes_Cadastrados!K24,Pedidos!$E8=Clientes_Cadastrados!D26,Pedidos!$N8*Clientes_Cadastrados!K26,Pedidos!$E8=Clientes_Cadastrados!D27,Pedidos!$N8*Clientes_Cadastrados!K27,Pedidos!$E8=Clientes_Cadastrados!D28,Pedidos!$N8*Clientes_Cadastrados!K28,Pedidos!$E8=Clientes_Cadastrados!D29,Pedidos!$N8*Clientes_Cadastrados!K29,Pedidos!$E8=Clientes_Cadastrados!D30,Pedidos!$N8*Clientes_Cadastrados!K30,Pedidos!$E8=Clientes_Cadastrados!D31,Pedidos!$N8*Clientes_Cadastrados!K31,Pedidos!$E8=Clientes_Cadastrados!D32,Pedidos!$N8*Clientes_Cadastrados!K32,Pedidos!$E8=Clientes_Cadastrados!D33,Pedidos!$N8*Clientes_Cadastrados!K33,Pedidos!$E8=Clientes_Cadastrados!D34,Pedidos!$N8*Clientes_Cadastrados!K34,Pedidos!$E8=Clientes_Cadastrados!D35,Pedidos!$N8*Clientes_Cadastrados!K35,Pedidos!$E8=Clientes_Cadastrados!D36,Pedidos!$N8*Clientes_Cadastrados!K36,Pedidos!$E8=Clientes_Cadastrados!D37,Pedidos!$N8*Clientes_Cadastrados!K37,Pedidos!$E8=Clientes_Cadastrados!D38,Pedidos!$N8*Clientes_Cadastrados!K38,Pedidos!$E8=Clientes_Cadastrados!D39,Pedidos!$N8*Clientes_Cadastrados!K39,Pedidos!$E8=Clientes_Cadastrados!D40,Pedidos!$N8*Clientes_Cadastrados!K40,Pedidos!$E8=Clientes_Cadastrados!D41,Pedidos!$N8*Clientes_Cadastrados!K41,Pedidos!$E8=Clientes_Cadastrados!D42,Pedidos!$N8*Clientes_Cadastrados!K42,Pedidos!$E8=Clientes_Cadastrados!D43,Pedidos!$N8*Clientes_Cadastrados!K43,Pedidos!$E8=Clientes_Cadastrados!D44,Pedidos!$N8*Clientes_Cadastrados!K44,Pedidos!$E8=Clientes_Cadastrados!D45,Pedidos!$N8*Clientes_Cadastrados!K45,Pedidos!$E8=Clientes_Cadastrados!D46,Pedidos!$N8*Clientes_Cadastrados!K46,Pedidos!$E8=Clientes_Cadastrados!D47,Pedidos!$N8*Clientes_Cadastrados!K47,Pedidos!$E8=Clientes_Cadastrados!D48,Pedidos!$N8*Clientes_Cadastrados!K48,Pedidos!$E8=Clientes_Cadastrados!D49,Pedidos!$N8*Clientes_Cadastrados!K49,Pedidos!$E8=Clientes_Cadastrados!D50,Pedidos!$N8*Clientes_Cadastrados!K50,Pedidos!$E8=Clientes_Cadastrados!D51,Pedidos!$N8*Clientes_Cadastrados!K51,Pedidos!$E8=Clientes_Cadastrados!D52,Pedidos!$N8*Clientes_Cadastrados!K52,Pedidos!$E8=Clientes_Cadastrados!D53,Pedidos!$N8*Clientes_Cadastrados!K53,Pedidos!$E8=Clientes_Cadastrados!D54,Pedidos!$N8*Clientes_Cadastrados!K54,Pedidos!$E8=Clientes_Cadastrados!D55,Pedidos!$N8*Clientes_Cadastrados!K55,Pedidos!$E8=Clientes_Cadastrados!D56,Pedidos!$N8*Clientes_Cadastrados!K56,Pedidos!$E8=Clientes_Cadastrados!D57,Pedidos!$N8*Clientes_Cadastrados!K57,Pedidos!$E8=Clientes_Cadastrados!D58,Pedidos!$N8*Clientes_Cadastrados!K58,Pedidos!$E8=Clientes_Cadastrados!D59,Pedidos!$N8*Clientes_Cadastrados!K59,Pedidos!$E8=Clientes_Cadastrados!D60,Pedidos!$N8*Clientes_Cadastrados!K60,Pedidos!$E8=Clientes_Cadastrados!D61,Pedidos!$N8*Clientes_Cadastrados!K61,Pedidos!$E8=Clientes_Cadastrados!D62,Pedidos!$N8*Clientes_Cadastrados!K62,Pedidos!$E8=Clientes_Cadastrados!D63,Pedidos!$N8*Clientes_Cadastrados!K63)," 0")</f>
        <v>94.500000000000014</v>
      </c>
      <c r="P8" s="73">
        <f>Tabela2[[#This Row],[Preço 15kg]]+Tabela2[[#This Row],[Preço 5kg]]+Tabela2[[#This Row],[Preço Pele 12kg]]+O8</f>
        <v>430.5</v>
      </c>
      <c r="R8" s="30"/>
      <c r="S8" s="5">
        <v>4</v>
      </c>
      <c r="T8" s="8" t="s">
        <v>69</v>
      </c>
      <c r="U8" s="2">
        <f>Clientes_Cadastrados!E9</f>
        <v>103.5</v>
      </c>
      <c r="V8" s="2">
        <f>Clientes_Cadastrados!F9</f>
        <v>34.5</v>
      </c>
      <c r="W8" s="30"/>
      <c r="X8" s="2">
        <f>Clientes_Cadastrados!J9</f>
        <v>192</v>
      </c>
      <c r="Y8" s="2">
        <f>Clientes_Cadastrados!K9</f>
        <v>144</v>
      </c>
      <c r="Z8" s="30"/>
    </row>
    <row r="9" spans="2:26" x14ac:dyDescent="0.25">
      <c r="C9" s="93"/>
      <c r="D9" s="75">
        <v>44869</v>
      </c>
      <c r="E9" s="8" t="s">
        <v>69</v>
      </c>
      <c r="F9" s="72">
        <f>Pedidos!$G9+Pedidos!$I9+Pedidos!$L9+Pedidos!$N9</f>
        <v>21</v>
      </c>
      <c r="G9" s="72">
        <v>6</v>
      </c>
      <c r="H9" s="73">
        <f>_xlfn.IFS(Pedidos!$E9=$T$5,Pedidos!$G9*$U$5,Pedidos!$E9=$T$6,Pedidos!$G9*$U$6,Pedidos!$E9=$T$7,Pedidos!$G9*$U$7,Pedidos!$E9=$T$8,Pedidos!$G9*$U$8,Pedidos!$E9=$T$9,Pedidos!$G9*$U$9,Pedidos!$E9=$T$10,Pedidos!$G9*$U$10,Pedidos!$E9=$T$11,Pedidos!$G9*$U$11,Pedidos!$E9=$T$12,Pedidos!$G9*$U$12,Pedidos!$E9=$T$13,Pedidos!$G9*$U$13,Pedidos!$E9=$T$14,Pedidos!$G9*$U$14,Pedidos!$E9=$T$15,Pedidos!$G9*$U$15,Pedidos!$E9=$T$15,Pedidos!$G9*$U$15,Pedidos!$E9=$T$16,Pedidos!$G9*$U$16,Pedidos!$E9=$T$17,Pedidos!$G9*$U$17,Pedidos!$E9=$T$18,Pedidos!$G9*$U$18,Pedidos!$E9=$T$20,Pedidos!$G9*$U$20,Pedidos!$E9=$T$21,Pedidos!$G9*$U$21,Pedidos!$E9=$T$22,Pedidos!$G9*$U$22,Pedidos!$E9=$T$23,Pedidos!$G9*$U$23,Pedidos!$E9=$T$24,Pedidos!$G9*$U$24,Pedidos!$E9=$T$25,Pedidos!$G9*$U$25,Pedidos!$E9=$T$26,Pedidos!$G9*$U$26,Pedidos!$E9=$T$27,Pedidos!$G9*$U$27,Pedidos!$E9=$T$28,Pedidos!$G9*$U$28,Pedidos!$E9=$T$29,Pedidos!$G9*$U$29,Pedidos!$E9=$T$31,Pedidos!$G9*$U$31,Pedidos!$E9=$T$32,Pedidos!$G9*$U$32,Pedidos!$E9=$T$33,Pedidos!$G9*$U$33,Pedidos!$E9=$T$34,Pedidos!$G9*$U$34,Pedidos!$E9=$T$35,Pedidos!$G9*$U$35,Pedidos!$E9=$T$36,Pedidos!$G9*$U$36,Pedidos!$E9=$T$37,Pedidos!$G9*$U$37,Pedidos!$E9=$T$38,Pedidos!$G9*$U$38,Pedidos!$E9=$T$40,Pedidos!$G9*$U$40,Pedidos!$E9=$T$41,Pedidos!$G9*$U$41,Pedidos!$E9=$T$42,Pedidos!$G9*$U$42,Pedidos!$E9=$T$43,Pedidos!$G9*$U$43,Pedidos!$E9=$T$44,Pedidos!$G9*$U$44,Pedidos!$E9=$T$45,Pedidos!$G9*$U$45,Pedidos!$E9=$T$46,Pedidos!$G9*$U$46,Pedidos!$E9=$T$47,Pedidos!$G9*$U$47,Pedidos!$E9=$T$48,Pedidos!$G9*$U$48,Pedidos!$E9=$T$49,Pedidos!$G9*$U$49,Pedidos!$E9=$T$50,Pedidos!$G9*$U$50,Pedidos!$E9=$T$51,Pedidos!$G9*$U$51,Pedidos!$E9=$T$52,Pedidos!$G9*$U$52,Pedidos!$E9=$T$53,Pedidos!$G9*$U$53,Pedidos!$E9=$T$54,Pedidos!$G9*$U$54,Pedidos!$E9=$T$55,Pedidos!$G9*$U$55,Pedidos!$E9=$T$56,Pedidos!$G9*$U$56,Pedidos!$E9=$T$57,Pedidos!$G9*$U$57,Pedidos!$E9=$T$58,Pedidos!$G9*$U$58,Pedidos!$E9=$T$59,Pedidos!$G9*$U$59,Pedidos!$E9=$T$60,Pedidos!$G9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9" s="72">
        <v>5</v>
      </c>
      <c r="J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9" s="72"/>
      <c r="L9" s="72">
        <v>5</v>
      </c>
      <c r="M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9" s="72">
        <v>5</v>
      </c>
      <c r="O9" s="73">
        <f>IFERROR(_xlfn.IFS(Pedidos!$E9=Clientes_Cadastrados!D8,Pedidos!$N9*Clientes_Cadastrados!K8,Pedidos!$E9=Clientes_Cadastrados!D9,Pedidos!$N9*Clientes_Cadastrados!K9,Pedidos!$E9=Clientes_Cadastrados!D10,Pedidos!$N9*Clientes_Cadastrados!K10,Pedidos!$E9=Clientes_Cadastrados!D11,Pedidos!$N9*Clientes_Cadastrados!K11,Pedidos!$E9=Clientes_Cadastrados!D12,Pedidos!$N9*Clientes_Cadastrados!K12,Pedidos!$E9=Clientes_Cadastrados!D13,Pedidos!$N9*Clientes_Cadastrados!K13,Pedidos!$E9=Clientes_Cadastrados!D14,Pedidos!$N9*Clientes_Cadastrados!K14,Pedidos!$E9=Clientes_Cadastrados!D15,Pedidos!$N9*Clientes_Cadastrados!K15,Pedidos!$E9=Clientes_Cadastrados!D16,Pedidos!$N9*Clientes_Cadastrados!K16,Pedidos!$E9=Clientes_Cadastrados!D17,Pedidos!$N9*Clientes_Cadastrados!K17,Pedidos!$E9=Clientes_Cadastrados!D18,Pedidos!$N9*Clientes_Cadastrados!K18,Pedidos!$E9=Clientes_Cadastrados!D19,Pedidos!$N9*Clientes_Cadastrados!K19,Pedidos!$E9=Clientes_Cadastrados!D20,Pedidos!$N9*Clientes_Cadastrados!K20,Pedidos!$E9=Clientes_Cadastrados!D21,Pedidos!$N9*Clientes_Cadastrados!K21,Pedidos!$E9=Clientes_Cadastrados!D22,Pedidos!$N9*Clientes_Cadastrados!K22,Pedidos!$E9=Clientes_Cadastrados!D23,Pedidos!$N9*Clientes_Cadastrados!K23,Pedidos!$E9=Clientes_Cadastrados!D24,Pedidos!$N9*Clientes_Cadastrados!K24,Pedidos!$E9=Clientes_Cadastrados!D25,Pedidos!$N9*Clientes_Cadastrados!K25,Pedidos!$E9=Clientes_Cadastrados!D27,Pedidos!$N9*Clientes_Cadastrados!K27,Pedidos!$E9=Clientes_Cadastrados!D28,Pedidos!$N9*Clientes_Cadastrados!K28,Pedidos!$E9=Clientes_Cadastrados!D29,Pedidos!$N9*Clientes_Cadastrados!K29,Pedidos!$E9=Clientes_Cadastrados!D30,Pedidos!$N9*Clientes_Cadastrados!K30,Pedidos!$E9=Clientes_Cadastrados!D31,Pedidos!$N9*Clientes_Cadastrados!K31,Pedidos!$E9=Clientes_Cadastrados!D32,Pedidos!$N9*Clientes_Cadastrados!K32,Pedidos!$E9=Clientes_Cadastrados!D33,Pedidos!$N9*Clientes_Cadastrados!K33,Pedidos!$E9=Clientes_Cadastrados!D34,Pedidos!$N9*Clientes_Cadastrados!K34,Pedidos!$E9=Clientes_Cadastrados!D35,Pedidos!$N9*Clientes_Cadastrados!K35,Pedidos!$E9=Clientes_Cadastrados!D36,Pedidos!$N9*Clientes_Cadastrados!K36,Pedidos!$E9=Clientes_Cadastrados!D37,Pedidos!$N9*Clientes_Cadastrados!K37,Pedidos!$E9=Clientes_Cadastrados!D38,Pedidos!$N9*Clientes_Cadastrados!K38,Pedidos!$E9=Clientes_Cadastrados!D39,Pedidos!$N9*Clientes_Cadastrados!K39,Pedidos!$E9=Clientes_Cadastrados!D40,Pedidos!$N9*Clientes_Cadastrados!K40,Pedidos!$E9=Clientes_Cadastrados!D41,Pedidos!$N9*Clientes_Cadastrados!K41,Pedidos!$E9=Clientes_Cadastrados!D42,Pedidos!$N9*Clientes_Cadastrados!K42,Pedidos!$E9=Clientes_Cadastrados!D43,Pedidos!$N9*Clientes_Cadastrados!K43,Pedidos!$E9=Clientes_Cadastrados!D44,Pedidos!$N9*Clientes_Cadastrados!K44,Pedidos!$E9=Clientes_Cadastrados!D45,Pedidos!$N9*Clientes_Cadastrados!K45,Pedidos!$E9=Clientes_Cadastrados!D46,Pedidos!$N9*Clientes_Cadastrados!K46,Pedidos!$E9=Clientes_Cadastrados!D47,Pedidos!$N9*Clientes_Cadastrados!K47,Pedidos!$E9=Clientes_Cadastrados!D48,Pedidos!$N9*Clientes_Cadastrados!K48,Pedidos!$E9=Clientes_Cadastrados!D49,Pedidos!$N9*Clientes_Cadastrados!K49,Pedidos!$E9=Clientes_Cadastrados!D50,Pedidos!$N9*Clientes_Cadastrados!K50,Pedidos!$E9=Clientes_Cadastrados!D51,Pedidos!$N9*Clientes_Cadastrados!K51,Pedidos!$E9=Clientes_Cadastrados!D52,Pedidos!$N9*Clientes_Cadastrados!K52,Pedidos!$E9=Clientes_Cadastrados!D53,Pedidos!$N9*Clientes_Cadastrados!K53,Pedidos!$E9=Clientes_Cadastrados!D54,Pedidos!$N9*Clientes_Cadastrados!K54,Pedidos!$E9=Clientes_Cadastrados!D55,Pedidos!$N9*Clientes_Cadastrados!K55,Pedidos!$E9=Clientes_Cadastrados!D56,Pedidos!$N9*Clientes_Cadastrados!K56,Pedidos!$E9=Clientes_Cadastrados!D57,Pedidos!$N9*Clientes_Cadastrados!K57,Pedidos!$E9=Clientes_Cadastrados!D58,Pedidos!$N9*Clientes_Cadastrados!K58,Pedidos!$E9=Clientes_Cadastrados!D59,Pedidos!$N9*Clientes_Cadastrados!K59,Pedidos!$E9=Clientes_Cadastrados!D60,Pedidos!$N9*Clientes_Cadastrados!K60,Pedidos!$E9=Clientes_Cadastrados!D61,Pedidos!$N9*Clientes_Cadastrados!K61,Pedidos!$E9=Clientes_Cadastrados!D62,Pedidos!$N9*Clientes_Cadastrados!K62,Pedidos!$E9=Clientes_Cadastrados!D63,Pedidos!$N9*Clientes_Cadastrados!K63,Pedidos!$E9=Clientes_Cadastrados!D64,Pedidos!$N9*Clientes_Cadastrados!K64)," 0")</f>
        <v>720</v>
      </c>
      <c r="P9" s="73">
        <f>Tabela2[[#This Row],[Preço 15kg]]+Tabela2[[#This Row],[Preço 5kg]]+Tabela2[[#This Row],[Preço Pele 12kg]]+O9</f>
        <v>2473.5</v>
      </c>
      <c r="R9" s="30"/>
      <c r="S9" s="5">
        <v>5</v>
      </c>
      <c r="T9" s="8" t="s">
        <v>70</v>
      </c>
      <c r="U9" s="2">
        <f>Clientes_Cadastrados!E10</f>
        <v>103.5</v>
      </c>
      <c r="V9" s="2">
        <f>Clientes_Cadastrados!F10</f>
        <v>34.5</v>
      </c>
      <c r="W9" s="30"/>
      <c r="X9" s="2">
        <f>Clientes_Cadastrados!J10</f>
        <v>82.800000000000011</v>
      </c>
      <c r="Y9" s="2">
        <f>Clientes_Cadastrados!K10</f>
        <v>62.1</v>
      </c>
      <c r="Z9" s="30"/>
    </row>
    <row r="10" spans="2:26" x14ac:dyDescent="0.25">
      <c r="C10" s="93"/>
      <c r="D10" s="74">
        <v>44870</v>
      </c>
      <c r="E10" s="8" t="s">
        <v>70</v>
      </c>
      <c r="F10" s="72">
        <f>Pedidos!$G10+Pedidos!$I10+Pedidos!$L10+Pedidos!$N10</f>
        <v>20</v>
      </c>
      <c r="G10" s="72">
        <v>5</v>
      </c>
      <c r="H10" s="73">
        <f>_xlfn.IFS(Pedidos!$E10=$T$5,Pedidos!$G10*$U$5,Pedidos!$E10=$T$6,Pedidos!$G10*$U$6,Pedidos!$E10=$T$7,Pedidos!$G10*$U$7,Pedidos!$E10=$T$8,Pedidos!$G10*$U$8,Pedidos!$E10=$T$9,Pedidos!$G10*$U$9,Pedidos!$E10=$T$10,Pedidos!$G10*$U$10,Pedidos!$E10=$T$11,Pedidos!$G10*$U$11,Pedidos!$E10=$T$12,Pedidos!$G10*$U$12,Pedidos!$E10=$T$13,Pedidos!$G10*$U$13,Pedidos!$E10=$T$14,Pedidos!$G10*$U$14,Pedidos!$E10=$T$15,Pedidos!$G10*$U$15,Pedidos!$E10=$T$15,Pedidos!$G10*$U$15,Pedidos!$E10=$T$16,Pedidos!$G10*$U$16,Pedidos!$E10=$T$17,Pedidos!$G10*$U$17,Pedidos!$E10=$T$18,Pedidos!$G10*$U$18,Pedidos!$E10=$T$20,Pedidos!$G10*$U$20,Pedidos!$E10=$T$21,Pedidos!$G10*$U$21,Pedidos!$E10=$T$22,Pedidos!$G10*$U$22,Pedidos!$E10=$T$23,Pedidos!$G10*$U$23,Pedidos!$E10=$T$24,Pedidos!$G10*$U$24,Pedidos!$E10=$T$25,Pedidos!$G10*$U$25,Pedidos!$E10=$T$26,Pedidos!$G10*$U$26,Pedidos!$E10=$T$27,Pedidos!$G10*$U$27,Pedidos!$E10=$T$28,Pedidos!$G10*$U$28,Pedidos!$E10=$T$29,Pedidos!$G10*$U$29,Pedidos!$E10=$T$31,Pedidos!$G10*$U$31,Pedidos!$E10=$T$32,Pedidos!$G10*$U$32,Pedidos!$E10=$T$33,Pedidos!$G10*$U$33,Pedidos!$E10=$T$34,Pedidos!$G10*$U$34,Pedidos!$E10=$T$35,Pedidos!$G10*$U$35,Pedidos!$E10=$T$36,Pedidos!$G10*$U$36,Pedidos!$E10=$T$37,Pedidos!$G10*$U$37,Pedidos!$E10=$T$38,Pedidos!$G10*$U$38,Pedidos!$E10=$T$40,Pedidos!$G10*$U$40,Pedidos!$E10=$T$41,Pedidos!$G10*$U$41,Pedidos!$E10=$T$42,Pedidos!$G10*$U$42,Pedidos!$E10=$T$43,Pedidos!$G10*$U$43,Pedidos!$E10=$T$44,Pedidos!$G10*$U$44,Pedidos!$E10=$T$45,Pedidos!$G10*$U$45,Pedidos!$E10=$T$46,Pedidos!$G10*$U$46,Pedidos!$E10=$T$47,Pedidos!$G10*$U$47,Pedidos!$E10=$T$48,Pedidos!$G10*$U$48,Pedidos!$E10=$T$49,Pedidos!$G10*$U$49,Pedidos!$E10=$T$50,Pedidos!$G10*$U$50,Pedidos!$E10=$T$51,Pedidos!$G10*$U$51,Pedidos!$E10=$T$52,Pedidos!$G10*$U$52,Pedidos!$E10=$T$53,Pedidos!$G10*$U$53,Pedidos!$E10=$T$54,Pedidos!$G10*$U$54,Pedidos!$E10=$T$55,Pedidos!$G10*$U$55,Pedidos!$E10=$T$56,Pedidos!$G10*$U$56,Pedidos!$E10=$T$57,Pedidos!$G10*$U$57,Pedidos!$E10=$T$58,Pedidos!$G10*$U$58,Pedidos!$E10=$T$59,Pedidos!$G10*$U$59,Pedidos!$E10=$T$60,Pedidos!$G10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0" s="72">
        <v>5</v>
      </c>
      <c r="J1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0" s="72"/>
      <c r="L10" s="72">
        <v>5</v>
      </c>
      <c r="M1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10" s="72">
        <v>5</v>
      </c>
      <c r="O10" s="73">
        <f>IFERROR(_xlfn.IFS(Pedidos!$E10=Clientes_Cadastrados!D9,Pedidos!$N10*Clientes_Cadastrados!K9,Pedidos!$E10=Clientes_Cadastrados!D10,Pedidos!$N10*Clientes_Cadastrados!K10,Pedidos!$E10=Clientes_Cadastrados!D11,Pedidos!$N10*Clientes_Cadastrados!K11,Pedidos!$E10=Clientes_Cadastrados!D12,Pedidos!$N10*Clientes_Cadastrados!K12,Pedidos!$E10=Clientes_Cadastrados!D13,Pedidos!$N10*Clientes_Cadastrados!K13,Pedidos!$E10=Clientes_Cadastrados!D14,Pedidos!$N10*Clientes_Cadastrados!K14,Pedidos!$E10=Clientes_Cadastrados!D15,Pedidos!$N10*Clientes_Cadastrados!K15,Pedidos!$E10=Clientes_Cadastrados!D16,Pedidos!$N10*Clientes_Cadastrados!K16,Pedidos!$E10=Clientes_Cadastrados!D17,Pedidos!$N10*Clientes_Cadastrados!K17,Pedidos!$E10=Clientes_Cadastrados!D18,Pedidos!$N10*Clientes_Cadastrados!K18,Pedidos!$E10=Clientes_Cadastrados!D19,Pedidos!$N10*Clientes_Cadastrados!K19,Pedidos!$E10=Clientes_Cadastrados!D20,Pedidos!$N10*Clientes_Cadastrados!K20,Pedidos!$E10=Clientes_Cadastrados!D21,Pedidos!$N10*Clientes_Cadastrados!K21,Pedidos!$E10=Clientes_Cadastrados!D22,Pedidos!$N10*Clientes_Cadastrados!K22,Pedidos!$E10=Clientes_Cadastrados!D23,Pedidos!$N10*Clientes_Cadastrados!K23,Pedidos!$E10=Clientes_Cadastrados!D24,Pedidos!$N10*Clientes_Cadastrados!K24,Pedidos!$E10=Clientes_Cadastrados!D25,Pedidos!$N10*Clientes_Cadastrados!K25,Pedidos!$E10=Clientes_Cadastrados!D26,Pedidos!$N10*Clientes_Cadastrados!K26,Pedidos!$E10=Clientes_Cadastrados!D28,Pedidos!$N10*Clientes_Cadastrados!K28,Pedidos!$E10=Clientes_Cadastrados!D29,Pedidos!$N10*Clientes_Cadastrados!K29,Pedidos!$E10=Clientes_Cadastrados!D30,Pedidos!$N10*Clientes_Cadastrados!K30,Pedidos!$E10=Clientes_Cadastrados!D31,Pedidos!$N10*Clientes_Cadastrados!K31,Pedidos!$E10=Clientes_Cadastrados!D32,Pedidos!$N10*Clientes_Cadastrados!K32,Pedidos!$E10=Clientes_Cadastrados!D33,Pedidos!$N10*Clientes_Cadastrados!K33,Pedidos!$E10=Clientes_Cadastrados!D34,Pedidos!$N10*Clientes_Cadastrados!K34,Pedidos!$E10=Clientes_Cadastrados!D35,Pedidos!$N10*Clientes_Cadastrados!K35,Pedidos!$E10=Clientes_Cadastrados!D36,Pedidos!$N10*Clientes_Cadastrados!K36,Pedidos!$E10=Clientes_Cadastrados!D37,Pedidos!$N10*Clientes_Cadastrados!K37,Pedidos!$E10=Clientes_Cadastrados!D38,Pedidos!$N10*Clientes_Cadastrados!K38,Pedidos!$E10=Clientes_Cadastrados!D39,Pedidos!$N10*Clientes_Cadastrados!K39,Pedidos!$E10=Clientes_Cadastrados!D40,Pedidos!$N10*Clientes_Cadastrados!K40,Pedidos!$E10=Clientes_Cadastrados!D41,Pedidos!$N10*Clientes_Cadastrados!K41,Pedidos!$E10=Clientes_Cadastrados!D42,Pedidos!$N10*Clientes_Cadastrados!K42,Pedidos!$E10=Clientes_Cadastrados!D43,Pedidos!$N10*Clientes_Cadastrados!K43,Pedidos!$E10=Clientes_Cadastrados!D44,Pedidos!$N10*Clientes_Cadastrados!K44,Pedidos!$E10=Clientes_Cadastrados!D45,Pedidos!$N10*Clientes_Cadastrados!K45,Pedidos!$E10=Clientes_Cadastrados!D46,Pedidos!$N10*Clientes_Cadastrados!K46,Pedidos!$E10=Clientes_Cadastrados!D47,Pedidos!$N10*Clientes_Cadastrados!K47,Pedidos!$E10=Clientes_Cadastrados!D48,Pedidos!$N10*Clientes_Cadastrados!K48,Pedidos!$E10=Clientes_Cadastrados!D49,Pedidos!$N10*Clientes_Cadastrados!K49,Pedidos!$E10=Clientes_Cadastrados!D50,Pedidos!$N10*Clientes_Cadastrados!K50,Pedidos!$E10=Clientes_Cadastrados!D51,Pedidos!$N10*Clientes_Cadastrados!K51,Pedidos!$E10=Clientes_Cadastrados!D52,Pedidos!$N10*Clientes_Cadastrados!K52,Pedidos!$E10=Clientes_Cadastrados!D53,Pedidos!$N10*Clientes_Cadastrados!K53,Pedidos!$E10=Clientes_Cadastrados!D54,Pedidos!$N10*Clientes_Cadastrados!K54,Pedidos!$E10=Clientes_Cadastrados!D55,Pedidos!$N10*Clientes_Cadastrados!K55,Pedidos!$E10=Clientes_Cadastrados!D56,Pedidos!$N10*Clientes_Cadastrados!K56,Pedidos!$E10=Clientes_Cadastrados!D57,Pedidos!$N10*Clientes_Cadastrados!K57,Pedidos!$E10=Clientes_Cadastrados!D58,Pedidos!$N10*Clientes_Cadastrados!K58,Pedidos!$E10=Clientes_Cadastrados!D59,Pedidos!$N10*Clientes_Cadastrados!K59,Pedidos!$E10=Clientes_Cadastrados!D60,Pedidos!$N10*Clientes_Cadastrados!K60,Pedidos!$E10=Clientes_Cadastrados!D61,Pedidos!$N10*Clientes_Cadastrados!K61,Pedidos!$E10=Clientes_Cadastrados!D62,Pedidos!$N10*Clientes_Cadastrados!K62,Pedidos!$E10=Clientes_Cadastrados!D63,Pedidos!$N10*Clientes_Cadastrados!K63,Pedidos!$E10=Clientes_Cadastrados!D64,Pedidos!$N10*Clientes_Cadastrados!K64,Pedidos!$E10=Clientes_Cadastrados!D65,Pedidos!$N10*Clientes_Cadastrados!K65)," 0")</f>
        <v>310.5</v>
      </c>
      <c r="P10" s="73">
        <f>Tabela2[[#This Row],[Preço 15kg]]+Tabela2[[#This Row],[Preço 5kg]]+Tabela2[[#This Row],[Preço Pele 12kg]]+O10</f>
        <v>1414.5</v>
      </c>
      <c r="R10" s="30"/>
      <c r="S10" s="5">
        <v>6</v>
      </c>
      <c r="T10" s="8" t="s">
        <v>71</v>
      </c>
      <c r="U10" s="2">
        <f>Clientes_Cadastrados!E11</f>
        <v>103.5</v>
      </c>
      <c r="V10" s="2">
        <f>Clientes_Cadastrados!F11</f>
        <v>34.5</v>
      </c>
      <c r="W10" s="30"/>
      <c r="X10" s="2">
        <f>Clientes_Cadastrados!J11</f>
        <v>192</v>
      </c>
      <c r="Y10" s="2">
        <f>Clientes_Cadastrados!K11</f>
        <v>144</v>
      </c>
      <c r="Z10" s="30"/>
    </row>
    <row r="11" spans="2:26" x14ac:dyDescent="0.25">
      <c r="C11" s="93"/>
      <c r="D11" s="75">
        <v>44871</v>
      </c>
      <c r="E11" s="8" t="s">
        <v>71</v>
      </c>
      <c r="F11" s="72">
        <f>Pedidos!$G11+Pedidos!$I11+Pedidos!$L11+Pedidos!$N11</f>
        <v>20</v>
      </c>
      <c r="G11" s="72">
        <v>5</v>
      </c>
      <c r="H11" s="73">
        <f>_xlfn.IFS(Pedidos!$E11=$T$5,Pedidos!$G11*$U$5,Pedidos!$E11=$T$6,Pedidos!$G11*$U$6,Pedidos!$E11=$T$7,Pedidos!$G11*$U$7,Pedidos!$E11=$T$8,Pedidos!$G11*$U$8,Pedidos!$E11=$T$9,Pedidos!$G11*$U$9,Pedidos!$E11=$T$10,Pedidos!$G11*$U$10,Pedidos!$E11=$T$11,Pedidos!$G11*$U$11,Pedidos!$E11=$T$12,Pedidos!$G11*$U$12,Pedidos!$E11=$T$13,Pedidos!$G11*$U$13,Pedidos!$E11=$T$14,Pedidos!$G11*$U$14,Pedidos!$E11=$T$15,Pedidos!$G11*$U$15,Pedidos!$E11=$T$15,Pedidos!$G11*$U$15,Pedidos!$E11=$T$16,Pedidos!$G11*$U$16,Pedidos!$E11=$T$17,Pedidos!$G11*$U$17,Pedidos!$E11=$T$18,Pedidos!$G11*$U$18,Pedidos!$E11=$T$20,Pedidos!$G11*$U$20,Pedidos!$E11=$T$21,Pedidos!$G11*$U$21,Pedidos!$E11=$T$22,Pedidos!$G11*$U$22,Pedidos!$E11=$T$23,Pedidos!$G11*$U$23,Pedidos!$E11=$T$24,Pedidos!$G11*$U$24,Pedidos!$E11=$T$25,Pedidos!$G11*$U$25,Pedidos!$E11=$T$26,Pedidos!$G11*$U$26,Pedidos!$E11=$T$27,Pedidos!$G11*$U$27,Pedidos!$E11=$T$28,Pedidos!$G11*$U$28,Pedidos!$E11=$T$29,Pedidos!$G11*$U$29,Pedidos!$E11=$T$31,Pedidos!$G11*$U$31,Pedidos!$E11=$T$32,Pedidos!$G11*$U$32,Pedidos!$E11=$T$33,Pedidos!$G11*$U$33,Pedidos!$E11=$T$34,Pedidos!$G11*$U$34,Pedidos!$E11=$T$35,Pedidos!$G11*$U$35,Pedidos!$E11=$T$36,Pedidos!$G11*$U$36,Pedidos!$E11=$T$37,Pedidos!$G11*$U$37,Pedidos!$E11=$T$38,Pedidos!$G11*$U$38,Pedidos!$E11=$T$40,Pedidos!$G11*$U$40,Pedidos!$E11=$T$41,Pedidos!$G11*$U$41,Pedidos!$E11=$T$42,Pedidos!$G11*$U$42,Pedidos!$E11=$T$43,Pedidos!$G11*$U$43,Pedidos!$E11=$T$44,Pedidos!$G11*$U$44,Pedidos!$E11=$T$45,Pedidos!$G11*$U$45,Pedidos!$E11=$T$46,Pedidos!$G11*$U$46,Pedidos!$E11=$T$47,Pedidos!$G11*$U$47,Pedidos!$E11=$T$48,Pedidos!$G11*$U$48,Pedidos!$E11=$T$49,Pedidos!$G11*$U$49,Pedidos!$E11=$T$50,Pedidos!$G11*$U$50,Pedidos!$E11=$T$51,Pedidos!$G11*$U$51,Pedidos!$E11=$T$52,Pedidos!$G11*$U$52,Pedidos!$E11=$T$53,Pedidos!$G11*$U$53,Pedidos!$E11=$T$54,Pedidos!$G11*$U$54,Pedidos!$E11=$T$55,Pedidos!$G11*$U$55,Pedidos!$E11=$T$56,Pedidos!$G11*$U$56,Pedidos!$E11=$T$57,Pedidos!$G11*$U$57,Pedidos!$E11=$T$58,Pedidos!$G11*$U$58,Pedidos!$E11=$T$59,Pedidos!$G11*$U$59,Pedidos!$E11=$T$60,Pedidos!$G11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1" s="72">
        <v>5</v>
      </c>
      <c r="J1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1" s="72"/>
      <c r="L11" s="72">
        <v>5</v>
      </c>
      <c r="M1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11" s="72">
        <v>5</v>
      </c>
      <c r="O11" s="73">
        <f>IFERROR(_xlfn.IFS(Pedidos!$E11=Clientes_Cadastrados!D10,Pedidos!$N11*Clientes_Cadastrados!K10,Pedidos!$E11=Clientes_Cadastrados!D11,Pedidos!$N11*Clientes_Cadastrados!K11,Pedidos!$E11=Clientes_Cadastrados!D12,Pedidos!$N11*Clientes_Cadastrados!K12,Pedidos!$E11=Clientes_Cadastrados!D13,Pedidos!$N11*Clientes_Cadastrados!K13,Pedidos!$E11=Clientes_Cadastrados!D14,Pedidos!$N11*Clientes_Cadastrados!K14,Pedidos!$E11=Clientes_Cadastrados!D15,Pedidos!$N11*Clientes_Cadastrados!K15,Pedidos!$E11=Clientes_Cadastrados!D16,Pedidos!$N11*Clientes_Cadastrados!K16,Pedidos!$E11=Clientes_Cadastrados!D17,Pedidos!$N11*Clientes_Cadastrados!K17,Pedidos!$E11=Clientes_Cadastrados!D18,Pedidos!$N11*Clientes_Cadastrados!K18,Pedidos!$E11=Clientes_Cadastrados!D19,Pedidos!$N11*Clientes_Cadastrados!K19,Pedidos!$E11=Clientes_Cadastrados!D20,Pedidos!$N11*Clientes_Cadastrados!K20,Pedidos!$E11=Clientes_Cadastrados!D21,Pedidos!$N11*Clientes_Cadastrados!K21,Pedidos!$E11=Clientes_Cadastrados!D22,Pedidos!$N11*Clientes_Cadastrados!K22,Pedidos!$E11=Clientes_Cadastrados!D23,Pedidos!$N11*Clientes_Cadastrados!K23,Pedidos!$E11=Clientes_Cadastrados!D24,Pedidos!$N11*Clientes_Cadastrados!K24,Pedidos!$E11=Clientes_Cadastrados!D25,Pedidos!$N11*Clientes_Cadastrados!K25,Pedidos!$E11=Clientes_Cadastrados!D26,Pedidos!$N11*Clientes_Cadastrados!K26,Pedidos!$E11=Clientes_Cadastrados!D27,Pedidos!$N11*Clientes_Cadastrados!K27,Pedidos!$E11=Clientes_Cadastrados!D29,Pedidos!$N11*Clientes_Cadastrados!K29,Pedidos!$E11=Clientes_Cadastrados!D30,Pedidos!$N11*Clientes_Cadastrados!K30,Pedidos!$E11=Clientes_Cadastrados!D31,Pedidos!$N11*Clientes_Cadastrados!K31,Pedidos!$E11=Clientes_Cadastrados!D32,Pedidos!$N11*Clientes_Cadastrados!K32,Pedidos!$E11=Clientes_Cadastrados!D33,Pedidos!$N11*Clientes_Cadastrados!K33,Pedidos!$E11=Clientes_Cadastrados!D34,Pedidos!$N11*Clientes_Cadastrados!K34,Pedidos!$E11=Clientes_Cadastrados!D35,Pedidos!$N11*Clientes_Cadastrados!K35,Pedidos!$E11=Clientes_Cadastrados!D36,Pedidos!$N11*Clientes_Cadastrados!K36,Pedidos!$E11=Clientes_Cadastrados!D37,Pedidos!$N11*Clientes_Cadastrados!K37,Pedidos!$E11=Clientes_Cadastrados!D38,Pedidos!$N11*Clientes_Cadastrados!K38,Pedidos!$E11=Clientes_Cadastrados!D39,Pedidos!$N11*Clientes_Cadastrados!K39,Pedidos!$E11=Clientes_Cadastrados!D40,Pedidos!$N11*Clientes_Cadastrados!K40,Pedidos!$E11=Clientes_Cadastrados!D41,Pedidos!$N11*Clientes_Cadastrados!K41,Pedidos!$E11=Clientes_Cadastrados!D42,Pedidos!$N11*Clientes_Cadastrados!K42,Pedidos!$E11=Clientes_Cadastrados!D43,Pedidos!$N11*Clientes_Cadastrados!K43,Pedidos!$E11=Clientes_Cadastrados!D44,Pedidos!$N11*Clientes_Cadastrados!K44,Pedidos!$E11=Clientes_Cadastrados!D45,Pedidos!$N11*Clientes_Cadastrados!K45,Pedidos!$E11=Clientes_Cadastrados!D46,Pedidos!$N11*Clientes_Cadastrados!K46,Pedidos!$E11=Clientes_Cadastrados!D47,Pedidos!$N11*Clientes_Cadastrados!K47,Pedidos!$E11=Clientes_Cadastrados!D48,Pedidos!$N11*Clientes_Cadastrados!K48,Pedidos!$E11=Clientes_Cadastrados!D49,Pedidos!$N11*Clientes_Cadastrados!K49,Pedidos!$E11=Clientes_Cadastrados!D50,Pedidos!$N11*Clientes_Cadastrados!K50,Pedidos!$E11=Clientes_Cadastrados!D51,Pedidos!$N11*Clientes_Cadastrados!K51,Pedidos!$E11=Clientes_Cadastrados!D52,Pedidos!$N11*Clientes_Cadastrados!K52,Pedidos!$E11=Clientes_Cadastrados!D53,Pedidos!$N11*Clientes_Cadastrados!K53,Pedidos!$E11=Clientes_Cadastrados!D54,Pedidos!$N11*Clientes_Cadastrados!K54,Pedidos!$E11=Clientes_Cadastrados!D55,Pedidos!$N11*Clientes_Cadastrados!K55,Pedidos!$E11=Clientes_Cadastrados!D56,Pedidos!$N11*Clientes_Cadastrados!K56,Pedidos!$E11=Clientes_Cadastrados!D57,Pedidos!$N11*Clientes_Cadastrados!K57,Pedidos!$E11=Clientes_Cadastrados!D58,Pedidos!$N11*Clientes_Cadastrados!K58,Pedidos!$E11=Clientes_Cadastrados!D59,Pedidos!$N11*Clientes_Cadastrados!K59,Pedidos!$E11=Clientes_Cadastrados!D60,Pedidos!$N11*Clientes_Cadastrados!K60,Pedidos!$E11=Clientes_Cadastrados!D61,Pedidos!$N11*Clientes_Cadastrados!K61,Pedidos!$E11=Clientes_Cadastrados!D62,Pedidos!$N11*Clientes_Cadastrados!K62,Pedidos!$E11=Clientes_Cadastrados!D63,Pedidos!$N11*Clientes_Cadastrados!K63,Pedidos!$E11=Clientes_Cadastrados!D64,Pedidos!$N11*Clientes_Cadastrados!K64,Pedidos!$E11=Clientes_Cadastrados!D65,Pedidos!$N11*Clientes_Cadastrados!K65,Pedidos!$E11=Clientes_Cadastrados!D66,Pedidos!$N11*Clientes_Cadastrados!K66)," 0")</f>
        <v>720</v>
      </c>
      <c r="P11" s="73">
        <f>Tabela2[[#This Row],[Preço 15kg]]+Tabela2[[#This Row],[Preço 5kg]]+Tabela2[[#This Row],[Preço Pele 12kg]]+O11</f>
        <v>2370</v>
      </c>
      <c r="R11" s="30"/>
      <c r="S11" s="5">
        <v>7</v>
      </c>
      <c r="T11" s="8" t="s">
        <v>72</v>
      </c>
      <c r="U11" s="2">
        <f>Clientes_Cadastrados!E12</f>
        <v>236.25</v>
      </c>
      <c r="V11" s="2">
        <f>Clientes_Cadastrados!F12</f>
        <v>78.75</v>
      </c>
      <c r="W11" s="30"/>
      <c r="X11" s="2">
        <f>Clientes_Cadastrados!J12</f>
        <v>25.200000000000003</v>
      </c>
      <c r="Y11" s="2">
        <f>Clientes_Cadastrados!K12</f>
        <v>18.900000000000002</v>
      </c>
      <c r="Z11" s="30"/>
    </row>
    <row r="12" spans="2:26" x14ac:dyDescent="0.25">
      <c r="C12" s="93"/>
      <c r="D12" s="74">
        <v>44872</v>
      </c>
      <c r="E12" s="8" t="s">
        <v>72</v>
      </c>
      <c r="F12" s="72">
        <f>Pedidos!$G12+Pedidos!$I12+Pedidos!$L12+Pedidos!$N12</f>
        <v>20</v>
      </c>
      <c r="G12" s="72">
        <v>5</v>
      </c>
      <c r="H12" s="73">
        <f>_xlfn.IFS(Pedidos!$E12=$T$5,Pedidos!$G12*$U$5,Pedidos!$E12=$T$6,Pedidos!$G12*$U$6,Pedidos!$E12=$T$7,Pedidos!$G12*$U$7,Pedidos!$E12=$T$8,Pedidos!$G12*$U$8,Pedidos!$E12=$T$9,Pedidos!$G12*$U$9,Pedidos!$E12=$T$10,Pedidos!$G12*$U$10,Pedidos!$E12=$T$11,Pedidos!$G12*$U$11,Pedidos!$E12=$T$12,Pedidos!$G12*$U$12,Pedidos!$E12=$T$13,Pedidos!$G12*$U$13,Pedidos!$E12=$T$14,Pedidos!$G12*$U$14,Pedidos!$E12=$T$15,Pedidos!$G12*$U$15,Pedidos!$E12=$T$15,Pedidos!$G12*$U$15,Pedidos!$E12=$T$16,Pedidos!$G12*$U$16,Pedidos!$E12=$T$17,Pedidos!$G12*$U$17,Pedidos!$E12=$T$18,Pedidos!$G12*$U$18,Pedidos!$E12=$T$20,Pedidos!$G12*$U$20,Pedidos!$E12=$T$21,Pedidos!$G12*$U$21,Pedidos!$E12=$T$22,Pedidos!$G12*$U$22,Pedidos!$E12=$T$23,Pedidos!$G12*$U$23,Pedidos!$E12=$T$24,Pedidos!$G12*$U$24,Pedidos!$E12=$T$25,Pedidos!$G12*$U$25,Pedidos!$E12=$T$26,Pedidos!$G12*$U$26,Pedidos!$E12=$T$27,Pedidos!$G12*$U$27,Pedidos!$E12=$T$28,Pedidos!$G12*$U$28,Pedidos!$E12=$T$29,Pedidos!$G12*$U$29,Pedidos!$E12=$T$31,Pedidos!$G12*$U$31,Pedidos!$E12=$T$32,Pedidos!$G12*$U$32,Pedidos!$E12=$T$33,Pedidos!$G12*$U$33,Pedidos!$E12=$T$34,Pedidos!$G12*$U$34,Pedidos!$E12=$T$35,Pedidos!$G12*$U$35,Pedidos!$E12=$T$36,Pedidos!$G12*$U$36,Pedidos!$E12=$T$37,Pedidos!$G12*$U$37,Pedidos!$E12=$T$38,Pedidos!$G12*$U$38,Pedidos!$E12=$T$40,Pedidos!$G12*$U$40,Pedidos!$E12=$T$41,Pedidos!$G12*$U$41,Pedidos!$E12=$T$42,Pedidos!$G12*$U$42,Pedidos!$E12=$T$43,Pedidos!$G12*$U$43,Pedidos!$E12=$T$44,Pedidos!$G12*$U$44,Pedidos!$E12=$T$45,Pedidos!$G12*$U$45,Pedidos!$E12=$T$46,Pedidos!$G12*$U$46,Pedidos!$E12=$T$47,Pedidos!$G12*$U$47,Pedidos!$E12=$T$48,Pedidos!$G12*$U$48,Pedidos!$E12=$T$49,Pedidos!$G12*$U$49,Pedidos!$E12=$T$50,Pedidos!$G12*$U$50,Pedidos!$E12=$T$51,Pedidos!$G12*$U$51,Pedidos!$E12=$T$52,Pedidos!$G12*$U$52,Pedidos!$E12=$T$53,Pedidos!$G12*$U$53,Pedidos!$E12=$T$54,Pedidos!$G12*$U$54,Pedidos!$E12=$T$55,Pedidos!$G12*$U$55,Pedidos!$E12=$T$56,Pedidos!$G12*$U$56,Pedidos!$E12=$T$57,Pedidos!$G12*$U$57,Pedidos!$E12=$T$58,Pedidos!$G12*$U$58,Pedidos!$E12=$T$59,Pedidos!$G12*$U$59,Pedidos!$E12=$T$60,Pedidos!$G12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12" s="72">
        <v>5</v>
      </c>
      <c r="J1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12" s="72"/>
      <c r="L12" s="72">
        <v>5</v>
      </c>
      <c r="M1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2" s="72">
        <v>5</v>
      </c>
      <c r="O12" s="73">
        <f>IFERROR(_xlfn.IFS(Pedidos!$E12=Clientes_Cadastrados!D11,Pedidos!$N12*Clientes_Cadastrados!K11,Pedidos!$E12=Clientes_Cadastrados!D12,Pedidos!$N12*Clientes_Cadastrados!K12,Pedidos!$E12=Clientes_Cadastrados!D13,Pedidos!$N12*Clientes_Cadastrados!K13,Pedidos!$E12=Clientes_Cadastrados!D14,Pedidos!$N12*Clientes_Cadastrados!K14,Pedidos!$E12=Clientes_Cadastrados!D15,Pedidos!$N12*Clientes_Cadastrados!K15,Pedidos!$E12=Clientes_Cadastrados!D16,Pedidos!$N12*Clientes_Cadastrados!K16,Pedidos!$E12=Clientes_Cadastrados!D17,Pedidos!$N12*Clientes_Cadastrados!K17,Pedidos!$E12=Clientes_Cadastrados!D18,Pedidos!$N12*Clientes_Cadastrados!K18,Pedidos!$E12=Clientes_Cadastrados!D19,Pedidos!$N12*Clientes_Cadastrados!K19,Pedidos!$E12=Clientes_Cadastrados!D20,Pedidos!$N12*Clientes_Cadastrados!K20,Pedidos!$E12=Clientes_Cadastrados!D21,Pedidos!$N12*Clientes_Cadastrados!K21,Pedidos!$E12=Clientes_Cadastrados!D22,Pedidos!$N12*Clientes_Cadastrados!K22,Pedidos!$E12=Clientes_Cadastrados!D23,Pedidos!$N12*Clientes_Cadastrados!K23,Pedidos!$E12=Clientes_Cadastrados!D24,Pedidos!$N12*Clientes_Cadastrados!K24,Pedidos!$E12=Clientes_Cadastrados!D25,Pedidos!$N12*Clientes_Cadastrados!K25,Pedidos!$E12=Clientes_Cadastrados!D26,Pedidos!$N12*Clientes_Cadastrados!K26,Pedidos!$E12=Clientes_Cadastrados!D27,Pedidos!$N12*Clientes_Cadastrados!K27,Pedidos!$E12=Clientes_Cadastrados!D28,Pedidos!$N12*Clientes_Cadastrados!K28,Pedidos!$E12=Clientes_Cadastrados!D30,Pedidos!$N12*Clientes_Cadastrados!K30,Pedidos!$E12=Clientes_Cadastrados!D31,Pedidos!$N12*Clientes_Cadastrados!K31,Pedidos!$E12=Clientes_Cadastrados!D32,Pedidos!$N12*Clientes_Cadastrados!K32,Pedidos!$E12=Clientes_Cadastrados!D33,Pedidos!$N12*Clientes_Cadastrados!K33,Pedidos!$E12=Clientes_Cadastrados!D34,Pedidos!$N12*Clientes_Cadastrados!K34,Pedidos!$E12=Clientes_Cadastrados!D35,Pedidos!$N12*Clientes_Cadastrados!K35,Pedidos!$E12=Clientes_Cadastrados!D36,Pedidos!$N12*Clientes_Cadastrados!K36,Pedidos!$E12=Clientes_Cadastrados!D37,Pedidos!$N12*Clientes_Cadastrados!K37,Pedidos!$E12=Clientes_Cadastrados!D38,Pedidos!$N12*Clientes_Cadastrados!K38,Pedidos!$E12=Clientes_Cadastrados!D39,Pedidos!$N12*Clientes_Cadastrados!K39,Pedidos!$E12=Clientes_Cadastrados!D40,Pedidos!$N12*Clientes_Cadastrados!K40,Pedidos!$E12=Clientes_Cadastrados!D41,Pedidos!$N12*Clientes_Cadastrados!K41,Pedidos!$E12=Clientes_Cadastrados!D42,Pedidos!$N12*Clientes_Cadastrados!K42,Pedidos!$E12=Clientes_Cadastrados!D43,Pedidos!$N12*Clientes_Cadastrados!K43,Pedidos!$E12=Clientes_Cadastrados!D44,Pedidos!$N12*Clientes_Cadastrados!K44,Pedidos!$E12=Clientes_Cadastrados!D45,Pedidos!$N12*Clientes_Cadastrados!K45,Pedidos!$E12=Clientes_Cadastrados!D46,Pedidos!$N12*Clientes_Cadastrados!K46,Pedidos!$E12=Clientes_Cadastrados!D47,Pedidos!$N12*Clientes_Cadastrados!K47,Pedidos!$E12=Clientes_Cadastrados!D48,Pedidos!$N12*Clientes_Cadastrados!K48,Pedidos!$E12=Clientes_Cadastrados!D49,Pedidos!$N12*Clientes_Cadastrados!K49,Pedidos!$E12=Clientes_Cadastrados!D50,Pedidos!$N12*Clientes_Cadastrados!K50,Pedidos!$E12=Clientes_Cadastrados!D51,Pedidos!$N12*Clientes_Cadastrados!K51,Pedidos!$E12=Clientes_Cadastrados!D52,Pedidos!$N12*Clientes_Cadastrados!K52,Pedidos!$E12=Clientes_Cadastrados!D53,Pedidos!$N12*Clientes_Cadastrados!K53,Pedidos!$E12=Clientes_Cadastrados!D54,Pedidos!$N12*Clientes_Cadastrados!K54,Pedidos!$E12=Clientes_Cadastrados!D55,Pedidos!$N12*Clientes_Cadastrados!K55,Pedidos!$E12=Clientes_Cadastrados!D56,Pedidos!$N12*Clientes_Cadastrados!K56,Pedidos!$E12=Clientes_Cadastrados!D57,Pedidos!$N12*Clientes_Cadastrados!K57,Pedidos!$E12=Clientes_Cadastrados!D58,Pedidos!$N12*Clientes_Cadastrados!K58,Pedidos!$E12=Clientes_Cadastrados!D59,Pedidos!$N12*Clientes_Cadastrados!K59,Pedidos!$E12=Clientes_Cadastrados!D60,Pedidos!$N12*Clientes_Cadastrados!K60,Pedidos!$E12=Clientes_Cadastrados!D61,Pedidos!$N12*Clientes_Cadastrados!K61,Pedidos!$E12=Clientes_Cadastrados!D62,Pedidos!$N12*Clientes_Cadastrados!K62,Pedidos!$E12=Clientes_Cadastrados!D63,Pedidos!$N12*Clientes_Cadastrados!K63,Pedidos!$E12=Clientes_Cadastrados!D64,Pedidos!$N12*Clientes_Cadastrados!K64,Pedidos!$E12=Clientes_Cadastrados!D65,Pedidos!$N12*Clientes_Cadastrados!K65,Pedidos!$E12=Clientes_Cadastrados!D66,Pedidos!$N12*Clientes_Cadastrados!K66,Pedidos!$E12=Clientes_Cadastrados!D67,Pedidos!$N12*Clientes_Cadastrados!K67)," 0")</f>
        <v>94.500000000000014</v>
      </c>
      <c r="P12" s="73">
        <f>Tabela2[[#This Row],[Preço 15kg]]+Tabela2[[#This Row],[Preço 5kg]]+Tabela2[[#This Row],[Preço Pele 12kg]]+O12</f>
        <v>1795.5</v>
      </c>
      <c r="R12" s="30"/>
      <c r="S12" s="5">
        <v>8</v>
      </c>
      <c r="T12" s="8" t="s">
        <v>73</v>
      </c>
      <c r="U12" s="2">
        <f>Clientes_Cadastrados!E13</f>
        <v>31.5</v>
      </c>
      <c r="V12" s="2">
        <f>Clientes_Cadastrados!F13</f>
        <v>10.5</v>
      </c>
      <c r="W12" s="30"/>
      <c r="X12" s="2">
        <f>Clientes_Cadastrados!J13</f>
        <v>25.200000000000003</v>
      </c>
      <c r="Y12" s="2">
        <f>Clientes_Cadastrados!K13</f>
        <v>18.900000000000002</v>
      </c>
      <c r="Z12" s="30"/>
    </row>
    <row r="13" spans="2:26" x14ac:dyDescent="0.25">
      <c r="C13" s="93"/>
      <c r="D13" s="75">
        <v>44873</v>
      </c>
      <c r="E13" s="8" t="s">
        <v>73</v>
      </c>
      <c r="F13" s="72">
        <f>Pedidos!$G13+Pedidos!$I13+Pedidos!$L13+Pedidos!$N13</f>
        <v>20</v>
      </c>
      <c r="G13" s="72">
        <v>5</v>
      </c>
      <c r="H13" s="73">
        <f>_xlfn.IFS(Pedidos!$E13=$T$5,Pedidos!$G13*$U$5,Pedidos!$E13=$T$6,Pedidos!$G13*$U$6,Pedidos!$E13=$T$7,Pedidos!$G13*$U$7,Pedidos!$E13=$T$8,Pedidos!$G13*$U$8,Pedidos!$E13=$T$9,Pedidos!$G13*$U$9,Pedidos!$E13=$T$10,Pedidos!$G13*$U$10,Pedidos!$E13=$T$11,Pedidos!$G13*$U$11,Pedidos!$E13=$T$12,Pedidos!$G13*$U$12,Pedidos!$E13=$T$13,Pedidos!$G13*$U$13,Pedidos!$E13=$T$14,Pedidos!$G13*$U$14,Pedidos!$E13=$T$15,Pedidos!$G13*$U$15,Pedidos!$E13=$T$15,Pedidos!$G13*$U$15,Pedidos!$E13=$T$16,Pedidos!$G13*$U$16,Pedidos!$E13=$T$17,Pedidos!$G13*$U$17,Pedidos!$E13=$T$18,Pedidos!$G13*$U$18,Pedidos!$E13=$T$20,Pedidos!$G13*$U$20,Pedidos!$E13=$T$21,Pedidos!$G13*$U$21,Pedidos!$E13=$T$22,Pedidos!$G13*$U$22,Pedidos!$E13=$T$23,Pedidos!$G13*$U$23,Pedidos!$E13=$T$24,Pedidos!$G13*$U$24,Pedidos!$E13=$T$25,Pedidos!$G13*$U$25,Pedidos!$E13=$T$26,Pedidos!$G13*$U$26,Pedidos!$E13=$T$27,Pedidos!$G13*$U$27,Pedidos!$E13=$T$28,Pedidos!$G13*$U$28,Pedidos!$E13=$T$29,Pedidos!$G13*$U$29,Pedidos!$E13=$T$31,Pedidos!$G13*$U$31,Pedidos!$E13=$T$32,Pedidos!$G13*$U$32,Pedidos!$E13=$T$33,Pedidos!$G13*$U$33,Pedidos!$E13=$T$34,Pedidos!$G13*$U$34,Pedidos!$E13=$T$35,Pedidos!$G13*$U$35,Pedidos!$E13=$T$36,Pedidos!$G13*$U$36,Pedidos!$E13=$T$37,Pedidos!$G13*$U$37,Pedidos!$E13=$T$38,Pedidos!$G13*$U$38,Pedidos!$E13=$T$40,Pedidos!$G13*$U$40,Pedidos!$E13=$T$41,Pedidos!$G13*$U$41,Pedidos!$E13=$T$42,Pedidos!$G13*$U$42,Pedidos!$E13=$T$43,Pedidos!$G13*$U$43,Pedidos!$E13=$T$44,Pedidos!$G13*$U$44,Pedidos!$E13=$T$45,Pedidos!$G13*$U$45,Pedidos!$E13=$T$46,Pedidos!$G13*$U$46,Pedidos!$E13=$T$47,Pedidos!$G13*$U$47,Pedidos!$E13=$T$48,Pedidos!$G13*$U$48,Pedidos!$E13=$T$49,Pedidos!$G13*$U$49,Pedidos!$E13=$T$50,Pedidos!$G13*$U$50,Pedidos!$E13=$T$51,Pedidos!$G13*$U$51,Pedidos!$E13=$T$52,Pedidos!$G13*$U$52,Pedidos!$E13=$T$53,Pedidos!$G13*$U$53,Pedidos!$E13=$T$54,Pedidos!$G13*$U$54,Pedidos!$E13=$T$55,Pedidos!$G13*$U$55,Pedidos!$E13=$T$56,Pedidos!$G13*$U$56,Pedidos!$E13=$T$57,Pedidos!$G13*$U$57,Pedidos!$E13=$T$58,Pedidos!$G13*$U$58,Pedidos!$E13=$T$59,Pedidos!$G13*$U$59,Pedidos!$E13=$T$60,Pedidos!$G13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13" s="72">
        <v>5</v>
      </c>
      <c r="J1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13" s="72"/>
      <c r="L13" s="72">
        <v>5</v>
      </c>
      <c r="M1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3" s="72">
        <v>5</v>
      </c>
      <c r="O13" s="73">
        <f>IFERROR(_xlfn.IFS(Pedidos!$E13=Clientes_Cadastrados!D12,Pedidos!$N13*Clientes_Cadastrados!K12,Pedidos!$E13=Clientes_Cadastrados!D13,Pedidos!$N13*Clientes_Cadastrados!K13,Pedidos!$E13=Clientes_Cadastrados!D14,Pedidos!$N13*Clientes_Cadastrados!K14,Pedidos!$E13=Clientes_Cadastrados!D15,Pedidos!$N13*Clientes_Cadastrados!K15,Pedidos!$E13=Clientes_Cadastrados!D16,Pedidos!$N13*Clientes_Cadastrados!K16,Pedidos!$E13=Clientes_Cadastrados!D17,Pedidos!$N13*Clientes_Cadastrados!K17,Pedidos!$E13=Clientes_Cadastrados!D18,Pedidos!$N13*Clientes_Cadastrados!K18,Pedidos!$E13=Clientes_Cadastrados!D19,Pedidos!$N13*Clientes_Cadastrados!K19,Pedidos!$E13=Clientes_Cadastrados!D20,Pedidos!$N13*Clientes_Cadastrados!K20,Pedidos!$E13=Clientes_Cadastrados!D21,Pedidos!$N13*Clientes_Cadastrados!K21,Pedidos!$E13=Clientes_Cadastrados!D22,Pedidos!$N13*Clientes_Cadastrados!K22,Pedidos!$E13=Clientes_Cadastrados!D23,Pedidos!$N13*Clientes_Cadastrados!K23,Pedidos!$E13=Clientes_Cadastrados!D24,Pedidos!$N13*Clientes_Cadastrados!K24,Pedidos!$E13=Clientes_Cadastrados!D25,Pedidos!$N13*Clientes_Cadastrados!K25,Pedidos!$E13=Clientes_Cadastrados!D26,Pedidos!$N13*Clientes_Cadastrados!K26,Pedidos!$E13=Clientes_Cadastrados!D27,Pedidos!$N13*Clientes_Cadastrados!K27,Pedidos!$E13=Clientes_Cadastrados!D28,Pedidos!$N13*Clientes_Cadastrados!K28,Pedidos!$E13=Clientes_Cadastrados!D29,Pedidos!$N13*Clientes_Cadastrados!K29,Pedidos!$E13=Clientes_Cadastrados!D31,Pedidos!$N13*Clientes_Cadastrados!K31,Pedidos!$E13=Clientes_Cadastrados!D32,Pedidos!$N13*Clientes_Cadastrados!K32,Pedidos!$E13=Clientes_Cadastrados!D33,Pedidos!$N13*Clientes_Cadastrados!K33,Pedidos!$E13=Clientes_Cadastrados!D34,Pedidos!$N13*Clientes_Cadastrados!K34,Pedidos!$E13=Clientes_Cadastrados!D35,Pedidos!$N13*Clientes_Cadastrados!K35,Pedidos!$E13=Clientes_Cadastrados!D36,Pedidos!$N13*Clientes_Cadastrados!K36,Pedidos!$E13=Clientes_Cadastrados!D37,Pedidos!$N13*Clientes_Cadastrados!K37,Pedidos!$E13=Clientes_Cadastrados!D38,Pedidos!$N13*Clientes_Cadastrados!K38,Pedidos!$E13=Clientes_Cadastrados!D39,Pedidos!$N13*Clientes_Cadastrados!K39,Pedidos!$E13=Clientes_Cadastrados!D40,Pedidos!$N13*Clientes_Cadastrados!K40,Pedidos!$E13=Clientes_Cadastrados!D41,Pedidos!$N13*Clientes_Cadastrados!K41,Pedidos!$E13=Clientes_Cadastrados!D42,Pedidos!$N13*Clientes_Cadastrados!K42,Pedidos!$E13=Clientes_Cadastrados!D43,Pedidos!$N13*Clientes_Cadastrados!K43,Pedidos!$E13=Clientes_Cadastrados!D44,Pedidos!$N13*Clientes_Cadastrados!K44,Pedidos!$E13=Clientes_Cadastrados!D45,Pedidos!$N13*Clientes_Cadastrados!K45,Pedidos!$E13=Clientes_Cadastrados!D46,Pedidos!$N13*Clientes_Cadastrados!K46,Pedidos!$E13=Clientes_Cadastrados!D47,Pedidos!$N13*Clientes_Cadastrados!K47,Pedidos!$E13=Clientes_Cadastrados!D48,Pedidos!$N13*Clientes_Cadastrados!K48,Pedidos!$E13=Clientes_Cadastrados!D49,Pedidos!$N13*Clientes_Cadastrados!K49,Pedidos!$E13=Clientes_Cadastrados!D50,Pedidos!$N13*Clientes_Cadastrados!K50,Pedidos!$E13=Clientes_Cadastrados!D51,Pedidos!$N13*Clientes_Cadastrados!K51,Pedidos!$E13=Clientes_Cadastrados!D52,Pedidos!$N13*Clientes_Cadastrados!K52,Pedidos!$E13=Clientes_Cadastrados!D53,Pedidos!$N13*Clientes_Cadastrados!K53,Pedidos!$E13=Clientes_Cadastrados!D54,Pedidos!$N13*Clientes_Cadastrados!K54,Pedidos!$E13=Clientes_Cadastrados!D55,Pedidos!$N13*Clientes_Cadastrados!K55,Pedidos!$E13=Clientes_Cadastrados!D56,Pedidos!$N13*Clientes_Cadastrados!K56,Pedidos!$E13=Clientes_Cadastrados!D57,Pedidos!$N13*Clientes_Cadastrados!K57,Pedidos!$E13=Clientes_Cadastrados!D58,Pedidos!$N13*Clientes_Cadastrados!K58,Pedidos!$E13=Clientes_Cadastrados!D59,Pedidos!$N13*Clientes_Cadastrados!K59,Pedidos!$E13=Clientes_Cadastrados!D60,Pedidos!$N13*Clientes_Cadastrados!K60,Pedidos!$E13=Clientes_Cadastrados!D61,Pedidos!$N13*Clientes_Cadastrados!K61,Pedidos!$E13=Clientes_Cadastrados!D62,Pedidos!$N13*Clientes_Cadastrados!K62,Pedidos!$E13=Clientes_Cadastrados!D63,Pedidos!$N13*Clientes_Cadastrados!K63,Pedidos!$E13=Clientes_Cadastrados!D64,Pedidos!$N13*Clientes_Cadastrados!K64,Pedidos!$E13=Clientes_Cadastrados!D65,Pedidos!$N13*Clientes_Cadastrados!K65,Pedidos!$E13=Clientes_Cadastrados!D66,Pedidos!$N13*Clientes_Cadastrados!K66,Pedidos!$E13=Clientes_Cadastrados!D67,Pedidos!$N13*Clientes_Cadastrados!K67,Pedidos!$E13=Clientes_Cadastrados!D68,Pedidos!$N13*Clientes_Cadastrados!K68)," 0")</f>
        <v>94.500000000000014</v>
      </c>
      <c r="P13" s="73">
        <f>Tabela2[[#This Row],[Preço 15kg]]+Tabela2[[#This Row],[Preço 5kg]]+Tabela2[[#This Row],[Preço Pele 12kg]]+O13</f>
        <v>430.5</v>
      </c>
      <c r="R13" s="30"/>
      <c r="S13" s="5">
        <v>9</v>
      </c>
      <c r="T13" s="8" t="s">
        <v>74</v>
      </c>
      <c r="U13" s="2">
        <f>Clientes_Cadastrados!E14</f>
        <v>103.5</v>
      </c>
      <c r="V13" s="2">
        <f>Clientes_Cadastrados!F14</f>
        <v>34.5</v>
      </c>
      <c r="W13" s="30"/>
      <c r="X13" s="2">
        <f>Clientes_Cadastrados!J14</f>
        <v>186</v>
      </c>
      <c r="Y13" s="2">
        <f>Clientes_Cadastrados!K14</f>
        <v>139.5</v>
      </c>
      <c r="Z13" s="30"/>
    </row>
    <row r="14" spans="2:26" x14ac:dyDescent="0.25">
      <c r="C14" s="93"/>
      <c r="D14" s="74">
        <v>44874</v>
      </c>
      <c r="E14" s="8" t="s">
        <v>74</v>
      </c>
      <c r="F14" s="72">
        <f>Pedidos!$G14+Pedidos!$I14+Pedidos!$L14+Pedidos!$N14</f>
        <v>25</v>
      </c>
      <c r="G14" s="72">
        <v>10</v>
      </c>
      <c r="H14" s="73">
        <f>_xlfn.IFS(Pedidos!$E14=$T$5,Pedidos!$G14*$U$5,Pedidos!$E14=$T$6,Pedidos!$G14*$U$6,Pedidos!$E14=$T$7,Pedidos!$G14*$U$7,Pedidos!$E14=$T$8,Pedidos!$G14*$U$8,Pedidos!$E14=$T$9,Pedidos!$G14*$U$9,Pedidos!$E14=$T$10,Pedidos!$G14*$U$10,Pedidos!$E14=$T$11,Pedidos!$G14*$U$11,Pedidos!$E14=$T$12,Pedidos!$G14*$U$12,Pedidos!$E14=$T$13,Pedidos!$G14*$U$13,Pedidos!$E14=$T$14,Pedidos!$G14*$U$14,Pedidos!$E14=$T$15,Pedidos!$G14*$U$15,Pedidos!$E14=$T$15,Pedidos!$G14*$U$15,Pedidos!$E14=$T$16,Pedidos!$G14*$U$16,Pedidos!$E14=$T$17,Pedidos!$G14*$U$17,Pedidos!$E14=$T$18,Pedidos!$G14*$U$18,Pedidos!$E14=$T$20,Pedidos!$G14*$U$20,Pedidos!$E14=$T$21,Pedidos!$G14*$U$21,Pedidos!$E14=$T$22,Pedidos!$G14*$U$22,Pedidos!$E14=$T$23,Pedidos!$G14*$U$23,Pedidos!$E14=$T$24,Pedidos!$G14*$U$24,Pedidos!$E14=$T$25,Pedidos!$G14*$U$25,Pedidos!$E14=$T$26,Pedidos!$G14*$U$26,Pedidos!$E14=$T$27,Pedidos!$G14*$U$27,Pedidos!$E14=$T$28,Pedidos!$G14*$U$28,Pedidos!$E14=$T$29,Pedidos!$G14*$U$29,Pedidos!$E14=$T$31,Pedidos!$G14*$U$31,Pedidos!$E14=$T$32,Pedidos!$G14*$U$32,Pedidos!$E14=$T$33,Pedidos!$G14*$U$33,Pedidos!$E14=$T$34,Pedidos!$G14*$U$34,Pedidos!$E14=$T$35,Pedidos!$G14*$U$35,Pedidos!$E14=$T$36,Pedidos!$G14*$U$36,Pedidos!$E14=$T$37,Pedidos!$G14*$U$37,Pedidos!$E14=$T$38,Pedidos!$G14*$U$38,Pedidos!$E14=$T$40,Pedidos!$G14*$U$40,Pedidos!$E14=$T$41,Pedidos!$G14*$U$41,Pedidos!$E14=$T$42,Pedidos!$G14*$U$42,Pedidos!$E14=$T$43,Pedidos!$G14*$U$43,Pedidos!$E14=$T$44,Pedidos!$G14*$U$44,Pedidos!$E14=$T$45,Pedidos!$G14*$U$45,Pedidos!$E14=$T$46,Pedidos!$G14*$U$46,Pedidos!$E14=$T$47,Pedidos!$G14*$U$47,Pedidos!$E14=$T$48,Pedidos!$G14*$U$48,Pedidos!$E14=$T$49,Pedidos!$G14*$U$49,Pedidos!$E14=$T$50,Pedidos!$G14*$U$50,Pedidos!$E14=$T$51,Pedidos!$G14*$U$51,Pedidos!$E14=$T$52,Pedidos!$G14*$U$52,Pedidos!$E14=$T$53,Pedidos!$G14*$U$53,Pedidos!$E14=$T$54,Pedidos!$G14*$U$54,Pedidos!$E14=$T$55,Pedidos!$G14*$U$55,Pedidos!$E14=$T$56,Pedidos!$G14*$U$56,Pedidos!$E14=$T$57,Pedidos!$G14*$U$57,Pedidos!$E14=$T$58,Pedidos!$G14*$U$58,Pedidos!$E14=$T$59,Pedidos!$G14*$U$59,Pedidos!$E14=$T$60,Pedidos!$G14*$U$60,Tabela2[[#This Row],[Cliente]]=$T$19,Tabela2[[#This Row],[Qtd.Sal(5kg)]]*$U$19,Tabela2[[#This Row],[Cliente]]=$T$30,Tabela2[[#This Row],[Qtd.Sal(5kg)]]*$V$30,Tabela2[[#This Row],[Cliente]]=$T$39,Tabela2[[#This Row],[Qtd.Sal(5kg)]]*$V$39)</f>
        <v>1035</v>
      </c>
      <c r="I14" s="72">
        <v>5</v>
      </c>
      <c r="J1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4" s="72"/>
      <c r="L14" s="72">
        <v>5</v>
      </c>
      <c r="M1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4" s="72">
        <v>5</v>
      </c>
      <c r="O14" s="73">
        <f>IFERROR(_xlfn.IFS(Pedidos!$E14=Clientes_Cadastrados!D13,Pedidos!$N14*Clientes_Cadastrados!K13,Pedidos!$E14=Clientes_Cadastrados!D14,Pedidos!$N14*Clientes_Cadastrados!K14,Pedidos!$E14=Clientes_Cadastrados!D15,Pedidos!$N14*Clientes_Cadastrados!K15,Pedidos!$E14=Clientes_Cadastrados!D16,Pedidos!$N14*Clientes_Cadastrados!K16,Pedidos!$E14=Clientes_Cadastrados!D17,Pedidos!$N14*Clientes_Cadastrados!K17,Pedidos!$E14=Clientes_Cadastrados!D18,Pedidos!$N14*Clientes_Cadastrados!K18,Pedidos!$E14=Clientes_Cadastrados!D19,Pedidos!$N14*Clientes_Cadastrados!K19,Pedidos!$E14=Clientes_Cadastrados!D20,Pedidos!$N14*Clientes_Cadastrados!K20,Pedidos!$E14=Clientes_Cadastrados!D21,Pedidos!$N14*Clientes_Cadastrados!K21,Pedidos!$E14=Clientes_Cadastrados!D22,Pedidos!$N14*Clientes_Cadastrados!K22,Pedidos!$E14=Clientes_Cadastrados!D23,Pedidos!$N14*Clientes_Cadastrados!K23,Pedidos!$E14=Clientes_Cadastrados!D24,Pedidos!$N14*Clientes_Cadastrados!K24,Pedidos!$E14=Clientes_Cadastrados!D25,Pedidos!$N14*Clientes_Cadastrados!K25,Pedidos!$E14=Clientes_Cadastrados!D26,Pedidos!$N14*Clientes_Cadastrados!K26,Pedidos!$E14=Clientes_Cadastrados!D27,Pedidos!$N14*Clientes_Cadastrados!K27,Pedidos!$E14=Clientes_Cadastrados!D28,Pedidos!$N14*Clientes_Cadastrados!K28,Pedidos!$E14=Clientes_Cadastrados!D29,Pedidos!$N14*Clientes_Cadastrados!K29,Pedidos!$E14=Clientes_Cadastrados!D30,Pedidos!$N14*Clientes_Cadastrados!K30,Pedidos!$E14=Clientes_Cadastrados!D32,Pedidos!$N14*Clientes_Cadastrados!K32,Pedidos!$E14=Clientes_Cadastrados!D33,Pedidos!$N14*Clientes_Cadastrados!K33,Pedidos!$E14=Clientes_Cadastrados!D34,Pedidos!$N14*Clientes_Cadastrados!K34,Pedidos!$E14=Clientes_Cadastrados!D35,Pedidos!$N14*Clientes_Cadastrados!K35,Pedidos!$E14=Clientes_Cadastrados!D36,Pedidos!$N14*Clientes_Cadastrados!K36,Pedidos!$E14=Clientes_Cadastrados!D37,Pedidos!$N14*Clientes_Cadastrados!K37,Pedidos!$E14=Clientes_Cadastrados!D38,Pedidos!$N14*Clientes_Cadastrados!K38,Pedidos!$E14=Clientes_Cadastrados!D39,Pedidos!$N14*Clientes_Cadastrados!K39,Pedidos!$E14=Clientes_Cadastrados!D40,Pedidos!$N14*Clientes_Cadastrados!K40,Pedidos!$E14=Clientes_Cadastrados!D41,Pedidos!$N14*Clientes_Cadastrados!K41,Pedidos!$E14=Clientes_Cadastrados!D42,Pedidos!$N14*Clientes_Cadastrados!K42,Pedidos!$E14=Clientes_Cadastrados!D43,Pedidos!$N14*Clientes_Cadastrados!K43,Pedidos!$E14=Clientes_Cadastrados!D44,Pedidos!$N14*Clientes_Cadastrados!K44,Pedidos!$E14=Clientes_Cadastrados!D45,Pedidos!$N14*Clientes_Cadastrados!K45,Pedidos!$E14=Clientes_Cadastrados!D46,Pedidos!$N14*Clientes_Cadastrados!K46,Pedidos!$E14=Clientes_Cadastrados!D47,Pedidos!$N14*Clientes_Cadastrados!K47,Pedidos!$E14=Clientes_Cadastrados!D48,Pedidos!$N14*Clientes_Cadastrados!K48,Pedidos!$E14=Clientes_Cadastrados!D49,Pedidos!$N14*Clientes_Cadastrados!K49,Pedidos!$E14=Clientes_Cadastrados!D50,Pedidos!$N14*Clientes_Cadastrados!K50,Pedidos!$E14=Clientes_Cadastrados!D51,Pedidos!$N14*Clientes_Cadastrados!K51,Pedidos!$E14=Clientes_Cadastrados!D52,Pedidos!$N14*Clientes_Cadastrados!K52,Pedidos!$E14=Clientes_Cadastrados!D53,Pedidos!$N14*Clientes_Cadastrados!K53,Pedidos!$E14=Clientes_Cadastrados!D54,Pedidos!$N14*Clientes_Cadastrados!K54,Pedidos!$E14=Clientes_Cadastrados!D55,Pedidos!$N14*Clientes_Cadastrados!K55,Pedidos!$E14=Clientes_Cadastrados!D56,Pedidos!$N14*Clientes_Cadastrados!K56,Pedidos!$E14=Clientes_Cadastrados!D57,Pedidos!$N14*Clientes_Cadastrados!K57,Pedidos!$E14=Clientes_Cadastrados!D58,Pedidos!$N14*Clientes_Cadastrados!K58,Pedidos!$E14=Clientes_Cadastrados!D59,Pedidos!$N14*Clientes_Cadastrados!K59,Pedidos!$E14=Clientes_Cadastrados!D60,Pedidos!$N14*Clientes_Cadastrados!K60,Pedidos!$E14=Clientes_Cadastrados!D61,Pedidos!$N14*Clientes_Cadastrados!K61,Pedidos!$E14=Clientes_Cadastrados!D62,Pedidos!$N14*Clientes_Cadastrados!K62,Pedidos!$E14=Clientes_Cadastrados!D63,Pedidos!$N14*Clientes_Cadastrados!K63,Pedidos!$E14=Clientes_Cadastrados!D64,Pedidos!$N14*Clientes_Cadastrados!K64,Pedidos!$E14=Clientes_Cadastrados!D65,Pedidos!$N14*Clientes_Cadastrados!K65,Pedidos!$E14=Clientes_Cadastrados!D66,Pedidos!$N14*Clientes_Cadastrados!K66,Pedidos!$E14=Clientes_Cadastrados!D67,Pedidos!$N14*Clientes_Cadastrados!K67,Pedidos!$E14=Clientes_Cadastrados!D68,Pedidos!$N14*Clientes_Cadastrados!K68,Pedidos!$E14=Clientes_Cadastrados!D69,Pedidos!$N14*Clientes_Cadastrados!K69)," 0")</f>
        <v>697.5</v>
      </c>
      <c r="P14" s="73">
        <f>Tabela2[[#This Row],[Preço 15kg]]+Tabela2[[#This Row],[Preço 5kg]]+Tabela2[[#This Row],[Preço Pele 12kg]]+O14</f>
        <v>2835</v>
      </c>
      <c r="R14" s="30"/>
      <c r="S14" s="5">
        <v>10</v>
      </c>
      <c r="T14" s="8" t="s">
        <v>75</v>
      </c>
      <c r="U14" s="2">
        <f>Clientes_Cadastrados!E15</f>
        <v>103.5</v>
      </c>
      <c r="V14" s="2">
        <f>Clientes_Cadastrados!F15</f>
        <v>34.5</v>
      </c>
      <c r="W14" s="30"/>
      <c r="X14" s="2">
        <f>Clientes_Cadastrados!J15</f>
        <v>186</v>
      </c>
      <c r="Y14" s="2">
        <f>Clientes_Cadastrados!K15</f>
        <v>139.5</v>
      </c>
      <c r="Z14" s="30"/>
    </row>
    <row r="15" spans="2:26" x14ac:dyDescent="0.25">
      <c r="C15" s="93"/>
      <c r="D15" s="75">
        <v>44875</v>
      </c>
      <c r="E15" s="8" t="s">
        <v>75</v>
      </c>
      <c r="F15" s="72">
        <f>Pedidos!$G15+Pedidos!$I15+Pedidos!$L15+Pedidos!$N15</f>
        <v>20</v>
      </c>
      <c r="G15" s="72">
        <v>5</v>
      </c>
      <c r="H15" s="73">
        <f>_xlfn.IFS(Pedidos!$E15=$T$5,Pedidos!$G15*$U$5,Pedidos!$E15=$T$6,Pedidos!$G15*$U$6,Pedidos!$E15=$T$7,Pedidos!$G15*$U$7,Pedidos!$E15=$T$8,Pedidos!$G15*$U$8,Pedidos!$E15=$T$9,Pedidos!$G15*$U$9,Pedidos!$E15=$T$10,Pedidos!$G15*$U$10,Pedidos!$E15=$T$11,Pedidos!$G15*$U$11,Pedidos!$E15=$T$12,Pedidos!$G15*$U$12,Pedidos!$E15=$T$13,Pedidos!$G15*$U$13,Pedidos!$E15=$T$14,Pedidos!$G15*$U$14,Pedidos!$E15=$T$15,Pedidos!$G15*$U$15,Pedidos!$E15=$T$15,Pedidos!$G15*$U$15,Pedidos!$E15=$T$16,Pedidos!$G15*$U$16,Pedidos!$E15=$T$17,Pedidos!$G15*$U$17,Pedidos!$E15=$T$18,Pedidos!$G15*$U$18,Pedidos!$E15=$T$20,Pedidos!$G15*$U$20,Pedidos!$E15=$T$21,Pedidos!$G15*$U$21,Pedidos!$E15=$T$22,Pedidos!$G15*$U$22,Pedidos!$E15=$T$23,Pedidos!$G15*$U$23,Pedidos!$E15=$T$24,Pedidos!$G15*$U$24,Pedidos!$E15=$T$25,Pedidos!$G15*$U$25,Pedidos!$E15=$T$26,Pedidos!$G15*$U$26,Pedidos!$E15=$T$27,Pedidos!$G15*$U$27,Pedidos!$E15=$T$28,Pedidos!$G15*$U$28,Pedidos!$E15=$T$29,Pedidos!$G15*$U$29,Pedidos!$E15=$T$31,Pedidos!$G15*$U$31,Pedidos!$E15=$T$32,Pedidos!$G15*$U$32,Pedidos!$E15=$T$33,Pedidos!$G15*$U$33,Pedidos!$E15=$T$34,Pedidos!$G15*$U$34,Pedidos!$E15=$T$35,Pedidos!$G15*$U$35,Pedidos!$E15=$T$36,Pedidos!$G15*$U$36,Pedidos!$E15=$T$37,Pedidos!$G15*$U$37,Pedidos!$E15=$T$38,Pedidos!$G15*$U$38,Pedidos!$E15=$T$40,Pedidos!$G15*$U$40,Pedidos!$E15=$T$41,Pedidos!$G15*$U$41,Pedidos!$E15=$T$42,Pedidos!$G15*$U$42,Pedidos!$E15=$T$43,Pedidos!$G15*$U$43,Pedidos!$E15=$T$44,Pedidos!$G15*$U$44,Pedidos!$E15=$T$45,Pedidos!$G15*$U$45,Pedidos!$E15=$T$46,Pedidos!$G15*$U$46,Pedidos!$E15=$T$47,Pedidos!$G15*$U$47,Pedidos!$E15=$T$48,Pedidos!$G15*$U$48,Pedidos!$E15=$T$49,Pedidos!$G15*$U$49,Pedidos!$E15=$T$50,Pedidos!$G15*$U$50,Pedidos!$E15=$T$51,Pedidos!$G15*$U$51,Pedidos!$E15=$T$52,Pedidos!$G15*$U$52,Pedidos!$E15=$T$53,Pedidos!$G15*$U$53,Pedidos!$E15=$T$54,Pedidos!$G15*$U$54,Pedidos!$E15=$T$55,Pedidos!$G15*$U$55,Pedidos!$E15=$T$56,Pedidos!$G15*$U$56,Pedidos!$E15=$T$57,Pedidos!$G15*$U$57,Pedidos!$E15=$T$58,Pedidos!$G15*$U$58,Pedidos!$E15=$T$59,Pedidos!$G15*$U$59,Pedidos!$E15=$T$60,Pedidos!$G15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5" s="72">
        <v>5</v>
      </c>
      <c r="J1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5" s="72"/>
      <c r="L15" s="72">
        <v>5</v>
      </c>
      <c r="M1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5" s="72">
        <v>5</v>
      </c>
      <c r="O15" s="73">
        <f>IFERROR(_xlfn.IFS(Pedidos!$E15=Clientes_Cadastrados!D14,Pedidos!$N15*Clientes_Cadastrados!K14,Pedidos!$E15=Clientes_Cadastrados!D15,Pedidos!$N15*Clientes_Cadastrados!K15,Pedidos!$E15=Clientes_Cadastrados!D16,Pedidos!$N15*Clientes_Cadastrados!K16,Pedidos!$E15=Clientes_Cadastrados!D17,Pedidos!$N15*Clientes_Cadastrados!K17,Pedidos!$E15=Clientes_Cadastrados!D18,Pedidos!$N15*Clientes_Cadastrados!K18,Pedidos!$E15=Clientes_Cadastrados!D19,Pedidos!$N15*Clientes_Cadastrados!K19,Pedidos!$E15=Clientes_Cadastrados!D20,Pedidos!$N15*Clientes_Cadastrados!K20,Pedidos!$E15=Clientes_Cadastrados!D21,Pedidos!$N15*Clientes_Cadastrados!K21,Pedidos!$E15=Clientes_Cadastrados!D22,Pedidos!$N15*Clientes_Cadastrados!K22,Pedidos!$E15=Clientes_Cadastrados!D23,Pedidos!$N15*Clientes_Cadastrados!K23,Pedidos!$E15=Clientes_Cadastrados!D24,Pedidos!$N15*Clientes_Cadastrados!K24,Pedidos!$E15=Clientes_Cadastrados!D25,Pedidos!$N15*Clientes_Cadastrados!K25,Pedidos!$E15=Clientes_Cadastrados!D26,Pedidos!$N15*Clientes_Cadastrados!K26,Pedidos!$E15=Clientes_Cadastrados!D27,Pedidos!$N15*Clientes_Cadastrados!K27,Pedidos!$E15=Clientes_Cadastrados!D28,Pedidos!$N15*Clientes_Cadastrados!K28,Pedidos!$E15=Clientes_Cadastrados!D29,Pedidos!$N15*Clientes_Cadastrados!K29,Pedidos!$E15=Clientes_Cadastrados!D30,Pedidos!$N15*Clientes_Cadastrados!K30,Pedidos!$E15=Clientes_Cadastrados!D31,Pedidos!$N15*Clientes_Cadastrados!K31,Pedidos!$E15=Clientes_Cadastrados!D33,Pedidos!$N15*Clientes_Cadastrados!K33,Pedidos!$E15=Clientes_Cadastrados!D34,Pedidos!$N15*Clientes_Cadastrados!K34,Pedidos!$E15=Clientes_Cadastrados!D35,Pedidos!$N15*Clientes_Cadastrados!K35,Pedidos!$E15=Clientes_Cadastrados!D36,Pedidos!$N15*Clientes_Cadastrados!K36,Pedidos!$E15=Clientes_Cadastrados!D37,Pedidos!$N15*Clientes_Cadastrados!K37,Pedidos!$E15=Clientes_Cadastrados!D38,Pedidos!$N15*Clientes_Cadastrados!K38,Pedidos!$E15=Clientes_Cadastrados!D39,Pedidos!$N15*Clientes_Cadastrados!K39,Pedidos!$E15=Clientes_Cadastrados!D40,Pedidos!$N15*Clientes_Cadastrados!K40,Pedidos!$E15=Clientes_Cadastrados!D41,Pedidos!$N15*Clientes_Cadastrados!K41,Pedidos!$E15=Clientes_Cadastrados!D42,Pedidos!$N15*Clientes_Cadastrados!K42,Pedidos!$E15=Clientes_Cadastrados!D43,Pedidos!$N15*Clientes_Cadastrados!K43,Pedidos!$E15=Clientes_Cadastrados!D44,Pedidos!$N15*Clientes_Cadastrados!K44,Pedidos!$E15=Clientes_Cadastrados!D45,Pedidos!$N15*Clientes_Cadastrados!K45,Pedidos!$E15=Clientes_Cadastrados!D46,Pedidos!$N15*Clientes_Cadastrados!K46,Pedidos!$E15=Clientes_Cadastrados!D47,Pedidos!$N15*Clientes_Cadastrados!K47,Pedidos!$E15=Clientes_Cadastrados!D48,Pedidos!$N15*Clientes_Cadastrados!K48,Pedidos!$E15=Clientes_Cadastrados!D49,Pedidos!$N15*Clientes_Cadastrados!K49,Pedidos!$E15=Clientes_Cadastrados!D50,Pedidos!$N15*Clientes_Cadastrados!K50,Pedidos!$E15=Clientes_Cadastrados!D51,Pedidos!$N15*Clientes_Cadastrados!K51,Pedidos!$E15=Clientes_Cadastrados!D52,Pedidos!$N15*Clientes_Cadastrados!K52,Pedidos!$E15=Clientes_Cadastrados!D53,Pedidos!$N15*Clientes_Cadastrados!K53,Pedidos!$E15=Clientes_Cadastrados!D54,Pedidos!$N15*Clientes_Cadastrados!K54,Pedidos!$E15=Clientes_Cadastrados!D55,Pedidos!$N15*Clientes_Cadastrados!K55,Pedidos!$E15=Clientes_Cadastrados!D56,Pedidos!$N15*Clientes_Cadastrados!K56,Pedidos!$E15=Clientes_Cadastrados!D57,Pedidos!$N15*Clientes_Cadastrados!K57,Pedidos!$E15=Clientes_Cadastrados!D58,Pedidos!$N15*Clientes_Cadastrados!K58,Pedidos!$E15=Clientes_Cadastrados!D59,Pedidos!$N15*Clientes_Cadastrados!K59,Pedidos!$E15=Clientes_Cadastrados!D60,Pedidos!$N15*Clientes_Cadastrados!K60,Pedidos!$E15=Clientes_Cadastrados!D61,Pedidos!$N15*Clientes_Cadastrados!K61,Pedidos!$E15=Clientes_Cadastrados!D62,Pedidos!$N15*Clientes_Cadastrados!K62,Pedidos!$E15=Clientes_Cadastrados!D63,Pedidos!$N15*Clientes_Cadastrados!K63,Pedidos!$E15=Clientes_Cadastrados!D64,Pedidos!$N15*Clientes_Cadastrados!K64,Pedidos!$E15=Clientes_Cadastrados!D65,Pedidos!$N15*Clientes_Cadastrados!K65,Pedidos!$E15=Clientes_Cadastrados!D66,Pedidos!$N15*Clientes_Cadastrados!K66,Pedidos!$E15=Clientes_Cadastrados!D67,Pedidos!$N15*Clientes_Cadastrados!K67,Pedidos!$E15=Clientes_Cadastrados!D68,Pedidos!$N15*Clientes_Cadastrados!K68,Pedidos!$E15=Clientes_Cadastrados!D69,Pedidos!$N15*Clientes_Cadastrados!K69,Pedidos!$E15=Clientes_Cadastrados!D70,Pedidos!$N15*Clientes_Cadastrados!K70)," 0")</f>
        <v>697.5</v>
      </c>
      <c r="P15" s="73">
        <f>Tabela2[[#This Row],[Preço 15kg]]+Tabela2[[#This Row],[Preço 5kg]]+Tabela2[[#This Row],[Preço Pele 12kg]]+O15</f>
        <v>2317.5</v>
      </c>
      <c r="R15" s="30"/>
      <c r="S15" s="5">
        <v>11</v>
      </c>
      <c r="T15" s="8" t="s">
        <v>76</v>
      </c>
      <c r="U15" s="2">
        <f>Clientes_Cadastrados!E16</f>
        <v>103.5</v>
      </c>
      <c r="V15" s="2">
        <f>Clientes_Cadastrados!F16</f>
        <v>34.5</v>
      </c>
      <c r="W15" s="30"/>
      <c r="X15" s="2">
        <f>Clientes_Cadastrados!J16</f>
        <v>186</v>
      </c>
      <c r="Y15" s="2">
        <f>Clientes_Cadastrados!K16</f>
        <v>139.5</v>
      </c>
      <c r="Z15" s="30"/>
    </row>
    <row r="16" spans="2:26" x14ac:dyDescent="0.25">
      <c r="C16" s="93"/>
      <c r="D16" s="74">
        <v>44876</v>
      </c>
      <c r="E16" s="8" t="s">
        <v>76</v>
      </c>
      <c r="F16" s="72">
        <f>Pedidos!$G16+Pedidos!$I16+Pedidos!$L16+Pedidos!$N16</f>
        <v>82</v>
      </c>
      <c r="G16" s="72">
        <v>67</v>
      </c>
      <c r="H16" s="73">
        <f>_xlfn.IFS(Pedidos!$E16=$T$5,Pedidos!$G16*$U$5,Pedidos!$E16=$T$6,Pedidos!$G16*$U$6,Pedidos!$E16=$T$7,Pedidos!$G16*$U$7,Pedidos!$E16=$T$8,Pedidos!$G16*$U$8,Pedidos!$E16=$T$9,Pedidos!$G16*$U$9,Pedidos!$E16=$T$10,Pedidos!$G16*$U$10,Pedidos!$E16=$T$11,Pedidos!$G16*$U$11,Pedidos!$E16=$T$12,Pedidos!$G16*$U$12,Pedidos!$E16=$T$13,Pedidos!$G16*$U$13,Pedidos!$E16=$T$14,Pedidos!$G16*$U$14,Pedidos!$E16=$T$15,Pedidos!$G16*$U$15,Pedidos!$E16=$T$15,Pedidos!$G16*$U$15,Pedidos!$E16=$T$16,Pedidos!$G16*$U$16,Pedidos!$E16=$T$17,Pedidos!$G16*$U$17,Pedidos!$E16=$T$18,Pedidos!$G16*$U$18,Pedidos!$E16=$T$20,Pedidos!$G16*$U$20,Pedidos!$E16=$T$21,Pedidos!$G16*$U$21,Pedidos!$E16=$T$22,Pedidos!$G16*$U$22,Pedidos!$E16=$T$23,Pedidos!$G16*$U$23,Pedidos!$E16=$T$24,Pedidos!$G16*$U$24,Pedidos!$E16=$T$25,Pedidos!$G16*$U$25,Pedidos!$E16=$T$26,Pedidos!$G16*$U$26,Pedidos!$E16=$T$27,Pedidos!$G16*$U$27,Pedidos!$E16=$T$28,Pedidos!$G16*$U$28,Pedidos!$E16=$T$29,Pedidos!$G16*$U$29,Pedidos!$E16=$T$31,Pedidos!$G16*$U$31,Pedidos!$E16=$T$32,Pedidos!$G16*$U$32,Pedidos!$E16=$T$33,Pedidos!$G16*$U$33,Pedidos!$E16=$T$34,Pedidos!$G16*$U$34,Pedidos!$E16=$T$35,Pedidos!$G16*$U$35,Pedidos!$E16=$T$36,Pedidos!$G16*$U$36,Pedidos!$E16=$T$37,Pedidos!$G16*$U$37,Pedidos!$E16=$T$38,Pedidos!$G16*$U$38,Pedidos!$E16=$T$40,Pedidos!$G16*$U$40,Pedidos!$E16=$T$41,Pedidos!$G16*$U$41,Pedidos!$E16=$T$42,Pedidos!$G16*$U$42,Pedidos!$E16=$T$43,Pedidos!$G16*$U$43,Pedidos!$E16=$T$44,Pedidos!$G16*$U$44,Pedidos!$E16=$T$45,Pedidos!$G16*$U$45,Pedidos!$E16=$T$46,Pedidos!$G16*$U$46,Pedidos!$E16=$T$47,Pedidos!$G16*$U$47,Pedidos!$E16=$T$48,Pedidos!$G16*$U$48,Pedidos!$E16=$T$49,Pedidos!$G16*$U$49,Pedidos!$E16=$T$50,Pedidos!$G16*$U$50,Pedidos!$E16=$T$51,Pedidos!$G16*$U$51,Pedidos!$E16=$T$52,Pedidos!$G16*$U$52,Pedidos!$E16=$T$53,Pedidos!$G16*$U$53,Pedidos!$E16=$T$54,Pedidos!$G16*$U$54,Pedidos!$E16=$T$55,Pedidos!$G16*$U$55,Pedidos!$E16=$T$56,Pedidos!$G16*$U$56,Pedidos!$E16=$T$57,Pedidos!$G16*$U$57,Pedidos!$E16=$T$58,Pedidos!$G16*$U$58,Pedidos!$E16=$T$59,Pedidos!$G16*$U$59,Pedidos!$E16=$T$60,Pedidos!$G16*$U$60,Tabela2[[#This Row],[Cliente]]=$T$19,Tabela2[[#This Row],[Qtd.Sal(5kg)]]*$U$19,Tabela2[[#This Row],[Cliente]]=$T$30,Tabela2[[#This Row],[Qtd.Sal(5kg)]]*$V$30,Tabela2[[#This Row],[Cliente]]=$T$39,Tabela2[[#This Row],[Qtd.Sal(5kg)]]*$V$39)</f>
        <v>6934.5</v>
      </c>
      <c r="I16" s="72">
        <v>5</v>
      </c>
      <c r="J1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6" s="72"/>
      <c r="L16" s="72">
        <v>5</v>
      </c>
      <c r="M1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6" s="72">
        <v>5</v>
      </c>
      <c r="O16" s="73">
        <f>IFERROR(_xlfn.IFS(Pedidos!$E16=Clientes_Cadastrados!D15,Pedidos!$N16*Clientes_Cadastrados!K15,Pedidos!$E16=Clientes_Cadastrados!D16,Pedidos!$N16*Clientes_Cadastrados!K16,Pedidos!$E16=Clientes_Cadastrados!D17,Pedidos!$N16*Clientes_Cadastrados!K17,Pedidos!$E16=Clientes_Cadastrados!D18,Pedidos!$N16*Clientes_Cadastrados!K18,Pedidos!$E16=Clientes_Cadastrados!D19,Pedidos!$N16*Clientes_Cadastrados!K19,Pedidos!$E16=Clientes_Cadastrados!D20,Pedidos!$N16*Clientes_Cadastrados!K20,Pedidos!$E16=Clientes_Cadastrados!D21,Pedidos!$N16*Clientes_Cadastrados!K21,Pedidos!$E16=Clientes_Cadastrados!D22,Pedidos!$N16*Clientes_Cadastrados!K22,Pedidos!$E16=Clientes_Cadastrados!D23,Pedidos!$N16*Clientes_Cadastrados!K23,Pedidos!$E16=Clientes_Cadastrados!D24,Pedidos!$N16*Clientes_Cadastrados!K24,Pedidos!$E16=Clientes_Cadastrados!D25,Pedidos!$N16*Clientes_Cadastrados!K25,Pedidos!$E16=Clientes_Cadastrados!D26,Pedidos!$N16*Clientes_Cadastrados!K26,Pedidos!$E16=Clientes_Cadastrados!D27,Pedidos!$N16*Clientes_Cadastrados!K27,Pedidos!$E16=Clientes_Cadastrados!D28,Pedidos!$N16*Clientes_Cadastrados!K28,Pedidos!$E16=Clientes_Cadastrados!D29,Pedidos!$N16*Clientes_Cadastrados!K29,Pedidos!$E16=Clientes_Cadastrados!D30,Pedidos!$N16*Clientes_Cadastrados!K30,Pedidos!$E16=Clientes_Cadastrados!D31,Pedidos!$N16*Clientes_Cadastrados!K31,Pedidos!$E16=Clientes_Cadastrados!D32,Pedidos!$N16*Clientes_Cadastrados!K32,Pedidos!$E16=Clientes_Cadastrados!D34,Pedidos!$N16*Clientes_Cadastrados!K34,Pedidos!$E16=Clientes_Cadastrados!D35,Pedidos!$N16*Clientes_Cadastrados!K35,Pedidos!$E16=Clientes_Cadastrados!D36,Pedidos!$N16*Clientes_Cadastrados!K36,Pedidos!$E16=Clientes_Cadastrados!D37,Pedidos!$N16*Clientes_Cadastrados!K37,Pedidos!$E16=Clientes_Cadastrados!D38,Pedidos!$N16*Clientes_Cadastrados!K38,Pedidos!$E16=Clientes_Cadastrados!D39,Pedidos!$N16*Clientes_Cadastrados!K39,Pedidos!$E16=Clientes_Cadastrados!D40,Pedidos!$N16*Clientes_Cadastrados!K40,Pedidos!$E16=Clientes_Cadastrados!D41,Pedidos!$N16*Clientes_Cadastrados!K41,Pedidos!$E16=Clientes_Cadastrados!D42,Pedidos!$N16*Clientes_Cadastrados!K42,Pedidos!$E16=Clientes_Cadastrados!D43,Pedidos!$N16*Clientes_Cadastrados!K43,Pedidos!$E16=Clientes_Cadastrados!D44,Pedidos!$N16*Clientes_Cadastrados!K44,Pedidos!$E16=Clientes_Cadastrados!D45,Pedidos!$N16*Clientes_Cadastrados!K45,Pedidos!$E16=Clientes_Cadastrados!D46,Pedidos!$N16*Clientes_Cadastrados!K46,Pedidos!$E16=Clientes_Cadastrados!D47,Pedidos!$N16*Clientes_Cadastrados!K47,Pedidos!$E16=Clientes_Cadastrados!D48,Pedidos!$N16*Clientes_Cadastrados!K48,Pedidos!$E16=Clientes_Cadastrados!D49,Pedidos!$N16*Clientes_Cadastrados!K49,Pedidos!$E16=Clientes_Cadastrados!D50,Pedidos!$N16*Clientes_Cadastrados!K50,Pedidos!$E16=Clientes_Cadastrados!D51,Pedidos!$N16*Clientes_Cadastrados!K51,Pedidos!$E16=Clientes_Cadastrados!D52,Pedidos!$N16*Clientes_Cadastrados!K52,Pedidos!$E16=Clientes_Cadastrados!D53,Pedidos!$N16*Clientes_Cadastrados!K53,Pedidos!$E16=Clientes_Cadastrados!D54,Pedidos!$N16*Clientes_Cadastrados!K54,Pedidos!$E16=Clientes_Cadastrados!D55,Pedidos!$N16*Clientes_Cadastrados!K55,Pedidos!$E16=Clientes_Cadastrados!D56,Pedidos!$N16*Clientes_Cadastrados!K56,Pedidos!$E16=Clientes_Cadastrados!D57,Pedidos!$N16*Clientes_Cadastrados!K57,Pedidos!$E16=Clientes_Cadastrados!D58,Pedidos!$N16*Clientes_Cadastrados!K58,Pedidos!$E16=Clientes_Cadastrados!D59,Pedidos!$N16*Clientes_Cadastrados!K59,Pedidos!$E16=Clientes_Cadastrados!D60,Pedidos!$N16*Clientes_Cadastrados!K60,Pedidos!$E16=Clientes_Cadastrados!D61,Pedidos!$N16*Clientes_Cadastrados!K61,Pedidos!$E16=Clientes_Cadastrados!D62,Pedidos!$N16*Clientes_Cadastrados!K62,Pedidos!$E16=Clientes_Cadastrados!D63,Pedidos!$N16*Clientes_Cadastrados!K63,Pedidos!$E16=Clientes_Cadastrados!D64,Pedidos!$N16*Clientes_Cadastrados!K64,Pedidos!$E16=Clientes_Cadastrados!D65,Pedidos!$N16*Clientes_Cadastrados!K65,Pedidos!$E16=Clientes_Cadastrados!D66,Pedidos!$N16*Clientes_Cadastrados!K66,Pedidos!$E16=Clientes_Cadastrados!D67,Pedidos!$N16*Clientes_Cadastrados!K67,Pedidos!$E16=Clientes_Cadastrados!D68,Pedidos!$N16*Clientes_Cadastrados!K68,Pedidos!$E16=Clientes_Cadastrados!D69,Pedidos!$N16*Clientes_Cadastrados!K69,Pedidos!$E16=Clientes_Cadastrados!D70,Pedidos!$N16*Clientes_Cadastrados!K70,Pedidos!$E16=Clientes_Cadastrados!D71,Pedidos!$N16*Clientes_Cadastrados!K71)," 0")</f>
        <v>697.5</v>
      </c>
      <c r="P16" s="73">
        <f>Tabela2[[#This Row],[Preço 15kg]]+Tabela2[[#This Row],[Preço 5kg]]+Tabela2[[#This Row],[Preço Pele 12kg]]+O16</f>
        <v>8734.5</v>
      </c>
      <c r="R16" s="30"/>
      <c r="S16" s="5">
        <v>12</v>
      </c>
      <c r="T16" s="8" t="s">
        <v>77</v>
      </c>
      <c r="U16" s="2">
        <f>Clientes_Cadastrados!E17</f>
        <v>103.5</v>
      </c>
      <c r="V16" s="2">
        <f>Clientes_Cadastrados!F17</f>
        <v>34.5</v>
      </c>
      <c r="W16" s="30"/>
      <c r="X16" s="2">
        <f>Clientes_Cadastrados!J17</f>
        <v>186</v>
      </c>
      <c r="Y16" s="2">
        <f>Clientes_Cadastrados!K17</f>
        <v>139.5</v>
      </c>
      <c r="Z16" s="30"/>
    </row>
    <row r="17" spans="3:26" x14ac:dyDescent="0.25">
      <c r="C17" s="93"/>
      <c r="D17" s="75">
        <v>44877</v>
      </c>
      <c r="E17" s="8" t="s">
        <v>77</v>
      </c>
      <c r="F17" s="72">
        <f>Pedidos!$G17+Pedidos!$I17+Pedidos!$L17+Pedidos!$N17</f>
        <v>20</v>
      </c>
      <c r="G17" s="72">
        <v>5</v>
      </c>
      <c r="H17" s="73">
        <f>_xlfn.IFS(Pedidos!$E17=$T$5,Pedidos!$G17*$U$5,Pedidos!$E17=$T$6,Pedidos!$G17*$U$6,Pedidos!$E17=$T$7,Pedidos!$G17*$U$7,Pedidos!$E17=$T$8,Pedidos!$G17*$U$8,Pedidos!$E17=$T$9,Pedidos!$G17*$U$9,Pedidos!$E17=$T$10,Pedidos!$G17*$U$10,Pedidos!$E17=$T$11,Pedidos!$G17*$U$11,Pedidos!$E17=$T$12,Pedidos!$G17*$U$12,Pedidos!$E17=$T$13,Pedidos!$G17*$U$13,Pedidos!$E17=$T$14,Pedidos!$G17*$U$14,Pedidos!$E17=$T$15,Pedidos!$G17*$U$15,Pedidos!$E17=$T$15,Pedidos!$G17*$U$15,Pedidos!$E17=$T$16,Pedidos!$G17*$U$16,Pedidos!$E17=$T$17,Pedidos!$G17*$U$17,Pedidos!$E17=$T$18,Pedidos!$G17*$U$18,Pedidos!$E17=$T$20,Pedidos!$G17*$U$20,Pedidos!$E17=$T$21,Pedidos!$G17*$U$21,Pedidos!$E17=$T$22,Pedidos!$G17*$U$22,Pedidos!$E17=$T$23,Pedidos!$G17*$U$23,Pedidos!$E17=$T$24,Pedidos!$G17*$U$24,Pedidos!$E17=$T$25,Pedidos!$G17*$U$25,Pedidos!$E17=$T$26,Pedidos!$G17*$U$26,Pedidos!$E17=$T$27,Pedidos!$G17*$U$27,Pedidos!$E17=$T$28,Pedidos!$G17*$U$28,Pedidos!$E17=$T$29,Pedidos!$G17*$U$29,Pedidos!$E17=$T$31,Pedidos!$G17*$U$31,Pedidos!$E17=$T$32,Pedidos!$G17*$U$32,Pedidos!$E17=$T$33,Pedidos!$G17*$U$33,Pedidos!$E17=$T$34,Pedidos!$G17*$U$34,Pedidos!$E17=$T$35,Pedidos!$G17*$U$35,Pedidos!$E17=$T$36,Pedidos!$G17*$U$36,Pedidos!$E17=$T$37,Pedidos!$G17*$U$37,Pedidos!$E17=$T$38,Pedidos!$G17*$U$38,Pedidos!$E17=$T$40,Pedidos!$G17*$U$40,Pedidos!$E17=$T$41,Pedidos!$G17*$U$41,Pedidos!$E17=$T$42,Pedidos!$G17*$U$42,Pedidos!$E17=$T$43,Pedidos!$G17*$U$43,Pedidos!$E17=$T$44,Pedidos!$G17*$U$44,Pedidos!$E17=$T$45,Pedidos!$G17*$U$45,Pedidos!$E17=$T$46,Pedidos!$G17*$U$46,Pedidos!$E17=$T$47,Pedidos!$G17*$U$47,Pedidos!$E17=$T$48,Pedidos!$G17*$U$48,Pedidos!$E17=$T$49,Pedidos!$G17*$U$49,Pedidos!$E17=$T$50,Pedidos!$G17*$U$50,Pedidos!$E17=$T$51,Pedidos!$G17*$U$51,Pedidos!$E17=$T$52,Pedidos!$G17*$U$52,Pedidos!$E17=$T$53,Pedidos!$G17*$U$53,Pedidos!$E17=$T$54,Pedidos!$G17*$U$54,Pedidos!$E17=$T$55,Pedidos!$G17*$U$55,Pedidos!$E17=$T$56,Pedidos!$G17*$U$56,Pedidos!$E17=$T$57,Pedidos!$G17*$U$57,Pedidos!$E17=$T$58,Pedidos!$G17*$U$58,Pedidos!$E17=$T$59,Pedidos!$G17*$U$59,Pedidos!$E17=$T$60,Pedidos!$G17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7" s="72">
        <v>5</v>
      </c>
      <c r="J1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7" s="72"/>
      <c r="L17" s="72">
        <v>5</v>
      </c>
      <c r="M1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7" s="72">
        <v>5</v>
      </c>
      <c r="O17" s="73">
        <f>IFERROR(_xlfn.IFS(Pedidos!$E17=Clientes_Cadastrados!D16,Pedidos!$N17*Clientes_Cadastrados!K16,Pedidos!$E17=Clientes_Cadastrados!D17,Pedidos!$N17*Clientes_Cadastrados!K17,Pedidos!$E17=Clientes_Cadastrados!D18,Pedidos!$N17*Clientes_Cadastrados!K18,Pedidos!$E17=Clientes_Cadastrados!D19,Pedidos!$N17*Clientes_Cadastrados!K19,Pedidos!$E17=Clientes_Cadastrados!D20,Pedidos!$N17*Clientes_Cadastrados!K20,Pedidos!$E17=Clientes_Cadastrados!D21,Pedidos!$N17*Clientes_Cadastrados!K21,Pedidos!$E17=Clientes_Cadastrados!D22,Pedidos!$N17*Clientes_Cadastrados!K22,Pedidos!$E17=Clientes_Cadastrados!D23,Pedidos!$N17*Clientes_Cadastrados!K23,Pedidos!$E17=Clientes_Cadastrados!D24,Pedidos!$N17*Clientes_Cadastrados!K24,Pedidos!$E17=Clientes_Cadastrados!D25,Pedidos!$N17*Clientes_Cadastrados!K25,Pedidos!$E17=Clientes_Cadastrados!D26,Pedidos!$N17*Clientes_Cadastrados!K26,Pedidos!$E17=Clientes_Cadastrados!D27,Pedidos!$N17*Clientes_Cadastrados!K27,Pedidos!$E17=Clientes_Cadastrados!D28,Pedidos!$N17*Clientes_Cadastrados!K28,Pedidos!$E17=Clientes_Cadastrados!D29,Pedidos!$N17*Clientes_Cadastrados!K29,Pedidos!$E17=Clientes_Cadastrados!D30,Pedidos!$N17*Clientes_Cadastrados!K30,Pedidos!$E17=Clientes_Cadastrados!D31,Pedidos!$N17*Clientes_Cadastrados!K31,Pedidos!$E17=Clientes_Cadastrados!D32,Pedidos!$N17*Clientes_Cadastrados!K32,Pedidos!$E17=Clientes_Cadastrados!D33,Pedidos!$N17*Clientes_Cadastrados!K33,Pedidos!$E17=Clientes_Cadastrados!D35,Pedidos!$N17*Clientes_Cadastrados!K35,Pedidos!$E17=Clientes_Cadastrados!D36,Pedidos!$N17*Clientes_Cadastrados!K36,Pedidos!$E17=Clientes_Cadastrados!D37,Pedidos!$N17*Clientes_Cadastrados!K37,Pedidos!$E17=Clientes_Cadastrados!D38,Pedidos!$N17*Clientes_Cadastrados!K38,Pedidos!$E17=Clientes_Cadastrados!D39,Pedidos!$N17*Clientes_Cadastrados!K39,Pedidos!$E17=Clientes_Cadastrados!D40,Pedidos!$N17*Clientes_Cadastrados!K40,Pedidos!$E17=Clientes_Cadastrados!D41,Pedidos!$N17*Clientes_Cadastrados!K41,Pedidos!$E17=Clientes_Cadastrados!D42,Pedidos!$N17*Clientes_Cadastrados!K42,Pedidos!$E17=Clientes_Cadastrados!D43,Pedidos!$N17*Clientes_Cadastrados!K43,Pedidos!$E17=Clientes_Cadastrados!D44,Pedidos!$N17*Clientes_Cadastrados!K44,Pedidos!$E17=Clientes_Cadastrados!D45,Pedidos!$N17*Clientes_Cadastrados!K45,Pedidos!$E17=Clientes_Cadastrados!D46,Pedidos!$N17*Clientes_Cadastrados!K46,Pedidos!$E17=Clientes_Cadastrados!D47,Pedidos!$N17*Clientes_Cadastrados!K47,Pedidos!$E17=Clientes_Cadastrados!D48,Pedidos!$N17*Clientes_Cadastrados!K48,Pedidos!$E17=Clientes_Cadastrados!D49,Pedidos!$N17*Clientes_Cadastrados!K49,Pedidos!$E17=Clientes_Cadastrados!D50,Pedidos!$N17*Clientes_Cadastrados!K50,Pedidos!$E17=Clientes_Cadastrados!D51,Pedidos!$N17*Clientes_Cadastrados!K51,Pedidos!$E17=Clientes_Cadastrados!D52,Pedidos!$N17*Clientes_Cadastrados!K52,Pedidos!$E17=Clientes_Cadastrados!D53,Pedidos!$N17*Clientes_Cadastrados!K53,Pedidos!$E17=Clientes_Cadastrados!D54,Pedidos!$N17*Clientes_Cadastrados!K54,Pedidos!$E17=Clientes_Cadastrados!D55,Pedidos!$N17*Clientes_Cadastrados!K55,Pedidos!$E17=Clientes_Cadastrados!D56,Pedidos!$N17*Clientes_Cadastrados!K56,Pedidos!$E17=Clientes_Cadastrados!D57,Pedidos!$N17*Clientes_Cadastrados!K57,Pedidos!$E17=Clientes_Cadastrados!D58,Pedidos!$N17*Clientes_Cadastrados!K58,Pedidos!$E17=Clientes_Cadastrados!D59,Pedidos!$N17*Clientes_Cadastrados!K59,Pedidos!$E17=Clientes_Cadastrados!D60,Pedidos!$N17*Clientes_Cadastrados!K60,Pedidos!$E17=Clientes_Cadastrados!D61,Pedidos!$N17*Clientes_Cadastrados!K61,Pedidos!$E17=Clientes_Cadastrados!D62,Pedidos!$N17*Clientes_Cadastrados!K62,Pedidos!$E17=Clientes_Cadastrados!D63,Pedidos!$N17*Clientes_Cadastrados!K63,Pedidos!$E17=Clientes_Cadastrados!D64,Pedidos!$N17*Clientes_Cadastrados!K64,Pedidos!$E17=Clientes_Cadastrados!D65,Pedidos!$N17*Clientes_Cadastrados!K65,Pedidos!$E17=Clientes_Cadastrados!D66,Pedidos!$N17*Clientes_Cadastrados!K66,Pedidos!$E17=Clientes_Cadastrados!D67,Pedidos!$N17*Clientes_Cadastrados!K67,Pedidos!$E17=Clientes_Cadastrados!D68,Pedidos!$N17*Clientes_Cadastrados!K68,Pedidos!$E17=Clientes_Cadastrados!D69,Pedidos!$N17*Clientes_Cadastrados!K69,Pedidos!$E17=Clientes_Cadastrados!D70,Pedidos!$N17*Clientes_Cadastrados!K70,Pedidos!$E17=Clientes_Cadastrados!D71,Pedidos!$N17*Clientes_Cadastrados!K71,Pedidos!$E17=Clientes_Cadastrados!D72,Pedidos!$N17*Clientes_Cadastrados!K72)," 0")</f>
        <v>697.5</v>
      </c>
      <c r="P17" s="73">
        <f>Tabela2[[#This Row],[Preço 15kg]]+Tabela2[[#This Row],[Preço 5kg]]+Tabela2[[#This Row],[Preço Pele 12kg]]+O17</f>
        <v>2317.5</v>
      </c>
      <c r="R17" s="30"/>
      <c r="S17" s="5">
        <v>13</v>
      </c>
      <c r="T17" s="8" t="s">
        <v>78</v>
      </c>
      <c r="U17" s="2">
        <f>Clientes_Cadastrados!E18</f>
        <v>103.5</v>
      </c>
      <c r="V17" s="2">
        <f>Clientes_Cadastrados!F18</f>
        <v>34.5</v>
      </c>
      <c r="W17" s="30"/>
      <c r="X17" s="2">
        <f>Clientes_Cadastrados!J18</f>
        <v>186</v>
      </c>
      <c r="Y17" s="2">
        <f>Clientes_Cadastrados!K18</f>
        <v>139.5</v>
      </c>
      <c r="Z17" s="30"/>
    </row>
    <row r="18" spans="3:26" x14ac:dyDescent="0.25">
      <c r="C18" s="93"/>
      <c r="D18" s="74">
        <v>44878</v>
      </c>
      <c r="E18" s="8" t="s">
        <v>78</v>
      </c>
      <c r="F18" s="72">
        <f>Pedidos!$G18+Pedidos!$I18+Pedidos!$L18+Pedidos!$N18</f>
        <v>20</v>
      </c>
      <c r="G18" s="72">
        <v>5</v>
      </c>
      <c r="H18" s="73">
        <f>_xlfn.IFS(Pedidos!$E18=$T$5,Pedidos!$G18*$U$5,Pedidos!$E18=$T$6,Pedidos!$G18*$U$6,Pedidos!$E18=$T$7,Pedidos!$G18*$U$7,Pedidos!$E18=$T$8,Pedidos!$G18*$U$8,Pedidos!$E18=$T$9,Pedidos!$G18*$U$9,Pedidos!$E18=$T$10,Pedidos!$G18*$U$10,Pedidos!$E18=$T$11,Pedidos!$G18*$U$11,Pedidos!$E18=$T$12,Pedidos!$G18*$U$12,Pedidos!$E18=$T$13,Pedidos!$G18*$U$13,Pedidos!$E18=$T$14,Pedidos!$G18*$U$14,Pedidos!$E18=$T$15,Pedidos!$G18*$U$15,Pedidos!$E18=$T$15,Pedidos!$G18*$U$15,Pedidos!$E18=$T$16,Pedidos!$G18*$U$16,Pedidos!$E18=$T$17,Pedidos!$G18*$U$17,Pedidos!$E18=$T$18,Pedidos!$G18*$U$18,Pedidos!$E18=$T$20,Pedidos!$G18*$U$20,Pedidos!$E18=$T$21,Pedidos!$G18*$U$21,Pedidos!$E18=$T$22,Pedidos!$G18*$U$22,Pedidos!$E18=$T$23,Pedidos!$G18*$U$23,Pedidos!$E18=$T$24,Pedidos!$G18*$U$24,Pedidos!$E18=$T$25,Pedidos!$G18*$U$25,Pedidos!$E18=$T$26,Pedidos!$G18*$U$26,Pedidos!$E18=$T$27,Pedidos!$G18*$U$27,Pedidos!$E18=$T$28,Pedidos!$G18*$U$28,Pedidos!$E18=$T$29,Pedidos!$G18*$U$29,Pedidos!$E18=$T$31,Pedidos!$G18*$U$31,Pedidos!$E18=$T$32,Pedidos!$G18*$U$32,Pedidos!$E18=$T$33,Pedidos!$G18*$U$33,Pedidos!$E18=$T$34,Pedidos!$G18*$U$34,Pedidos!$E18=$T$35,Pedidos!$G18*$U$35,Pedidos!$E18=$T$36,Pedidos!$G18*$U$36,Pedidos!$E18=$T$37,Pedidos!$G18*$U$37,Pedidos!$E18=$T$38,Pedidos!$G18*$U$38,Pedidos!$E18=$T$40,Pedidos!$G18*$U$40,Pedidos!$E18=$T$41,Pedidos!$G18*$U$41,Pedidos!$E18=$T$42,Pedidos!$G18*$U$42,Pedidos!$E18=$T$43,Pedidos!$G18*$U$43,Pedidos!$E18=$T$44,Pedidos!$G18*$U$44,Pedidos!$E18=$T$45,Pedidos!$G18*$U$45,Pedidos!$E18=$T$46,Pedidos!$G18*$U$46,Pedidos!$E18=$T$47,Pedidos!$G18*$U$47,Pedidos!$E18=$T$48,Pedidos!$G18*$U$48,Pedidos!$E18=$T$49,Pedidos!$G18*$U$49,Pedidos!$E18=$T$50,Pedidos!$G18*$U$50,Pedidos!$E18=$T$51,Pedidos!$G18*$U$51,Pedidos!$E18=$T$52,Pedidos!$G18*$U$52,Pedidos!$E18=$T$53,Pedidos!$G18*$U$53,Pedidos!$E18=$T$54,Pedidos!$G18*$U$54,Pedidos!$E18=$T$55,Pedidos!$G18*$U$55,Pedidos!$E18=$T$56,Pedidos!$G18*$U$56,Pedidos!$E18=$T$57,Pedidos!$G18*$U$57,Pedidos!$E18=$T$58,Pedidos!$G18*$U$58,Pedidos!$E18=$T$59,Pedidos!$G18*$U$59,Pedidos!$E18=$T$60,Pedidos!$G18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8" s="72">
        <v>5</v>
      </c>
      <c r="J1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8" s="72"/>
      <c r="L18" s="72">
        <v>5</v>
      </c>
      <c r="M1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8" s="72">
        <v>5</v>
      </c>
      <c r="O18" s="73">
        <f>IFERROR(_xlfn.IFS(Pedidos!$E18=Clientes_Cadastrados!D17,Pedidos!$N18*Clientes_Cadastrados!K17,Pedidos!$E18=Clientes_Cadastrados!D18,Pedidos!$N18*Clientes_Cadastrados!K18,Pedidos!$E18=Clientes_Cadastrados!D19,Pedidos!$N18*Clientes_Cadastrados!K19,Pedidos!$E18=Clientes_Cadastrados!D20,Pedidos!$N18*Clientes_Cadastrados!K20,Pedidos!$E18=Clientes_Cadastrados!D21,Pedidos!$N18*Clientes_Cadastrados!K21,Pedidos!$E18=Clientes_Cadastrados!D22,Pedidos!$N18*Clientes_Cadastrados!K22,Pedidos!$E18=Clientes_Cadastrados!D23,Pedidos!$N18*Clientes_Cadastrados!K23,Pedidos!$E18=Clientes_Cadastrados!D24,Pedidos!$N18*Clientes_Cadastrados!K24,Pedidos!$E18=Clientes_Cadastrados!D25,Pedidos!$N18*Clientes_Cadastrados!K25,Pedidos!$E18=Clientes_Cadastrados!D26,Pedidos!$N18*Clientes_Cadastrados!K26,Pedidos!$E18=Clientes_Cadastrados!D27,Pedidos!$N18*Clientes_Cadastrados!K27,Pedidos!$E18=Clientes_Cadastrados!D28,Pedidos!$N18*Clientes_Cadastrados!K28,Pedidos!$E18=Clientes_Cadastrados!D29,Pedidos!$N18*Clientes_Cadastrados!K29,Pedidos!$E18=Clientes_Cadastrados!D30,Pedidos!$N18*Clientes_Cadastrados!K30,Pedidos!$E18=Clientes_Cadastrados!D31,Pedidos!$N18*Clientes_Cadastrados!K31,Pedidos!$E18=Clientes_Cadastrados!D32,Pedidos!$N18*Clientes_Cadastrados!K32,Pedidos!$E18=Clientes_Cadastrados!D33,Pedidos!$N18*Clientes_Cadastrados!K33,Pedidos!$E18=Clientes_Cadastrados!D34,Pedidos!$N18*Clientes_Cadastrados!K34,Pedidos!$E18=Clientes_Cadastrados!D36,Pedidos!$N18*Clientes_Cadastrados!K36,Pedidos!$E18=Clientes_Cadastrados!D37,Pedidos!$N18*Clientes_Cadastrados!K37,Pedidos!$E18=Clientes_Cadastrados!D38,Pedidos!$N18*Clientes_Cadastrados!K38,Pedidos!$E18=Clientes_Cadastrados!D39,Pedidos!$N18*Clientes_Cadastrados!K39,Pedidos!$E18=Clientes_Cadastrados!D40,Pedidos!$N18*Clientes_Cadastrados!K40,Pedidos!$E18=Clientes_Cadastrados!D41,Pedidos!$N18*Clientes_Cadastrados!K41,Pedidos!$E18=Clientes_Cadastrados!D42,Pedidos!$N18*Clientes_Cadastrados!K42,Pedidos!$E18=Clientes_Cadastrados!D43,Pedidos!$N18*Clientes_Cadastrados!K43,Pedidos!$E18=Clientes_Cadastrados!D44,Pedidos!$N18*Clientes_Cadastrados!K44,Pedidos!$E18=Clientes_Cadastrados!D45,Pedidos!$N18*Clientes_Cadastrados!K45,Pedidos!$E18=Clientes_Cadastrados!D46,Pedidos!$N18*Clientes_Cadastrados!K46,Pedidos!$E18=Clientes_Cadastrados!D47,Pedidos!$N18*Clientes_Cadastrados!K47,Pedidos!$E18=Clientes_Cadastrados!D48,Pedidos!$N18*Clientes_Cadastrados!K48,Pedidos!$E18=Clientes_Cadastrados!D49,Pedidos!$N18*Clientes_Cadastrados!K49,Pedidos!$E18=Clientes_Cadastrados!D50,Pedidos!$N18*Clientes_Cadastrados!K50,Pedidos!$E18=Clientes_Cadastrados!D51,Pedidos!$N18*Clientes_Cadastrados!K51,Pedidos!$E18=Clientes_Cadastrados!D52,Pedidos!$N18*Clientes_Cadastrados!K52,Pedidos!$E18=Clientes_Cadastrados!D53,Pedidos!$N18*Clientes_Cadastrados!K53,Pedidos!$E18=Clientes_Cadastrados!D54,Pedidos!$N18*Clientes_Cadastrados!K54,Pedidos!$E18=Clientes_Cadastrados!D55,Pedidos!$N18*Clientes_Cadastrados!K55,Pedidos!$E18=Clientes_Cadastrados!D56,Pedidos!$N18*Clientes_Cadastrados!K56,Pedidos!$E18=Clientes_Cadastrados!D57,Pedidos!$N18*Clientes_Cadastrados!K57,Pedidos!$E18=Clientes_Cadastrados!D58,Pedidos!$N18*Clientes_Cadastrados!K58,Pedidos!$E18=Clientes_Cadastrados!D59,Pedidos!$N18*Clientes_Cadastrados!K59,Pedidos!$E18=Clientes_Cadastrados!D60,Pedidos!$N18*Clientes_Cadastrados!K60,Pedidos!$E18=Clientes_Cadastrados!D61,Pedidos!$N18*Clientes_Cadastrados!K61,Pedidos!$E18=Clientes_Cadastrados!D62,Pedidos!$N18*Clientes_Cadastrados!K62,Pedidos!$E18=Clientes_Cadastrados!D63,Pedidos!$N18*Clientes_Cadastrados!K63,Pedidos!$E18=Clientes_Cadastrados!D64,Pedidos!$N18*Clientes_Cadastrados!K64,Pedidos!$E18=Clientes_Cadastrados!D65,Pedidos!$N18*Clientes_Cadastrados!K65,Pedidos!$E18=Clientes_Cadastrados!D66,Pedidos!$N18*Clientes_Cadastrados!K66,Pedidos!$E18=Clientes_Cadastrados!D67,Pedidos!$N18*Clientes_Cadastrados!K67,Pedidos!$E18=Clientes_Cadastrados!D68,Pedidos!$N18*Clientes_Cadastrados!K68,Pedidos!$E18=Clientes_Cadastrados!D69,Pedidos!$N18*Clientes_Cadastrados!K69,Pedidos!$E18=Clientes_Cadastrados!D70,Pedidos!$N18*Clientes_Cadastrados!K70,Pedidos!$E18=Clientes_Cadastrados!D71,Pedidos!$N18*Clientes_Cadastrados!K71,Pedidos!$E18=Clientes_Cadastrados!D72,Pedidos!$N18*Clientes_Cadastrados!K72,Pedidos!$E18=Clientes_Cadastrados!D73,Pedidos!$N18*Clientes_Cadastrados!K73)," 0")</f>
        <v>697.5</v>
      </c>
      <c r="P18" s="73">
        <f>Tabela2[[#This Row],[Preço 15kg]]+Tabela2[[#This Row],[Preço 5kg]]+Tabela2[[#This Row],[Preço Pele 12kg]]+O18</f>
        <v>2317.5</v>
      </c>
      <c r="R18" s="30"/>
      <c r="S18" s="5">
        <v>14</v>
      </c>
      <c r="T18" s="8" t="s">
        <v>79</v>
      </c>
      <c r="U18" s="2">
        <f>Clientes_Cadastrados!E19</f>
        <v>103.5</v>
      </c>
      <c r="V18" s="2">
        <f>Clientes_Cadastrados!F19</f>
        <v>34.5</v>
      </c>
      <c r="W18" s="30"/>
      <c r="X18" s="2">
        <f>Clientes_Cadastrados!J19</f>
        <v>189</v>
      </c>
      <c r="Y18" s="2">
        <f>Clientes_Cadastrados!K19</f>
        <v>141.75</v>
      </c>
      <c r="Z18" s="30"/>
    </row>
    <row r="19" spans="3:26" x14ac:dyDescent="0.25">
      <c r="C19" s="93"/>
      <c r="D19" s="75">
        <v>44879</v>
      </c>
      <c r="E19" s="8" t="s">
        <v>79</v>
      </c>
      <c r="F19" s="72">
        <f>Pedidos!$G19+Pedidos!$I19+Pedidos!$L19+Pedidos!$N19</f>
        <v>20</v>
      </c>
      <c r="G19" s="72">
        <v>5</v>
      </c>
      <c r="H19" s="73">
        <f>_xlfn.IFS(Pedidos!$E19=$T$5,Pedidos!$G19*$U$5,Pedidos!$E19=$T$6,Pedidos!$G19*$U$6,Pedidos!$E19=$T$7,Pedidos!$G19*$U$7,Pedidos!$E19=$T$8,Pedidos!$G19*$U$8,Pedidos!$E19=$T$9,Pedidos!$G19*$U$9,Pedidos!$E19=$T$10,Pedidos!$G19*$U$10,Pedidos!$E19=$T$11,Pedidos!$G19*$U$11,Pedidos!$E19=$T$12,Pedidos!$G19*$U$12,Pedidos!$E19=$T$13,Pedidos!$G19*$U$13,Pedidos!$E19=$T$14,Pedidos!$G19*$U$14,Pedidos!$E19=$T$15,Pedidos!$G19*$U$15,Pedidos!$E19=$T$15,Pedidos!$G19*$U$15,Pedidos!$E19=$T$16,Pedidos!$G19*$U$16,Pedidos!$E19=$T$17,Pedidos!$G19*$U$17,Pedidos!$E19=$T$18,Pedidos!$G19*$U$18,Pedidos!$E19=$T$20,Pedidos!$G19*$U$20,Pedidos!$E19=$T$21,Pedidos!$G19*$U$21,Pedidos!$E19=$T$22,Pedidos!$G19*$U$22,Pedidos!$E19=$T$23,Pedidos!$G19*$U$23,Pedidos!$E19=$T$24,Pedidos!$G19*$U$24,Pedidos!$E19=$T$25,Pedidos!$G19*$U$25,Pedidos!$E19=$T$26,Pedidos!$G19*$U$26,Pedidos!$E19=$T$27,Pedidos!$G19*$U$27,Pedidos!$E19=$T$28,Pedidos!$G19*$U$28,Pedidos!$E19=$T$29,Pedidos!$G19*$U$29,Pedidos!$E19=$T$31,Pedidos!$G19*$U$31,Pedidos!$E19=$T$32,Pedidos!$G19*$U$32,Pedidos!$E19=$T$33,Pedidos!$G19*$U$33,Pedidos!$E19=$T$34,Pedidos!$G19*$U$34,Pedidos!$E19=$T$35,Pedidos!$G19*$U$35,Pedidos!$E19=$T$36,Pedidos!$G19*$U$36,Pedidos!$E19=$T$37,Pedidos!$G19*$U$37,Pedidos!$E19=$T$38,Pedidos!$G19*$U$38,Pedidos!$E19=$T$40,Pedidos!$G19*$U$40,Pedidos!$E19=$T$41,Pedidos!$G19*$U$41,Pedidos!$E19=$T$42,Pedidos!$G19*$U$42,Pedidos!$E19=$T$43,Pedidos!$G19*$U$43,Pedidos!$E19=$T$44,Pedidos!$G19*$U$44,Pedidos!$E19=$T$45,Pedidos!$G19*$U$45,Pedidos!$E19=$T$46,Pedidos!$G19*$U$46,Pedidos!$E19=$T$47,Pedidos!$G19*$U$47,Pedidos!$E19=$T$48,Pedidos!$G19*$U$48,Pedidos!$E19=$T$49,Pedidos!$G19*$U$49,Pedidos!$E19=$T$50,Pedidos!$G19*$U$50,Pedidos!$E19=$T$51,Pedidos!$G19*$U$51,Pedidos!$E19=$T$52,Pedidos!$G19*$U$52,Pedidos!$E19=$T$53,Pedidos!$G19*$U$53,Pedidos!$E19=$T$54,Pedidos!$G19*$U$54,Pedidos!$E19=$T$55,Pedidos!$G19*$U$55,Pedidos!$E19=$T$56,Pedidos!$G19*$U$56,Pedidos!$E19=$T$57,Pedidos!$G19*$U$57,Pedidos!$E19=$T$58,Pedidos!$G19*$U$58,Pedidos!$E19=$T$59,Pedidos!$G19*$U$59,Pedidos!$E19=$T$60,Pedidos!$G19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9" s="72">
        <v>5</v>
      </c>
      <c r="J1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9" s="72"/>
      <c r="L19" s="72">
        <v>5</v>
      </c>
      <c r="M1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19" s="72">
        <v>5</v>
      </c>
      <c r="O19" s="73">
        <f>IFERROR(_xlfn.IFS(Pedidos!$E19=Clientes_Cadastrados!D18,Pedidos!$N19*Clientes_Cadastrados!K18,Pedidos!$E19=Clientes_Cadastrados!D19,Pedidos!$N19*Clientes_Cadastrados!K19,Pedidos!$E19=Clientes_Cadastrados!D20,Pedidos!$N19*Clientes_Cadastrados!K20,Pedidos!$E19=Clientes_Cadastrados!D21,Pedidos!$N19*Clientes_Cadastrados!K21,Pedidos!$E19=Clientes_Cadastrados!D22,Pedidos!$N19*Clientes_Cadastrados!K22,Pedidos!$E19=Clientes_Cadastrados!D23,Pedidos!$N19*Clientes_Cadastrados!K23,Pedidos!$E19=Clientes_Cadastrados!D24,Pedidos!$N19*Clientes_Cadastrados!K24,Pedidos!$E19=Clientes_Cadastrados!D25,Pedidos!$N19*Clientes_Cadastrados!K25,Pedidos!$E19=Clientes_Cadastrados!D26,Pedidos!$N19*Clientes_Cadastrados!K26,Pedidos!$E19=Clientes_Cadastrados!D27,Pedidos!$N19*Clientes_Cadastrados!K27,Pedidos!$E19=Clientes_Cadastrados!D28,Pedidos!$N19*Clientes_Cadastrados!K28,Pedidos!$E19=Clientes_Cadastrados!D29,Pedidos!$N19*Clientes_Cadastrados!K29,Pedidos!$E19=Clientes_Cadastrados!D30,Pedidos!$N19*Clientes_Cadastrados!K30,Pedidos!$E19=Clientes_Cadastrados!D31,Pedidos!$N19*Clientes_Cadastrados!K31,Pedidos!$E19=Clientes_Cadastrados!D32,Pedidos!$N19*Clientes_Cadastrados!K32,Pedidos!$E19=Clientes_Cadastrados!D33,Pedidos!$N19*Clientes_Cadastrados!K33,Pedidos!$E19=Clientes_Cadastrados!D34,Pedidos!$N19*Clientes_Cadastrados!K34,Pedidos!$E19=Clientes_Cadastrados!D35,Pedidos!$N19*Clientes_Cadastrados!K35,Pedidos!$E19=Clientes_Cadastrados!D37,Pedidos!$N19*Clientes_Cadastrados!K37,Pedidos!$E19=Clientes_Cadastrados!D38,Pedidos!$N19*Clientes_Cadastrados!K38,Pedidos!$E19=Clientes_Cadastrados!D39,Pedidos!$N19*Clientes_Cadastrados!K39,Pedidos!$E19=Clientes_Cadastrados!D40,Pedidos!$N19*Clientes_Cadastrados!K40,Pedidos!$E19=Clientes_Cadastrados!D41,Pedidos!$N19*Clientes_Cadastrados!K41,Pedidos!$E19=Clientes_Cadastrados!D42,Pedidos!$N19*Clientes_Cadastrados!K42,Pedidos!$E19=Clientes_Cadastrados!D43,Pedidos!$N19*Clientes_Cadastrados!K43,Pedidos!$E19=Clientes_Cadastrados!D44,Pedidos!$N19*Clientes_Cadastrados!K44,Pedidos!$E19=Clientes_Cadastrados!D45,Pedidos!$N19*Clientes_Cadastrados!K45,Pedidos!$E19=Clientes_Cadastrados!D46,Pedidos!$N19*Clientes_Cadastrados!K46,Pedidos!$E19=Clientes_Cadastrados!D47,Pedidos!$N19*Clientes_Cadastrados!K47,Pedidos!$E19=Clientes_Cadastrados!D48,Pedidos!$N19*Clientes_Cadastrados!K48,Pedidos!$E19=Clientes_Cadastrados!D49,Pedidos!$N19*Clientes_Cadastrados!K49,Pedidos!$E19=Clientes_Cadastrados!D50,Pedidos!$N19*Clientes_Cadastrados!K50,Pedidos!$E19=Clientes_Cadastrados!D51,Pedidos!$N19*Clientes_Cadastrados!K51,Pedidos!$E19=Clientes_Cadastrados!D52,Pedidos!$N19*Clientes_Cadastrados!K52,Pedidos!$E19=Clientes_Cadastrados!D53,Pedidos!$N19*Clientes_Cadastrados!K53,Pedidos!$E19=Clientes_Cadastrados!D54,Pedidos!$N19*Clientes_Cadastrados!K54,Pedidos!$E19=Clientes_Cadastrados!D55,Pedidos!$N19*Clientes_Cadastrados!K55,Pedidos!$E19=Clientes_Cadastrados!D56,Pedidos!$N19*Clientes_Cadastrados!K56,Pedidos!$E19=Clientes_Cadastrados!D57,Pedidos!$N19*Clientes_Cadastrados!K57,Pedidos!$E19=Clientes_Cadastrados!D58,Pedidos!$N19*Clientes_Cadastrados!K58,Pedidos!$E19=Clientes_Cadastrados!D59,Pedidos!$N19*Clientes_Cadastrados!K59,Pedidos!$E19=Clientes_Cadastrados!D60,Pedidos!$N19*Clientes_Cadastrados!K60,Pedidos!$E19=Clientes_Cadastrados!D61,Pedidos!$N19*Clientes_Cadastrados!K61,Pedidos!$E19=Clientes_Cadastrados!D62,Pedidos!$N19*Clientes_Cadastrados!K62,Pedidos!$E19=Clientes_Cadastrados!D63,Pedidos!$N19*Clientes_Cadastrados!K63,Pedidos!$E19=Clientes_Cadastrados!D64,Pedidos!$N19*Clientes_Cadastrados!K64,Pedidos!$E19=Clientes_Cadastrados!D65,Pedidos!$N19*Clientes_Cadastrados!K65,Pedidos!$E19=Clientes_Cadastrados!D66,Pedidos!$N19*Clientes_Cadastrados!K66,Pedidos!$E19=Clientes_Cadastrados!D67,Pedidos!$N19*Clientes_Cadastrados!K67,Pedidos!$E19=Clientes_Cadastrados!D68,Pedidos!$N19*Clientes_Cadastrados!K68,Pedidos!$E19=Clientes_Cadastrados!D69,Pedidos!$N19*Clientes_Cadastrados!K69,Pedidos!$E19=Clientes_Cadastrados!D70,Pedidos!$N19*Clientes_Cadastrados!K70,Pedidos!$E19=Clientes_Cadastrados!D71,Pedidos!$N19*Clientes_Cadastrados!K71,Pedidos!$E19=Clientes_Cadastrados!D72,Pedidos!$N19*Clientes_Cadastrados!K72,Pedidos!$E19=Clientes_Cadastrados!D73,Pedidos!$N19*Clientes_Cadastrados!K73,Pedidos!$E19=Clientes_Cadastrados!D74,Pedidos!$N19*Clientes_Cadastrados!K74)," 0")</f>
        <v>708.75</v>
      </c>
      <c r="P19" s="73">
        <f>Tabela2[[#This Row],[Preço 15kg]]+Tabela2[[#This Row],[Preço 5kg]]+Tabela2[[#This Row],[Preço Pele 12kg]]+O19</f>
        <v>2343.75</v>
      </c>
      <c r="R19" s="30"/>
      <c r="S19" s="5">
        <v>15</v>
      </c>
      <c r="T19" s="8" t="s">
        <v>80</v>
      </c>
      <c r="U19" s="2">
        <f>Clientes_Cadastrados!E20</f>
        <v>0</v>
      </c>
      <c r="V19" s="2">
        <f>Clientes_Cadastrados!F20</f>
        <v>0</v>
      </c>
      <c r="W19" s="30"/>
      <c r="X19" s="2">
        <f>Clientes_Cadastrados!J20</f>
        <v>189</v>
      </c>
      <c r="Y19" s="2">
        <f>Clientes_Cadastrados!K20</f>
        <v>141.75</v>
      </c>
      <c r="Z19" s="30"/>
    </row>
    <row r="20" spans="3:26" x14ac:dyDescent="0.25">
      <c r="C20" s="93"/>
      <c r="D20" s="74">
        <v>44880</v>
      </c>
      <c r="E20" s="8" t="s">
        <v>80</v>
      </c>
      <c r="F20" s="72">
        <f>Pedidos!$G20+Pedidos!$I20+Pedidos!$L20+Pedidos!$N20</f>
        <v>20</v>
      </c>
      <c r="G20" s="72">
        <v>5</v>
      </c>
      <c r="H20" s="73">
        <f>_xlfn.IFS(Pedidos!$E20=$T$5,Pedidos!$G20*$U$5,Pedidos!$E20=$T$6,Pedidos!$G20*$U$6,Pedidos!$E20=$T$7,Pedidos!$G20*$U$7,Pedidos!$E20=$T$8,Pedidos!$G20*$U$8,Pedidos!$E20=$T$9,Pedidos!$G20*$U$9,Pedidos!$E20=$T$10,Pedidos!$G20*$U$10,Pedidos!$E20=$T$11,Pedidos!$G20*$U$11,Pedidos!$E20=$T$12,Pedidos!$G20*$U$12,Pedidos!$E20=$T$13,Pedidos!$G20*$U$13,Pedidos!$E20=$T$14,Pedidos!$G20*$U$14,Pedidos!$E20=$T$15,Pedidos!$G20*$U$15,Pedidos!$E20=$T$15,Pedidos!$G20*$U$15,Pedidos!$E20=$T$16,Pedidos!$G20*$U$16,Pedidos!$E20=$T$17,Pedidos!$G20*$U$17,Pedidos!$E20=$T$18,Pedidos!$G20*$U$18,Pedidos!$E20=$T$20,Pedidos!$G20*$U$20,Pedidos!$E20=$T$21,Pedidos!$G20*$U$21,Pedidos!$E20=$T$22,Pedidos!$G20*$U$22,Pedidos!$E20=$T$23,Pedidos!$G20*$U$23,Pedidos!$E20=$T$24,Pedidos!$G20*$U$24,Pedidos!$E20=$T$25,Pedidos!$G20*$U$25,Pedidos!$E20=$T$26,Pedidos!$G20*$U$26,Pedidos!$E20=$T$27,Pedidos!$G20*$U$27,Pedidos!$E20=$T$28,Pedidos!$G20*$U$28,Pedidos!$E20=$T$29,Pedidos!$G20*$U$29,Pedidos!$E20=$T$31,Pedidos!$G20*$U$31,Pedidos!$E20=$T$32,Pedidos!$G20*$U$32,Pedidos!$E20=$T$33,Pedidos!$G20*$U$33,Pedidos!$E20=$T$34,Pedidos!$G20*$U$34,Pedidos!$E20=$T$35,Pedidos!$G20*$U$35,Pedidos!$E20=$T$36,Pedidos!$G20*$U$36,Pedidos!$E20=$T$37,Pedidos!$G20*$U$37,Pedidos!$E20=$T$38,Pedidos!$G20*$U$38,Pedidos!$E20=$T$40,Pedidos!$G20*$U$40,Pedidos!$E20=$T$41,Pedidos!$G20*$U$41,Pedidos!$E20=$T$42,Pedidos!$G20*$U$42,Pedidos!$E20=$T$43,Pedidos!$G20*$U$43,Pedidos!$E20=$T$44,Pedidos!$G20*$U$44,Pedidos!$E20=$T$45,Pedidos!$G20*$U$45,Pedidos!$E20=$T$46,Pedidos!$G20*$U$46,Pedidos!$E20=$T$47,Pedidos!$G20*$U$47,Pedidos!$E20=$T$48,Pedidos!$G20*$U$48,Pedidos!$E20=$T$49,Pedidos!$G20*$U$49,Pedidos!$E20=$T$50,Pedidos!$G20*$U$50,Pedidos!$E20=$T$51,Pedidos!$G20*$U$51,Pedidos!$E20=$T$52,Pedidos!$G20*$U$52,Pedidos!$E20=$T$53,Pedidos!$G20*$U$53,Pedidos!$E20=$T$54,Pedidos!$G20*$U$54,Pedidos!$E20=$T$55,Pedidos!$G20*$U$55,Pedidos!$E20=$T$56,Pedidos!$G20*$U$56,Pedidos!$E20=$T$57,Pedidos!$G20*$U$57,Pedidos!$E20=$T$58,Pedidos!$G20*$U$58,Pedidos!$E20=$T$59,Pedidos!$G20*$U$59,Pedidos!$E20=$T$60,Pedidos!$G20*$U$60,Tabela2[[#This Row],[Cliente]]=$T$19,Tabela2[[#This Row],[Qtd.Sal(5kg)]]*$U$19,Tabela2[[#This Row],[Cliente]]=$T$30,Tabela2[[#This Row],[Qtd.Sal(5kg)]]*$V$30,Tabela2[[#This Row],[Cliente]]=$T$39,Tabela2[[#This Row],[Qtd.Sal(5kg)]]*$V$39)</f>
        <v>0</v>
      </c>
      <c r="I20" s="72">
        <v>5</v>
      </c>
      <c r="J2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0</v>
      </c>
      <c r="K20" s="72"/>
      <c r="L20" s="72">
        <v>5</v>
      </c>
      <c r="M2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0" s="72">
        <v>5</v>
      </c>
      <c r="O20" s="73">
        <f>IFERROR(_xlfn.IFS(Pedidos!$E20=Clientes_Cadastrados!D19,Pedidos!$N20*Clientes_Cadastrados!K19,Pedidos!$E20=Clientes_Cadastrados!D20,Pedidos!$N20*Clientes_Cadastrados!K20,Pedidos!$E20=Clientes_Cadastrados!D21,Pedidos!$N20*Clientes_Cadastrados!K21,Pedidos!$E20=Clientes_Cadastrados!D22,Pedidos!$N20*Clientes_Cadastrados!K22,Pedidos!$E20=Clientes_Cadastrados!D23,Pedidos!$N20*Clientes_Cadastrados!K23,Pedidos!$E20=Clientes_Cadastrados!D24,Pedidos!$N20*Clientes_Cadastrados!K24,Pedidos!$E20=Clientes_Cadastrados!D25,Pedidos!$N20*Clientes_Cadastrados!K25,Pedidos!$E20=Clientes_Cadastrados!D26,Pedidos!$N20*Clientes_Cadastrados!K26,Pedidos!$E20=Clientes_Cadastrados!D27,Pedidos!$N20*Clientes_Cadastrados!K27,Pedidos!$E20=Clientes_Cadastrados!D28,Pedidos!$N20*Clientes_Cadastrados!K28,Pedidos!$E20=Clientes_Cadastrados!D29,Pedidos!$N20*Clientes_Cadastrados!K29,Pedidos!$E20=Clientes_Cadastrados!D30,Pedidos!$N20*Clientes_Cadastrados!K30,Pedidos!$E20=Clientes_Cadastrados!D31,Pedidos!$N20*Clientes_Cadastrados!K31,Pedidos!$E20=Clientes_Cadastrados!D32,Pedidos!$N20*Clientes_Cadastrados!K32,Pedidos!$E20=Clientes_Cadastrados!D33,Pedidos!$N20*Clientes_Cadastrados!K33,Pedidos!$E20=Clientes_Cadastrados!D34,Pedidos!$N20*Clientes_Cadastrados!K34,Pedidos!$E20=Clientes_Cadastrados!D35,Pedidos!$N20*Clientes_Cadastrados!K35,Pedidos!$E20=Clientes_Cadastrados!D36,Pedidos!$N20*Clientes_Cadastrados!K36,Pedidos!$E20=Clientes_Cadastrados!D38,Pedidos!$N20*Clientes_Cadastrados!K38,Pedidos!$E20=Clientes_Cadastrados!D39,Pedidos!$N20*Clientes_Cadastrados!K39,Pedidos!$E20=Clientes_Cadastrados!D40,Pedidos!$N20*Clientes_Cadastrados!K40,Pedidos!$E20=Clientes_Cadastrados!D41,Pedidos!$N20*Clientes_Cadastrados!K41,Pedidos!$E20=Clientes_Cadastrados!D42,Pedidos!$N20*Clientes_Cadastrados!K42,Pedidos!$E20=Clientes_Cadastrados!D43,Pedidos!$N20*Clientes_Cadastrados!K43,Pedidos!$E20=Clientes_Cadastrados!D44,Pedidos!$N20*Clientes_Cadastrados!K44,Pedidos!$E20=Clientes_Cadastrados!D45,Pedidos!$N20*Clientes_Cadastrados!K45,Pedidos!$E20=Clientes_Cadastrados!D46,Pedidos!$N20*Clientes_Cadastrados!K46,Pedidos!$E20=Clientes_Cadastrados!D47,Pedidos!$N20*Clientes_Cadastrados!K47,Pedidos!$E20=Clientes_Cadastrados!D48,Pedidos!$N20*Clientes_Cadastrados!K48,Pedidos!$E20=Clientes_Cadastrados!D49,Pedidos!$N20*Clientes_Cadastrados!K49,Pedidos!$E20=Clientes_Cadastrados!D50,Pedidos!$N20*Clientes_Cadastrados!K50,Pedidos!$E20=Clientes_Cadastrados!D51,Pedidos!$N20*Clientes_Cadastrados!K51,Pedidos!$E20=Clientes_Cadastrados!D52,Pedidos!$N20*Clientes_Cadastrados!K52,Pedidos!$E20=Clientes_Cadastrados!D53,Pedidos!$N20*Clientes_Cadastrados!K53,Pedidos!$E20=Clientes_Cadastrados!D54,Pedidos!$N20*Clientes_Cadastrados!K54,Pedidos!$E20=Clientes_Cadastrados!D55,Pedidos!$N20*Clientes_Cadastrados!K55,Pedidos!$E20=Clientes_Cadastrados!D56,Pedidos!$N20*Clientes_Cadastrados!K56,Pedidos!$E20=Clientes_Cadastrados!D57,Pedidos!$N20*Clientes_Cadastrados!K57,Pedidos!$E20=Clientes_Cadastrados!D58,Pedidos!$N20*Clientes_Cadastrados!K58,Pedidos!$E20=Clientes_Cadastrados!D59,Pedidos!$N20*Clientes_Cadastrados!K59,Pedidos!$E20=Clientes_Cadastrados!D60,Pedidos!$N20*Clientes_Cadastrados!K60,Pedidos!$E20=Clientes_Cadastrados!D61,Pedidos!$N20*Clientes_Cadastrados!K61,Pedidos!$E20=Clientes_Cadastrados!D62,Pedidos!$N20*Clientes_Cadastrados!K62,Pedidos!$E20=Clientes_Cadastrados!D63,Pedidos!$N20*Clientes_Cadastrados!K63,Pedidos!$E20=Clientes_Cadastrados!D64,Pedidos!$N20*Clientes_Cadastrados!K64,Pedidos!$E20=Clientes_Cadastrados!D65,Pedidos!$N20*Clientes_Cadastrados!K65,Pedidos!$E20=Clientes_Cadastrados!D66,Pedidos!$N20*Clientes_Cadastrados!K66,Pedidos!$E20=Clientes_Cadastrados!D67,Pedidos!$N20*Clientes_Cadastrados!K67,Pedidos!$E20=Clientes_Cadastrados!D68,Pedidos!$N20*Clientes_Cadastrados!K68,Pedidos!$E20=Clientes_Cadastrados!D69,Pedidos!$N20*Clientes_Cadastrados!K69,Pedidos!$E20=Clientes_Cadastrados!D70,Pedidos!$N20*Clientes_Cadastrados!K70,Pedidos!$E20=Clientes_Cadastrados!D71,Pedidos!$N20*Clientes_Cadastrados!K71,Pedidos!$E20=Clientes_Cadastrados!D72,Pedidos!$N20*Clientes_Cadastrados!K72,Pedidos!$E20=Clientes_Cadastrados!D73,Pedidos!$N20*Clientes_Cadastrados!K73,Pedidos!$E20=Clientes_Cadastrados!D74,Pedidos!$N20*Clientes_Cadastrados!K74,Pedidos!$E20=Clientes_Cadastrados!D75,Pedidos!$N20*Clientes_Cadastrados!K75)," 0")</f>
        <v>708.75</v>
      </c>
      <c r="P20" s="73">
        <f>Tabela2[[#This Row],[Preço 15kg]]+Tabela2[[#This Row],[Preço 5kg]]+Tabela2[[#This Row],[Preço Pele 12kg]]+O20</f>
        <v>1653.75</v>
      </c>
      <c r="R20" s="30"/>
      <c r="S20" s="5">
        <v>16</v>
      </c>
      <c r="T20" s="8" t="s">
        <v>81</v>
      </c>
      <c r="U20" s="2">
        <f>Clientes_Cadastrados!E21</f>
        <v>142.5</v>
      </c>
      <c r="V20" s="2">
        <f>Clientes_Cadastrados!F21</f>
        <v>47.5</v>
      </c>
      <c r="W20" s="30"/>
      <c r="X20" s="2">
        <f>Clientes_Cadastrados!J21</f>
        <v>189</v>
      </c>
      <c r="Y20" s="2">
        <f>Clientes_Cadastrados!K21</f>
        <v>141.75</v>
      </c>
      <c r="Z20" s="30"/>
    </row>
    <row r="21" spans="3:26" x14ac:dyDescent="0.25">
      <c r="C21" s="93"/>
      <c r="D21" s="75">
        <v>44881</v>
      </c>
      <c r="E21" s="8" t="s">
        <v>81</v>
      </c>
      <c r="F21" s="72">
        <f>Pedidos!$G21+Pedidos!$I21+Pedidos!$L21+Pedidos!$N21</f>
        <v>20</v>
      </c>
      <c r="G21" s="72">
        <v>5</v>
      </c>
      <c r="H21" s="73">
        <f>_xlfn.IFS(Pedidos!$E21=$T$5,Pedidos!$G21*$U$5,Pedidos!$E21=$T$6,Pedidos!$G21*$U$6,Pedidos!$E21=$T$7,Pedidos!$G21*$U$7,Pedidos!$E21=$T$8,Pedidos!$G21*$U$8,Pedidos!$E21=$T$9,Pedidos!$G21*$U$9,Pedidos!$E21=$T$10,Pedidos!$G21*$U$10,Pedidos!$E21=$T$11,Pedidos!$G21*$U$11,Pedidos!$E21=$T$12,Pedidos!$G21*$U$12,Pedidos!$E21=$T$13,Pedidos!$G21*$U$13,Pedidos!$E21=$T$14,Pedidos!$G21*$U$14,Pedidos!$E21=$T$15,Pedidos!$G21*$U$15,Pedidos!$E21=$T$15,Pedidos!$G21*$U$15,Pedidos!$E21=$T$16,Pedidos!$G21*$U$16,Pedidos!$E21=$T$17,Pedidos!$G21*$U$17,Pedidos!$E21=$T$18,Pedidos!$G21*$U$18,Pedidos!$E21=$T$20,Pedidos!$G21*$U$20,Pedidos!$E21=$T$21,Pedidos!$G21*$U$21,Pedidos!$E21=$T$22,Pedidos!$G21*$U$22,Pedidos!$E21=$T$23,Pedidos!$G21*$U$23,Pedidos!$E21=$T$24,Pedidos!$G21*$U$24,Pedidos!$E21=$T$25,Pedidos!$G21*$U$25,Pedidos!$E21=$T$26,Pedidos!$G21*$U$26,Pedidos!$E21=$T$27,Pedidos!$G21*$U$27,Pedidos!$E21=$T$28,Pedidos!$G21*$U$28,Pedidos!$E21=$T$29,Pedidos!$G21*$U$29,Pedidos!$E21=$T$31,Pedidos!$G21*$U$31,Pedidos!$E21=$T$32,Pedidos!$G21*$U$32,Pedidos!$E21=$T$33,Pedidos!$G21*$U$33,Pedidos!$E21=$T$34,Pedidos!$G21*$U$34,Pedidos!$E21=$T$35,Pedidos!$G21*$U$35,Pedidos!$E21=$T$36,Pedidos!$G21*$U$36,Pedidos!$E21=$T$37,Pedidos!$G21*$U$37,Pedidos!$E21=$T$38,Pedidos!$G21*$U$38,Pedidos!$E21=$T$40,Pedidos!$G21*$U$40,Pedidos!$E21=$T$41,Pedidos!$G21*$U$41,Pedidos!$E21=$T$42,Pedidos!$G21*$U$42,Pedidos!$E21=$T$43,Pedidos!$G21*$U$43,Pedidos!$E21=$T$44,Pedidos!$G21*$U$44,Pedidos!$E21=$T$45,Pedidos!$G21*$U$45,Pedidos!$E21=$T$46,Pedidos!$G21*$U$46,Pedidos!$E21=$T$47,Pedidos!$G21*$U$47,Pedidos!$E21=$T$48,Pedidos!$G21*$U$48,Pedidos!$E21=$T$49,Pedidos!$G21*$U$49,Pedidos!$E21=$T$50,Pedidos!$G21*$U$50,Pedidos!$E21=$T$51,Pedidos!$G21*$U$51,Pedidos!$E21=$T$52,Pedidos!$G21*$U$52,Pedidos!$E21=$T$53,Pedidos!$G21*$U$53,Pedidos!$E21=$T$54,Pedidos!$G21*$U$54,Pedidos!$E21=$T$55,Pedidos!$G21*$U$55,Pedidos!$E21=$T$56,Pedidos!$G21*$U$56,Pedidos!$E21=$T$57,Pedidos!$G21*$U$57,Pedidos!$E21=$T$58,Pedidos!$G21*$U$58,Pedidos!$E21=$T$59,Pedidos!$G21*$U$59,Pedidos!$E21=$T$60,Pedidos!$G21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1" s="72">
        <v>5</v>
      </c>
      <c r="J2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1" s="72"/>
      <c r="L21" s="72">
        <v>5</v>
      </c>
      <c r="M2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1" s="72">
        <v>5</v>
      </c>
      <c r="O21" s="73">
        <f>IFERROR(_xlfn.IFS(Pedidos!$E21=Clientes_Cadastrados!D20,Pedidos!$N21*Clientes_Cadastrados!K20,Pedidos!$E21=Clientes_Cadastrados!D21,Pedidos!$N21*Clientes_Cadastrados!K21,Pedidos!$E21=Clientes_Cadastrados!D22,Pedidos!$N21*Clientes_Cadastrados!K22,Pedidos!$E21=Clientes_Cadastrados!D23,Pedidos!$N21*Clientes_Cadastrados!K23,Pedidos!$E21=Clientes_Cadastrados!D24,Pedidos!$N21*Clientes_Cadastrados!K24,Pedidos!$E21=Clientes_Cadastrados!D25,Pedidos!$N21*Clientes_Cadastrados!K25,Pedidos!$E21=Clientes_Cadastrados!D26,Pedidos!$N21*Clientes_Cadastrados!K26,Pedidos!$E21=Clientes_Cadastrados!D27,Pedidos!$N21*Clientes_Cadastrados!K27,Pedidos!$E21=Clientes_Cadastrados!D28,Pedidos!$N21*Clientes_Cadastrados!K28,Pedidos!$E21=Clientes_Cadastrados!D29,Pedidos!$N21*Clientes_Cadastrados!K29,Pedidos!$E21=Clientes_Cadastrados!D30,Pedidos!$N21*Clientes_Cadastrados!K30,Pedidos!$E21=Clientes_Cadastrados!D31,Pedidos!$N21*Clientes_Cadastrados!K31,Pedidos!$E21=Clientes_Cadastrados!D32,Pedidos!$N21*Clientes_Cadastrados!K32,Pedidos!$E21=Clientes_Cadastrados!D33,Pedidos!$N21*Clientes_Cadastrados!K33,Pedidos!$E21=Clientes_Cadastrados!D34,Pedidos!$N21*Clientes_Cadastrados!K34,Pedidos!$E21=Clientes_Cadastrados!D35,Pedidos!$N21*Clientes_Cadastrados!K35,Pedidos!$E21=Clientes_Cadastrados!D36,Pedidos!$N21*Clientes_Cadastrados!K36,Pedidos!$E21=Clientes_Cadastrados!D37,Pedidos!$N21*Clientes_Cadastrados!K37,Pedidos!$E21=Clientes_Cadastrados!D39,Pedidos!$N21*Clientes_Cadastrados!K39,Pedidos!$E21=Clientes_Cadastrados!D40,Pedidos!$N21*Clientes_Cadastrados!K40,Pedidos!$E21=Clientes_Cadastrados!D41,Pedidos!$N21*Clientes_Cadastrados!K41,Pedidos!$E21=Clientes_Cadastrados!D42,Pedidos!$N21*Clientes_Cadastrados!K42,Pedidos!$E21=Clientes_Cadastrados!D43,Pedidos!$N21*Clientes_Cadastrados!K43,Pedidos!$E21=Clientes_Cadastrados!D44,Pedidos!$N21*Clientes_Cadastrados!K44,Pedidos!$E21=Clientes_Cadastrados!D45,Pedidos!$N21*Clientes_Cadastrados!K45,Pedidos!$E21=Clientes_Cadastrados!D46,Pedidos!$N21*Clientes_Cadastrados!K46,Pedidos!$E21=Clientes_Cadastrados!D47,Pedidos!$N21*Clientes_Cadastrados!K47,Pedidos!$E21=Clientes_Cadastrados!D48,Pedidos!$N21*Clientes_Cadastrados!K48,Pedidos!$E21=Clientes_Cadastrados!D49,Pedidos!$N21*Clientes_Cadastrados!K49,Pedidos!$E21=Clientes_Cadastrados!D50,Pedidos!$N21*Clientes_Cadastrados!K50,Pedidos!$E21=Clientes_Cadastrados!D51,Pedidos!$N21*Clientes_Cadastrados!K51,Pedidos!$E21=Clientes_Cadastrados!D52,Pedidos!$N21*Clientes_Cadastrados!K52,Pedidos!$E21=Clientes_Cadastrados!D53,Pedidos!$N21*Clientes_Cadastrados!K53,Pedidos!$E21=Clientes_Cadastrados!D54,Pedidos!$N21*Clientes_Cadastrados!K54,Pedidos!$E21=Clientes_Cadastrados!D55,Pedidos!$N21*Clientes_Cadastrados!K55,Pedidos!$E21=Clientes_Cadastrados!D56,Pedidos!$N21*Clientes_Cadastrados!K56,Pedidos!$E21=Clientes_Cadastrados!D57,Pedidos!$N21*Clientes_Cadastrados!K57,Pedidos!$E21=Clientes_Cadastrados!D58,Pedidos!$N21*Clientes_Cadastrados!K58,Pedidos!$E21=Clientes_Cadastrados!D59,Pedidos!$N21*Clientes_Cadastrados!K59,Pedidos!$E21=Clientes_Cadastrados!D60,Pedidos!$N21*Clientes_Cadastrados!K60,Pedidos!$E21=Clientes_Cadastrados!D61,Pedidos!$N21*Clientes_Cadastrados!K61,Pedidos!$E21=Clientes_Cadastrados!D62,Pedidos!$N21*Clientes_Cadastrados!K62,Pedidos!$E21=Clientes_Cadastrados!D63,Pedidos!$N21*Clientes_Cadastrados!K63,Pedidos!$E21=Clientes_Cadastrados!D64,Pedidos!$N21*Clientes_Cadastrados!K64,Pedidos!$E21=Clientes_Cadastrados!D65,Pedidos!$N21*Clientes_Cadastrados!K65,Pedidos!$E21=Clientes_Cadastrados!D66,Pedidos!$N21*Clientes_Cadastrados!K66,Pedidos!$E21=Clientes_Cadastrados!D67,Pedidos!$N21*Clientes_Cadastrados!K67,Pedidos!$E21=Clientes_Cadastrados!D68,Pedidos!$N21*Clientes_Cadastrados!K68,Pedidos!$E21=Clientes_Cadastrados!D69,Pedidos!$N21*Clientes_Cadastrados!K69,Pedidos!$E21=Clientes_Cadastrados!D70,Pedidos!$N21*Clientes_Cadastrados!K70,Pedidos!$E21=Clientes_Cadastrados!D71,Pedidos!$N21*Clientes_Cadastrados!K71,Pedidos!$E21=Clientes_Cadastrados!D72,Pedidos!$N21*Clientes_Cadastrados!K72,Pedidos!$E21=Clientes_Cadastrados!D73,Pedidos!$N21*Clientes_Cadastrados!K73,Pedidos!$E21=Clientes_Cadastrados!D74,Pedidos!$N21*Clientes_Cadastrados!K74,Pedidos!$E21=Clientes_Cadastrados!D75,Pedidos!$N21*Clientes_Cadastrados!K75,Pedidos!$E21=Clientes_Cadastrados!D76,Pedidos!$N21*Clientes_Cadastrados!K76)," 0")</f>
        <v>708.75</v>
      </c>
      <c r="P21" s="73">
        <f>Tabela2[[#This Row],[Preço 15kg]]+Tabela2[[#This Row],[Preço 5kg]]+Tabela2[[#This Row],[Preço Pele 12kg]]+O21</f>
        <v>2603.75</v>
      </c>
      <c r="R21" s="30"/>
      <c r="S21" s="5">
        <v>17</v>
      </c>
      <c r="T21" s="8" t="s">
        <v>82</v>
      </c>
      <c r="U21" s="2">
        <f>Clientes_Cadastrados!E22</f>
        <v>103.5</v>
      </c>
      <c r="V21" s="2">
        <f>Clientes_Cadastrados!F22</f>
        <v>34.5</v>
      </c>
      <c r="W21" s="30"/>
      <c r="X21" s="2">
        <f>Clientes_Cadastrados!J22</f>
        <v>189</v>
      </c>
      <c r="Y21" s="2">
        <f>Clientes_Cadastrados!K22</f>
        <v>141.75</v>
      </c>
      <c r="Z21" s="30"/>
    </row>
    <row r="22" spans="3:26" x14ac:dyDescent="0.25">
      <c r="C22" s="93"/>
      <c r="D22" s="74">
        <v>44882</v>
      </c>
      <c r="E22" s="8" t="s">
        <v>82</v>
      </c>
      <c r="F22" s="72">
        <f>Pedidos!$G22+Pedidos!$I22+Pedidos!$L22+Pedidos!$N22</f>
        <v>20</v>
      </c>
      <c r="G22" s="72">
        <v>5</v>
      </c>
      <c r="H22" s="73">
        <f>_xlfn.IFS(Pedidos!$E22=$T$5,Pedidos!$G22*$U$5,Pedidos!$E22=$T$6,Pedidos!$G22*$U$6,Pedidos!$E22=$T$7,Pedidos!$G22*$U$7,Pedidos!$E22=$T$8,Pedidos!$G22*$U$8,Pedidos!$E22=$T$9,Pedidos!$G22*$U$9,Pedidos!$E22=$T$10,Pedidos!$G22*$U$10,Pedidos!$E22=$T$11,Pedidos!$G22*$U$11,Pedidos!$E22=$T$12,Pedidos!$G22*$U$12,Pedidos!$E22=$T$13,Pedidos!$G22*$U$13,Pedidos!$E22=$T$14,Pedidos!$G22*$U$14,Pedidos!$E22=$T$15,Pedidos!$G22*$U$15,Pedidos!$E22=$T$15,Pedidos!$G22*$U$15,Pedidos!$E22=$T$16,Pedidos!$G22*$U$16,Pedidos!$E22=$T$17,Pedidos!$G22*$U$17,Pedidos!$E22=$T$18,Pedidos!$G22*$U$18,Pedidos!$E22=$T$20,Pedidos!$G22*$U$20,Pedidos!$E22=$T$21,Pedidos!$G22*$U$21,Pedidos!$E22=$T$22,Pedidos!$G22*$U$22,Pedidos!$E22=$T$23,Pedidos!$G22*$U$23,Pedidos!$E22=$T$24,Pedidos!$G22*$U$24,Pedidos!$E22=$T$25,Pedidos!$G22*$U$25,Pedidos!$E22=$T$26,Pedidos!$G22*$U$26,Pedidos!$E22=$T$27,Pedidos!$G22*$U$27,Pedidos!$E22=$T$28,Pedidos!$G22*$U$28,Pedidos!$E22=$T$29,Pedidos!$G22*$U$29,Pedidos!$E22=$T$31,Pedidos!$G22*$U$31,Pedidos!$E22=$T$32,Pedidos!$G22*$U$32,Pedidos!$E22=$T$33,Pedidos!$G22*$U$33,Pedidos!$E22=$T$34,Pedidos!$G22*$U$34,Pedidos!$E22=$T$35,Pedidos!$G22*$U$35,Pedidos!$E22=$T$36,Pedidos!$G22*$U$36,Pedidos!$E22=$T$37,Pedidos!$G22*$U$37,Pedidos!$E22=$T$38,Pedidos!$G22*$U$38,Pedidos!$E22=$T$40,Pedidos!$G22*$U$40,Pedidos!$E22=$T$41,Pedidos!$G22*$U$41,Pedidos!$E22=$T$42,Pedidos!$G22*$U$42,Pedidos!$E22=$T$43,Pedidos!$G22*$U$43,Pedidos!$E22=$T$44,Pedidos!$G22*$U$44,Pedidos!$E22=$T$45,Pedidos!$G22*$U$45,Pedidos!$E22=$T$46,Pedidos!$G22*$U$46,Pedidos!$E22=$T$47,Pedidos!$G22*$U$47,Pedidos!$E22=$T$48,Pedidos!$G22*$U$48,Pedidos!$E22=$T$49,Pedidos!$G22*$U$49,Pedidos!$E22=$T$50,Pedidos!$G22*$U$50,Pedidos!$E22=$T$51,Pedidos!$G22*$U$51,Pedidos!$E22=$T$52,Pedidos!$G22*$U$52,Pedidos!$E22=$T$53,Pedidos!$G22*$U$53,Pedidos!$E22=$T$54,Pedidos!$G22*$U$54,Pedidos!$E22=$T$55,Pedidos!$G22*$U$55,Pedidos!$E22=$T$56,Pedidos!$G22*$U$56,Pedidos!$E22=$T$57,Pedidos!$G22*$U$57,Pedidos!$E22=$T$58,Pedidos!$G22*$U$58,Pedidos!$E22=$T$59,Pedidos!$G22*$U$59,Pedidos!$E22=$T$60,Pedidos!$G22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2" s="72">
        <v>5</v>
      </c>
      <c r="J2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2" s="72"/>
      <c r="L22" s="72">
        <v>5</v>
      </c>
      <c r="M2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2" s="72">
        <v>5</v>
      </c>
      <c r="O22" s="73">
        <f>IFERROR(_xlfn.IFS(Pedidos!$E22=Clientes_Cadastrados!D21,Pedidos!$N22*Clientes_Cadastrados!K21,Pedidos!$E22=Clientes_Cadastrados!D22,Pedidos!$N22*Clientes_Cadastrados!K22,Pedidos!$E22=Clientes_Cadastrados!D23,Pedidos!$N22*Clientes_Cadastrados!K23,Pedidos!$E22=Clientes_Cadastrados!D24,Pedidos!$N22*Clientes_Cadastrados!K24,Pedidos!$E22=Clientes_Cadastrados!D25,Pedidos!$N22*Clientes_Cadastrados!K25,Pedidos!$E22=Clientes_Cadastrados!D26,Pedidos!$N22*Clientes_Cadastrados!K26,Pedidos!$E22=Clientes_Cadastrados!D27,Pedidos!$N22*Clientes_Cadastrados!K27,Pedidos!$E22=Clientes_Cadastrados!D28,Pedidos!$N22*Clientes_Cadastrados!K28,Pedidos!$E22=Clientes_Cadastrados!D29,Pedidos!$N22*Clientes_Cadastrados!K29,Pedidos!$E22=Clientes_Cadastrados!D30,Pedidos!$N22*Clientes_Cadastrados!K30,Pedidos!$E22=Clientes_Cadastrados!D31,Pedidos!$N22*Clientes_Cadastrados!K31,Pedidos!$E22=Clientes_Cadastrados!D32,Pedidos!$N22*Clientes_Cadastrados!K32,Pedidos!$E22=Clientes_Cadastrados!D33,Pedidos!$N22*Clientes_Cadastrados!K33,Pedidos!$E22=Clientes_Cadastrados!D34,Pedidos!$N22*Clientes_Cadastrados!K34,Pedidos!$E22=Clientes_Cadastrados!D35,Pedidos!$N22*Clientes_Cadastrados!K35,Pedidos!$E22=Clientes_Cadastrados!D36,Pedidos!$N22*Clientes_Cadastrados!K36,Pedidos!$E22=Clientes_Cadastrados!D37,Pedidos!$N22*Clientes_Cadastrados!K37,Pedidos!$E22=Clientes_Cadastrados!D38,Pedidos!$N22*Clientes_Cadastrados!K38,Pedidos!$E22=Clientes_Cadastrados!D40,Pedidos!$N22*Clientes_Cadastrados!K40,Pedidos!$E22=Clientes_Cadastrados!D41,Pedidos!$N22*Clientes_Cadastrados!K41,Pedidos!$E22=Clientes_Cadastrados!D42,Pedidos!$N22*Clientes_Cadastrados!K42,Pedidos!$E22=Clientes_Cadastrados!D43,Pedidos!$N22*Clientes_Cadastrados!K43,Pedidos!$E22=Clientes_Cadastrados!D44,Pedidos!$N22*Clientes_Cadastrados!K44,Pedidos!$E22=Clientes_Cadastrados!D45,Pedidos!$N22*Clientes_Cadastrados!K45,Pedidos!$E22=Clientes_Cadastrados!D46,Pedidos!$N22*Clientes_Cadastrados!K46,Pedidos!$E22=Clientes_Cadastrados!D47,Pedidos!$N22*Clientes_Cadastrados!K47,Pedidos!$E22=Clientes_Cadastrados!D48,Pedidos!$N22*Clientes_Cadastrados!K48,Pedidos!$E22=Clientes_Cadastrados!D49,Pedidos!$N22*Clientes_Cadastrados!K49,Pedidos!$E22=Clientes_Cadastrados!D50,Pedidos!$N22*Clientes_Cadastrados!K50,Pedidos!$E22=Clientes_Cadastrados!D51,Pedidos!$N22*Clientes_Cadastrados!K51,Pedidos!$E22=Clientes_Cadastrados!D52,Pedidos!$N22*Clientes_Cadastrados!K52,Pedidos!$E22=Clientes_Cadastrados!D53,Pedidos!$N22*Clientes_Cadastrados!K53,Pedidos!$E22=Clientes_Cadastrados!D54,Pedidos!$N22*Clientes_Cadastrados!K54,Pedidos!$E22=Clientes_Cadastrados!D55,Pedidos!$N22*Clientes_Cadastrados!K55,Pedidos!$E22=Clientes_Cadastrados!D56,Pedidos!$N22*Clientes_Cadastrados!K56,Pedidos!$E22=Clientes_Cadastrados!D57,Pedidos!$N22*Clientes_Cadastrados!K57,Pedidos!$E22=Clientes_Cadastrados!D58,Pedidos!$N22*Clientes_Cadastrados!K58,Pedidos!$E22=Clientes_Cadastrados!D59,Pedidos!$N22*Clientes_Cadastrados!K59,Pedidos!$E22=Clientes_Cadastrados!D60,Pedidos!$N22*Clientes_Cadastrados!K60,Pedidos!$E22=Clientes_Cadastrados!D61,Pedidos!$N22*Clientes_Cadastrados!K61,Pedidos!$E22=Clientes_Cadastrados!D62,Pedidos!$N22*Clientes_Cadastrados!K62,Pedidos!$E22=Clientes_Cadastrados!D63,Pedidos!$N22*Clientes_Cadastrados!K63,Pedidos!$E22=Clientes_Cadastrados!D64,Pedidos!$N22*Clientes_Cadastrados!K64,Pedidos!$E22=Clientes_Cadastrados!D65,Pedidos!$N22*Clientes_Cadastrados!K65,Pedidos!$E22=Clientes_Cadastrados!D66,Pedidos!$N22*Clientes_Cadastrados!K66,Pedidos!$E22=Clientes_Cadastrados!D67,Pedidos!$N22*Clientes_Cadastrados!K67,Pedidos!$E22=Clientes_Cadastrados!D68,Pedidos!$N22*Clientes_Cadastrados!K68,Pedidos!$E22=Clientes_Cadastrados!D69,Pedidos!$N22*Clientes_Cadastrados!K69,Pedidos!$E22=Clientes_Cadastrados!D70,Pedidos!$N22*Clientes_Cadastrados!K70,Pedidos!$E22=Clientes_Cadastrados!D71,Pedidos!$N22*Clientes_Cadastrados!K71,Pedidos!$E22=Clientes_Cadastrados!D72,Pedidos!$N22*Clientes_Cadastrados!K72,Pedidos!$E22=Clientes_Cadastrados!D73,Pedidos!$N22*Clientes_Cadastrados!K73,Pedidos!$E22=Clientes_Cadastrados!D74,Pedidos!$N22*Clientes_Cadastrados!K74,Pedidos!$E22=Clientes_Cadastrados!D75,Pedidos!$N22*Clientes_Cadastrados!K75,Pedidos!$E22=Clientes_Cadastrados!D76,Pedidos!$N22*Clientes_Cadastrados!K76,Pedidos!$E22=Clientes_Cadastrados!D77,Pedidos!$N22*Clientes_Cadastrados!K77)," 0")</f>
        <v>708.75</v>
      </c>
      <c r="P22" s="73">
        <f>Tabela2[[#This Row],[Preço 15kg]]+Tabela2[[#This Row],[Preço 5kg]]+Tabela2[[#This Row],[Preço Pele 12kg]]+O22</f>
        <v>2343.75</v>
      </c>
      <c r="R22" s="30"/>
      <c r="S22" s="5">
        <v>18</v>
      </c>
      <c r="T22" s="8" t="s">
        <v>83</v>
      </c>
      <c r="U22" s="2">
        <f>Clientes_Cadastrados!E23</f>
        <v>103.5</v>
      </c>
      <c r="V22" s="2">
        <f>Clientes_Cadastrados!F23</f>
        <v>34.5</v>
      </c>
      <c r="W22" s="30"/>
      <c r="X22" s="2">
        <f>Clientes_Cadastrados!J23</f>
        <v>189</v>
      </c>
      <c r="Y22" s="2">
        <f>Clientes_Cadastrados!K23</f>
        <v>141.75</v>
      </c>
      <c r="Z22" s="30"/>
    </row>
    <row r="23" spans="3:26" x14ac:dyDescent="0.25">
      <c r="C23" s="93"/>
      <c r="D23" s="75">
        <v>44883</v>
      </c>
      <c r="E23" s="8" t="s">
        <v>83</v>
      </c>
      <c r="F23" s="72">
        <f>Pedidos!$G23+Pedidos!$I23+Pedidos!$L23+Pedidos!$N23</f>
        <v>20</v>
      </c>
      <c r="G23" s="72">
        <v>5</v>
      </c>
      <c r="H23" s="73">
        <f>_xlfn.IFS(Pedidos!$E23=$T$5,Pedidos!$G23*$U$5,Pedidos!$E23=$T$6,Pedidos!$G23*$U$6,Pedidos!$E23=$T$7,Pedidos!$G23*$U$7,Pedidos!$E23=$T$8,Pedidos!$G23*$U$8,Pedidos!$E23=$T$9,Pedidos!$G23*$U$9,Pedidos!$E23=$T$10,Pedidos!$G23*$U$10,Pedidos!$E23=$T$11,Pedidos!$G23*$U$11,Pedidos!$E23=$T$12,Pedidos!$G23*$U$12,Pedidos!$E23=$T$13,Pedidos!$G23*$U$13,Pedidos!$E23=$T$14,Pedidos!$G23*$U$14,Pedidos!$E23=$T$15,Pedidos!$G23*$U$15,Pedidos!$E23=$T$15,Pedidos!$G23*$U$15,Pedidos!$E23=$T$16,Pedidos!$G23*$U$16,Pedidos!$E23=$T$17,Pedidos!$G23*$U$17,Pedidos!$E23=$T$18,Pedidos!$G23*$U$18,Pedidos!$E23=$T$20,Pedidos!$G23*$U$20,Pedidos!$E23=$T$21,Pedidos!$G23*$U$21,Pedidos!$E23=$T$22,Pedidos!$G23*$U$22,Pedidos!$E23=$T$23,Pedidos!$G23*$U$23,Pedidos!$E23=$T$24,Pedidos!$G23*$U$24,Pedidos!$E23=$T$25,Pedidos!$G23*$U$25,Pedidos!$E23=$T$26,Pedidos!$G23*$U$26,Pedidos!$E23=$T$27,Pedidos!$G23*$U$27,Pedidos!$E23=$T$28,Pedidos!$G23*$U$28,Pedidos!$E23=$T$29,Pedidos!$G23*$U$29,Pedidos!$E23=$T$31,Pedidos!$G23*$U$31,Pedidos!$E23=$T$32,Pedidos!$G23*$U$32,Pedidos!$E23=$T$33,Pedidos!$G23*$U$33,Pedidos!$E23=$T$34,Pedidos!$G23*$U$34,Pedidos!$E23=$T$35,Pedidos!$G23*$U$35,Pedidos!$E23=$T$36,Pedidos!$G23*$U$36,Pedidos!$E23=$T$37,Pedidos!$G23*$U$37,Pedidos!$E23=$T$38,Pedidos!$G23*$U$38,Pedidos!$E23=$T$40,Pedidos!$G23*$U$40,Pedidos!$E23=$T$41,Pedidos!$G23*$U$41,Pedidos!$E23=$T$42,Pedidos!$G23*$U$42,Pedidos!$E23=$T$43,Pedidos!$G23*$U$43,Pedidos!$E23=$T$44,Pedidos!$G23*$U$44,Pedidos!$E23=$T$45,Pedidos!$G23*$U$45,Pedidos!$E23=$T$46,Pedidos!$G23*$U$46,Pedidos!$E23=$T$47,Pedidos!$G23*$U$47,Pedidos!$E23=$T$48,Pedidos!$G23*$U$48,Pedidos!$E23=$T$49,Pedidos!$G23*$U$49,Pedidos!$E23=$T$50,Pedidos!$G23*$U$50,Pedidos!$E23=$T$51,Pedidos!$G23*$U$51,Pedidos!$E23=$T$52,Pedidos!$G23*$U$52,Pedidos!$E23=$T$53,Pedidos!$G23*$U$53,Pedidos!$E23=$T$54,Pedidos!$G23*$U$54,Pedidos!$E23=$T$55,Pedidos!$G23*$U$55,Pedidos!$E23=$T$56,Pedidos!$G23*$U$56,Pedidos!$E23=$T$57,Pedidos!$G23*$U$57,Pedidos!$E23=$T$58,Pedidos!$G23*$U$58,Pedidos!$E23=$T$59,Pedidos!$G23*$U$59,Pedidos!$E23=$T$60,Pedidos!$G23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3" s="72">
        <v>5</v>
      </c>
      <c r="J2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3" s="72"/>
      <c r="L23" s="72">
        <v>5</v>
      </c>
      <c r="M2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3" s="72">
        <v>5</v>
      </c>
      <c r="O23" s="73">
        <f>IFERROR(_xlfn.IFS(Pedidos!$E23=Clientes_Cadastrados!D22,Pedidos!$N23*Clientes_Cadastrados!K22,Pedidos!$E23=Clientes_Cadastrados!D23,Pedidos!$N23*Clientes_Cadastrados!K23,Pedidos!$E23=Clientes_Cadastrados!D24,Pedidos!$N23*Clientes_Cadastrados!K24,Pedidos!$E23=Clientes_Cadastrados!D25,Pedidos!$N23*Clientes_Cadastrados!K25,Pedidos!$E23=Clientes_Cadastrados!D26,Pedidos!$N23*Clientes_Cadastrados!K26,Pedidos!$E23=Clientes_Cadastrados!D27,Pedidos!$N23*Clientes_Cadastrados!K27,Pedidos!$E23=Clientes_Cadastrados!D28,Pedidos!$N23*Clientes_Cadastrados!K28,Pedidos!$E23=Clientes_Cadastrados!D29,Pedidos!$N23*Clientes_Cadastrados!K29,Pedidos!$E23=Clientes_Cadastrados!D30,Pedidos!$N23*Clientes_Cadastrados!K30,Pedidos!$E23=Clientes_Cadastrados!D31,Pedidos!$N23*Clientes_Cadastrados!K31,Pedidos!$E23=Clientes_Cadastrados!D32,Pedidos!$N23*Clientes_Cadastrados!K32,Pedidos!$E23=Clientes_Cadastrados!D33,Pedidos!$N23*Clientes_Cadastrados!K33,Pedidos!$E23=Clientes_Cadastrados!D34,Pedidos!$N23*Clientes_Cadastrados!K34,Pedidos!$E23=Clientes_Cadastrados!D35,Pedidos!$N23*Clientes_Cadastrados!K35,Pedidos!$E23=Clientes_Cadastrados!D36,Pedidos!$N23*Clientes_Cadastrados!K36,Pedidos!$E23=Clientes_Cadastrados!D37,Pedidos!$N23*Clientes_Cadastrados!K37,Pedidos!$E23=Clientes_Cadastrados!D38,Pedidos!$N23*Clientes_Cadastrados!K38,Pedidos!$E23=Clientes_Cadastrados!D39,Pedidos!$N23*Clientes_Cadastrados!K39,Pedidos!$E23=Clientes_Cadastrados!D41,Pedidos!$N23*Clientes_Cadastrados!K41,Pedidos!$E23=Clientes_Cadastrados!D42,Pedidos!$N23*Clientes_Cadastrados!K42,Pedidos!$E23=Clientes_Cadastrados!D43,Pedidos!$N23*Clientes_Cadastrados!K43,Pedidos!$E23=Clientes_Cadastrados!D44,Pedidos!$N23*Clientes_Cadastrados!K44,Pedidos!$E23=Clientes_Cadastrados!D45,Pedidos!$N23*Clientes_Cadastrados!K45,Pedidos!$E23=Clientes_Cadastrados!D46,Pedidos!$N23*Clientes_Cadastrados!K46,Pedidos!$E23=Clientes_Cadastrados!D47,Pedidos!$N23*Clientes_Cadastrados!K47,Pedidos!$E23=Clientes_Cadastrados!D48,Pedidos!$N23*Clientes_Cadastrados!K48,Pedidos!$E23=Clientes_Cadastrados!D49,Pedidos!$N23*Clientes_Cadastrados!K49,Pedidos!$E23=Clientes_Cadastrados!D50,Pedidos!$N23*Clientes_Cadastrados!K50,Pedidos!$E23=Clientes_Cadastrados!D51,Pedidos!$N23*Clientes_Cadastrados!K51,Pedidos!$E23=Clientes_Cadastrados!D52,Pedidos!$N23*Clientes_Cadastrados!K52,Pedidos!$E23=Clientes_Cadastrados!D53,Pedidos!$N23*Clientes_Cadastrados!K53,Pedidos!$E23=Clientes_Cadastrados!D54,Pedidos!$N23*Clientes_Cadastrados!K54,Pedidos!$E23=Clientes_Cadastrados!D55,Pedidos!$N23*Clientes_Cadastrados!K55,Pedidos!$E23=Clientes_Cadastrados!D56,Pedidos!$N23*Clientes_Cadastrados!K56,Pedidos!$E23=Clientes_Cadastrados!D57,Pedidos!$N23*Clientes_Cadastrados!K57,Pedidos!$E23=Clientes_Cadastrados!D58,Pedidos!$N23*Clientes_Cadastrados!K58,Pedidos!$E23=Clientes_Cadastrados!D59,Pedidos!$N23*Clientes_Cadastrados!K59,Pedidos!$E23=Clientes_Cadastrados!D60,Pedidos!$N23*Clientes_Cadastrados!K60,Pedidos!$E23=Clientes_Cadastrados!D61,Pedidos!$N23*Clientes_Cadastrados!K61,Pedidos!$E23=Clientes_Cadastrados!D62,Pedidos!$N23*Clientes_Cadastrados!K62,Pedidos!$E23=Clientes_Cadastrados!D63,Pedidos!$N23*Clientes_Cadastrados!K63,Pedidos!$E23=Clientes_Cadastrados!D64,Pedidos!$N23*Clientes_Cadastrados!K64,Pedidos!$E23=Clientes_Cadastrados!D65,Pedidos!$N23*Clientes_Cadastrados!K65,Pedidos!$E23=Clientes_Cadastrados!D66,Pedidos!$N23*Clientes_Cadastrados!K66,Pedidos!$E23=Clientes_Cadastrados!D67,Pedidos!$N23*Clientes_Cadastrados!K67,Pedidos!$E23=Clientes_Cadastrados!D68,Pedidos!$N23*Clientes_Cadastrados!K68,Pedidos!$E23=Clientes_Cadastrados!D69,Pedidos!$N23*Clientes_Cadastrados!K69,Pedidos!$E23=Clientes_Cadastrados!D70,Pedidos!$N23*Clientes_Cadastrados!K70,Pedidos!$E23=Clientes_Cadastrados!D71,Pedidos!$N23*Clientes_Cadastrados!K71,Pedidos!$E23=Clientes_Cadastrados!D72,Pedidos!$N23*Clientes_Cadastrados!K72,Pedidos!$E23=Clientes_Cadastrados!D73,Pedidos!$N23*Clientes_Cadastrados!K73,Pedidos!$E23=Clientes_Cadastrados!D74,Pedidos!$N23*Clientes_Cadastrados!K74,Pedidos!$E23=Clientes_Cadastrados!D75,Pedidos!$N23*Clientes_Cadastrados!K75,Pedidos!$E23=Clientes_Cadastrados!D76,Pedidos!$N23*Clientes_Cadastrados!K76,Pedidos!$E23=Clientes_Cadastrados!D77,Pedidos!$N23*Clientes_Cadastrados!K77,Pedidos!$E23=Clientes_Cadastrados!D78,Pedidos!$N23*Clientes_Cadastrados!K78)," 0")</f>
        <v>708.75</v>
      </c>
      <c r="P23" s="73">
        <f>Tabela2[[#This Row],[Preço 15kg]]+Tabela2[[#This Row],[Preço 5kg]]+Tabela2[[#This Row],[Preço Pele 12kg]]+O23</f>
        <v>2343.75</v>
      </c>
      <c r="R23" s="30"/>
      <c r="S23" s="5">
        <v>19</v>
      </c>
      <c r="T23" s="8" t="s">
        <v>84</v>
      </c>
      <c r="U23" s="2">
        <f>Clientes_Cadastrados!E24</f>
        <v>142.5</v>
      </c>
      <c r="V23" s="2">
        <f>Clientes_Cadastrados!F24</f>
        <v>47.5</v>
      </c>
      <c r="W23" s="30"/>
      <c r="X23" s="2">
        <f>Clientes_Cadastrados!J24</f>
        <v>189</v>
      </c>
      <c r="Y23" s="2">
        <f>Clientes_Cadastrados!K24</f>
        <v>141.75</v>
      </c>
      <c r="Z23" s="30"/>
    </row>
    <row r="24" spans="3:26" x14ac:dyDescent="0.25">
      <c r="C24" s="93"/>
      <c r="D24" s="74">
        <v>44884</v>
      </c>
      <c r="E24" s="8" t="s">
        <v>84</v>
      </c>
      <c r="F24" s="72">
        <f>Pedidos!$G24+Pedidos!$I24+Pedidos!$L24+Pedidos!$N24</f>
        <v>20</v>
      </c>
      <c r="G24" s="72">
        <v>5</v>
      </c>
      <c r="H24" s="73">
        <f>_xlfn.IFS(Pedidos!$E24=$T$5,Pedidos!$G24*$U$5,Pedidos!$E24=$T$6,Pedidos!$G24*$U$6,Pedidos!$E24=$T$7,Pedidos!$G24*$U$7,Pedidos!$E24=$T$8,Pedidos!$G24*$U$8,Pedidos!$E24=$T$9,Pedidos!$G24*$U$9,Pedidos!$E24=$T$10,Pedidos!$G24*$U$10,Pedidos!$E24=$T$11,Pedidos!$G24*$U$11,Pedidos!$E24=$T$12,Pedidos!$G24*$U$12,Pedidos!$E24=$T$13,Pedidos!$G24*$U$13,Pedidos!$E24=$T$14,Pedidos!$G24*$U$14,Pedidos!$E24=$T$15,Pedidos!$G24*$U$15,Pedidos!$E24=$T$15,Pedidos!$G24*$U$15,Pedidos!$E24=$T$16,Pedidos!$G24*$U$16,Pedidos!$E24=$T$17,Pedidos!$G24*$U$17,Pedidos!$E24=$T$18,Pedidos!$G24*$U$18,Pedidos!$E24=$T$20,Pedidos!$G24*$U$20,Pedidos!$E24=$T$21,Pedidos!$G24*$U$21,Pedidos!$E24=$T$22,Pedidos!$G24*$U$22,Pedidos!$E24=$T$23,Pedidos!$G24*$U$23,Pedidos!$E24=$T$24,Pedidos!$G24*$U$24,Pedidos!$E24=$T$25,Pedidos!$G24*$U$25,Pedidos!$E24=$T$26,Pedidos!$G24*$U$26,Pedidos!$E24=$T$27,Pedidos!$G24*$U$27,Pedidos!$E24=$T$28,Pedidos!$G24*$U$28,Pedidos!$E24=$T$29,Pedidos!$G24*$U$29,Pedidos!$E24=$T$31,Pedidos!$G24*$U$31,Pedidos!$E24=$T$32,Pedidos!$G24*$U$32,Pedidos!$E24=$T$33,Pedidos!$G24*$U$33,Pedidos!$E24=$T$34,Pedidos!$G24*$U$34,Pedidos!$E24=$T$35,Pedidos!$G24*$U$35,Pedidos!$E24=$T$36,Pedidos!$G24*$U$36,Pedidos!$E24=$T$37,Pedidos!$G24*$U$37,Pedidos!$E24=$T$38,Pedidos!$G24*$U$38,Pedidos!$E24=$T$40,Pedidos!$G24*$U$40,Pedidos!$E24=$T$41,Pedidos!$G24*$U$41,Pedidos!$E24=$T$42,Pedidos!$G24*$U$42,Pedidos!$E24=$T$43,Pedidos!$G24*$U$43,Pedidos!$E24=$T$44,Pedidos!$G24*$U$44,Pedidos!$E24=$T$45,Pedidos!$G24*$U$45,Pedidos!$E24=$T$46,Pedidos!$G24*$U$46,Pedidos!$E24=$T$47,Pedidos!$G24*$U$47,Pedidos!$E24=$T$48,Pedidos!$G24*$U$48,Pedidos!$E24=$T$49,Pedidos!$G24*$U$49,Pedidos!$E24=$T$50,Pedidos!$G24*$U$50,Pedidos!$E24=$T$51,Pedidos!$G24*$U$51,Pedidos!$E24=$T$52,Pedidos!$G24*$U$52,Pedidos!$E24=$T$53,Pedidos!$G24*$U$53,Pedidos!$E24=$T$54,Pedidos!$G24*$U$54,Pedidos!$E24=$T$55,Pedidos!$G24*$U$55,Pedidos!$E24=$T$56,Pedidos!$G24*$U$56,Pedidos!$E24=$T$57,Pedidos!$G24*$U$57,Pedidos!$E24=$T$58,Pedidos!$G24*$U$58,Pedidos!$E24=$T$59,Pedidos!$G24*$U$59,Pedidos!$E24=$T$60,Pedidos!$G24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4" s="72">
        <v>5</v>
      </c>
      <c r="J2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4" s="72"/>
      <c r="L24" s="72">
        <v>5</v>
      </c>
      <c r="M2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4" s="72">
        <v>5</v>
      </c>
      <c r="O24" s="73">
        <f>IFERROR(_xlfn.IFS(Pedidos!$E24=Clientes_Cadastrados!D23,Pedidos!$N24*Clientes_Cadastrados!K23,Pedidos!$E24=Clientes_Cadastrados!D24,Pedidos!$N24*Clientes_Cadastrados!K24,Pedidos!$E24=Clientes_Cadastrados!D25,Pedidos!$N24*Clientes_Cadastrados!K25,Pedidos!$E24=Clientes_Cadastrados!D26,Pedidos!$N24*Clientes_Cadastrados!K26,Pedidos!$E24=Clientes_Cadastrados!D27,Pedidos!$N24*Clientes_Cadastrados!K27,Pedidos!$E24=Clientes_Cadastrados!D28,Pedidos!$N24*Clientes_Cadastrados!K28,Pedidos!$E24=Clientes_Cadastrados!D29,Pedidos!$N24*Clientes_Cadastrados!K29,Pedidos!$E24=Clientes_Cadastrados!D30,Pedidos!$N24*Clientes_Cadastrados!K30,Pedidos!$E24=Clientes_Cadastrados!D31,Pedidos!$N24*Clientes_Cadastrados!K31,Pedidos!$E24=Clientes_Cadastrados!D32,Pedidos!$N24*Clientes_Cadastrados!K32,Pedidos!$E24=Clientes_Cadastrados!D33,Pedidos!$N24*Clientes_Cadastrados!K33,Pedidos!$E24=Clientes_Cadastrados!D34,Pedidos!$N24*Clientes_Cadastrados!K34,Pedidos!$E24=Clientes_Cadastrados!D35,Pedidos!$N24*Clientes_Cadastrados!K35,Pedidos!$E24=Clientes_Cadastrados!D36,Pedidos!$N24*Clientes_Cadastrados!K36,Pedidos!$E24=Clientes_Cadastrados!D37,Pedidos!$N24*Clientes_Cadastrados!K37,Pedidos!$E24=Clientes_Cadastrados!D38,Pedidos!$N24*Clientes_Cadastrados!K38,Pedidos!$E24=Clientes_Cadastrados!D39,Pedidos!$N24*Clientes_Cadastrados!K39,Pedidos!$E24=Clientes_Cadastrados!D40,Pedidos!$N24*Clientes_Cadastrados!K40,Pedidos!$E24=Clientes_Cadastrados!D42,Pedidos!$N24*Clientes_Cadastrados!K42,Pedidos!$E24=Clientes_Cadastrados!D43,Pedidos!$N24*Clientes_Cadastrados!K43,Pedidos!$E24=Clientes_Cadastrados!D44,Pedidos!$N24*Clientes_Cadastrados!K44,Pedidos!$E24=Clientes_Cadastrados!D45,Pedidos!$N24*Clientes_Cadastrados!K45,Pedidos!$E24=Clientes_Cadastrados!D46,Pedidos!$N24*Clientes_Cadastrados!K46,Pedidos!$E24=Clientes_Cadastrados!D47,Pedidos!$N24*Clientes_Cadastrados!K47,Pedidos!$E24=Clientes_Cadastrados!D48,Pedidos!$N24*Clientes_Cadastrados!K48,Pedidos!$E24=Clientes_Cadastrados!D49,Pedidos!$N24*Clientes_Cadastrados!K49,Pedidos!$E24=Clientes_Cadastrados!D50,Pedidos!$N24*Clientes_Cadastrados!K50,Pedidos!$E24=Clientes_Cadastrados!D51,Pedidos!$N24*Clientes_Cadastrados!K51,Pedidos!$E24=Clientes_Cadastrados!D52,Pedidos!$N24*Clientes_Cadastrados!K52,Pedidos!$E24=Clientes_Cadastrados!D53,Pedidos!$N24*Clientes_Cadastrados!K53,Pedidos!$E24=Clientes_Cadastrados!D54,Pedidos!$N24*Clientes_Cadastrados!K54,Pedidos!$E24=Clientes_Cadastrados!D55,Pedidos!$N24*Clientes_Cadastrados!K55,Pedidos!$E24=Clientes_Cadastrados!D56,Pedidos!$N24*Clientes_Cadastrados!K56,Pedidos!$E24=Clientes_Cadastrados!D57,Pedidos!$N24*Clientes_Cadastrados!K57,Pedidos!$E24=Clientes_Cadastrados!D58,Pedidos!$N24*Clientes_Cadastrados!K58,Pedidos!$E24=Clientes_Cadastrados!D59,Pedidos!$N24*Clientes_Cadastrados!K59,Pedidos!$E24=Clientes_Cadastrados!D60,Pedidos!$N24*Clientes_Cadastrados!K60,Pedidos!$E24=Clientes_Cadastrados!D61,Pedidos!$N24*Clientes_Cadastrados!K61,Pedidos!$E24=Clientes_Cadastrados!D62,Pedidos!$N24*Clientes_Cadastrados!K62,Pedidos!$E24=Clientes_Cadastrados!D63,Pedidos!$N24*Clientes_Cadastrados!K63,Pedidos!$E24=Clientes_Cadastrados!D64,Pedidos!$N24*Clientes_Cadastrados!K64,Pedidos!$E24=Clientes_Cadastrados!D65,Pedidos!$N24*Clientes_Cadastrados!K65,Pedidos!$E24=Clientes_Cadastrados!D66,Pedidos!$N24*Clientes_Cadastrados!K66,Pedidos!$E24=Clientes_Cadastrados!D67,Pedidos!$N24*Clientes_Cadastrados!K67,Pedidos!$E24=Clientes_Cadastrados!D68,Pedidos!$N24*Clientes_Cadastrados!K68,Pedidos!$E24=Clientes_Cadastrados!D69,Pedidos!$N24*Clientes_Cadastrados!K69,Pedidos!$E24=Clientes_Cadastrados!D70,Pedidos!$N24*Clientes_Cadastrados!K70,Pedidos!$E24=Clientes_Cadastrados!D71,Pedidos!$N24*Clientes_Cadastrados!K71,Pedidos!$E24=Clientes_Cadastrados!D72,Pedidos!$N24*Clientes_Cadastrados!K72,Pedidos!$E24=Clientes_Cadastrados!D73,Pedidos!$N24*Clientes_Cadastrados!K73,Pedidos!$E24=Clientes_Cadastrados!D74,Pedidos!$N24*Clientes_Cadastrados!K74,Pedidos!$E24=Clientes_Cadastrados!D75,Pedidos!$N24*Clientes_Cadastrados!K75,Pedidos!$E24=Clientes_Cadastrados!D76,Pedidos!$N24*Clientes_Cadastrados!K76,Pedidos!$E24=Clientes_Cadastrados!D77,Pedidos!$N24*Clientes_Cadastrados!K77,Pedidos!$E24=Clientes_Cadastrados!D78,Pedidos!$N24*Clientes_Cadastrados!K78,Pedidos!$E24=Clientes_Cadastrados!D79,Pedidos!$N24*Clientes_Cadastrados!K79)," 0")</f>
        <v>708.75</v>
      </c>
      <c r="P24" s="73">
        <f>Tabela2[[#This Row],[Preço 15kg]]+Tabela2[[#This Row],[Preço 5kg]]+Tabela2[[#This Row],[Preço Pele 12kg]]+O24</f>
        <v>2603.75</v>
      </c>
      <c r="R24" s="30"/>
      <c r="S24" s="5">
        <v>20</v>
      </c>
      <c r="T24" s="8" t="s">
        <v>85</v>
      </c>
      <c r="U24" s="2">
        <f>Clientes_Cadastrados!E25</f>
        <v>236.25</v>
      </c>
      <c r="V24" s="2">
        <f>Clientes_Cadastrados!F25</f>
        <v>78.75</v>
      </c>
      <c r="W24" s="30"/>
      <c r="X24" s="2">
        <f>Clientes_Cadastrados!J25</f>
        <v>189</v>
      </c>
      <c r="Y24" s="2">
        <f>Clientes_Cadastrados!K25</f>
        <v>141.75</v>
      </c>
      <c r="Z24" s="30"/>
    </row>
    <row r="25" spans="3:26" x14ac:dyDescent="0.25">
      <c r="C25" s="93"/>
      <c r="D25" s="75">
        <v>44885</v>
      </c>
      <c r="E25" s="8" t="s">
        <v>85</v>
      </c>
      <c r="F25" s="72">
        <f>Pedidos!$G25+Pedidos!$I25+Pedidos!$L25+Pedidos!$N25</f>
        <v>20</v>
      </c>
      <c r="G25" s="72">
        <v>5</v>
      </c>
      <c r="H25" s="73">
        <f>_xlfn.IFS(Pedidos!$E25=$T$5,Pedidos!$G25*$U$5,Pedidos!$E25=$T$6,Pedidos!$G25*$U$6,Pedidos!$E25=$T$7,Pedidos!$G25*$U$7,Pedidos!$E25=$T$8,Pedidos!$G25*$U$8,Pedidos!$E25=$T$9,Pedidos!$G25*$U$9,Pedidos!$E25=$T$10,Pedidos!$G25*$U$10,Pedidos!$E25=$T$11,Pedidos!$G25*$U$11,Pedidos!$E25=$T$12,Pedidos!$G25*$U$12,Pedidos!$E25=$T$13,Pedidos!$G25*$U$13,Pedidos!$E25=$T$14,Pedidos!$G25*$U$14,Pedidos!$E25=$T$15,Pedidos!$G25*$U$15,Pedidos!$E25=$T$15,Pedidos!$G25*$U$15,Pedidos!$E25=$T$16,Pedidos!$G25*$U$16,Pedidos!$E25=$T$17,Pedidos!$G25*$U$17,Pedidos!$E25=$T$18,Pedidos!$G25*$U$18,Pedidos!$E25=$T$20,Pedidos!$G25*$U$20,Pedidos!$E25=$T$21,Pedidos!$G25*$U$21,Pedidos!$E25=$T$22,Pedidos!$G25*$U$22,Pedidos!$E25=$T$23,Pedidos!$G25*$U$23,Pedidos!$E25=$T$24,Pedidos!$G25*$U$24,Pedidos!$E25=$T$25,Pedidos!$G25*$U$25,Pedidos!$E25=$T$26,Pedidos!$G25*$U$26,Pedidos!$E25=$T$27,Pedidos!$G25*$U$27,Pedidos!$E25=$T$28,Pedidos!$G25*$U$28,Pedidos!$E25=$T$29,Pedidos!$G25*$U$29,Pedidos!$E25=$T$31,Pedidos!$G25*$U$31,Pedidos!$E25=$T$32,Pedidos!$G25*$U$32,Pedidos!$E25=$T$33,Pedidos!$G25*$U$33,Pedidos!$E25=$T$34,Pedidos!$G25*$U$34,Pedidos!$E25=$T$35,Pedidos!$G25*$U$35,Pedidos!$E25=$T$36,Pedidos!$G25*$U$36,Pedidos!$E25=$T$37,Pedidos!$G25*$U$37,Pedidos!$E25=$T$38,Pedidos!$G25*$U$38,Pedidos!$E25=$T$40,Pedidos!$G25*$U$40,Pedidos!$E25=$T$41,Pedidos!$G25*$U$41,Pedidos!$E25=$T$42,Pedidos!$G25*$U$42,Pedidos!$E25=$T$43,Pedidos!$G25*$U$43,Pedidos!$E25=$T$44,Pedidos!$G25*$U$44,Pedidos!$E25=$T$45,Pedidos!$G25*$U$45,Pedidos!$E25=$T$46,Pedidos!$G25*$U$46,Pedidos!$E25=$T$47,Pedidos!$G25*$U$47,Pedidos!$E25=$T$48,Pedidos!$G25*$U$48,Pedidos!$E25=$T$49,Pedidos!$G25*$U$49,Pedidos!$E25=$T$50,Pedidos!$G25*$U$50,Pedidos!$E25=$T$51,Pedidos!$G25*$U$51,Pedidos!$E25=$T$52,Pedidos!$G25*$U$52,Pedidos!$E25=$T$53,Pedidos!$G25*$U$53,Pedidos!$E25=$T$54,Pedidos!$G25*$U$54,Pedidos!$E25=$T$55,Pedidos!$G25*$U$55,Pedidos!$E25=$T$56,Pedidos!$G25*$U$56,Pedidos!$E25=$T$57,Pedidos!$G25*$U$57,Pedidos!$E25=$T$58,Pedidos!$G25*$U$58,Pedidos!$E25=$T$59,Pedidos!$G25*$U$59,Pedidos!$E25=$T$60,Pedidos!$G25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5" s="72">
        <v>5</v>
      </c>
      <c r="J2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5" s="72"/>
      <c r="L25" s="72">
        <v>5</v>
      </c>
      <c r="M2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5" s="72">
        <v>5</v>
      </c>
      <c r="O25" s="73">
        <f>IFERROR(_xlfn.IFS(Pedidos!$E25=Clientes_Cadastrados!D24,Pedidos!$N25*Clientes_Cadastrados!K24,Pedidos!$E25=Clientes_Cadastrados!D25,Pedidos!$N25*Clientes_Cadastrados!K25,Pedidos!$E25=Clientes_Cadastrados!D26,Pedidos!$N25*Clientes_Cadastrados!K26,Pedidos!$E25=Clientes_Cadastrados!D27,Pedidos!$N25*Clientes_Cadastrados!K27,Pedidos!$E25=Clientes_Cadastrados!D28,Pedidos!$N25*Clientes_Cadastrados!K28,Pedidos!$E25=Clientes_Cadastrados!D29,Pedidos!$N25*Clientes_Cadastrados!K29,Pedidos!$E25=Clientes_Cadastrados!D30,Pedidos!$N25*Clientes_Cadastrados!K30,Pedidos!$E25=Clientes_Cadastrados!D31,Pedidos!$N25*Clientes_Cadastrados!K31,Pedidos!$E25=Clientes_Cadastrados!D32,Pedidos!$N25*Clientes_Cadastrados!K32,Pedidos!$E25=Clientes_Cadastrados!D33,Pedidos!$N25*Clientes_Cadastrados!K33,Pedidos!$E25=Clientes_Cadastrados!D34,Pedidos!$N25*Clientes_Cadastrados!K34,Pedidos!$E25=Clientes_Cadastrados!D35,Pedidos!$N25*Clientes_Cadastrados!K35,Pedidos!$E25=Clientes_Cadastrados!D36,Pedidos!$N25*Clientes_Cadastrados!K36,Pedidos!$E25=Clientes_Cadastrados!D37,Pedidos!$N25*Clientes_Cadastrados!K37,Pedidos!$E25=Clientes_Cadastrados!D38,Pedidos!$N25*Clientes_Cadastrados!K38,Pedidos!$E25=Clientes_Cadastrados!D39,Pedidos!$N25*Clientes_Cadastrados!K39,Pedidos!$E25=Clientes_Cadastrados!D40,Pedidos!$N25*Clientes_Cadastrados!K40,Pedidos!$E25=Clientes_Cadastrados!D41,Pedidos!$N25*Clientes_Cadastrados!K41,Pedidos!$E25=Clientes_Cadastrados!D43,Pedidos!$N25*Clientes_Cadastrados!K43,Pedidos!$E25=Clientes_Cadastrados!D44,Pedidos!$N25*Clientes_Cadastrados!K44,Pedidos!$E25=Clientes_Cadastrados!D45,Pedidos!$N25*Clientes_Cadastrados!K45,Pedidos!$E25=Clientes_Cadastrados!D46,Pedidos!$N25*Clientes_Cadastrados!K46,Pedidos!$E25=Clientes_Cadastrados!D47,Pedidos!$N25*Clientes_Cadastrados!K47,Pedidos!$E25=Clientes_Cadastrados!D48,Pedidos!$N25*Clientes_Cadastrados!K48,Pedidos!$E25=Clientes_Cadastrados!D49,Pedidos!$N25*Clientes_Cadastrados!K49,Pedidos!$E25=Clientes_Cadastrados!D50,Pedidos!$N25*Clientes_Cadastrados!K50,Pedidos!$E25=Clientes_Cadastrados!D51,Pedidos!$N25*Clientes_Cadastrados!K51,Pedidos!$E25=Clientes_Cadastrados!D52,Pedidos!$N25*Clientes_Cadastrados!K52,Pedidos!$E25=Clientes_Cadastrados!D53,Pedidos!$N25*Clientes_Cadastrados!K53,Pedidos!$E25=Clientes_Cadastrados!D54,Pedidos!$N25*Clientes_Cadastrados!K54,Pedidos!$E25=Clientes_Cadastrados!D55,Pedidos!$N25*Clientes_Cadastrados!K55,Pedidos!$E25=Clientes_Cadastrados!D56,Pedidos!$N25*Clientes_Cadastrados!K56,Pedidos!$E25=Clientes_Cadastrados!D57,Pedidos!$N25*Clientes_Cadastrados!K57,Pedidos!$E25=Clientes_Cadastrados!D58,Pedidos!$N25*Clientes_Cadastrados!K58,Pedidos!$E25=Clientes_Cadastrados!D59,Pedidos!$N25*Clientes_Cadastrados!K59,Pedidos!$E25=Clientes_Cadastrados!D60,Pedidos!$N25*Clientes_Cadastrados!K60,Pedidos!$E25=Clientes_Cadastrados!D61,Pedidos!$N25*Clientes_Cadastrados!K61,Pedidos!$E25=Clientes_Cadastrados!D62,Pedidos!$N25*Clientes_Cadastrados!K62,Pedidos!$E25=Clientes_Cadastrados!D63,Pedidos!$N25*Clientes_Cadastrados!K63,Pedidos!$E25=Clientes_Cadastrados!D64,Pedidos!$N25*Clientes_Cadastrados!K64,Pedidos!$E25=Clientes_Cadastrados!D65,Pedidos!$N25*Clientes_Cadastrados!K65,Pedidos!$E25=Clientes_Cadastrados!D66,Pedidos!$N25*Clientes_Cadastrados!K66,Pedidos!$E25=Clientes_Cadastrados!D67,Pedidos!$N25*Clientes_Cadastrados!K67,Pedidos!$E25=Clientes_Cadastrados!D68,Pedidos!$N25*Clientes_Cadastrados!K68,Pedidos!$E25=Clientes_Cadastrados!D69,Pedidos!$N25*Clientes_Cadastrados!K69,Pedidos!$E25=Clientes_Cadastrados!D70,Pedidos!$N25*Clientes_Cadastrados!K70,Pedidos!$E25=Clientes_Cadastrados!D71,Pedidos!$N25*Clientes_Cadastrados!K71,Pedidos!$E25=Clientes_Cadastrados!D72,Pedidos!$N25*Clientes_Cadastrados!K72,Pedidos!$E25=Clientes_Cadastrados!D73,Pedidos!$N25*Clientes_Cadastrados!K73,Pedidos!$E25=Clientes_Cadastrados!D74,Pedidos!$N25*Clientes_Cadastrados!K74,Pedidos!$E25=Clientes_Cadastrados!D75,Pedidos!$N25*Clientes_Cadastrados!K75,Pedidos!$E25=Clientes_Cadastrados!D76,Pedidos!$N25*Clientes_Cadastrados!K76,Pedidos!$E25=Clientes_Cadastrados!D77,Pedidos!$N25*Clientes_Cadastrados!K77,Pedidos!$E25=Clientes_Cadastrados!D78,Pedidos!$N25*Clientes_Cadastrados!K78,Pedidos!$E25=Clientes_Cadastrados!D79,Pedidos!$N25*Clientes_Cadastrados!K79,Pedidos!$E25=Clientes_Cadastrados!D80,Pedidos!$N25*Clientes_Cadastrados!K80)," 0")</f>
        <v>708.75</v>
      </c>
      <c r="P25" s="73">
        <f>Tabela2[[#This Row],[Preço 15kg]]+Tabela2[[#This Row],[Preço 5kg]]+Tabela2[[#This Row],[Preço Pele 12kg]]+O25</f>
        <v>3228.75</v>
      </c>
      <c r="R25" s="30"/>
      <c r="S25" s="5">
        <v>21</v>
      </c>
      <c r="T25" s="8" t="s">
        <v>86</v>
      </c>
      <c r="U25" s="2">
        <f>Clientes_Cadastrados!E26</f>
        <v>31.5</v>
      </c>
      <c r="V25" s="2">
        <f>Clientes_Cadastrados!F26</f>
        <v>10.5</v>
      </c>
      <c r="W25" s="30"/>
      <c r="X25" s="2">
        <f>Clientes_Cadastrados!J26</f>
        <v>25.200000000000003</v>
      </c>
      <c r="Y25" s="2">
        <f>Clientes_Cadastrados!K26</f>
        <v>18.900000000000002</v>
      </c>
      <c r="Z25" s="30"/>
    </row>
    <row r="26" spans="3:26" x14ac:dyDescent="0.25">
      <c r="C26" s="93"/>
      <c r="D26" s="74">
        <v>44886</v>
      </c>
      <c r="E26" s="8" t="s">
        <v>86</v>
      </c>
      <c r="F26" s="72">
        <f>Pedidos!$G26+Pedidos!$I26+Pedidos!$L26+Pedidos!$N26</f>
        <v>20</v>
      </c>
      <c r="G26" s="72">
        <v>5</v>
      </c>
      <c r="H26" s="73">
        <f>_xlfn.IFS(Pedidos!$E26=$T$5,Pedidos!$G26*$U$5,Pedidos!$E26=$T$6,Pedidos!$G26*$U$6,Pedidos!$E26=$T$7,Pedidos!$G26*$U$7,Pedidos!$E26=$T$8,Pedidos!$G26*$U$8,Pedidos!$E26=$T$9,Pedidos!$G26*$U$9,Pedidos!$E26=$T$10,Pedidos!$G26*$U$10,Pedidos!$E26=$T$11,Pedidos!$G26*$U$11,Pedidos!$E26=$T$12,Pedidos!$G26*$U$12,Pedidos!$E26=$T$13,Pedidos!$G26*$U$13,Pedidos!$E26=$T$14,Pedidos!$G26*$U$14,Pedidos!$E26=$T$15,Pedidos!$G26*$U$15,Pedidos!$E26=$T$15,Pedidos!$G26*$U$15,Pedidos!$E26=$T$16,Pedidos!$G26*$U$16,Pedidos!$E26=$T$17,Pedidos!$G26*$U$17,Pedidos!$E26=$T$18,Pedidos!$G26*$U$18,Pedidos!$E26=$T$20,Pedidos!$G26*$U$20,Pedidos!$E26=$T$21,Pedidos!$G26*$U$21,Pedidos!$E26=$T$22,Pedidos!$G26*$U$22,Pedidos!$E26=$T$23,Pedidos!$G26*$U$23,Pedidos!$E26=$T$24,Pedidos!$G26*$U$24,Pedidos!$E26=$T$25,Pedidos!$G26*$U$25,Pedidos!$E26=$T$26,Pedidos!$G26*$U$26,Pedidos!$E26=$T$27,Pedidos!$G26*$U$27,Pedidos!$E26=$T$28,Pedidos!$G26*$U$28,Pedidos!$E26=$T$29,Pedidos!$G26*$U$29,Pedidos!$E26=$T$31,Pedidos!$G26*$U$31,Pedidos!$E26=$T$32,Pedidos!$G26*$U$32,Pedidos!$E26=$T$33,Pedidos!$G26*$U$33,Pedidos!$E26=$T$34,Pedidos!$G26*$U$34,Pedidos!$E26=$T$35,Pedidos!$G26*$U$35,Pedidos!$E26=$T$36,Pedidos!$G26*$U$36,Pedidos!$E26=$T$37,Pedidos!$G26*$U$37,Pedidos!$E26=$T$38,Pedidos!$G26*$U$38,Pedidos!$E26=$T$40,Pedidos!$G26*$U$40,Pedidos!$E26=$T$41,Pedidos!$G26*$U$41,Pedidos!$E26=$T$42,Pedidos!$G26*$U$42,Pedidos!$E26=$T$43,Pedidos!$G26*$U$43,Pedidos!$E26=$T$44,Pedidos!$G26*$U$44,Pedidos!$E26=$T$45,Pedidos!$G26*$U$45,Pedidos!$E26=$T$46,Pedidos!$G26*$U$46,Pedidos!$E26=$T$47,Pedidos!$G26*$U$47,Pedidos!$E26=$T$48,Pedidos!$G26*$U$48,Pedidos!$E26=$T$49,Pedidos!$G26*$U$49,Pedidos!$E26=$T$50,Pedidos!$G26*$U$50,Pedidos!$E26=$T$51,Pedidos!$G26*$U$51,Pedidos!$E26=$T$52,Pedidos!$G26*$U$52,Pedidos!$E26=$T$53,Pedidos!$G26*$U$53,Pedidos!$E26=$T$54,Pedidos!$G26*$U$54,Pedidos!$E26=$T$55,Pedidos!$G26*$U$55,Pedidos!$E26=$T$56,Pedidos!$G26*$U$56,Pedidos!$E26=$T$57,Pedidos!$G26*$U$57,Pedidos!$E26=$T$58,Pedidos!$G26*$U$58,Pedidos!$E26=$T$59,Pedidos!$G26*$U$59,Pedidos!$E26=$T$60,Pedidos!$G26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26" s="72">
        <v>5</v>
      </c>
      <c r="J2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26" s="72"/>
      <c r="L26" s="72">
        <v>5</v>
      </c>
      <c r="M2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6" s="72">
        <v>5</v>
      </c>
      <c r="O26" s="73">
        <f>IFERROR(_xlfn.IFS(Pedidos!$E26=Clientes_Cadastrados!D25,Pedidos!$N26*Clientes_Cadastrados!K25,Pedidos!$E26=Clientes_Cadastrados!D26,Pedidos!$N26*Clientes_Cadastrados!K26,Pedidos!$E26=Clientes_Cadastrados!D27,Pedidos!$N26*Clientes_Cadastrados!K27,Pedidos!$E26=Clientes_Cadastrados!D28,Pedidos!$N26*Clientes_Cadastrados!K28,Pedidos!$E26=Clientes_Cadastrados!D29,Pedidos!$N26*Clientes_Cadastrados!K29,Pedidos!$E26=Clientes_Cadastrados!D30,Pedidos!$N26*Clientes_Cadastrados!K30,Pedidos!$E26=Clientes_Cadastrados!D31,Pedidos!$N26*Clientes_Cadastrados!K31,Pedidos!$E26=Clientes_Cadastrados!D32,Pedidos!$N26*Clientes_Cadastrados!K32,Pedidos!$E26=Clientes_Cadastrados!D33,Pedidos!$N26*Clientes_Cadastrados!K33,Pedidos!$E26=Clientes_Cadastrados!D34,Pedidos!$N26*Clientes_Cadastrados!K34,Pedidos!$E26=Clientes_Cadastrados!D35,Pedidos!$N26*Clientes_Cadastrados!K35,Pedidos!$E26=Clientes_Cadastrados!D36,Pedidos!$N26*Clientes_Cadastrados!K36,Pedidos!$E26=Clientes_Cadastrados!D37,Pedidos!$N26*Clientes_Cadastrados!K37,Pedidos!$E26=Clientes_Cadastrados!D38,Pedidos!$N26*Clientes_Cadastrados!K38,Pedidos!$E26=Clientes_Cadastrados!D39,Pedidos!$N26*Clientes_Cadastrados!K39,Pedidos!$E26=Clientes_Cadastrados!D40,Pedidos!$N26*Clientes_Cadastrados!K40,Pedidos!$E26=Clientes_Cadastrados!D41,Pedidos!$N26*Clientes_Cadastrados!K41,Pedidos!$E26=Clientes_Cadastrados!D42,Pedidos!$N26*Clientes_Cadastrados!K42,Pedidos!$E26=Clientes_Cadastrados!D44,Pedidos!$N26*Clientes_Cadastrados!K44,Pedidos!$E26=Clientes_Cadastrados!D45,Pedidos!$N26*Clientes_Cadastrados!K45,Pedidos!$E26=Clientes_Cadastrados!D46,Pedidos!$N26*Clientes_Cadastrados!K46,Pedidos!$E26=Clientes_Cadastrados!D47,Pedidos!$N26*Clientes_Cadastrados!K47,Pedidos!$E26=Clientes_Cadastrados!D48,Pedidos!$N26*Clientes_Cadastrados!K48,Pedidos!$E26=Clientes_Cadastrados!D49,Pedidos!$N26*Clientes_Cadastrados!K49,Pedidos!$E26=Clientes_Cadastrados!D50,Pedidos!$N26*Clientes_Cadastrados!K50,Pedidos!$E26=Clientes_Cadastrados!D51,Pedidos!$N26*Clientes_Cadastrados!K51,Pedidos!$E26=Clientes_Cadastrados!D52,Pedidos!$N26*Clientes_Cadastrados!K52,Pedidos!$E26=Clientes_Cadastrados!D53,Pedidos!$N26*Clientes_Cadastrados!K53,Pedidos!$E26=Clientes_Cadastrados!D54,Pedidos!$N26*Clientes_Cadastrados!K54,Pedidos!$E26=Clientes_Cadastrados!D55,Pedidos!$N26*Clientes_Cadastrados!K55,Pedidos!$E26=Clientes_Cadastrados!D56,Pedidos!$N26*Clientes_Cadastrados!K56,Pedidos!$E26=Clientes_Cadastrados!D57,Pedidos!$N26*Clientes_Cadastrados!K57,Pedidos!$E26=Clientes_Cadastrados!D58,Pedidos!$N26*Clientes_Cadastrados!K58,Pedidos!$E26=Clientes_Cadastrados!D59,Pedidos!$N26*Clientes_Cadastrados!K59,Pedidos!$E26=Clientes_Cadastrados!D60,Pedidos!$N26*Clientes_Cadastrados!K60,Pedidos!$E26=Clientes_Cadastrados!D61,Pedidos!$N26*Clientes_Cadastrados!K61,Pedidos!$E26=Clientes_Cadastrados!D62,Pedidos!$N26*Clientes_Cadastrados!K62,Pedidos!$E26=Clientes_Cadastrados!D63,Pedidos!$N26*Clientes_Cadastrados!K63,Pedidos!$E26=Clientes_Cadastrados!D64,Pedidos!$N26*Clientes_Cadastrados!K64,Pedidos!$E26=Clientes_Cadastrados!D65,Pedidos!$N26*Clientes_Cadastrados!K65,Pedidos!$E26=Clientes_Cadastrados!D66,Pedidos!$N26*Clientes_Cadastrados!K66,Pedidos!$E26=Clientes_Cadastrados!D67,Pedidos!$N26*Clientes_Cadastrados!K67,Pedidos!$E26=Clientes_Cadastrados!D68,Pedidos!$N26*Clientes_Cadastrados!K68,Pedidos!$E26=Clientes_Cadastrados!D69,Pedidos!$N26*Clientes_Cadastrados!K69,Pedidos!$E26=Clientes_Cadastrados!D70,Pedidos!$N26*Clientes_Cadastrados!K70,Pedidos!$E26=Clientes_Cadastrados!D71,Pedidos!$N26*Clientes_Cadastrados!K71,Pedidos!$E26=Clientes_Cadastrados!D72,Pedidos!$N26*Clientes_Cadastrados!K72,Pedidos!$E26=Clientes_Cadastrados!D73,Pedidos!$N26*Clientes_Cadastrados!K73,Pedidos!$E26=Clientes_Cadastrados!D74,Pedidos!$N26*Clientes_Cadastrados!K74,Pedidos!$E26=Clientes_Cadastrados!D75,Pedidos!$N26*Clientes_Cadastrados!K75,Pedidos!$E26=Clientes_Cadastrados!D76,Pedidos!$N26*Clientes_Cadastrados!K76,Pedidos!$E26=Clientes_Cadastrados!D77,Pedidos!$N26*Clientes_Cadastrados!K77,Pedidos!$E26=Clientes_Cadastrados!D78,Pedidos!$N26*Clientes_Cadastrados!K78,Pedidos!$E26=Clientes_Cadastrados!D79,Pedidos!$N26*Clientes_Cadastrados!K79,Pedidos!$E26=Clientes_Cadastrados!D80,Pedidos!$N26*Clientes_Cadastrados!K80,Pedidos!$E26=Clientes_Cadastrados!D81,Pedidos!$N26*Clientes_Cadastrados!K81)," 0")</f>
        <v>94.500000000000014</v>
      </c>
      <c r="P26" s="73">
        <f>Tabela2[[#This Row],[Preço 15kg]]+Tabela2[[#This Row],[Preço 5kg]]+Tabela2[[#This Row],[Preço Pele 12kg]]+O26</f>
        <v>430.5</v>
      </c>
      <c r="R26" s="30"/>
      <c r="S26" s="5">
        <v>22</v>
      </c>
      <c r="T26" s="8" t="s">
        <v>87</v>
      </c>
      <c r="U26" s="2">
        <f>Clientes_Cadastrados!E27</f>
        <v>142.5</v>
      </c>
      <c r="V26" s="2">
        <f>Clientes_Cadastrados!F27</f>
        <v>47.5</v>
      </c>
      <c r="W26" s="30"/>
      <c r="X26" s="2">
        <f>Clientes_Cadastrados!J27</f>
        <v>25.200000000000003</v>
      </c>
      <c r="Y26" s="2">
        <f>Clientes_Cadastrados!K27</f>
        <v>18.900000000000002</v>
      </c>
      <c r="Z26" s="30"/>
    </row>
    <row r="27" spans="3:26" x14ac:dyDescent="0.25">
      <c r="C27" s="93"/>
      <c r="D27" s="75">
        <v>44887</v>
      </c>
      <c r="E27" s="8" t="s">
        <v>87</v>
      </c>
      <c r="F27" s="72">
        <f>Pedidos!$G27+Pedidos!$I27+Pedidos!$L27+Pedidos!$N27</f>
        <v>23</v>
      </c>
      <c r="G27" s="72">
        <v>5</v>
      </c>
      <c r="H27" s="73">
        <f>_xlfn.IFS(Pedidos!$E27=$T$5,Pedidos!$G27*$U$5,Pedidos!$E27=$T$6,Pedidos!$G27*$U$6,Pedidos!$E27=$T$7,Pedidos!$G27*$U$7,Pedidos!$E27=$T$8,Pedidos!$G27*$U$8,Pedidos!$E27=$T$9,Pedidos!$G27*$U$9,Pedidos!$E27=$T$10,Pedidos!$G27*$U$10,Pedidos!$E27=$T$11,Pedidos!$G27*$U$11,Pedidos!$E27=$T$12,Pedidos!$G27*$U$12,Pedidos!$E27=$T$13,Pedidos!$G27*$U$13,Pedidos!$E27=$T$14,Pedidos!$G27*$U$14,Pedidos!$E27=$T$15,Pedidos!$G27*$U$15,Pedidos!$E27=$T$15,Pedidos!$G27*$U$15,Pedidos!$E27=$T$16,Pedidos!$G27*$U$16,Pedidos!$E27=$T$17,Pedidos!$G27*$U$17,Pedidos!$E27=$T$18,Pedidos!$G27*$U$18,Pedidos!$E27=$T$20,Pedidos!$G27*$U$20,Pedidos!$E27=$T$21,Pedidos!$G27*$U$21,Pedidos!$E27=$T$22,Pedidos!$G27*$U$22,Pedidos!$E27=$T$23,Pedidos!$G27*$U$23,Pedidos!$E27=$T$24,Pedidos!$G27*$U$24,Pedidos!$E27=$T$25,Pedidos!$G27*$U$25,Pedidos!$E27=$T$26,Pedidos!$G27*$U$26,Pedidos!$E27=$T$27,Pedidos!$G27*$U$27,Pedidos!$E27=$T$28,Pedidos!$G27*$U$28,Pedidos!$E27=$T$29,Pedidos!$G27*$U$29,Pedidos!$E27=$T$31,Pedidos!$G27*$U$31,Pedidos!$E27=$T$32,Pedidos!$G27*$U$32,Pedidos!$E27=$T$33,Pedidos!$G27*$U$33,Pedidos!$E27=$T$34,Pedidos!$G27*$U$34,Pedidos!$E27=$T$35,Pedidos!$G27*$U$35,Pedidos!$E27=$T$36,Pedidos!$G27*$U$36,Pedidos!$E27=$T$37,Pedidos!$G27*$U$37,Pedidos!$E27=$T$38,Pedidos!$G27*$U$38,Pedidos!$E27=$T$40,Pedidos!$G27*$U$40,Pedidos!$E27=$T$41,Pedidos!$G27*$U$41,Pedidos!$E27=$T$42,Pedidos!$G27*$U$42,Pedidos!$E27=$T$43,Pedidos!$G27*$U$43,Pedidos!$E27=$T$44,Pedidos!$G27*$U$44,Pedidos!$E27=$T$45,Pedidos!$G27*$U$45,Pedidos!$E27=$T$46,Pedidos!$G27*$U$46,Pedidos!$E27=$T$47,Pedidos!$G27*$U$47,Pedidos!$E27=$T$48,Pedidos!$G27*$U$48,Pedidos!$E27=$T$49,Pedidos!$G27*$U$49,Pedidos!$E27=$T$50,Pedidos!$G27*$U$50,Pedidos!$E27=$T$51,Pedidos!$G27*$U$51,Pedidos!$E27=$T$52,Pedidos!$G27*$U$52,Pedidos!$E27=$T$53,Pedidos!$G27*$U$53,Pedidos!$E27=$T$54,Pedidos!$G27*$U$54,Pedidos!$E27=$T$55,Pedidos!$G27*$U$55,Pedidos!$E27=$T$56,Pedidos!$G27*$U$56,Pedidos!$E27=$T$57,Pedidos!$G27*$U$57,Pedidos!$E27=$T$58,Pedidos!$G27*$U$58,Pedidos!$E27=$T$59,Pedidos!$G27*$U$59,Pedidos!$E27=$T$60,Pedidos!$G27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7" s="72">
        <v>5</v>
      </c>
      <c r="J2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7" s="72"/>
      <c r="L27" s="72">
        <v>8</v>
      </c>
      <c r="M2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201.60000000000002</v>
      </c>
      <c r="N27" s="72">
        <v>5</v>
      </c>
      <c r="O27" s="73">
        <f>IFERROR(_xlfn.IFS(Pedidos!$E27=Clientes_Cadastrados!D26,Pedidos!$N27*Clientes_Cadastrados!K26,Pedidos!$E27=Clientes_Cadastrados!D27,Pedidos!$N27*Clientes_Cadastrados!K27,Pedidos!$E27=Clientes_Cadastrados!D28,Pedidos!$N27*Clientes_Cadastrados!K28,Pedidos!$E27=Clientes_Cadastrados!D29,Pedidos!$N27*Clientes_Cadastrados!K29,Pedidos!$E27=Clientes_Cadastrados!D30,Pedidos!$N27*Clientes_Cadastrados!K30,Pedidos!$E27=Clientes_Cadastrados!D31,Pedidos!$N27*Clientes_Cadastrados!K31,Pedidos!$E27=Clientes_Cadastrados!D32,Pedidos!$N27*Clientes_Cadastrados!K32,Pedidos!$E27=Clientes_Cadastrados!D33,Pedidos!$N27*Clientes_Cadastrados!K33,Pedidos!$E27=Clientes_Cadastrados!D34,Pedidos!$N27*Clientes_Cadastrados!K34,Pedidos!$E27=Clientes_Cadastrados!D35,Pedidos!$N27*Clientes_Cadastrados!K35,Pedidos!$E27=Clientes_Cadastrados!D36,Pedidos!$N27*Clientes_Cadastrados!K36,Pedidos!$E27=Clientes_Cadastrados!D37,Pedidos!$N27*Clientes_Cadastrados!K37,Pedidos!$E27=Clientes_Cadastrados!D38,Pedidos!$N27*Clientes_Cadastrados!K38,Pedidos!$E27=Clientes_Cadastrados!D39,Pedidos!$N27*Clientes_Cadastrados!K39,Pedidos!$E27=Clientes_Cadastrados!D40,Pedidos!$N27*Clientes_Cadastrados!K40,Pedidos!$E27=Clientes_Cadastrados!D41,Pedidos!$N27*Clientes_Cadastrados!K41,Pedidos!$E27=Clientes_Cadastrados!D42,Pedidos!$N27*Clientes_Cadastrados!K42,Pedidos!$E27=Clientes_Cadastrados!D43,Pedidos!$N27*Clientes_Cadastrados!K43,Pedidos!$E27=Clientes_Cadastrados!D45,Pedidos!$N27*Clientes_Cadastrados!K45,Pedidos!$E27=Clientes_Cadastrados!D46,Pedidos!$N27*Clientes_Cadastrados!K46,Pedidos!$E27=Clientes_Cadastrados!D47,Pedidos!$N27*Clientes_Cadastrados!K47,Pedidos!$E27=Clientes_Cadastrados!D48,Pedidos!$N27*Clientes_Cadastrados!K48,Pedidos!$E27=Clientes_Cadastrados!D49,Pedidos!$N27*Clientes_Cadastrados!K49,Pedidos!$E27=Clientes_Cadastrados!D50,Pedidos!$N27*Clientes_Cadastrados!K50,Pedidos!$E27=Clientes_Cadastrados!D51,Pedidos!$N27*Clientes_Cadastrados!K51,Pedidos!$E27=Clientes_Cadastrados!D52,Pedidos!$N27*Clientes_Cadastrados!K52,Pedidos!$E27=Clientes_Cadastrados!D53,Pedidos!$N27*Clientes_Cadastrados!K53,Pedidos!$E27=Clientes_Cadastrados!D54,Pedidos!$N27*Clientes_Cadastrados!K54,Pedidos!$E27=Clientes_Cadastrados!D55,Pedidos!$N27*Clientes_Cadastrados!K55,Pedidos!$E27=Clientes_Cadastrados!D56,Pedidos!$N27*Clientes_Cadastrados!K56,Pedidos!$E27=Clientes_Cadastrados!D57,Pedidos!$N27*Clientes_Cadastrados!K57,Pedidos!$E27=Clientes_Cadastrados!D58,Pedidos!$N27*Clientes_Cadastrados!K58,Pedidos!$E27=Clientes_Cadastrados!D59,Pedidos!$N27*Clientes_Cadastrados!K59,Pedidos!$E27=Clientes_Cadastrados!D60,Pedidos!$N27*Clientes_Cadastrados!K60,Pedidos!$E27=Clientes_Cadastrados!D61,Pedidos!$N27*Clientes_Cadastrados!K61,Pedidos!$E27=Clientes_Cadastrados!D62,Pedidos!$N27*Clientes_Cadastrados!K62,Pedidos!$E27=Clientes_Cadastrados!D63,Pedidos!$N27*Clientes_Cadastrados!K63,Pedidos!$E27=Clientes_Cadastrados!D64,Pedidos!$N27*Clientes_Cadastrados!K64,Pedidos!$E27=Clientes_Cadastrados!D65,Pedidos!$N27*Clientes_Cadastrados!K65,Pedidos!$E27=Clientes_Cadastrados!D66,Pedidos!$N27*Clientes_Cadastrados!K66,Pedidos!$E27=Clientes_Cadastrados!D67,Pedidos!$N27*Clientes_Cadastrados!K67,Pedidos!$E27=Clientes_Cadastrados!D68,Pedidos!$N27*Clientes_Cadastrados!K68,Pedidos!$E27=Clientes_Cadastrados!D69,Pedidos!$N27*Clientes_Cadastrados!K69,Pedidos!$E27=Clientes_Cadastrados!D70,Pedidos!$N27*Clientes_Cadastrados!K70,Pedidos!$E27=Clientes_Cadastrados!D71,Pedidos!$N27*Clientes_Cadastrados!K71,Pedidos!$E27=Clientes_Cadastrados!D72,Pedidos!$N27*Clientes_Cadastrados!K72,Pedidos!$E27=Clientes_Cadastrados!D73,Pedidos!$N27*Clientes_Cadastrados!K73,Pedidos!$E27=Clientes_Cadastrados!D74,Pedidos!$N27*Clientes_Cadastrados!K74,Pedidos!$E27=Clientes_Cadastrados!D75,Pedidos!$N27*Clientes_Cadastrados!K75,Pedidos!$E27=Clientes_Cadastrados!D76,Pedidos!$N27*Clientes_Cadastrados!K76,Pedidos!$E27=Clientes_Cadastrados!D77,Pedidos!$N27*Clientes_Cadastrados!K77,Pedidos!$E27=Clientes_Cadastrados!D78,Pedidos!$N27*Clientes_Cadastrados!K78,Pedidos!$E27=Clientes_Cadastrados!D79,Pedidos!$N27*Clientes_Cadastrados!K79,Pedidos!$E27=Clientes_Cadastrados!D80,Pedidos!$N27*Clientes_Cadastrados!K80,Pedidos!$E27=Clientes_Cadastrados!D81,Pedidos!$N27*Clientes_Cadastrados!K81,Pedidos!$E27=Clientes_Cadastrados!D82,Pedidos!$N27*Clientes_Cadastrados!K82)," 0")</f>
        <v>94.500000000000014</v>
      </c>
      <c r="P27" s="73">
        <f>Tabela2[[#This Row],[Preço 15kg]]+Tabela2[[#This Row],[Preço 5kg]]+Tabela2[[#This Row],[Preço Pele 12kg]]+O27</f>
        <v>1246.0999999999999</v>
      </c>
      <c r="R27" s="30"/>
      <c r="S27" s="5">
        <v>23</v>
      </c>
      <c r="T27" s="8" t="s">
        <v>88</v>
      </c>
      <c r="U27" s="2">
        <f>Clientes_Cadastrados!E28</f>
        <v>145.5</v>
      </c>
      <c r="V27" s="2">
        <f>Clientes_Cadastrados!F28</f>
        <v>48.5</v>
      </c>
      <c r="W27" s="30"/>
      <c r="X27" s="2">
        <f>Clientes_Cadastrados!J28</f>
        <v>189</v>
      </c>
      <c r="Y27" s="2">
        <f>Clientes_Cadastrados!K28</f>
        <v>141.75</v>
      </c>
      <c r="Z27" s="30"/>
    </row>
    <row r="28" spans="3:26" x14ac:dyDescent="0.25">
      <c r="C28" s="93"/>
      <c r="D28" s="74">
        <v>44888</v>
      </c>
      <c r="E28" s="8" t="s">
        <v>88</v>
      </c>
      <c r="F28" s="72">
        <f>Pedidos!$G28+Pedidos!$I28+Pedidos!$L28+Pedidos!$N28</f>
        <v>20</v>
      </c>
      <c r="G28" s="72">
        <v>5</v>
      </c>
      <c r="H28" s="73">
        <f>_xlfn.IFS(Pedidos!$E28=$T$5,Pedidos!$G28*$U$5,Pedidos!$E28=$T$6,Pedidos!$G28*$U$6,Pedidos!$E28=$T$7,Pedidos!$G28*$U$7,Pedidos!$E28=$T$8,Pedidos!$G28*$U$8,Pedidos!$E28=$T$9,Pedidos!$G28*$U$9,Pedidos!$E28=$T$10,Pedidos!$G28*$U$10,Pedidos!$E28=$T$11,Pedidos!$G28*$U$11,Pedidos!$E28=$T$12,Pedidos!$G28*$U$12,Pedidos!$E28=$T$13,Pedidos!$G28*$U$13,Pedidos!$E28=$T$14,Pedidos!$G28*$U$14,Pedidos!$E28=$T$15,Pedidos!$G28*$U$15,Pedidos!$E28=$T$15,Pedidos!$G28*$U$15,Pedidos!$E28=$T$16,Pedidos!$G28*$U$16,Pedidos!$E28=$T$17,Pedidos!$G28*$U$17,Pedidos!$E28=$T$18,Pedidos!$G28*$U$18,Pedidos!$E28=$T$20,Pedidos!$G28*$U$20,Pedidos!$E28=$T$21,Pedidos!$G28*$U$21,Pedidos!$E28=$T$22,Pedidos!$G28*$U$22,Pedidos!$E28=$T$23,Pedidos!$G28*$U$23,Pedidos!$E28=$T$24,Pedidos!$G28*$U$24,Pedidos!$E28=$T$25,Pedidos!$G28*$U$25,Pedidos!$E28=$T$26,Pedidos!$G28*$U$26,Pedidos!$E28=$T$27,Pedidos!$G28*$U$27,Pedidos!$E28=$T$28,Pedidos!$G28*$U$28,Pedidos!$E28=$T$29,Pedidos!$G28*$U$29,Pedidos!$E28=$T$31,Pedidos!$G28*$U$31,Pedidos!$E28=$T$32,Pedidos!$G28*$U$32,Pedidos!$E28=$T$33,Pedidos!$G28*$U$33,Pedidos!$E28=$T$34,Pedidos!$G28*$U$34,Pedidos!$E28=$T$35,Pedidos!$G28*$U$35,Pedidos!$E28=$T$36,Pedidos!$G28*$U$36,Pedidos!$E28=$T$37,Pedidos!$G28*$U$37,Pedidos!$E28=$T$38,Pedidos!$G28*$U$38,Pedidos!$E28=$T$40,Pedidos!$G28*$U$40,Pedidos!$E28=$T$41,Pedidos!$G28*$U$41,Pedidos!$E28=$T$42,Pedidos!$G28*$U$42,Pedidos!$E28=$T$43,Pedidos!$G28*$U$43,Pedidos!$E28=$T$44,Pedidos!$G28*$U$44,Pedidos!$E28=$T$45,Pedidos!$G28*$U$45,Pedidos!$E28=$T$46,Pedidos!$G28*$U$46,Pedidos!$E28=$T$47,Pedidos!$G28*$U$47,Pedidos!$E28=$T$48,Pedidos!$G28*$U$48,Pedidos!$E28=$T$49,Pedidos!$G28*$U$49,Pedidos!$E28=$T$50,Pedidos!$G28*$U$50,Pedidos!$E28=$T$51,Pedidos!$G28*$U$51,Pedidos!$E28=$T$52,Pedidos!$G28*$U$52,Pedidos!$E28=$T$53,Pedidos!$G28*$U$53,Pedidos!$E28=$T$54,Pedidos!$G28*$U$54,Pedidos!$E28=$T$55,Pedidos!$G28*$U$55,Pedidos!$E28=$T$56,Pedidos!$G28*$U$56,Pedidos!$E28=$T$57,Pedidos!$G28*$U$57,Pedidos!$E28=$T$58,Pedidos!$G28*$U$58,Pedidos!$E28=$T$59,Pedidos!$G28*$U$59,Pedidos!$E28=$T$60,Pedidos!$G28*$U$60,Tabela2[[#This Row],[Cliente]]=$T$19,Tabela2[[#This Row],[Qtd.Sal(5kg)]]*$U$19,Tabela2[[#This Row],[Cliente]]=$T$30,Tabela2[[#This Row],[Qtd.Sal(5kg)]]*$V$30,Tabela2[[#This Row],[Cliente]]=$T$39,Tabela2[[#This Row],[Qtd.Sal(5kg)]]*$V$39)</f>
        <v>727.5</v>
      </c>
      <c r="I28" s="72">
        <v>5</v>
      </c>
      <c r="J2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242.5</v>
      </c>
      <c r="K28" s="72"/>
      <c r="L28" s="72">
        <v>5</v>
      </c>
      <c r="M2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8" s="72">
        <v>5</v>
      </c>
      <c r="O28" s="73">
        <f>IFERROR(_xlfn.IFS(Pedidos!$E28=Clientes_Cadastrados!D27,Pedidos!$N28*Clientes_Cadastrados!K27,Pedidos!$E28=Clientes_Cadastrados!D28,Pedidos!$N28*Clientes_Cadastrados!K28,Pedidos!$E28=Clientes_Cadastrados!D29,Pedidos!$N28*Clientes_Cadastrados!K29,Pedidos!$E28=Clientes_Cadastrados!D30,Pedidos!$N28*Clientes_Cadastrados!K30,Pedidos!$E28=Clientes_Cadastrados!D31,Pedidos!$N28*Clientes_Cadastrados!K31,Pedidos!$E28=Clientes_Cadastrados!D32,Pedidos!$N28*Clientes_Cadastrados!K32,Pedidos!$E28=Clientes_Cadastrados!D33,Pedidos!$N28*Clientes_Cadastrados!K33,Pedidos!$E28=Clientes_Cadastrados!D34,Pedidos!$N28*Clientes_Cadastrados!K34,Pedidos!$E28=Clientes_Cadastrados!D35,Pedidos!$N28*Clientes_Cadastrados!K35,Pedidos!$E28=Clientes_Cadastrados!D36,Pedidos!$N28*Clientes_Cadastrados!K36,Pedidos!$E28=Clientes_Cadastrados!D37,Pedidos!$N28*Clientes_Cadastrados!K37,Pedidos!$E28=Clientes_Cadastrados!D38,Pedidos!$N28*Clientes_Cadastrados!K38,Pedidos!$E28=Clientes_Cadastrados!D39,Pedidos!$N28*Clientes_Cadastrados!K39,Pedidos!$E28=Clientes_Cadastrados!D40,Pedidos!$N28*Clientes_Cadastrados!K40,Pedidos!$E28=Clientes_Cadastrados!D41,Pedidos!$N28*Clientes_Cadastrados!K41,Pedidos!$E28=Clientes_Cadastrados!D42,Pedidos!$N28*Clientes_Cadastrados!K42,Pedidos!$E28=Clientes_Cadastrados!D43,Pedidos!$N28*Clientes_Cadastrados!K43,Pedidos!$E28=Clientes_Cadastrados!D44,Pedidos!$N28*Clientes_Cadastrados!K44,Pedidos!$E28=Clientes_Cadastrados!D46,Pedidos!$N28*Clientes_Cadastrados!K46,Pedidos!$E28=Clientes_Cadastrados!D47,Pedidos!$N28*Clientes_Cadastrados!K47,Pedidos!$E28=Clientes_Cadastrados!D48,Pedidos!$N28*Clientes_Cadastrados!K48,Pedidos!$E28=Clientes_Cadastrados!D49,Pedidos!$N28*Clientes_Cadastrados!K49,Pedidos!$E28=Clientes_Cadastrados!D50,Pedidos!$N28*Clientes_Cadastrados!K50,Pedidos!$E28=Clientes_Cadastrados!D51,Pedidos!$N28*Clientes_Cadastrados!K51,Pedidos!$E28=Clientes_Cadastrados!D52,Pedidos!$N28*Clientes_Cadastrados!K52,Pedidos!$E28=Clientes_Cadastrados!D53,Pedidos!$N28*Clientes_Cadastrados!K53,Pedidos!$E28=Clientes_Cadastrados!D54,Pedidos!$N28*Clientes_Cadastrados!K54,Pedidos!$E28=Clientes_Cadastrados!D55,Pedidos!$N28*Clientes_Cadastrados!K55,Pedidos!$E28=Clientes_Cadastrados!D56,Pedidos!$N28*Clientes_Cadastrados!K56,Pedidos!$E28=Clientes_Cadastrados!D57,Pedidos!$N28*Clientes_Cadastrados!K57,Pedidos!$E28=Clientes_Cadastrados!D58,Pedidos!$N28*Clientes_Cadastrados!K58,Pedidos!$E28=Clientes_Cadastrados!D59,Pedidos!$N28*Clientes_Cadastrados!K59,Pedidos!$E28=Clientes_Cadastrados!D60,Pedidos!$N28*Clientes_Cadastrados!K60,Pedidos!$E28=Clientes_Cadastrados!D61,Pedidos!$N28*Clientes_Cadastrados!K61,Pedidos!$E28=Clientes_Cadastrados!D62,Pedidos!$N28*Clientes_Cadastrados!K62,Pedidos!$E28=Clientes_Cadastrados!D63,Pedidos!$N28*Clientes_Cadastrados!K63,Pedidos!$E28=Clientes_Cadastrados!D64,Pedidos!$N28*Clientes_Cadastrados!K64,Pedidos!$E28=Clientes_Cadastrados!D65,Pedidos!$N28*Clientes_Cadastrados!K65,Pedidos!$E28=Clientes_Cadastrados!D66,Pedidos!$N28*Clientes_Cadastrados!K66,Pedidos!$E28=Clientes_Cadastrados!D67,Pedidos!$N28*Clientes_Cadastrados!K67,Pedidos!$E28=Clientes_Cadastrados!D68,Pedidos!$N28*Clientes_Cadastrados!K68,Pedidos!$E28=Clientes_Cadastrados!D69,Pedidos!$N28*Clientes_Cadastrados!K69,Pedidos!$E28=Clientes_Cadastrados!D70,Pedidos!$N28*Clientes_Cadastrados!K70,Pedidos!$E28=Clientes_Cadastrados!D71,Pedidos!$N28*Clientes_Cadastrados!K71,Pedidos!$E28=Clientes_Cadastrados!D72,Pedidos!$N28*Clientes_Cadastrados!K72,Pedidos!$E28=Clientes_Cadastrados!D73,Pedidos!$N28*Clientes_Cadastrados!K73,Pedidos!$E28=Clientes_Cadastrados!D74,Pedidos!$N28*Clientes_Cadastrados!K74,Pedidos!$E28=Clientes_Cadastrados!D75,Pedidos!$N28*Clientes_Cadastrados!K75,Pedidos!$E28=Clientes_Cadastrados!D76,Pedidos!$N28*Clientes_Cadastrados!K76,Pedidos!$E28=Clientes_Cadastrados!D77,Pedidos!$N28*Clientes_Cadastrados!K77,Pedidos!$E28=Clientes_Cadastrados!D78,Pedidos!$N28*Clientes_Cadastrados!K78,Pedidos!$E28=Clientes_Cadastrados!D79,Pedidos!$N28*Clientes_Cadastrados!K79,Pedidos!$E28=Clientes_Cadastrados!D80,Pedidos!$N28*Clientes_Cadastrados!K80,Pedidos!$E28=Clientes_Cadastrados!D81,Pedidos!$N28*Clientes_Cadastrados!K81,Pedidos!$E28=Clientes_Cadastrados!D82,Pedidos!$N28*Clientes_Cadastrados!K82,Pedidos!$E28=Clientes_Cadastrados!D83,Pedidos!$N28*Clientes_Cadastrados!K83)," 0")</f>
        <v>708.75</v>
      </c>
      <c r="P28" s="73">
        <f>Tabela2[[#This Row],[Preço 15kg]]+Tabela2[[#This Row],[Preço 5kg]]+Tabela2[[#This Row],[Preço Pele 12kg]]+O28</f>
        <v>2623.75</v>
      </c>
      <c r="R28" s="30"/>
      <c r="S28" s="5">
        <v>24</v>
      </c>
      <c r="T28" s="8" t="s">
        <v>89</v>
      </c>
      <c r="U28" s="2">
        <f>Clientes_Cadastrados!E29</f>
        <v>236.25</v>
      </c>
      <c r="V28" s="2">
        <f>Clientes_Cadastrados!F29</f>
        <v>78.75</v>
      </c>
      <c r="W28" s="30"/>
      <c r="X28" s="2">
        <f>Clientes_Cadastrados!J29</f>
        <v>25.200000000000003</v>
      </c>
      <c r="Y28" s="2">
        <f>Clientes_Cadastrados!K29</f>
        <v>18.900000000000002</v>
      </c>
      <c r="Z28" s="30"/>
    </row>
    <row r="29" spans="3:26" x14ac:dyDescent="0.25">
      <c r="C29" s="93"/>
      <c r="D29" s="75">
        <v>44889</v>
      </c>
      <c r="E29" s="8" t="s">
        <v>89</v>
      </c>
      <c r="F29" s="72">
        <f>Pedidos!$G29+Pedidos!$I29+Pedidos!$L29+Pedidos!$N29</f>
        <v>20</v>
      </c>
      <c r="G29" s="72">
        <v>5</v>
      </c>
      <c r="H29" s="73">
        <f>_xlfn.IFS(Pedidos!$E29=$T$5,Pedidos!$G29*$U$5,Pedidos!$E29=$T$6,Pedidos!$G29*$U$6,Pedidos!$E29=$T$7,Pedidos!$G29*$U$7,Pedidos!$E29=$T$8,Pedidos!$G29*$U$8,Pedidos!$E29=$T$9,Pedidos!$G29*$U$9,Pedidos!$E29=$T$10,Pedidos!$G29*$U$10,Pedidos!$E29=$T$11,Pedidos!$G29*$U$11,Pedidos!$E29=$T$12,Pedidos!$G29*$U$12,Pedidos!$E29=$T$13,Pedidos!$G29*$U$13,Pedidos!$E29=$T$14,Pedidos!$G29*$U$14,Pedidos!$E29=$T$15,Pedidos!$G29*$U$15,Pedidos!$E29=$T$15,Pedidos!$G29*$U$15,Pedidos!$E29=$T$16,Pedidos!$G29*$U$16,Pedidos!$E29=$T$17,Pedidos!$G29*$U$17,Pedidos!$E29=$T$18,Pedidos!$G29*$U$18,Pedidos!$E29=$T$20,Pedidos!$G29*$U$20,Pedidos!$E29=$T$21,Pedidos!$G29*$U$21,Pedidos!$E29=$T$22,Pedidos!$G29*$U$22,Pedidos!$E29=$T$23,Pedidos!$G29*$U$23,Pedidos!$E29=$T$24,Pedidos!$G29*$U$24,Pedidos!$E29=$T$25,Pedidos!$G29*$U$25,Pedidos!$E29=$T$26,Pedidos!$G29*$U$26,Pedidos!$E29=$T$27,Pedidos!$G29*$U$27,Pedidos!$E29=$T$28,Pedidos!$G29*$U$28,Pedidos!$E29=$T$29,Pedidos!$G29*$U$29,Pedidos!$E29=$T$31,Pedidos!$G29*$U$31,Pedidos!$E29=$T$32,Pedidos!$G29*$U$32,Pedidos!$E29=$T$33,Pedidos!$G29*$U$33,Pedidos!$E29=$T$34,Pedidos!$G29*$U$34,Pedidos!$E29=$T$35,Pedidos!$G29*$U$35,Pedidos!$E29=$T$36,Pedidos!$G29*$U$36,Pedidos!$E29=$T$37,Pedidos!$G29*$U$37,Pedidos!$E29=$T$38,Pedidos!$G29*$U$38,Pedidos!$E29=$T$40,Pedidos!$G29*$U$40,Pedidos!$E29=$T$41,Pedidos!$G29*$U$41,Pedidos!$E29=$T$42,Pedidos!$G29*$U$42,Pedidos!$E29=$T$43,Pedidos!$G29*$U$43,Pedidos!$E29=$T$44,Pedidos!$G29*$U$44,Pedidos!$E29=$T$45,Pedidos!$G29*$U$45,Pedidos!$E29=$T$46,Pedidos!$G29*$U$46,Pedidos!$E29=$T$47,Pedidos!$G29*$U$47,Pedidos!$E29=$T$48,Pedidos!$G29*$U$48,Pedidos!$E29=$T$49,Pedidos!$G29*$U$49,Pedidos!$E29=$T$50,Pedidos!$G29*$U$50,Pedidos!$E29=$T$51,Pedidos!$G29*$U$51,Pedidos!$E29=$T$52,Pedidos!$G29*$U$52,Pedidos!$E29=$T$53,Pedidos!$G29*$U$53,Pedidos!$E29=$T$54,Pedidos!$G29*$U$54,Pedidos!$E29=$T$55,Pedidos!$G29*$U$55,Pedidos!$E29=$T$56,Pedidos!$G29*$U$56,Pedidos!$E29=$T$57,Pedidos!$G29*$U$57,Pedidos!$E29=$T$58,Pedidos!$G29*$U$58,Pedidos!$E29=$T$59,Pedidos!$G29*$U$59,Pedidos!$E29=$T$60,Pedidos!$G29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9" s="72">
        <v>5</v>
      </c>
      <c r="J2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9" s="72"/>
      <c r="L29" s="72">
        <v>5</v>
      </c>
      <c r="M2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9" s="72">
        <v>5</v>
      </c>
      <c r="O29" s="73">
        <f>IFERROR(_xlfn.IFS(Pedidos!$E29=Clientes_Cadastrados!D28,Pedidos!$N29*Clientes_Cadastrados!K28,Pedidos!$E29=Clientes_Cadastrados!D29,Pedidos!$N29*Clientes_Cadastrados!K29,Pedidos!$E29=Clientes_Cadastrados!D30,Pedidos!$N29*Clientes_Cadastrados!K30,Pedidos!$E29=Clientes_Cadastrados!D31,Pedidos!$N29*Clientes_Cadastrados!K31,Pedidos!$E29=Clientes_Cadastrados!D32,Pedidos!$N29*Clientes_Cadastrados!K32,Pedidos!$E29=Clientes_Cadastrados!D33,Pedidos!$N29*Clientes_Cadastrados!K33,Pedidos!$E29=Clientes_Cadastrados!D34,Pedidos!$N29*Clientes_Cadastrados!K34,Pedidos!$E29=Clientes_Cadastrados!D35,Pedidos!$N29*Clientes_Cadastrados!K35,Pedidos!$E29=Clientes_Cadastrados!D36,Pedidos!$N29*Clientes_Cadastrados!K36,Pedidos!$E29=Clientes_Cadastrados!D37,Pedidos!$N29*Clientes_Cadastrados!K37,Pedidos!$E29=Clientes_Cadastrados!D38,Pedidos!$N29*Clientes_Cadastrados!K38,Pedidos!$E29=Clientes_Cadastrados!D39,Pedidos!$N29*Clientes_Cadastrados!K39,Pedidos!$E29=Clientes_Cadastrados!D40,Pedidos!$N29*Clientes_Cadastrados!K40,Pedidos!$E29=Clientes_Cadastrados!D41,Pedidos!$N29*Clientes_Cadastrados!K41,Pedidos!$E29=Clientes_Cadastrados!D42,Pedidos!$N29*Clientes_Cadastrados!K42,Pedidos!$E29=Clientes_Cadastrados!D43,Pedidos!$N29*Clientes_Cadastrados!K43,Pedidos!$E29=Clientes_Cadastrados!D44,Pedidos!$N29*Clientes_Cadastrados!K44,Pedidos!$E29=Clientes_Cadastrados!D45,Pedidos!$N29*Clientes_Cadastrados!K45,Pedidos!$E29=Clientes_Cadastrados!D47,Pedidos!$N29*Clientes_Cadastrados!K47,Pedidos!$E29=Clientes_Cadastrados!D48,Pedidos!$N29*Clientes_Cadastrados!K48,Pedidos!$E29=Clientes_Cadastrados!D49,Pedidos!$N29*Clientes_Cadastrados!K49,Pedidos!$E29=Clientes_Cadastrados!D50,Pedidos!$N29*Clientes_Cadastrados!K50,Pedidos!$E29=Clientes_Cadastrados!D51,Pedidos!$N29*Clientes_Cadastrados!K51,Pedidos!$E29=Clientes_Cadastrados!D52,Pedidos!$N29*Clientes_Cadastrados!K52,Pedidos!$E29=Clientes_Cadastrados!D53,Pedidos!$N29*Clientes_Cadastrados!K53,Pedidos!$E29=Clientes_Cadastrados!D54,Pedidos!$N29*Clientes_Cadastrados!K54,Pedidos!$E29=Clientes_Cadastrados!D55,Pedidos!$N29*Clientes_Cadastrados!K55,Pedidos!$E29=Clientes_Cadastrados!D56,Pedidos!$N29*Clientes_Cadastrados!K56,Pedidos!$E29=Clientes_Cadastrados!D57,Pedidos!$N29*Clientes_Cadastrados!K57,Pedidos!$E29=Clientes_Cadastrados!D58,Pedidos!$N29*Clientes_Cadastrados!K58,Pedidos!$E29=Clientes_Cadastrados!D59,Pedidos!$N29*Clientes_Cadastrados!K59,Pedidos!$E29=Clientes_Cadastrados!D60,Pedidos!$N29*Clientes_Cadastrados!K60,Pedidos!$E29=Clientes_Cadastrados!D61,Pedidos!$N29*Clientes_Cadastrados!K61,Pedidos!$E29=Clientes_Cadastrados!D62,Pedidos!$N29*Clientes_Cadastrados!K62,Pedidos!$E29=Clientes_Cadastrados!D63,Pedidos!$N29*Clientes_Cadastrados!K63,Pedidos!$E29=Clientes_Cadastrados!D64,Pedidos!$N29*Clientes_Cadastrados!K64,Pedidos!$E29=Clientes_Cadastrados!D65,Pedidos!$N29*Clientes_Cadastrados!K65,Pedidos!$E29=Clientes_Cadastrados!D66,Pedidos!$N29*Clientes_Cadastrados!K66,Pedidos!$E29=Clientes_Cadastrados!D67,Pedidos!$N29*Clientes_Cadastrados!K67,Pedidos!$E29=Clientes_Cadastrados!D68,Pedidos!$N29*Clientes_Cadastrados!K68,Pedidos!$E29=Clientes_Cadastrados!D69,Pedidos!$N29*Clientes_Cadastrados!K69,Pedidos!$E29=Clientes_Cadastrados!D70,Pedidos!$N29*Clientes_Cadastrados!K70,Pedidos!$E29=Clientes_Cadastrados!D71,Pedidos!$N29*Clientes_Cadastrados!K71,Pedidos!$E29=Clientes_Cadastrados!D72,Pedidos!$N29*Clientes_Cadastrados!K72,Pedidos!$E29=Clientes_Cadastrados!D73,Pedidos!$N29*Clientes_Cadastrados!K73,Pedidos!$E29=Clientes_Cadastrados!D74,Pedidos!$N29*Clientes_Cadastrados!K74,Pedidos!$E29=Clientes_Cadastrados!D75,Pedidos!$N29*Clientes_Cadastrados!K75,Pedidos!$E29=Clientes_Cadastrados!D76,Pedidos!$N29*Clientes_Cadastrados!K76,Pedidos!$E29=Clientes_Cadastrados!D77,Pedidos!$N29*Clientes_Cadastrados!K77,Pedidos!$E29=Clientes_Cadastrados!D78,Pedidos!$N29*Clientes_Cadastrados!K78,Pedidos!$E29=Clientes_Cadastrados!D79,Pedidos!$N29*Clientes_Cadastrados!K79,Pedidos!$E29=Clientes_Cadastrados!D80,Pedidos!$N29*Clientes_Cadastrados!K80,Pedidos!$E29=Clientes_Cadastrados!D81,Pedidos!$N29*Clientes_Cadastrados!K81,Pedidos!$E29=Clientes_Cadastrados!D82,Pedidos!$N29*Clientes_Cadastrados!K82,Pedidos!$E29=Clientes_Cadastrados!D83,Pedidos!$N29*Clientes_Cadastrados!K83,Pedidos!$E29=Clientes_Cadastrados!D84,Pedidos!$N29*Clientes_Cadastrados!K84)," 0")</f>
        <v>94.500000000000014</v>
      </c>
      <c r="P29" s="73">
        <f>Tabela2[[#This Row],[Preço 15kg]]+Tabela2[[#This Row],[Preço 5kg]]+Tabela2[[#This Row],[Preço Pele 12kg]]+O29</f>
        <v>1795.5</v>
      </c>
      <c r="R29" s="30"/>
      <c r="S29" s="5">
        <v>25</v>
      </c>
      <c r="T29" s="8" t="s">
        <v>90</v>
      </c>
      <c r="U29" s="2">
        <f>Clientes_Cadastrados!E30</f>
        <v>31.5</v>
      </c>
      <c r="V29" s="2">
        <f>Clientes_Cadastrados!F30</f>
        <v>10.5</v>
      </c>
      <c r="W29" s="30"/>
      <c r="X29" s="2">
        <f>Clientes_Cadastrados!J30</f>
        <v>25.200000000000003</v>
      </c>
      <c r="Y29" s="2">
        <f>Clientes_Cadastrados!K30</f>
        <v>18.900000000000002</v>
      </c>
      <c r="Z29" s="30"/>
    </row>
    <row r="30" spans="3:26" x14ac:dyDescent="0.25">
      <c r="C30" s="93"/>
      <c r="D30" s="74">
        <v>44890</v>
      </c>
      <c r="E30" s="8" t="s">
        <v>90</v>
      </c>
      <c r="F30" s="72">
        <f>Pedidos!$G30+Pedidos!$I30+Pedidos!$L30+Pedidos!$N30</f>
        <v>20</v>
      </c>
      <c r="G30" s="72">
        <v>5</v>
      </c>
      <c r="H30" s="73">
        <f>_xlfn.IFS(Pedidos!$E30=$T$5,Pedidos!$G30*$U$5,Pedidos!$E30=$T$6,Pedidos!$G30*$U$6,Pedidos!$E30=$T$7,Pedidos!$G30*$U$7,Pedidos!$E30=$T$8,Pedidos!$G30*$U$8,Pedidos!$E30=$T$9,Pedidos!$G30*$U$9,Pedidos!$E30=$T$10,Pedidos!$G30*$U$10,Pedidos!$E30=$T$11,Pedidos!$G30*$U$11,Pedidos!$E30=$T$12,Pedidos!$G30*$U$12,Pedidos!$E30=$T$13,Pedidos!$G30*$U$13,Pedidos!$E30=$T$14,Pedidos!$G30*$U$14,Pedidos!$E30=$T$15,Pedidos!$G30*$U$15,Pedidos!$E30=$T$15,Pedidos!$G30*$U$15,Pedidos!$E30=$T$16,Pedidos!$G30*$U$16,Pedidos!$E30=$T$17,Pedidos!$G30*$U$17,Pedidos!$E30=$T$18,Pedidos!$G30*$U$18,Pedidos!$E30=$T$20,Pedidos!$G30*$U$20,Pedidos!$E30=$T$21,Pedidos!$G30*$U$21,Pedidos!$E30=$T$22,Pedidos!$G30*$U$22,Pedidos!$E30=$T$23,Pedidos!$G30*$U$23,Pedidos!$E30=$T$24,Pedidos!$G30*$U$24,Pedidos!$E30=$T$25,Pedidos!$G30*$U$25,Pedidos!$E30=$T$26,Pedidos!$G30*$U$26,Pedidos!$E30=$T$27,Pedidos!$G30*$U$27,Pedidos!$E30=$T$28,Pedidos!$G30*$U$28,Pedidos!$E30=$T$29,Pedidos!$G30*$U$29,Pedidos!$E30=$T$31,Pedidos!$G30*$U$31,Pedidos!$E30=$T$32,Pedidos!$G30*$U$32,Pedidos!$E30=$T$33,Pedidos!$G30*$U$33,Pedidos!$E30=$T$34,Pedidos!$G30*$U$34,Pedidos!$E30=$T$35,Pedidos!$G30*$U$35,Pedidos!$E30=$T$36,Pedidos!$G30*$U$36,Pedidos!$E30=$T$37,Pedidos!$G30*$U$37,Pedidos!$E30=$T$38,Pedidos!$G30*$U$38,Pedidos!$E30=$T$40,Pedidos!$G30*$U$40,Pedidos!$E30=$T$41,Pedidos!$G30*$U$41,Pedidos!$E30=$T$42,Pedidos!$G30*$U$42,Pedidos!$E30=$T$43,Pedidos!$G30*$U$43,Pedidos!$E30=$T$44,Pedidos!$G30*$U$44,Pedidos!$E30=$T$45,Pedidos!$G30*$U$45,Pedidos!$E30=$T$46,Pedidos!$G30*$U$46,Pedidos!$E30=$T$47,Pedidos!$G30*$U$47,Pedidos!$E30=$T$48,Pedidos!$G30*$U$48,Pedidos!$E30=$T$49,Pedidos!$G30*$U$49,Pedidos!$E30=$T$50,Pedidos!$G30*$U$50,Pedidos!$E30=$T$51,Pedidos!$G30*$U$51,Pedidos!$E30=$T$52,Pedidos!$G30*$U$52,Pedidos!$E30=$T$53,Pedidos!$G30*$U$53,Pedidos!$E30=$T$54,Pedidos!$G30*$U$54,Pedidos!$E30=$T$55,Pedidos!$G30*$U$55,Pedidos!$E30=$T$56,Pedidos!$G30*$U$56,Pedidos!$E30=$T$57,Pedidos!$G30*$U$57,Pedidos!$E30=$T$58,Pedidos!$G30*$U$58,Pedidos!$E30=$T$59,Pedidos!$G30*$U$59,Pedidos!$E30=$T$60,Pedidos!$G30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30" s="72">
        <v>5</v>
      </c>
      <c r="J3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30" s="72"/>
      <c r="L30" s="72">
        <v>5</v>
      </c>
      <c r="M3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0" s="72">
        <v>5</v>
      </c>
      <c r="O30" s="73">
        <f>IFERROR(_xlfn.IFS(Pedidos!$E30=Clientes_Cadastrados!D29,Pedidos!$N30*Clientes_Cadastrados!K29,Pedidos!$E30=Clientes_Cadastrados!D30,Pedidos!$N30*Clientes_Cadastrados!K30,Pedidos!$E30=Clientes_Cadastrados!D31,Pedidos!$N30*Clientes_Cadastrados!K31,Pedidos!$E30=Clientes_Cadastrados!D32,Pedidos!$N30*Clientes_Cadastrados!K32,Pedidos!$E30=Clientes_Cadastrados!D33,Pedidos!$N30*Clientes_Cadastrados!K33,Pedidos!$E30=Clientes_Cadastrados!D34,Pedidos!$N30*Clientes_Cadastrados!K34,Pedidos!$E30=Clientes_Cadastrados!D35,Pedidos!$N30*Clientes_Cadastrados!K35,Pedidos!$E30=Clientes_Cadastrados!D36,Pedidos!$N30*Clientes_Cadastrados!K36,Pedidos!$E30=Clientes_Cadastrados!D37,Pedidos!$N30*Clientes_Cadastrados!K37,Pedidos!$E30=Clientes_Cadastrados!D38,Pedidos!$N30*Clientes_Cadastrados!K38,Pedidos!$E30=Clientes_Cadastrados!D39,Pedidos!$N30*Clientes_Cadastrados!K39,Pedidos!$E30=Clientes_Cadastrados!D40,Pedidos!$N30*Clientes_Cadastrados!K40,Pedidos!$E30=Clientes_Cadastrados!D41,Pedidos!$N30*Clientes_Cadastrados!K41,Pedidos!$E30=Clientes_Cadastrados!D42,Pedidos!$N30*Clientes_Cadastrados!K42,Pedidos!$E30=Clientes_Cadastrados!D43,Pedidos!$N30*Clientes_Cadastrados!K43,Pedidos!$E30=Clientes_Cadastrados!D44,Pedidos!$N30*Clientes_Cadastrados!K44,Pedidos!$E30=Clientes_Cadastrados!D45,Pedidos!$N30*Clientes_Cadastrados!K45,Pedidos!$E30=Clientes_Cadastrados!D46,Pedidos!$N30*Clientes_Cadastrados!K46,Pedidos!$E30=Clientes_Cadastrados!D48,Pedidos!$N30*Clientes_Cadastrados!K48,Pedidos!$E30=Clientes_Cadastrados!D49,Pedidos!$N30*Clientes_Cadastrados!K49,Pedidos!$E30=Clientes_Cadastrados!D50,Pedidos!$N30*Clientes_Cadastrados!K50,Pedidos!$E30=Clientes_Cadastrados!D51,Pedidos!$N30*Clientes_Cadastrados!K51,Pedidos!$E30=Clientes_Cadastrados!D52,Pedidos!$N30*Clientes_Cadastrados!K52,Pedidos!$E30=Clientes_Cadastrados!D53,Pedidos!$N30*Clientes_Cadastrados!K53,Pedidos!$E30=Clientes_Cadastrados!D54,Pedidos!$N30*Clientes_Cadastrados!K54,Pedidos!$E30=Clientes_Cadastrados!D55,Pedidos!$N30*Clientes_Cadastrados!K55,Pedidos!$E30=Clientes_Cadastrados!D56,Pedidos!$N30*Clientes_Cadastrados!K56,Pedidos!$E30=Clientes_Cadastrados!D57,Pedidos!$N30*Clientes_Cadastrados!K57,Pedidos!$E30=Clientes_Cadastrados!D58,Pedidos!$N30*Clientes_Cadastrados!K58,Pedidos!$E30=Clientes_Cadastrados!D59,Pedidos!$N30*Clientes_Cadastrados!K59,Pedidos!$E30=Clientes_Cadastrados!D60,Pedidos!$N30*Clientes_Cadastrados!K60,Pedidos!$E30=Clientes_Cadastrados!D61,Pedidos!$N30*Clientes_Cadastrados!K61,Pedidos!$E30=Clientes_Cadastrados!D62,Pedidos!$N30*Clientes_Cadastrados!K62,Pedidos!$E30=Clientes_Cadastrados!D63,Pedidos!$N30*Clientes_Cadastrados!K63,Pedidos!$E30=Clientes_Cadastrados!D64,Pedidos!$N30*Clientes_Cadastrados!K64,Pedidos!$E30=Clientes_Cadastrados!D65,Pedidos!$N30*Clientes_Cadastrados!K65,Pedidos!$E30=Clientes_Cadastrados!D66,Pedidos!$N30*Clientes_Cadastrados!K66,Pedidos!$E30=Clientes_Cadastrados!D67,Pedidos!$N30*Clientes_Cadastrados!K67,Pedidos!$E30=Clientes_Cadastrados!D68,Pedidos!$N30*Clientes_Cadastrados!K68,Pedidos!$E30=Clientes_Cadastrados!D69,Pedidos!$N30*Clientes_Cadastrados!K69,Pedidos!$E30=Clientes_Cadastrados!D70,Pedidos!$N30*Clientes_Cadastrados!K70,Pedidos!$E30=Clientes_Cadastrados!D71,Pedidos!$N30*Clientes_Cadastrados!K71,Pedidos!$E30=Clientes_Cadastrados!D72,Pedidos!$N30*Clientes_Cadastrados!K72,Pedidos!$E30=Clientes_Cadastrados!D73,Pedidos!$N30*Clientes_Cadastrados!K73,Pedidos!$E30=Clientes_Cadastrados!D74,Pedidos!$N30*Clientes_Cadastrados!K74,Pedidos!$E30=Clientes_Cadastrados!D75,Pedidos!$N30*Clientes_Cadastrados!K75,Pedidos!$E30=Clientes_Cadastrados!D76,Pedidos!$N30*Clientes_Cadastrados!K76,Pedidos!$E30=Clientes_Cadastrados!D77,Pedidos!$N30*Clientes_Cadastrados!K77,Pedidos!$E30=Clientes_Cadastrados!D78,Pedidos!$N30*Clientes_Cadastrados!K78,Pedidos!$E30=Clientes_Cadastrados!D79,Pedidos!$N30*Clientes_Cadastrados!K79,Pedidos!$E30=Clientes_Cadastrados!D80,Pedidos!$N30*Clientes_Cadastrados!K80,Pedidos!$E30=Clientes_Cadastrados!D81,Pedidos!$N30*Clientes_Cadastrados!K81,Pedidos!$E30=Clientes_Cadastrados!D82,Pedidos!$N30*Clientes_Cadastrados!K82,Pedidos!$E30=Clientes_Cadastrados!D83,Pedidos!$N30*Clientes_Cadastrados!K83,Pedidos!$E30=Clientes_Cadastrados!D84,Pedidos!$N30*Clientes_Cadastrados!K84,Pedidos!$E30=Clientes_Cadastrados!D85,Pedidos!$N30*Clientes_Cadastrados!K85)," 0")</f>
        <v>94.500000000000014</v>
      </c>
      <c r="P30" s="73">
        <f>Tabela2[[#This Row],[Preço 15kg]]+Tabela2[[#This Row],[Preço 5kg]]+Tabela2[[#This Row],[Preço Pele 12kg]]+O30</f>
        <v>430.5</v>
      </c>
      <c r="R30" s="30"/>
      <c r="S30" s="5">
        <v>26</v>
      </c>
      <c r="T30" s="8" t="s">
        <v>91</v>
      </c>
      <c r="U30" s="2">
        <f>Clientes_Cadastrados!E31</f>
        <v>142.5</v>
      </c>
      <c r="V30" s="2">
        <f>Clientes_Cadastrados!F31</f>
        <v>47.5</v>
      </c>
      <c r="W30" s="30"/>
      <c r="X30" s="2">
        <f>Clientes_Cadastrados!J31</f>
        <v>186</v>
      </c>
      <c r="Y30" s="2">
        <f>Clientes_Cadastrados!K31</f>
        <v>139.5</v>
      </c>
      <c r="Z30" s="30"/>
    </row>
    <row r="31" spans="3:26" x14ac:dyDescent="0.25">
      <c r="C31" s="93"/>
      <c r="D31" s="75">
        <v>44891</v>
      </c>
      <c r="E31" s="8" t="s">
        <v>91</v>
      </c>
      <c r="F31" s="72">
        <f>Pedidos!$G31+Pedidos!$I31+Pedidos!$L31+Pedidos!$N31</f>
        <v>20</v>
      </c>
      <c r="G31" s="72">
        <v>5</v>
      </c>
      <c r="H31" s="73">
        <f>_xlfn.IFS(Pedidos!$E31=$T$5,Pedidos!$G31*$U$5,Pedidos!$E31=$T$6,Pedidos!$G31*$U$6,Pedidos!$E31=$T$7,Pedidos!$G31*$U$7,Pedidos!$E31=$T$8,Pedidos!$G31*$U$8,Pedidos!$E31=$T$9,Pedidos!$G31*$U$9,Pedidos!$E31=$T$10,Pedidos!$G31*$U$10,Pedidos!$E31=$T$11,Pedidos!$G31*$U$11,Pedidos!$E31=$T$12,Pedidos!$G31*$U$12,Pedidos!$E31=$T$13,Pedidos!$G31*$U$13,Pedidos!$E31=$T$14,Pedidos!$G31*$U$14,Pedidos!$E31=$T$15,Pedidos!$G31*$U$15,Pedidos!$E31=$T$15,Pedidos!$G31*$U$15,Pedidos!$E31=$T$16,Pedidos!$G31*$U$16,Pedidos!$E31=$T$17,Pedidos!$G31*$U$17,Pedidos!$E31=$T$18,Pedidos!$G31*$U$18,Pedidos!$E31=$T$20,Pedidos!$G31*$U$20,Pedidos!$E31=$T$21,Pedidos!$G31*$U$21,Pedidos!$E31=$T$22,Pedidos!$G31*$U$22,Pedidos!$E31=$T$23,Pedidos!$G31*$U$23,Pedidos!$E31=$T$24,Pedidos!$G31*$U$24,Pedidos!$E31=$T$25,Pedidos!$G31*$U$25,Pedidos!$E31=$T$26,Pedidos!$G31*$U$26,Pedidos!$E31=$T$27,Pedidos!$G31*$U$27,Pedidos!$E31=$T$28,Pedidos!$G31*$U$28,Pedidos!$E31=$T$29,Pedidos!$G31*$U$29,Pedidos!$E31=$T$31,Pedidos!$G31*$U$31,Pedidos!$E31=$T$32,Pedidos!$G31*$U$32,Pedidos!$E31=$T$33,Pedidos!$G31*$U$33,Pedidos!$E31=$T$34,Pedidos!$G31*$U$34,Pedidos!$E31=$T$35,Pedidos!$G31*$U$35,Pedidos!$E31=$T$36,Pedidos!$G31*$U$36,Pedidos!$E31=$T$37,Pedidos!$G31*$U$37,Pedidos!$E31=$T$38,Pedidos!$G31*$U$38,Pedidos!$E31=$T$40,Pedidos!$G31*$U$40,Pedidos!$E31=$T$41,Pedidos!$G31*$U$41,Pedidos!$E31=$T$42,Pedidos!$G31*$U$42,Pedidos!$E31=$T$43,Pedidos!$G31*$U$43,Pedidos!$E31=$T$44,Pedidos!$G31*$U$44,Pedidos!$E31=$T$45,Pedidos!$G31*$U$45,Pedidos!$E31=$T$46,Pedidos!$G31*$U$46,Pedidos!$E31=$T$47,Pedidos!$G31*$U$47,Pedidos!$E31=$T$48,Pedidos!$G31*$U$48,Pedidos!$E31=$T$49,Pedidos!$G31*$U$49,Pedidos!$E31=$T$50,Pedidos!$G31*$U$50,Pedidos!$E31=$T$51,Pedidos!$G31*$U$51,Pedidos!$E31=$T$52,Pedidos!$G31*$U$52,Pedidos!$E31=$T$53,Pedidos!$G31*$U$53,Pedidos!$E31=$T$54,Pedidos!$G31*$U$54,Pedidos!$E31=$T$55,Pedidos!$G31*$U$55,Pedidos!$E31=$T$56,Pedidos!$G31*$U$56,Pedidos!$E31=$T$57,Pedidos!$G31*$U$57,Pedidos!$E31=$T$58,Pedidos!$G31*$U$58,Pedidos!$E31=$T$59,Pedidos!$G31*$U$59,Pedidos!$E31=$T$60,Pedidos!$G31*$U$60,Tabela2[[#This Row],[Cliente]]=$T$19,Tabela2[[#This Row],[Qtd.Sal(5kg)]]*$U$19,Tabela2[[#This Row],[Cliente]]=$T$30,Tabela2[[#This Row],[Qtd.Sal(5kg)]]*$V$30,Tabela2[[#This Row],[Cliente]]=$T$39,Tabela2[[#This Row],[Qtd.Sal(5kg)]]*$V$39)</f>
        <v>237.5</v>
      </c>
      <c r="I31" s="72">
        <v>5</v>
      </c>
      <c r="J3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31" s="72"/>
      <c r="L31" s="72">
        <v>5</v>
      </c>
      <c r="M3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1" s="72">
        <v>5</v>
      </c>
      <c r="O31" s="73">
        <f>IFERROR(_xlfn.IFS(Pedidos!$E31=Clientes_Cadastrados!D30,Pedidos!$N31*Clientes_Cadastrados!K30,Pedidos!$E31=Clientes_Cadastrados!D31,Pedidos!$N31*Clientes_Cadastrados!K31,Pedidos!$E31=Clientes_Cadastrados!D32,Pedidos!$N31*Clientes_Cadastrados!K32,Pedidos!$E31=Clientes_Cadastrados!D33,Pedidos!$N31*Clientes_Cadastrados!K33,Pedidos!$E31=Clientes_Cadastrados!D34,Pedidos!$N31*Clientes_Cadastrados!K34,Pedidos!$E31=Clientes_Cadastrados!D35,Pedidos!$N31*Clientes_Cadastrados!K35,Pedidos!$E31=Clientes_Cadastrados!D36,Pedidos!$N31*Clientes_Cadastrados!K36,Pedidos!$E31=Clientes_Cadastrados!D37,Pedidos!$N31*Clientes_Cadastrados!K37,Pedidos!$E31=Clientes_Cadastrados!D38,Pedidos!$N31*Clientes_Cadastrados!K38,Pedidos!$E31=Clientes_Cadastrados!D39,Pedidos!$N31*Clientes_Cadastrados!K39,Pedidos!$E31=Clientes_Cadastrados!D40,Pedidos!$N31*Clientes_Cadastrados!K40,Pedidos!$E31=Clientes_Cadastrados!D41,Pedidos!$N31*Clientes_Cadastrados!K41,Pedidos!$E31=Clientes_Cadastrados!D42,Pedidos!$N31*Clientes_Cadastrados!K42,Pedidos!$E31=Clientes_Cadastrados!D43,Pedidos!$N31*Clientes_Cadastrados!K43,Pedidos!$E31=Clientes_Cadastrados!D44,Pedidos!$N31*Clientes_Cadastrados!K44,Pedidos!$E31=Clientes_Cadastrados!D45,Pedidos!$N31*Clientes_Cadastrados!K45,Pedidos!$E31=Clientes_Cadastrados!D46,Pedidos!$N31*Clientes_Cadastrados!K46,Pedidos!$E31=Clientes_Cadastrados!D47,Pedidos!$N31*Clientes_Cadastrados!K47,Pedidos!$E31=Clientes_Cadastrados!D49,Pedidos!$N31*Clientes_Cadastrados!K49,Pedidos!$E31=Clientes_Cadastrados!D50,Pedidos!$N31*Clientes_Cadastrados!K50,Pedidos!$E31=Clientes_Cadastrados!D51,Pedidos!$N31*Clientes_Cadastrados!K51,Pedidos!$E31=Clientes_Cadastrados!D52,Pedidos!$N31*Clientes_Cadastrados!K52,Pedidos!$E31=Clientes_Cadastrados!D53,Pedidos!$N31*Clientes_Cadastrados!K53,Pedidos!$E31=Clientes_Cadastrados!D54,Pedidos!$N31*Clientes_Cadastrados!K54,Pedidos!$E31=Clientes_Cadastrados!D55,Pedidos!$N31*Clientes_Cadastrados!K55,Pedidos!$E31=Clientes_Cadastrados!D56,Pedidos!$N31*Clientes_Cadastrados!K56,Pedidos!$E31=Clientes_Cadastrados!D57,Pedidos!$N31*Clientes_Cadastrados!K57,Pedidos!$E31=Clientes_Cadastrados!D58,Pedidos!$N31*Clientes_Cadastrados!K58,Pedidos!$E31=Clientes_Cadastrados!D59,Pedidos!$N31*Clientes_Cadastrados!K59,Pedidos!$E31=Clientes_Cadastrados!D60,Pedidos!$N31*Clientes_Cadastrados!K60,Pedidos!$E31=Clientes_Cadastrados!D61,Pedidos!$N31*Clientes_Cadastrados!K61,Pedidos!$E31=Clientes_Cadastrados!D62,Pedidos!$N31*Clientes_Cadastrados!K62,Pedidos!$E31=Clientes_Cadastrados!D63,Pedidos!$N31*Clientes_Cadastrados!K63,Pedidos!$E31=Clientes_Cadastrados!D64,Pedidos!$N31*Clientes_Cadastrados!K64,Pedidos!$E31=Clientes_Cadastrados!D65,Pedidos!$N31*Clientes_Cadastrados!K65,Pedidos!$E31=Clientes_Cadastrados!D66,Pedidos!$N31*Clientes_Cadastrados!K66,Pedidos!$E31=Clientes_Cadastrados!D67,Pedidos!$N31*Clientes_Cadastrados!K67,Pedidos!$E31=Clientes_Cadastrados!D68,Pedidos!$N31*Clientes_Cadastrados!K68,Pedidos!$E31=Clientes_Cadastrados!D69,Pedidos!$N31*Clientes_Cadastrados!K69,Pedidos!$E31=Clientes_Cadastrados!D70,Pedidos!$N31*Clientes_Cadastrados!K70,Pedidos!$E31=Clientes_Cadastrados!D71,Pedidos!$N31*Clientes_Cadastrados!K71,Pedidos!$E31=Clientes_Cadastrados!D72,Pedidos!$N31*Clientes_Cadastrados!K72,Pedidos!$E31=Clientes_Cadastrados!D73,Pedidos!$N31*Clientes_Cadastrados!K73,Pedidos!$E31=Clientes_Cadastrados!D74,Pedidos!$N31*Clientes_Cadastrados!K74,Pedidos!$E31=Clientes_Cadastrados!D75,Pedidos!$N31*Clientes_Cadastrados!K75,Pedidos!$E31=Clientes_Cadastrados!D76,Pedidos!$N31*Clientes_Cadastrados!K76,Pedidos!$E31=Clientes_Cadastrados!D77,Pedidos!$N31*Clientes_Cadastrados!K77,Pedidos!$E31=Clientes_Cadastrados!D78,Pedidos!$N31*Clientes_Cadastrados!K78,Pedidos!$E31=Clientes_Cadastrados!D79,Pedidos!$N31*Clientes_Cadastrados!K79,Pedidos!$E31=Clientes_Cadastrados!D80,Pedidos!$N31*Clientes_Cadastrados!K80,Pedidos!$E31=Clientes_Cadastrados!D81,Pedidos!$N31*Clientes_Cadastrados!K81,Pedidos!$E31=Clientes_Cadastrados!D82,Pedidos!$N31*Clientes_Cadastrados!K82,Pedidos!$E31=Clientes_Cadastrados!D83,Pedidos!$N31*Clientes_Cadastrados!K83,Pedidos!$E31=Clientes_Cadastrados!D84,Pedidos!$N31*Clientes_Cadastrados!K84,Pedidos!$E31=Clientes_Cadastrados!D85,Pedidos!$N31*Clientes_Cadastrados!K85,Pedidos!$E31=Clientes_Cadastrados!D86,Pedidos!$N31*Clientes_Cadastrados!K86)," 0")</f>
        <v>697.5</v>
      </c>
      <c r="P31" s="73">
        <f>Tabela2[[#This Row],[Preço 15kg]]+Tabela2[[#This Row],[Preço 5kg]]+Tabela2[[#This Row],[Preço Pele 12kg]]+O31</f>
        <v>2102.5</v>
      </c>
      <c r="R31" s="30"/>
      <c r="S31" s="5">
        <v>27</v>
      </c>
      <c r="T31" s="8" t="s">
        <v>92</v>
      </c>
      <c r="U31" s="2">
        <f>Clientes_Cadastrados!E32</f>
        <v>236.25</v>
      </c>
      <c r="V31" s="2">
        <f>Clientes_Cadastrados!F32</f>
        <v>78.75</v>
      </c>
      <c r="W31" s="30"/>
      <c r="X31" s="2">
        <f>Clientes_Cadastrados!J32</f>
        <v>186</v>
      </c>
      <c r="Y31" s="2">
        <f>Clientes_Cadastrados!K32</f>
        <v>139.5</v>
      </c>
      <c r="Z31" s="30"/>
    </row>
    <row r="32" spans="3:26" x14ac:dyDescent="0.25">
      <c r="C32" s="93"/>
      <c r="D32" s="74">
        <v>44892</v>
      </c>
      <c r="E32" s="8" t="s">
        <v>92</v>
      </c>
      <c r="F32" s="72">
        <f>Pedidos!$G32+Pedidos!$I32+Pedidos!$L32+Pedidos!$N32</f>
        <v>20</v>
      </c>
      <c r="G32" s="72">
        <v>5</v>
      </c>
      <c r="H32" s="73">
        <f>_xlfn.IFS(Pedidos!$E32=$T$5,Pedidos!$G32*$U$5,Pedidos!$E32=$T$6,Pedidos!$G32*$U$6,Pedidos!$E32=$T$7,Pedidos!$G32*$U$7,Pedidos!$E32=$T$8,Pedidos!$G32*$U$8,Pedidos!$E32=$T$9,Pedidos!$G32*$U$9,Pedidos!$E32=$T$10,Pedidos!$G32*$U$10,Pedidos!$E32=$T$11,Pedidos!$G32*$U$11,Pedidos!$E32=$T$12,Pedidos!$G32*$U$12,Pedidos!$E32=$T$13,Pedidos!$G32*$U$13,Pedidos!$E32=$T$14,Pedidos!$G32*$U$14,Pedidos!$E32=$T$15,Pedidos!$G32*$U$15,Pedidos!$E32=$T$15,Pedidos!$G32*$U$15,Pedidos!$E32=$T$16,Pedidos!$G32*$U$16,Pedidos!$E32=$T$17,Pedidos!$G32*$U$17,Pedidos!$E32=$T$18,Pedidos!$G32*$U$18,Pedidos!$E32=$T$20,Pedidos!$G32*$U$20,Pedidos!$E32=$T$21,Pedidos!$G32*$U$21,Pedidos!$E32=$T$22,Pedidos!$G32*$U$22,Pedidos!$E32=$T$23,Pedidos!$G32*$U$23,Pedidos!$E32=$T$24,Pedidos!$G32*$U$24,Pedidos!$E32=$T$25,Pedidos!$G32*$U$25,Pedidos!$E32=$T$26,Pedidos!$G32*$U$26,Pedidos!$E32=$T$27,Pedidos!$G32*$U$27,Pedidos!$E32=$T$28,Pedidos!$G32*$U$28,Pedidos!$E32=$T$29,Pedidos!$G32*$U$29,Pedidos!$E32=$T$31,Pedidos!$G32*$U$31,Pedidos!$E32=$T$32,Pedidos!$G32*$U$32,Pedidos!$E32=$T$33,Pedidos!$G32*$U$33,Pedidos!$E32=$T$34,Pedidos!$G32*$U$34,Pedidos!$E32=$T$35,Pedidos!$G32*$U$35,Pedidos!$E32=$T$36,Pedidos!$G32*$U$36,Pedidos!$E32=$T$37,Pedidos!$G32*$U$37,Pedidos!$E32=$T$38,Pedidos!$G32*$U$38,Pedidos!$E32=$T$40,Pedidos!$G32*$U$40,Pedidos!$E32=$T$41,Pedidos!$G32*$U$41,Pedidos!$E32=$T$42,Pedidos!$G32*$U$42,Pedidos!$E32=$T$43,Pedidos!$G32*$U$43,Pedidos!$E32=$T$44,Pedidos!$G32*$U$44,Pedidos!$E32=$T$45,Pedidos!$G32*$U$45,Pedidos!$E32=$T$46,Pedidos!$G32*$U$46,Pedidos!$E32=$T$47,Pedidos!$G32*$U$47,Pedidos!$E32=$T$48,Pedidos!$G32*$U$48,Pedidos!$E32=$T$49,Pedidos!$G32*$U$49,Pedidos!$E32=$T$50,Pedidos!$G32*$U$50,Pedidos!$E32=$T$51,Pedidos!$G32*$U$51,Pedidos!$E32=$T$52,Pedidos!$G32*$U$52,Pedidos!$E32=$T$53,Pedidos!$G32*$U$53,Pedidos!$E32=$T$54,Pedidos!$G32*$U$54,Pedidos!$E32=$T$55,Pedidos!$G32*$U$55,Pedidos!$E32=$T$56,Pedidos!$G32*$U$56,Pedidos!$E32=$T$57,Pedidos!$G32*$U$57,Pedidos!$E32=$T$58,Pedidos!$G32*$U$58,Pedidos!$E32=$T$59,Pedidos!$G32*$U$59,Pedidos!$E32=$T$60,Pedidos!$G32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32" s="72">
        <v>5</v>
      </c>
      <c r="J3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32" s="72"/>
      <c r="L32" s="72">
        <v>5</v>
      </c>
      <c r="M3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2" s="72">
        <v>5</v>
      </c>
      <c r="O32" s="73">
        <f>IFERROR(_xlfn.IFS(Pedidos!$E32=Clientes_Cadastrados!D31,Pedidos!$N32*Clientes_Cadastrados!K31,Pedidos!$E32=Clientes_Cadastrados!D32,Pedidos!$N32*Clientes_Cadastrados!K32,Pedidos!$E32=Clientes_Cadastrados!D33,Pedidos!$N32*Clientes_Cadastrados!K33,Pedidos!$E32=Clientes_Cadastrados!D34,Pedidos!$N32*Clientes_Cadastrados!K34,Pedidos!$E32=Clientes_Cadastrados!D35,Pedidos!$N32*Clientes_Cadastrados!K35,Pedidos!$E32=Clientes_Cadastrados!D36,Pedidos!$N32*Clientes_Cadastrados!K36,Pedidos!$E32=Clientes_Cadastrados!D37,Pedidos!$N32*Clientes_Cadastrados!K37,Pedidos!$E32=Clientes_Cadastrados!D38,Pedidos!$N32*Clientes_Cadastrados!K38,Pedidos!$E32=Clientes_Cadastrados!D39,Pedidos!$N32*Clientes_Cadastrados!K39,Pedidos!$E32=Clientes_Cadastrados!D40,Pedidos!$N32*Clientes_Cadastrados!K40,Pedidos!$E32=Clientes_Cadastrados!D41,Pedidos!$N32*Clientes_Cadastrados!K41,Pedidos!$E32=Clientes_Cadastrados!D42,Pedidos!$N32*Clientes_Cadastrados!K42,Pedidos!$E32=Clientes_Cadastrados!D43,Pedidos!$N32*Clientes_Cadastrados!K43,Pedidos!$E32=Clientes_Cadastrados!D44,Pedidos!$N32*Clientes_Cadastrados!K44,Pedidos!$E32=Clientes_Cadastrados!D45,Pedidos!$N32*Clientes_Cadastrados!K45,Pedidos!$E32=Clientes_Cadastrados!D46,Pedidos!$N32*Clientes_Cadastrados!K46,Pedidos!$E32=Clientes_Cadastrados!D47,Pedidos!$N32*Clientes_Cadastrados!K47,Pedidos!$E32=Clientes_Cadastrados!D48,Pedidos!$N32*Clientes_Cadastrados!K48,Pedidos!$E32=Clientes_Cadastrados!D50,Pedidos!$N32*Clientes_Cadastrados!K50,Pedidos!$E32=Clientes_Cadastrados!D51,Pedidos!$N32*Clientes_Cadastrados!K51,Pedidos!$E32=Clientes_Cadastrados!D52,Pedidos!$N32*Clientes_Cadastrados!K52,Pedidos!$E32=Clientes_Cadastrados!D53,Pedidos!$N32*Clientes_Cadastrados!K53,Pedidos!$E32=Clientes_Cadastrados!D54,Pedidos!$N32*Clientes_Cadastrados!K54,Pedidos!$E32=Clientes_Cadastrados!D55,Pedidos!$N32*Clientes_Cadastrados!K55,Pedidos!$E32=Clientes_Cadastrados!D56,Pedidos!$N32*Clientes_Cadastrados!K56,Pedidos!$E32=Clientes_Cadastrados!D57,Pedidos!$N32*Clientes_Cadastrados!K57,Pedidos!$E32=Clientes_Cadastrados!D58,Pedidos!$N32*Clientes_Cadastrados!K58,Pedidos!$E32=Clientes_Cadastrados!D59,Pedidos!$N32*Clientes_Cadastrados!K59,Pedidos!$E32=Clientes_Cadastrados!D60,Pedidos!$N32*Clientes_Cadastrados!K60,Pedidos!$E32=Clientes_Cadastrados!D61,Pedidos!$N32*Clientes_Cadastrados!K61,Pedidos!$E32=Clientes_Cadastrados!D62,Pedidos!$N32*Clientes_Cadastrados!K62,Pedidos!$E32=Clientes_Cadastrados!D63,Pedidos!$N32*Clientes_Cadastrados!K63,Pedidos!$E32=Clientes_Cadastrados!D64,Pedidos!$N32*Clientes_Cadastrados!K64,Pedidos!$E32=Clientes_Cadastrados!D65,Pedidos!$N32*Clientes_Cadastrados!K65,Pedidos!$E32=Clientes_Cadastrados!D66,Pedidos!$N32*Clientes_Cadastrados!K66,Pedidos!$E32=Clientes_Cadastrados!D67,Pedidos!$N32*Clientes_Cadastrados!K67,Pedidos!$E32=Clientes_Cadastrados!D68,Pedidos!$N32*Clientes_Cadastrados!K68,Pedidos!$E32=Clientes_Cadastrados!D69,Pedidos!$N32*Clientes_Cadastrados!K69,Pedidos!$E32=Clientes_Cadastrados!D70,Pedidos!$N32*Clientes_Cadastrados!K70,Pedidos!$E32=Clientes_Cadastrados!D71,Pedidos!$N32*Clientes_Cadastrados!K71,Pedidos!$E32=Clientes_Cadastrados!D72,Pedidos!$N32*Clientes_Cadastrados!K72,Pedidos!$E32=Clientes_Cadastrados!D73,Pedidos!$N32*Clientes_Cadastrados!K73,Pedidos!$E32=Clientes_Cadastrados!D74,Pedidos!$N32*Clientes_Cadastrados!K74,Pedidos!$E32=Clientes_Cadastrados!D75,Pedidos!$N32*Clientes_Cadastrados!K75,Pedidos!$E32=Clientes_Cadastrados!D76,Pedidos!$N32*Clientes_Cadastrados!K76,Pedidos!$E32=Clientes_Cadastrados!D77,Pedidos!$N32*Clientes_Cadastrados!K77,Pedidos!$E32=Clientes_Cadastrados!D78,Pedidos!$N32*Clientes_Cadastrados!K78,Pedidos!$E32=Clientes_Cadastrados!D79,Pedidos!$N32*Clientes_Cadastrados!K79,Pedidos!$E32=Clientes_Cadastrados!D80,Pedidos!$N32*Clientes_Cadastrados!K80,Pedidos!$E32=Clientes_Cadastrados!D81,Pedidos!$N32*Clientes_Cadastrados!K81,Pedidos!$E32=Clientes_Cadastrados!D82,Pedidos!$N32*Clientes_Cadastrados!K82,Pedidos!$E32=Clientes_Cadastrados!D83,Pedidos!$N32*Clientes_Cadastrados!K83,Pedidos!$E32=Clientes_Cadastrados!D84,Pedidos!$N32*Clientes_Cadastrados!K84,Pedidos!$E32=Clientes_Cadastrados!D85,Pedidos!$N32*Clientes_Cadastrados!K85,Pedidos!$E32=Clientes_Cadastrados!D86,Pedidos!$N32*Clientes_Cadastrados!K86,Pedidos!$E32=Clientes_Cadastrados!D87,Pedidos!$N32*Clientes_Cadastrados!K87)," 0")</f>
        <v>697.5</v>
      </c>
      <c r="P32" s="73">
        <f>Tabela2[[#This Row],[Preço 15kg]]+Tabela2[[#This Row],[Preço 5kg]]+Tabela2[[#This Row],[Preço Pele 12kg]]+O32</f>
        <v>3202.5</v>
      </c>
      <c r="R32" s="30"/>
      <c r="S32" s="5">
        <v>28</v>
      </c>
      <c r="T32" s="8" t="s">
        <v>93</v>
      </c>
      <c r="U32" s="2">
        <f>Clientes_Cadastrados!E33</f>
        <v>103.5</v>
      </c>
      <c r="V32" s="2">
        <f>Clientes_Cadastrados!F33</f>
        <v>34.5</v>
      </c>
      <c r="W32" s="30"/>
      <c r="X32" s="2">
        <f>Clientes_Cadastrados!J33</f>
        <v>186</v>
      </c>
      <c r="Y32" s="2">
        <f>Clientes_Cadastrados!K33</f>
        <v>139.5</v>
      </c>
      <c r="Z32" s="30"/>
    </row>
    <row r="33" spans="3:26" x14ac:dyDescent="0.25">
      <c r="C33" s="93"/>
      <c r="D33" s="75">
        <v>44893</v>
      </c>
      <c r="E33" s="8" t="s">
        <v>93</v>
      </c>
      <c r="F33" s="72">
        <f>Pedidos!$G33+Pedidos!$I33+Pedidos!$L33+Pedidos!$N33</f>
        <v>20</v>
      </c>
      <c r="G33" s="72">
        <v>5</v>
      </c>
      <c r="H33" s="73">
        <f>_xlfn.IFS(Pedidos!$E33=$T$5,Pedidos!$G33*$U$5,Pedidos!$E33=$T$6,Pedidos!$G33*$U$6,Pedidos!$E33=$T$7,Pedidos!$G33*$U$7,Pedidos!$E33=$T$8,Pedidos!$G33*$U$8,Pedidos!$E33=$T$9,Pedidos!$G33*$U$9,Pedidos!$E33=$T$10,Pedidos!$G33*$U$10,Pedidos!$E33=$T$11,Pedidos!$G33*$U$11,Pedidos!$E33=$T$12,Pedidos!$G33*$U$12,Pedidos!$E33=$T$13,Pedidos!$G33*$U$13,Pedidos!$E33=$T$14,Pedidos!$G33*$U$14,Pedidos!$E33=$T$15,Pedidos!$G33*$U$15,Pedidos!$E33=$T$15,Pedidos!$G33*$U$15,Pedidos!$E33=$T$16,Pedidos!$G33*$U$16,Pedidos!$E33=$T$17,Pedidos!$G33*$U$17,Pedidos!$E33=$T$18,Pedidos!$G33*$U$18,Pedidos!$E33=$T$20,Pedidos!$G33*$U$20,Pedidos!$E33=$T$21,Pedidos!$G33*$U$21,Pedidos!$E33=$T$22,Pedidos!$G33*$U$22,Pedidos!$E33=$T$23,Pedidos!$G33*$U$23,Pedidos!$E33=$T$24,Pedidos!$G33*$U$24,Pedidos!$E33=$T$25,Pedidos!$G33*$U$25,Pedidos!$E33=$T$26,Pedidos!$G33*$U$26,Pedidos!$E33=$T$27,Pedidos!$G33*$U$27,Pedidos!$E33=$T$28,Pedidos!$G33*$U$28,Pedidos!$E33=$T$29,Pedidos!$G33*$U$29,Pedidos!$E33=$T$31,Pedidos!$G33*$U$31,Pedidos!$E33=$T$32,Pedidos!$G33*$U$32,Pedidos!$E33=$T$33,Pedidos!$G33*$U$33,Pedidos!$E33=$T$34,Pedidos!$G33*$U$34,Pedidos!$E33=$T$35,Pedidos!$G33*$U$35,Pedidos!$E33=$T$36,Pedidos!$G33*$U$36,Pedidos!$E33=$T$37,Pedidos!$G33*$U$37,Pedidos!$E33=$T$38,Pedidos!$G33*$U$38,Pedidos!$E33=$T$40,Pedidos!$G33*$U$40,Pedidos!$E33=$T$41,Pedidos!$G33*$U$41,Pedidos!$E33=$T$42,Pedidos!$G33*$U$42,Pedidos!$E33=$T$43,Pedidos!$G33*$U$43,Pedidos!$E33=$T$44,Pedidos!$G33*$U$44,Pedidos!$E33=$T$45,Pedidos!$G33*$U$45,Pedidos!$E33=$T$46,Pedidos!$G33*$U$46,Pedidos!$E33=$T$47,Pedidos!$G33*$U$47,Pedidos!$E33=$T$48,Pedidos!$G33*$U$48,Pedidos!$E33=$T$49,Pedidos!$G33*$U$49,Pedidos!$E33=$T$50,Pedidos!$G33*$U$50,Pedidos!$E33=$T$51,Pedidos!$G33*$U$51,Pedidos!$E33=$T$52,Pedidos!$G33*$U$52,Pedidos!$E33=$T$53,Pedidos!$G33*$U$53,Pedidos!$E33=$T$54,Pedidos!$G33*$U$54,Pedidos!$E33=$T$55,Pedidos!$G33*$U$55,Pedidos!$E33=$T$56,Pedidos!$G33*$U$56,Pedidos!$E33=$T$57,Pedidos!$G33*$U$57,Pedidos!$E33=$T$58,Pedidos!$G33*$U$58,Pedidos!$E33=$T$59,Pedidos!$G33*$U$59,Pedidos!$E33=$T$60,Pedidos!$G33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3" s="72">
        <v>5</v>
      </c>
      <c r="J3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3" s="72"/>
      <c r="L33" s="72">
        <v>5</v>
      </c>
      <c r="M3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3" s="72">
        <v>5</v>
      </c>
      <c r="O33" s="73">
        <f>IFERROR(_xlfn.IFS(Pedidos!$E33=Clientes_Cadastrados!D32,Pedidos!$N33*Clientes_Cadastrados!K32,Pedidos!$E33=Clientes_Cadastrados!D33,Pedidos!$N33*Clientes_Cadastrados!K33,Pedidos!$E33=Clientes_Cadastrados!D34,Pedidos!$N33*Clientes_Cadastrados!K34,Pedidos!$E33=Clientes_Cadastrados!D35,Pedidos!$N33*Clientes_Cadastrados!K35,Pedidos!$E33=Clientes_Cadastrados!D36,Pedidos!$N33*Clientes_Cadastrados!K36,Pedidos!$E33=Clientes_Cadastrados!D37,Pedidos!$N33*Clientes_Cadastrados!K37,Pedidos!$E33=Clientes_Cadastrados!D38,Pedidos!$N33*Clientes_Cadastrados!K38,Pedidos!$E33=Clientes_Cadastrados!D39,Pedidos!$N33*Clientes_Cadastrados!K39,Pedidos!$E33=Clientes_Cadastrados!D40,Pedidos!$N33*Clientes_Cadastrados!K40,Pedidos!$E33=Clientes_Cadastrados!D41,Pedidos!$N33*Clientes_Cadastrados!K41,Pedidos!$E33=Clientes_Cadastrados!D42,Pedidos!$N33*Clientes_Cadastrados!K42,Pedidos!$E33=Clientes_Cadastrados!D43,Pedidos!$N33*Clientes_Cadastrados!K43,Pedidos!$E33=Clientes_Cadastrados!D44,Pedidos!$N33*Clientes_Cadastrados!K44,Pedidos!$E33=Clientes_Cadastrados!D45,Pedidos!$N33*Clientes_Cadastrados!K45,Pedidos!$E33=Clientes_Cadastrados!D46,Pedidos!$N33*Clientes_Cadastrados!K46,Pedidos!$E33=Clientes_Cadastrados!D47,Pedidos!$N33*Clientes_Cadastrados!K47,Pedidos!$E33=Clientes_Cadastrados!D48,Pedidos!$N33*Clientes_Cadastrados!K48,Pedidos!$E33=Clientes_Cadastrados!D49,Pedidos!$N33*Clientes_Cadastrados!K49,Pedidos!$E33=Clientes_Cadastrados!D51,Pedidos!$N33*Clientes_Cadastrados!K51,Pedidos!$E33=Clientes_Cadastrados!D52,Pedidos!$N33*Clientes_Cadastrados!K52,Pedidos!$E33=Clientes_Cadastrados!D53,Pedidos!$N33*Clientes_Cadastrados!K53,Pedidos!$E33=Clientes_Cadastrados!D54,Pedidos!$N33*Clientes_Cadastrados!K54,Pedidos!$E33=Clientes_Cadastrados!D55,Pedidos!$N33*Clientes_Cadastrados!K55,Pedidos!$E33=Clientes_Cadastrados!D56,Pedidos!$N33*Clientes_Cadastrados!K56,Pedidos!$E33=Clientes_Cadastrados!D57,Pedidos!$N33*Clientes_Cadastrados!K57,Pedidos!$E33=Clientes_Cadastrados!D58,Pedidos!$N33*Clientes_Cadastrados!K58,Pedidos!$E33=Clientes_Cadastrados!D59,Pedidos!$N33*Clientes_Cadastrados!K59,Pedidos!$E33=Clientes_Cadastrados!D60,Pedidos!$N33*Clientes_Cadastrados!K60,Pedidos!$E33=Clientes_Cadastrados!D61,Pedidos!$N33*Clientes_Cadastrados!K61,Pedidos!$E33=Clientes_Cadastrados!D62,Pedidos!$N33*Clientes_Cadastrados!K62,Pedidos!$E33=Clientes_Cadastrados!D63,Pedidos!$N33*Clientes_Cadastrados!K63,Pedidos!$E33=Clientes_Cadastrados!D64,Pedidos!$N33*Clientes_Cadastrados!K64,Pedidos!$E33=Clientes_Cadastrados!D65,Pedidos!$N33*Clientes_Cadastrados!K65,Pedidos!$E33=Clientes_Cadastrados!D66,Pedidos!$N33*Clientes_Cadastrados!K66,Pedidos!$E33=Clientes_Cadastrados!D67,Pedidos!$N33*Clientes_Cadastrados!K67,Pedidos!$E33=Clientes_Cadastrados!D68,Pedidos!$N33*Clientes_Cadastrados!K68,Pedidos!$E33=Clientes_Cadastrados!D69,Pedidos!$N33*Clientes_Cadastrados!K69,Pedidos!$E33=Clientes_Cadastrados!D70,Pedidos!$N33*Clientes_Cadastrados!K70,Pedidos!$E33=Clientes_Cadastrados!D71,Pedidos!$N33*Clientes_Cadastrados!K71,Pedidos!$E33=Clientes_Cadastrados!D72,Pedidos!$N33*Clientes_Cadastrados!K72,Pedidos!$E33=Clientes_Cadastrados!D73,Pedidos!$N33*Clientes_Cadastrados!K73,Pedidos!$E33=Clientes_Cadastrados!D74,Pedidos!$N33*Clientes_Cadastrados!K74,Pedidos!$E33=Clientes_Cadastrados!D75,Pedidos!$N33*Clientes_Cadastrados!K75,Pedidos!$E33=Clientes_Cadastrados!D76,Pedidos!$N33*Clientes_Cadastrados!K76,Pedidos!$E33=Clientes_Cadastrados!D77,Pedidos!$N33*Clientes_Cadastrados!K77,Pedidos!$E33=Clientes_Cadastrados!D78,Pedidos!$N33*Clientes_Cadastrados!K78,Pedidos!$E33=Clientes_Cadastrados!D79,Pedidos!$N33*Clientes_Cadastrados!K79,Pedidos!$E33=Clientes_Cadastrados!D80,Pedidos!$N33*Clientes_Cadastrados!K80,Pedidos!$E33=Clientes_Cadastrados!D81,Pedidos!$N33*Clientes_Cadastrados!K81,Pedidos!$E33=Clientes_Cadastrados!D82,Pedidos!$N33*Clientes_Cadastrados!K82,Pedidos!$E33=Clientes_Cadastrados!D83,Pedidos!$N33*Clientes_Cadastrados!K83,Pedidos!$E33=Clientes_Cadastrados!D84,Pedidos!$N33*Clientes_Cadastrados!K84,Pedidos!$E33=Clientes_Cadastrados!D85,Pedidos!$N33*Clientes_Cadastrados!K85,Pedidos!$E33=Clientes_Cadastrados!D86,Pedidos!$N33*Clientes_Cadastrados!K86,Pedidos!$E33=Clientes_Cadastrados!D87,Pedidos!$N33*Clientes_Cadastrados!K87,Pedidos!$E33=Clientes_Cadastrados!D88,Pedidos!$N33*Clientes_Cadastrados!K88)," 0")</f>
        <v>697.5</v>
      </c>
      <c r="P33" s="73">
        <f>Tabela2[[#This Row],[Preço 15kg]]+Tabela2[[#This Row],[Preço 5kg]]+Tabela2[[#This Row],[Preço Pele 12kg]]+O33</f>
        <v>2317.5</v>
      </c>
      <c r="R33" s="30"/>
      <c r="S33" s="5">
        <v>29</v>
      </c>
      <c r="T33" s="8" t="s">
        <v>94</v>
      </c>
      <c r="U33" s="2">
        <f>Clientes_Cadastrados!E34</f>
        <v>103.5</v>
      </c>
      <c r="V33" s="2">
        <f>Clientes_Cadastrados!F34</f>
        <v>34.5</v>
      </c>
      <c r="W33" s="30"/>
      <c r="X33" s="2">
        <f>Clientes_Cadastrados!J34</f>
        <v>25.200000000000003</v>
      </c>
      <c r="Y33" s="2">
        <f>Clientes_Cadastrados!K34</f>
        <v>18.900000000000002</v>
      </c>
      <c r="Z33" s="30"/>
    </row>
    <row r="34" spans="3:26" x14ac:dyDescent="0.25">
      <c r="C34" s="93"/>
      <c r="D34" s="74">
        <v>44894</v>
      </c>
      <c r="E34" s="8" t="s">
        <v>94</v>
      </c>
      <c r="F34" s="72">
        <f>Pedidos!$G34+Pedidos!$I34+Pedidos!$L34+Pedidos!$N34</f>
        <v>20</v>
      </c>
      <c r="G34" s="72">
        <v>5</v>
      </c>
      <c r="H34" s="73">
        <f>_xlfn.IFS(Pedidos!$E34=$T$5,Pedidos!$G34*$U$5,Pedidos!$E34=$T$6,Pedidos!$G34*$U$6,Pedidos!$E34=$T$7,Pedidos!$G34*$U$7,Pedidos!$E34=$T$8,Pedidos!$G34*$U$8,Pedidos!$E34=$T$9,Pedidos!$G34*$U$9,Pedidos!$E34=$T$10,Pedidos!$G34*$U$10,Pedidos!$E34=$T$11,Pedidos!$G34*$U$11,Pedidos!$E34=$T$12,Pedidos!$G34*$U$12,Pedidos!$E34=$T$13,Pedidos!$G34*$U$13,Pedidos!$E34=$T$14,Pedidos!$G34*$U$14,Pedidos!$E34=$T$15,Pedidos!$G34*$U$15,Pedidos!$E34=$T$15,Pedidos!$G34*$U$15,Pedidos!$E34=$T$16,Pedidos!$G34*$U$16,Pedidos!$E34=$T$17,Pedidos!$G34*$U$17,Pedidos!$E34=$T$18,Pedidos!$G34*$U$18,Pedidos!$E34=$T$20,Pedidos!$G34*$U$20,Pedidos!$E34=$T$21,Pedidos!$G34*$U$21,Pedidos!$E34=$T$22,Pedidos!$G34*$U$22,Pedidos!$E34=$T$23,Pedidos!$G34*$U$23,Pedidos!$E34=$T$24,Pedidos!$G34*$U$24,Pedidos!$E34=$T$25,Pedidos!$G34*$U$25,Pedidos!$E34=$T$26,Pedidos!$G34*$U$26,Pedidos!$E34=$T$27,Pedidos!$G34*$U$27,Pedidos!$E34=$T$28,Pedidos!$G34*$U$28,Pedidos!$E34=$T$29,Pedidos!$G34*$U$29,Pedidos!$E34=$T$31,Pedidos!$G34*$U$31,Pedidos!$E34=$T$32,Pedidos!$G34*$U$32,Pedidos!$E34=$T$33,Pedidos!$G34*$U$33,Pedidos!$E34=$T$34,Pedidos!$G34*$U$34,Pedidos!$E34=$T$35,Pedidos!$G34*$U$35,Pedidos!$E34=$T$36,Pedidos!$G34*$U$36,Pedidos!$E34=$T$37,Pedidos!$G34*$U$37,Pedidos!$E34=$T$38,Pedidos!$G34*$U$38,Pedidos!$E34=$T$40,Pedidos!$G34*$U$40,Pedidos!$E34=$T$41,Pedidos!$G34*$U$41,Pedidos!$E34=$T$42,Pedidos!$G34*$U$42,Pedidos!$E34=$T$43,Pedidos!$G34*$U$43,Pedidos!$E34=$T$44,Pedidos!$G34*$U$44,Pedidos!$E34=$T$45,Pedidos!$G34*$U$45,Pedidos!$E34=$T$46,Pedidos!$G34*$U$46,Pedidos!$E34=$T$47,Pedidos!$G34*$U$47,Pedidos!$E34=$T$48,Pedidos!$G34*$U$48,Pedidos!$E34=$T$49,Pedidos!$G34*$U$49,Pedidos!$E34=$T$50,Pedidos!$G34*$U$50,Pedidos!$E34=$T$51,Pedidos!$G34*$U$51,Pedidos!$E34=$T$52,Pedidos!$G34*$U$52,Pedidos!$E34=$T$53,Pedidos!$G34*$U$53,Pedidos!$E34=$T$54,Pedidos!$G34*$U$54,Pedidos!$E34=$T$55,Pedidos!$G34*$U$55,Pedidos!$E34=$T$56,Pedidos!$G34*$U$56,Pedidos!$E34=$T$57,Pedidos!$G34*$U$57,Pedidos!$E34=$T$58,Pedidos!$G34*$U$58,Pedidos!$E34=$T$59,Pedidos!$G34*$U$59,Pedidos!$E34=$T$60,Pedidos!$G34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4" s="72">
        <v>5</v>
      </c>
      <c r="J34" s="73" t="str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R$ 0,00</v>
      </c>
      <c r="K34" s="72"/>
      <c r="L34" s="72">
        <v>5</v>
      </c>
      <c r="M3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4" s="72">
        <v>5</v>
      </c>
      <c r="O34" s="73">
        <f>IFERROR(_xlfn.IFS(Pedidos!$E34=Clientes_Cadastrados!D33,Pedidos!$N34*Clientes_Cadastrados!K33,Pedidos!$E34=Clientes_Cadastrados!D34,Pedidos!$N34*Clientes_Cadastrados!K34,Pedidos!$E34=Clientes_Cadastrados!D35,Pedidos!$N34*Clientes_Cadastrados!K35,Pedidos!$E34=Clientes_Cadastrados!D36,Pedidos!$N34*Clientes_Cadastrados!K36,Pedidos!$E34=Clientes_Cadastrados!D37,Pedidos!$N34*Clientes_Cadastrados!K37,Pedidos!$E34=Clientes_Cadastrados!D38,Pedidos!$N34*Clientes_Cadastrados!K38,Pedidos!$E34=Clientes_Cadastrados!D39,Pedidos!$N34*Clientes_Cadastrados!K39,Pedidos!$E34=Clientes_Cadastrados!D40,Pedidos!$N34*Clientes_Cadastrados!K40,Pedidos!$E34=Clientes_Cadastrados!D41,Pedidos!$N34*Clientes_Cadastrados!K41,Pedidos!$E34=Clientes_Cadastrados!D42,Pedidos!$N34*Clientes_Cadastrados!K42,Pedidos!$E34=Clientes_Cadastrados!D43,Pedidos!$N34*Clientes_Cadastrados!K43,Pedidos!$E34=Clientes_Cadastrados!D44,Pedidos!$N34*Clientes_Cadastrados!K44,Pedidos!$E34=Clientes_Cadastrados!D45,Pedidos!$N34*Clientes_Cadastrados!K45,Pedidos!$E34=Clientes_Cadastrados!D46,Pedidos!$N34*Clientes_Cadastrados!K46,Pedidos!$E34=Clientes_Cadastrados!D47,Pedidos!$N34*Clientes_Cadastrados!K47,Pedidos!$E34=Clientes_Cadastrados!D48,Pedidos!$N34*Clientes_Cadastrados!K48,Pedidos!$E34=Clientes_Cadastrados!D49,Pedidos!$N34*Clientes_Cadastrados!K49,Pedidos!$E34=Clientes_Cadastrados!D50,Pedidos!$N34*Clientes_Cadastrados!K50,Pedidos!$E34=Clientes_Cadastrados!D52,Pedidos!$N34*Clientes_Cadastrados!K52,Pedidos!$E34=Clientes_Cadastrados!D53,Pedidos!$N34*Clientes_Cadastrados!K53,Pedidos!$E34=Clientes_Cadastrados!D54,Pedidos!$N34*Clientes_Cadastrados!K54,Pedidos!$E34=Clientes_Cadastrados!D55,Pedidos!$N34*Clientes_Cadastrados!K55,Pedidos!$E34=Clientes_Cadastrados!D56,Pedidos!$N34*Clientes_Cadastrados!K56,Pedidos!$E34=Clientes_Cadastrados!D57,Pedidos!$N34*Clientes_Cadastrados!K57,Pedidos!$E34=Clientes_Cadastrados!D58,Pedidos!$N34*Clientes_Cadastrados!K58,Pedidos!$E34=Clientes_Cadastrados!D59,Pedidos!$N34*Clientes_Cadastrados!K59,Pedidos!$E34=Clientes_Cadastrados!D60,Pedidos!$N34*Clientes_Cadastrados!K60,Pedidos!$E34=Clientes_Cadastrados!D61,Pedidos!$N34*Clientes_Cadastrados!K61,Pedidos!$E34=Clientes_Cadastrados!D62,Pedidos!$N34*Clientes_Cadastrados!K62,Pedidos!$E34=Clientes_Cadastrados!D63,Pedidos!$N34*Clientes_Cadastrados!K63,Pedidos!$E34=Clientes_Cadastrados!D64,Pedidos!$N34*Clientes_Cadastrados!K64,Pedidos!$E34=Clientes_Cadastrados!D65,Pedidos!$N34*Clientes_Cadastrados!K65,Pedidos!$E34=Clientes_Cadastrados!D66,Pedidos!$N34*Clientes_Cadastrados!K66,Pedidos!$E34=Clientes_Cadastrados!D67,Pedidos!$N34*Clientes_Cadastrados!K67,Pedidos!$E34=Clientes_Cadastrados!D68,Pedidos!$N34*Clientes_Cadastrados!K68,Pedidos!$E34=Clientes_Cadastrados!D69,Pedidos!$N34*Clientes_Cadastrados!K69,Pedidos!$E34=Clientes_Cadastrados!D70,Pedidos!$N34*Clientes_Cadastrados!K70,Pedidos!$E34=Clientes_Cadastrados!D71,Pedidos!$N34*Clientes_Cadastrados!K71,Pedidos!$E34=Clientes_Cadastrados!D72,Pedidos!$N34*Clientes_Cadastrados!K72,Pedidos!$E34=Clientes_Cadastrados!D73,Pedidos!$N34*Clientes_Cadastrados!K73,Pedidos!$E34=Clientes_Cadastrados!D74,Pedidos!$N34*Clientes_Cadastrados!K74,Pedidos!$E34=Clientes_Cadastrados!D75,Pedidos!$N34*Clientes_Cadastrados!K75,Pedidos!$E34=Clientes_Cadastrados!D76,Pedidos!$N34*Clientes_Cadastrados!K76,Pedidos!$E34=Clientes_Cadastrados!D77,Pedidos!$N34*Clientes_Cadastrados!K77,Pedidos!$E34=Clientes_Cadastrados!D78,Pedidos!$N34*Clientes_Cadastrados!K78,Pedidos!$E34=Clientes_Cadastrados!D79,Pedidos!$N34*Clientes_Cadastrados!K79,Pedidos!$E34=Clientes_Cadastrados!D80,Pedidos!$N34*Clientes_Cadastrados!K80,Pedidos!$E34=Clientes_Cadastrados!D81,Pedidos!$N34*Clientes_Cadastrados!K81,Pedidos!$E34=Clientes_Cadastrados!D82,Pedidos!$N34*Clientes_Cadastrados!K82,Pedidos!$E34=Clientes_Cadastrados!D83,Pedidos!$N34*Clientes_Cadastrados!K83,Pedidos!$E34=Clientes_Cadastrados!D84,Pedidos!$N34*Clientes_Cadastrados!K84,Pedidos!$E34=Clientes_Cadastrados!D85,Pedidos!$N34*Clientes_Cadastrados!K85,Pedidos!$E34=Clientes_Cadastrados!D86,Pedidos!$N34*Clientes_Cadastrados!K86,Pedidos!$E34=Clientes_Cadastrados!D87,Pedidos!$N34*Clientes_Cadastrados!K87,Pedidos!$E34=Clientes_Cadastrados!D88,Pedidos!$N34*Clientes_Cadastrados!K88,Pedidos!$E34=Clientes_Cadastrados!D89,Pedidos!$N34*Clientes_Cadastrados!K89)," 0")</f>
        <v>94.500000000000014</v>
      </c>
      <c r="P34" s="73">
        <f>Tabela2[[#This Row],[Preço 15kg]]+Tabela2[[#This Row],[Preço 5kg]]+Tabela2[[#This Row],[Preço Pele 12kg]]+O34</f>
        <v>738</v>
      </c>
      <c r="R34" s="30"/>
      <c r="S34" s="5">
        <v>30</v>
      </c>
      <c r="T34" s="8" t="s">
        <v>95</v>
      </c>
      <c r="U34" s="2">
        <f>Clientes_Cadastrados!E35</f>
        <v>103.5</v>
      </c>
      <c r="V34" s="2">
        <f>Clientes_Cadastrados!F35</f>
        <v>34.5</v>
      </c>
      <c r="W34" s="30"/>
      <c r="X34" s="2">
        <f>Clientes_Cadastrados!J35</f>
        <v>186</v>
      </c>
      <c r="Y34" s="2">
        <f>Clientes_Cadastrados!K35</f>
        <v>139.5</v>
      </c>
      <c r="Z34" s="30"/>
    </row>
    <row r="35" spans="3:26" x14ac:dyDescent="0.25">
      <c r="C35" s="94"/>
      <c r="D35" s="75">
        <v>44895</v>
      </c>
      <c r="E35" s="8" t="s">
        <v>95</v>
      </c>
      <c r="F35" s="72">
        <f>Pedidos!$G35+Pedidos!$I35+Pedidos!$L35+Pedidos!$N35</f>
        <v>20</v>
      </c>
      <c r="G35" s="72">
        <v>5</v>
      </c>
      <c r="H35" s="73">
        <f>_xlfn.IFS(Pedidos!$E35=$T$5,Pedidos!$G35*$U$5,Pedidos!$E35=$T$6,Pedidos!$G35*$U$6,Pedidos!$E35=$T$7,Pedidos!$G35*$U$7,Pedidos!$E35=$T$8,Pedidos!$G35*$U$8,Pedidos!$E35=$T$9,Pedidos!$G35*$U$9,Pedidos!$E35=$T$10,Pedidos!$G35*$U$10,Pedidos!$E35=$T$11,Pedidos!$G35*$U$11,Pedidos!$E35=$T$12,Pedidos!$G35*$U$12,Pedidos!$E35=$T$13,Pedidos!$G35*$U$13,Pedidos!$E35=$T$14,Pedidos!$G35*$U$14,Pedidos!$E35=$T$15,Pedidos!$G35*$U$15,Pedidos!$E35=$T$15,Pedidos!$G35*$U$15,Pedidos!$E35=$T$16,Pedidos!$G35*$U$16,Pedidos!$E35=$T$17,Pedidos!$G35*$U$17,Pedidos!$E35=$T$18,Pedidos!$G35*$U$18,Pedidos!$E35=$T$20,Pedidos!$G35*$U$20,Pedidos!$E35=$T$21,Pedidos!$G35*$U$21,Pedidos!$E35=$T$22,Pedidos!$G35*$U$22,Pedidos!$E35=$T$23,Pedidos!$G35*$U$23,Pedidos!$E35=$T$24,Pedidos!$G35*$U$24,Pedidos!$E35=$T$25,Pedidos!$G35*$U$25,Pedidos!$E35=$T$26,Pedidos!$G35*$U$26,Pedidos!$E35=$T$27,Pedidos!$G35*$U$27,Pedidos!$E35=$T$28,Pedidos!$G35*$U$28,Pedidos!$E35=$T$29,Pedidos!$G35*$U$29,Pedidos!$E35=$T$31,Pedidos!$G35*$U$31,Pedidos!$E35=$T$32,Pedidos!$G35*$U$32,Pedidos!$E35=$T$33,Pedidos!$G35*$U$33,Pedidos!$E35=$T$34,Pedidos!$G35*$U$34,Pedidos!$E35=$T$35,Pedidos!$G35*$U$35,Pedidos!$E35=$T$36,Pedidos!$G35*$U$36,Pedidos!$E35=$T$37,Pedidos!$G35*$U$37,Pedidos!$E35=$T$38,Pedidos!$G35*$U$38,Pedidos!$E35=$T$40,Pedidos!$G35*$U$40,Pedidos!$E35=$T$41,Pedidos!$G35*$U$41,Pedidos!$E35=$T$42,Pedidos!$G35*$U$42,Pedidos!$E35=$T$43,Pedidos!$G35*$U$43,Pedidos!$E35=$T$44,Pedidos!$G35*$U$44,Pedidos!$E35=$T$45,Pedidos!$G35*$U$45,Pedidos!$E35=$T$46,Pedidos!$G35*$U$46,Pedidos!$E35=$T$47,Pedidos!$G35*$U$47,Pedidos!$E35=$T$48,Pedidos!$G35*$U$48,Pedidos!$E35=$T$49,Pedidos!$G35*$U$49,Pedidos!$E35=$T$50,Pedidos!$G35*$U$50,Pedidos!$E35=$T$51,Pedidos!$G35*$U$51,Pedidos!$E35=$T$52,Pedidos!$G35*$U$52,Pedidos!$E35=$T$53,Pedidos!$G35*$U$53,Pedidos!$E35=$T$54,Pedidos!$G35*$U$54,Pedidos!$E35=$T$55,Pedidos!$G35*$U$55,Pedidos!$E35=$T$56,Pedidos!$G35*$U$56,Pedidos!$E35=$T$57,Pedidos!$G35*$U$57,Pedidos!$E35=$T$58,Pedidos!$G35*$U$58,Pedidos!$E35=$T$59,Pedidos!$G35*$U$59,Pedidos!$E35=$T$60,Pedidos!$G35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5" s="72">
        <v>5</v>
      </c>
      <c r="J3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5" s="72"/>
      <c r="L35" s="72">
        <v>5</v>
      </c>
      <c r="M3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5" s="72">
        <v>5</v>
      </c>
      <c r="O35" s="73">
        <f>IFERROR(_xlfn.IFS(Pedidos!$E35=Clientes_Cadastrados!D34,Pedidos!$N35*Clientes_Cadastrados!K34,Pedidos!$E35=Clientes_Cadastrados!D35,Pedidos!$N35*Clientes_Cadastrados!K35,Pedidos!$E35=Clientes_Cadastrados!D36,Pedidos!$N35*Clientes_Cadastrados!K36,Pedidos!$E35=Clientes_Cadastrados!D37,Pedidos!$N35*Clientes_Cadastrados!K37,Pedidos!$E35=Clientes_Cadastrados!D38,Pedidos!$N35*Clientes_Cadastrados!K38,Pedidos!$E35=Clientes_Cadastrados!D39,Pedidos!$N35*Clientes_Cadastrados!K39,Pedidos!$E35=Clientes_Cadastrados!D40,Pedidos!$N35*Clientes_Cadastrados!K40,Pedidos!$E35=Clientes_Cadastrados!D41,Pedidos!$N35*Clientes_Cadastrados!K41,Pedidos!$E35=Clientes_Cadastrados!D42,Pedidos!$N35*Clientes_Cadastrados!K42,Pedidos!$E35=Clientes_Cadastrados!D43,Pedidos!$N35*Clientes_Cadastrados!K43,Pedidos!$E35=Clientes_Cadastrados!D44,Pedidos!$N35*Clientes_Cadastrados!K44,Pedidos!$E35=Clientes_Cadastrados!D45,Pedidos!$N35*Clientes_Cadastrados!K45,Pedidos!$E35=Clientes_Cadastrados!D46,Pedidos!$N35*Clientes_Cadastrados!K46,Pedidos!$E35=Clientes_Cadastrados!D47,Pedidos!$N35*Clientes_Cadastrados!K47,Pedidos!$E35=Clientes_Cadastrados!D48,Pedidos!$N35*Clientes_Cadastrados!K48,Pedidos!$E35=Clientes_Cadastrados!D49,Pedidos!$N35*Clientes_Cadastrados!K49,Pedidos!$E35=Clientes_Cadastrados!D50,Pedidos!$N35*Clientes_Cadastrados!K50,Pedidos!$E35=Clientes_Cadastrados!D51,Pedidos!$N35*Clientes_Cadastrados!K51,Pedidos!$E35=Clientes_Cadastrados!D53,Pedidos!$N35*Clientes_Cadastrados!K53,Pedidos!$E35=Clientes_Cadastrados!D54,Pedidos!$N35*Clientes_Cadastrados!K54,Pedidos!$E35=Clientes_Cadastrados!D55,Pedidos!$N35*Clientes_Cadastrados!K55,Pedidos!$E35=Clientes_Cadastrados!D56,Pedidos!$N35*Clientes_Cadastrados!K56,Pedidos!$E35=Clientes_Cadastrados!D57,Pedidos!$N35*Clientes_Cadastrados!K57,Pedidos!$E35=Clientes_Cadastrados!D58,Pedidos!$N35*Clientes_Cadastrados!K58,Pedidos!$E35=Clientes_Cadastrados!D59,Pedidos!$N35*Clientes_Cadastrados!K59,Pedidos!$E35=Clientes_Cadastrados!D60,Pedidos!$N35*Clientes_Cadastrados!K60,Pedidos!$E35=Clientes_Cadastrados!D61,Pedidos!$N35*Clientes_Cadastrados!K61,Pedidos!$E35=Clientes_Cadastrados!D62,Pedidos!$N35*Clientes_Cadastrados!K62,Pedidos!$E35=Clientes_Cadastrados!D63,Pedidos!$N35*Clientes_Cadastrados!K63,Pedidos!$E35=Clientes_Cadastrados!D64,Pedidos!$N35*Clientes_Cadastrados!K64,Pedidos!$E35=Clientes_Cadastrados!D65,Pedidos!$N35*Clientes_Cadastrados!K65,Pedidos!$E35=Clientes_Cadastrados!D66,Pedidos!$N35*Clientes_Cadastrados!K66,Pedidos!$E35=Clientes_Cadastrados!D67,Pedidos!$N35*Clientes_Cadastrados!K67,Pedidos!$E35=Clientes_Cadastrados!D68,Pedidos!$N35*Clientes_Cadastrados!K68,Pedidos!$E35=Clientes_Cadastrados!D69,Pedidos!$N35*Clientes_Cadastrados!K69,Pedidos!$E35=Clientes_Cadastrados!D70,Pedidos!$N35*Clientes_Cadastrados!K70,Pedidos!$E35=Clientes_Cadastrados!D71,Pedidos!$N35*Clientes_Cadastrados!K71,Pedidos!$E35=Clientes_Cadastrados!D72,Pedidos!$N35*Clientes_Cadastrados!K72,Pedidos!$E35=Clientes_Cadastrados!D73,Pedidos!$N35*Clientes_Cadastrados!K73,Pedidos!$E35=Clientes_Cadastrados!D74,Pedidos!$N35*Clientes_Cadastrados!K74,Pedidos!$E35=Clientes_Cadastrados!D75,Pedidos!$N35*Clientes_Cadastrados!K75,Pedidos!$E35=Clientes_Cadastrados!D76,Pedidos!$N35*Clientes_Cadastrados!K76,Pedidos!$E35=Clientes_Cadastrados!D77,Pedidos!$N35*Clientes_Cadastrados!K77,Pedidos!$E35=Clientes_Cadastrados!D78,Pedidos!$N35*Clientes_Cadastrados!K78,Pedidos!$E35=Clientes_Cadastrados!D79,Pedidos!$N35*Clientes_Cadastrados!K79,Pedidos!$E35=Clientes_Cadastrados!D80,Pedidos!$N35*Clientes_Cadastrados!K80,Pedidos!$E35=Clientes_Cadastrados!D81,Pedidos!$N35*Clientes_Cadastrados!K81,Pedidos!$E35=Clientes_Cadastrados!D82,Pedidos!$N35*Clientes_Cadastrados!K82,Pedidos!$E35=Clientes_Cadastrados!D83,Pedidos!$N35*Clientes_Cadastrados!K83,Pedidos!$E35=Clientes_Cadastrados!D84,Pedidos!$N35*Clientes_Cadastrados!K84,Pedidos!$E35=Clientes_Cadastrados!D85,Pedidos!$N35*Clientes_Cadastrados!K85,Pedidos!$E35=Clientes_Cadastrados!D86,Pedidos!$N35*Clientes_Cadastrados!K86,Pedidos!$E35=Clientes_Cadastrados!D87,Pedidos!$N35*Clientes_Cadastrados!K87,Pedidos!$E35=Clientes_Cadastrados!D88,Pedidos!$N35*Clientes_Cadastrados!K88,Pedidos!$E35=Clientes_Cadastrados!D89,Pedidos!$N35*Clientes_Cadastrados!K89,Pedidos!$E35=Clientes_Cadastrados!D90,Pedidos!$N35*Clientes_Cadastrados!K90)," 0")</f>
        <v>697.5</v>
      </c>
      <c r="P35" s="73">
        <f>Tabela2[[#This Row],[Preço 15kg]]+Tabela2[[#This Row],[Preço 5kg]]+Tabela2[[#This Row],[Preço Pele 12kg]]+O35</f>
        <v>2317.5</v>
      </c>
      <c r="R35" s="30"/>
      <c r="S35" s="5">
        <v>31</v>
      </c>
      <c r="T35" s="8" t="s">
        <v>96</v>
      </c>
      <c r="U35" s="2">
        <f>Clientes_Cadastrados!E36</f>
        <v>103.5</v>
      </c>
      <c r="V35" s="2">
        <f>Clientes_Cadastrados!F36</f>
        <v>34.5</v>
      </c>
      <c r="W35" s="30"/>
      <c r="X35" s="2">
        <f>Clientes_Cadastrados!J36</f>
        <v>186</v>
      </c>
      <c r="Y35" s="2">
        <f>Clientes_Cadastrados!K36</f>
        <v>139.5</v>
      </c>
      <c r="Z35" s="30"/>
    </row>
    <row r="36" spans="3:26" ht="15" customHeight="1" x14ac:dyDescent="0.25"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R36" s="30"/>
      <c r="S36" s="5">
        <v>32</v>
      </c>
      <c r="T36" s="8" t="s">
        <v>97</v>
      </c>
      <c r="U36" s="2">
        <f>Clientes_Cadastrados!E37</f>
        <v>31.5</v>
      </c>
      <c r="V36" s="2">
        <f>Clientes_Cadastrados!F37</f>
        <v>10.5</v>
      </c>
      <c r="W36" s="30"/>
      <c r="X36" s="2">
        <f>Clientes_Cadastrados!J37</f>
        <v>116.39999999999999</v>
      </c>
      <c r="Y36" s="2">
        <f>Clientes_Cadastrados!K37</f>
        <v>87.3</v>
      </c>
      <c r="Z36" s="30"/>
    </row>
    <row r="37" spans="3:26" x14ac:dyDescent="0.25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R37" s="30"/>
      <c r="S37" s="5">
        <v>33</v>
      </c>
      <c r="T37" s="8" t="s">
        <v>98</v>
      </c>
      <c r="U37" s="2">
        <f>Clientes_Cadastrados!E38</f>
        <v>142.5</v>
      </c>
      <c r="V37" s="2">
        <f>Clientes_Cadastrados!F38</f>
        <v>47.5</v>
      </c>
      <c r="W37" s="30"/>
      <c r="X37" s="2">
        <f>Clientes_Cadastrados!J38</f>
        <v>116.39999999999999</v>
      </c>
      <c r="Y37" s="2">
        <f>Clientes_Cadastrados!K38</f>
        <v>87.3</v>
      </c>
      <c r="Z37" s="30"/>
    </row>
    <row r="38" spans="3:26" x14ac:dyDescent="0.25"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R38" s="30"/>
      <c r="S38" s="5">
        <v>34</v>
      </c>
      <c r="T38" s="8" t="s">
        <v>99</v>
      </c>
      <c r="U38" s="2">
        <f>Clientes_Cadastrados!E39</f>
        <v>153.75</v>
      </c>
      <c r="V38" s="2">
        <f>Clientes_Cadastrados!F39</f>
        <v>51.25</v>
      </c>
      <c r="W38" s="30"/>
      <c r="X38" s="2">
        <f>Clientes_Cadastrados!J39</f>
        <v>116.39999999999999</v>
      </c>
      <c r="Y38" s="2">
        <f>Clientes_Cadastrados!K39</f>
        <v>87.3</v>
      </c>
      <c r="Z38" s="30"/>
    </row>
    <row r="39" spans="3:26" x14ac:dyDescent="0.25"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R39" s="30"/>
      <c r="S39" s="5">
        <v>35</v>
      </c>
      <c r="T39" s="8" t="s">
        <v>100</v>
      </c>
      <c r="U39" s="2">
        <f>Clientes_Cadastrados!E40</f>
        <v>112.5</v>
      </c>
      <c r="V39" s="2">
        <f>Clientes_Cadastrados!F40</f>
        <v>37.5</v>
      </c>
      <c r="W39" s="30"/>
      <c r="X39" s="2">
        <f>Clientes_Cadastrados!J40</f>
        <v>116.39999999999999</v>
      </c>
      <c r="Y39" s="2">
        <f>Clientes_Cadastrados!K40</f>
        <v>87.3</v>
      </c>
      <c r="Z39" s="30"/>
    </row>
    <row r="40" spans="3:26" x14ac:dyDescent="0.25"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R40" s="30"/>
      <c r="S40" s="5">
        <v>36</v>
      </c>
      <c r="T40" s="8" t="s">
        <v>101</v>
      </c>
      <c r="U40" s="2">
        <f>Clientes_Cadastrados!E41</f>
        <v>161.25</v>
      </c>
      <c r="V40" s="2">
        <f>Clientes_Cadastrados!F41</f>
        <v>53.75</v>
      </c>
      <c r="W40" s="30"/>
      <c r="X40" s="2">
        <f>Clientes_Cadastrados!J41</f>
        <v>116.39999999999999</v>
      </c>
      <c r="Y40" s="2">
        <f>Clientes_Cadastrados!K41</f>
        <v>87.3</v>
      </c>
      <c r="Z40" s="30"/>
    </row>
    <row r="41" spans="3:26" x14ac:dyDescent="0.25"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R41" s="30"/>
      <c r="S41" s="5">
        <v>37</v>
      </c>
      <c r="T41" s="8" t="s">
        <v>102</v>
      </c>
      <c r="U41" s="2">
        <f>Clientes_Cadastrados!E42</f>
        <v>31.5</v>
      </c>
      <c r="V41" s="2">
        <f>Clientes_Cadastrados!F42</f>
        <v>10.5</v>
      </c>
      <c r="W41" s="30"/>
      <c r="X41" s="2">
        <f>Clientes_Cadastrados!J42</f>
        <v>116.39999999999999</v>
      </c>
      <c r="Y41" s="2">
        <f>Clientes_Cadastrados!K42</f>
        <v>87.3</v>
      </c>
      <c r="Z41" s="30"/>
    </row>
    <row r="42" spans="3:26" x14ac:dyDescent="0.25"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R42" s="30"/>
      <c r="S42" s="5">
        <v>38</v>
      </c>
      <c r="T42" s="8" t="s">
        <v>103</v>
      </c>
      <c r="U42" s="2">
        <f>Clientes_Cadastrados!E43</f>
        <v>103.5</v>
      </c>
      <c r="V42" s="2">
        <f>Clientes_Cadastrados!F43</f>
        <v>34.5</v>
      </c>
      <c r="W42" s="30"/>
      <c r="X42" s="2">
        <f>Clientes_Cadastrados!J43</f>
        <v>116.39999999999999</v>
      </c>
      <c r="Y42" s="2">
        <f>Clientes_Cadastrados!K43</f>
        <v>87.3</v>
      </c>
      <c r="Z42" s="30"/>
    </row>
    <row r="43" spans="3:26" x14ac:dyDescent="0.25"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R43" s="30"/>
      <c r="S43" s="5">
        <v>39</v>
      </c>
      <c r="T43" s="8" t="s">
        <v>104</v>
      </c>
      <c r="U43" s="2">
        <f>Clientes_Cadastrados!E44</f>
        <v>103.5</v>
      </c>
      <c r="V43" s="2">
        <f>Clientes_Cadastrados!F44</f>
        <v>34.5</v>
      </c>
      <c r="W43" s="30"/>
      <c r="X43" s="2">
        <f>Clientes_Cadastrados!J44</f>
        <v>116.39999999999999</v>
      </c>
      <c r="Y43" s="2">
        <f>Clientes_Cadastrados!K44</f>
        <v>87.3</v>
      </c>
      <c r="Z43" s="30"/>
    </row>
    <row r="44" spans="3:26" x14ac:dyDescent="0.25"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R44" s="30"/>
      <c r="S44" s="5">
        <v>40</v>
      </c>
      <c r="T44" s="8" t="s">
        <v>105</v>
      </c>
      <c r="U44" s="2">
        <f>Clientes_Cadastrados!E45</f>
        <v>236.25</v>
      </c>
      <c r="V44" s="2">
        <f>Clientes_Cadastrados!F45</f>
        <v>78.75</v>
      </c>
      <c r="W44" s="30"/>
      <c r="X44" s="2">
        <f>Clientes_Cadastrados!J45</f>
        <v>189</v>
      </c>
      <c r="Y44" s="2">
        <f>Clientes_Cadastrados!K45</f>
        <v>141.75</v>
      </c>
      <c r="Z44" s="30"/>
    </row>
    <row r="45" spans="3:26" x14ac:dyDescent="0.25"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R45" s="30"/>
      <c r="S45" s="5">
        <v>41</v>
      </c>
      <c r="T45" s="8" t="s">
        <v>106</v>
      </c>
      <c r="U45" s="2">
        <f>Clientes_Cadastrados!E46</f>
        <v>236.25</v>
      </c>
      <c r="V45" s="2">
        <f>Clientes_Cadastrados!F46</f>
        <v>78.75</v>
      </c>
      <c r="W45" s="30"/>
      <c r="X45" s="2">
        <f>Clientes_Cadastrados!J46</f>
        <v>189</v>
      </c>
      <c r="Y45" s="2">
        <f>Clientes_Cadastrados!K46</f>
        <v>141.75</v>
      </c>
      <c r="Z45" s="30"/>
    </row>
    <row r="46" spans="3:26" x14ac:dyDescent="0.25"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R46" s="30"/>
      <c r="S46" s="5">
        <v>42</v>
      </c>
      <c r="T46" s="8" t="s">
        <v>107</v>
      </c>
      <c r="U46" s="2">
        <f>Clientes_Cadastrados!E47</f>
        <v>236.25</v>
      </c>
      <c r="V46" s="2">
        <f>Clientes_Cadastrados!F47</f>
        <v>78.75</v>
      </c>
      <c r="W46" s="30"/>
      <c r="X46" s="2">
        <f>Clientes_Cadastrados!J47</f>
        <v>189</v>
      </c>
      <c r="Y46" s="2">
        <f>Clientes_Cadastrados!K47</f>
        <v>141.75</v>
      </c>
      <c r="Z46" s="30"/>
    </row>
    <row r="47" spans="3:26" x14ac:dyDescent="0.25"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R47" s="30"/>
      <c r="S47" s="5">
        <v>43</v>
      </c>
      <c r="T47" s="8" t="s">
        <v>108</v>
      </c>
      <c r="U47" s="2">
        <f>Clientes_Cadastrados!E48</f>
        <v>236.25</v>
      </c>
      <c r="V47" s="2">
        <f>Clientes_Cadastrados!F48</f>
        <v>78.75</v>
      </c>
      <c r="W47" s="30"/>
      <c r="X47" s="2">
        <f>Clientes_Cadastrados!J48</f>
        <v>189</v>
      </c>
      <c r="Y47" s="2">
        <f>Clientes_Cadastrados!K48</f>
        <v>141.75</v>
      </c>
      <c r="Z47" s="30"/>
    </row>
    <row r="48" spans="3:26" x14ac:dyDescent="0.25"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R48" s="30"/>
      <c r="S48" s="5">
        <v>44</v>
      </c>
      <c r="T48" s="8" t="s">
        <v>109</v>
      </c>
      <c r="U48" s="2">
        <f>Clientes_Cadastrados!E49</f>
        <v>236.25</v>
      </c>
      <c r="V48" s="2">
        <f>Clientes_Cadastrados!F49</f>
        <v>78.75</v>
      </c>
      <c r="W48" s="30"/>
      <c r="X48" s="2">
        <f>Clientes_Cadastrados!J49</f>
        <v>189</v>
      </c>
      <c r="Y48" s="2">
        <f>Clientes_Cadastrados!K49</f>
        <v>141.75</v>
      </c>
      <c r="Z48" s="30"/>
    </row>
    <row r="49" spans="4:26" x14ac:dyDescent="0.25"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R49" s="30"/>
      <c r="S49" s="5">
        <v>45</v>
      </c>
      <c r="T49" s="8" t="s">
        <v>110</v>
      </c>
      <c r="U49" s="2">
        <f>Clientes_Cadastrados!E50</f>
        <v>236.25</v>
      </c>
      <c r="V49" s="2">
        <f>Clientes_Cadastrados!F50</f>
        <v>78.75</v>
      </c>
      <c r="W49" s="30"/>
      <c r="X49" s="2">
        <f>Clientes_Cadastrados!J50</f>
        <v>189</v>
      </c>
      <c r="Y49" s="2">
        <f>Clientes_Cadastrados!K50</f>
        <v>141.75</v>
      </c>
      <c r="Z49" s="30"/>
    </row>
    <row r="50" spans="4:26" x14ac:dyDescent="0.25"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R50" s="30"/>
      <c r="S50" s="5">
        <v>46</v>
      </c>
      <c r="T50" s="8" t="s">
        <v>111</v>
      </c>
      <c r="U50" s="2">
        <f>Clientes_Cadastrados!E51</f>
        <v>236.25</v>
      </c>
      <c r="V50" s="2">
        <f>Clientes_Cadastrados!F51</f>
        <v>78.75</v>
      </c>
      <c r="W50" s="30"/>
      <c r="X50" s="2">
        <f>Clientes_Cadastrados!J51</f>
        <v>189</v>
      </c>
      <c r="Y50" s="2">
        <f>Clientes_Cadastrados!K51</f>
        <v>141.75</v>
      </c>
      <c r="Z50" s="30"/>
    </row>
    <row r="51" spans="4:26" x14ac:dyDescent="0.25"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R51" s="30"/>
      <c r="S51" s="5">
        <v>47</v>
      </c>
      <c r="T51" s="8" t="s">
        <v>112</v>
      </c>
      <c r="U51" s="2">
        <f>Clientes_Cadastrados!E52</f>
        <v>103.5</v>
      </c>
      <c r="V51" s="2">
        <f>Clientes_Cadastrados!F52</f>
        <v>34.5</v>
      </c>
      <c r="W51" s="30"/>
      <c r="X51" s="2">
        <f>Clientes_Cadastrados!J52</f>
        <v>116.39999999999999</v>
      </c>
      <c r="Y51" s="2">
        <f>Clientes_Cadastrados!K52</f>
        <v>87.3</v>
      </c>
      <c r="Z51" s="30"/>
    </row>
    <row r="52" spans="4:26" x14ac:dyDescent="0.25"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R52" s="30"/>
      <c r="S52" s="5">
        <v>48</v>
      </c>
      <c r="T52" s="8" t="s">
        <v>113</v>
      </c>
      <c r="U52" s="2">
        <f>Clientes_Cadastrados!E53</f>
        <v>103.5</v>
      </c>
      <c r="V52" s="2">
        <f>Clientes_Cadastrados!F53</f>
        <v>34.5</v>
      </c>
      <c r="W52" s="30"/>
      <c r="X52" s="2">
        <f>Clientes_Cadastrados!J53</f>
        <v>116.39999999999999</v>
      </c>
      <c r="Y52" s="2">
        <f>Clientes_Cadastrados!K53</f>
        <v>87.3</v>
      </c>
      <c r="Z52" s="30"/>
    </row>
    <row r="53" spans="4:26" x14ac:dyDescent="0.25"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R53" s="30"/>
      <c r="S53" s="5">
        <v>49</v>
      </c>
      <c r="T53" s="8" t="s">
        <v>114</v>
      </c>
      <c r="U53" s="2">
        <f>Clientes_Cadastrados!E54</f>
        <v>142.5</v>
      </c>
      <c r="V53" s="2">
        <f>Clientes_Cadastrados!F54</f>
        <v>47.5</v>
      </c>
      <c r="W53" s="30"/>
      <c r="X53" s="2">
        <f>Clientes_Cadastrados!J54</f>
        <v>116.39999999999999</v>
      </c>
      <c r="Y53" s="2">
        <f>Clientes_Cadastrados!K54</f>
        <v>87.3</v>
      </c>
      <c r="Z53" s="30"/>
    </row>
    <row r="54" spans="4:26" x14ac:dyDescent="0.25"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R54" s="30"/>
      <c r="S54" s="5">
        <v>50</v>
      </c>
      <c r="T54" s="8" t="s">
        <v>115</v>
      </c>
      <c r="U54" s="2">
        <f>Clientes_Cadastrados!E55</f>
        <v>142.5</v>
      </c>
      <c r="V54" s="2">
        <f>Clientes_Cadastrados!F55</f>
        <v>47.5</v>
      </c>
      <c r="W54" s="30"/>
      <c r="X54" s="2">
        <f>Clientes_Cadastrados!J55</f>
        <v>116.39999999999999</v>
      </c>
      <c r="Y54" s="2">
        <f>Clientes_Cadastrados!K55</f>
        <v>87.3</v>
      </c>
      <c r="Z54" s="30"/>
    </row>
    <row r="55" spans="4:26" x14ac:dyDescent="0.25"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R55" s="30"/>
      <c r="S55" s="5">
        <v>51</v>
      </c>
      <c r="T55" s="8" t="s">
        <v>116</v>
      </c>
      <c r="U55" s="2">
        <f>Clientes_Cadastrados!E56</f>
        <v>142.5</v>
      </c>
      <c r="V55" s="2">
        <f>Clientes_Cadastrados!F56</f>
        <v>47.5</v>
      </c>
      <c r="W55" s="30"/>
      <c r="X55" s="2">
        <f>Clientes_Cadastrados!J56</f>
        <v>116.39999999999999</v>
      </c>
      <c r="Y55" s="2">
        <f>Clientes_Cadastrados!K56</f>
        <v>87.3</v>
      </c>
      <c r="Z55" s="30"/>
    </row>
    <row r="56" spans="4:26" x14ac:dyDescent="0.25"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R56" s="30"/>
      <c r="S56" s="5">
        <v>52</v>
      </c>
      <c r="T56" s="8" t="s">
        <v>117</v>
      </c>
      <c r="U56" s="2">
        <f>Clientes_Cadastrados!E57</f>
        <v>146.25</v>
      </c>
      <c r="V56" s="2">
        <f>Clientes_Cadastrados!F57</f>
        <v>48.75</v>
      </c>
      <c r="W56" s="30"/>
      <c r="X56" s="2">
        <f>Clientes_Cadastrados!J57</f>
        <v>116.39999999999999</v>
      </c>
      <c r="Y56" s="2">
        <f>Clientes_Cadastrados!K57</f>
        <v>87.3</v>
      </c>
      <c r="Z56" s="30"/>
    </row>
    <row r="57" spans="4:26" x14ac:dyDescent="0.25"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R57" s="30"/>
      <c r="S57" s="5">
        <v>53</v>
      </c>
      <c r="T57" s="8" t="s">
        <v>118</v>
      </c>
      <c r="U57" s="2">
        <f>Clientes_Cadastrados!E58</f>
        <v>150</v>
      </c>
      <c r="V57" s="2">
        <f>Clientes_Cadastrados!F58</f>
        <v>50</v>
      </c>
      <c r="W57" s="30"/>
      <c r="X57" s="2">
        <f>Clientes_Cadastrados!J58</f>
        <v>186</v>
      </c>
      <c r="Y57" s="2">
        <f>Clientes_Cadastrados!K58</f>
        <v>139.5</v>
      </c>
      <c r="Z57" s="30"/>
    </row>
    <row r="58" spans="4:26" x14ac:dyDescent="0.25"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R58" s="30"/>
      <c r="S58" s="5">
        <v>54</v>
      </c>
      <c r="T58" s="8" t="s">
        <v>119</v>
      </c>
      <c r="U58" s="2">
        <f>Clientes_Cadastrados!E59</f>
        <v>31.5</v>
      </c>
      <c r="V58" s="2">
        <f>Clientes_Cadastrados!F59</f>
        <v>10.5</v>
      </c>
      <c r="W58" s="30"/>
      <c r="X58" s="2">
        <f>Clientes_Cadastrados!J59</f>
        <v>25.200000000000003</v>
      </c>
      <c r="Y58" s="2">
        <f>Clientes_Cadastrados!K59</f>
        <v>18.900000000000002</v>
      </c>
      <c r="Z58" s="30"/>
    </row>
    <row r="59" spans="4:26" x14ac:dyDescent="0.25"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R59" s="30"/>
      <c r="S59" s="5">
        <v>55</v>
      </c>
      <c r="T59" s="8" t="s">
        <v>120</v>
      </c>
      <c r="U59" s="2">
        <f>Clientes_Cadastrados!E60</f>
        <v>161.25</v>
      </c>
      <c r="V59" s="2">
        <f>Clientes_Cadastrados!F60</f>
        <v>53.75</v>
      </c>
      <c r="W59" s="30"/>
      <c r="X59" s="2">
        <f>Clientes_Cadastrados!J60</f>
        <v>186</v>
      </c>
      <c r="Y59" s="2">
        <f>Clientes_Cadastrados!K60</f>
        <v>139.5</v>
      </c>
      <c r="Z59" s="30"/>
    </row>
    <row r="60" spans="4:26" x14ac:dyDescent="0.25"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R60" s="30"/>
      <c r="S60" s="5">
        <v>56</v>
      </c>
      <c r="T60" s="8" t="s">
        <v>121</v>
      </c>
      <c r="U60" s="2">
        <f>Clientes_Cadastrados!E61</f>
        <v>161.25</v>
      </c>
      <c r="V60" s="2">
        <f>Clientes_Cadastrados!F61</f>
        <v>53.75</v>
      </c>
      <c r="W60" s="30"/>
      <c r="X60" s="2">
        <f>Clientes_Cadastrados!J61</f>
        <v>186</v>
      </c>
      <c r="Y60" s="2">
        <f>Clientes_Cadastrados!K61</f>
        <v>139.5</v>
      </c>
      <c r="Z60" s="30"/>
    </row>
    <row r="61" spans="4:26" x14ac:dyDescent="0.25"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R61" s="30"/>
      <c r="S61" s="30"/>
      <c r="T61" s="30"/>
      <c r="U61" s="30"/>
      <c r="V61" s="30"/>
      <c r="W61" s="30"/>
      <c r="X61" s="30"/>
      <c r="Y61" s="30"/>
      <c r="Z61" s="30"/>
    </row>
    <row r="62" spans="4:26" x14ac:dyDescent="0.25"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R62" s="30"/>
      <c r="S62" s="30"/>
      <c r="T62" s="30"/>
      <c r="U62" s="30"/>
      <c r="V62" s="30"/>
      <c r="W62" s="30"/>
      <c r="X62" s="30"/>
      <c r="Y62" s="30"/>
      <c r="Z62" s="30"/>
    </row>
    <row r="63" spans="4:26" x14ac:dyDescent="0.25"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R63" s="30"/>
      <c r="S63" s="30"/>
      <c r="T63" s="30"/>
      <c r="U63" s="30"/>
      <c r="V63" s="30"/>
      <c r="W63" s="30"/>
      <c r="X63" s="30"/>
      <c r="Y63" s="30"/>
      <c r="Z63" s="30"/>
    </row>
    <row r="64" spans="4:26" x14ac:dyDescent="0.25"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R64" s="30"/>
      <c r="S64" s="30"/>
      <c r="T64" s="30"/>
      <c r="U64" s="30"/>
      <c r="V64" s="30"/>
      <c r="W64" s="30"/>
      <c r="X64" s="30"/>
      <c r="Y64" s="30"/>
      <c r="Z64" s="30"/>
    </row>
    <row r="65" spans="3:26" x14ac:dyDescent="0.25"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R65" s="30"/>
      <c r="S65" s="30"/>
      <c r="T65" s="30"/>
      <c r="U65" s="30"/>
      <c r="V65" s="30"/>
      <c r="W65" s="30"/>
      <c r="X65" s="30"/>
      <c r="Y65" s="30"/>
      <c r="Z65" s="30"/>
    </row>
    <row r="66" spans="3:26" x14ac:dyDescent="0.25"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R66" s="30"/>
      <c r="S66" s="30"/>
      <c r="T66" s="30"/>
      <c r="U66" s="30"/>
      <c r="V66" s="30"/>
      <c r="W66" s="30"/>
      <c r="X66" s="30"/>
      <c r="Y66" s="30"/>
      <c r="Z66" s="30"/>
    </row>
    <row r="67" spans="3:26" x14ac:dyDescent="0.25">
      <c r="C67" s="80"/>
      <c r="D67" s="55"/>
      <c r="E67" s="55"/>
      <c r="F67" s="55"/>
      <c r="G67" s="55"/>
      <c r="H67" s="55"/>
      <c r="I67" s="55"/>
      <c r="J67" s="81"/>
      <c r="K67" s="55"/>
      <c r="L67" s="55"/>
      <c r="M67" s="81"/>
      <c r="N67" s="55"/>
      <c r="O67" s="81"/>
      <c r="P67" s="81"/>
      <c r="R67" s="55"/>
      <c r="S67" s="55"/>
      <c r="T67" s="55"/>
      <c r="U67" s="55"/>
      <c r="V67" s="55"/>
      <c r="W67" s="55"/>
      <c r="X67" s="55"/>
      <c r="Y67" s="55"/>
      <c r="Z67" s="55"/>
    </row>
    <row r="68" spans="3:26" x14ac:dyDescent="0.25">
      <c r="C68" s="80"/>
      <c r="D68" s="55"/>
      <c r="E68" s="55"/>
      <c r="F68" s="55"/>
      <c r="G68" s="55"/>
      <c r="H68" s="55"/>
      <c r="I68" s="55"/>
      <c r="J68" s="81"/>
      <c r="K68" s="55"/>
      <c r="L68" s="55"/>
      <c r="M68" s="81"/>
      <c r="N68" s="55"/>
      <c r="O68" s="81"/>
      <c r="P68" s="81"/>
      <c r="R68" s="55"/>
      <c r="S68" s="55"/>
      <c r="T68" s="55"/>
      <c r="U68" s="55"/>
      <c r="V68" s="55"/>
      <c r="W68" s="55"/>
      <c r="X68" s="55"/>
      <c r="Y68" s="55"/>
      <c r="Z68" s="55"/>
    </row>
    <row r="69" spans="3:26" x14ac:dyDescent="0.25">
      <c r="C69" s="80"/>
      <c r="D69" s="55"/>
      <c r="E69" s="55"/>
      <c r="F69" s="55"/>
      <c r="G69" s="55"/>
      <c r="H69" s="55"/>
      <c r="I69" s="55"/>
      <c r="J69" s="81"/>
      <c r="K69" s="55"/>
      <c r="L69" s="55"/>
      <c r="M69" s="81"/>
      <c r="N69" s="55"/>
      <c r="O69" s="81"/>
      <c r="P69" s="81"/>
      <c r="R69" s="55"/>
      <c r="S69" s="55"/>
      <c r="T69" s="55"/>
      <c r="U69" s="55"/>
      <c r="V69" s="55"/>
      <c r="W69" s="55"/>
      <c r="X69" s="55"/>
      <c r="Y69" s="55"/>
      <c r="Z69" s="55"/>
    </row>
    <row r="70" spans="3:26" x14ac:dyDescent="0.25">
      <c r="C70" s="80"/>
      <c r="D70" s="55"/>
      <c r="E70" s="55"/>
      <c r="F70" s="55"/>
      <c r="G70" s="55"/>
      <c r="H70" s="55"/>
      <c r="I70" s="55"/>
      <c r="J70" s="81"/>
      <c r="K70" s="55"/>
      <c r="L70" s="55"/>
      <c r="M70" s="81"/>
      <c r="N70" s="55"/>
      <c r="O70" s="81"/>
      <c r="P70" s="81"/>
      <c r="R70" s="55"/>
      <c r="S70" s="55"/>
      <c r="T70" s="55"/>
      <c r="U70" s="55"/>
      <c r="V70" s="55"/>
      <c r="W70" s="55"/>
      <c r="X70" s="55"/>
      <c r="Y70" s="55"/>
      <c r="Z70" s="55"/>
    </row>
    <row r="71" spans="3:26" x14ac:dyDescent="0.25">
      <c r="C71" s="80"/>
      <c r="D71" s="55"/>
      <c r="E71" s="55"/>
      <c r="F71" s="55"/>
      <c r="G71" s="55"/>
      <c r="H71" s="55"/>
      <c r="I71" s="55"/>
      <c r="J71" s="81"/>
      <c r="K71" s="55"/>
      <c r="L71" s="55"/>
      <c r="M71" s="81"/>
      <c r="N71" s="55"/>
      <c r="O71" s="81"/>
      <c r="P71" s="81"/>
      <c r="R71" s="55"/>
      <c r="S71" s="55"/>
      <c r="T71" s="55"/>
      <c r="U71" s="55"/>
      <c r="V71" s="55"/>
      <c r="W71" s="55"/>
      <c r="X71" s="55"/>
      <c r="Y71" s="55"/>
      <c r="Z71" s="55"/>
    </row>
    <row r="72" spans="3:26" x14ac:dyDescent="0.25">
      <c r="C72" s="80"/>
      <c r="D72" s="55"/>
      <c r="E72" s="55"/>
      <c r="F72" s="55"/>
      <c r="G72" s="55"/>
      <c r="H72" s="55"/>
      <c r="I72" s="55"/>
      <c r="J72" s="81"/>
      <c r="K72" s="55"/>
      <c r="L72" s="55"/>
      <c r="M72" s="81"/>
      <c r="N72" s="55"/>
      <c r="O72" s="81"/>
      <c r="P72" s="81"/>
      <c r="R72" s="55"/>
      <c r="S72" s="55"/>
      <c r="T72" s="55"/>
      <c r="U72" s="55"/>
      <c r="V72" s="55"/>
      <c r="W72" s="55"/>
      <c r="X72" s="55"/>
      <c r="Y72" s="55"/>
      <c r="Z72" s="55"/>
    </row>
    <row r="73" spans="3:26" x14ac:dyDescent="0.25">
      <c r="C73" s="80"/>
      <c r="D73" s="55"/>
      <c r="E73" s="55"/>
      <c r="F73" s="55"/>
      <c r="G73" s="55"/>
      <c r="H73" s="55"/>
      <c r="I73" s="55"/>
      <c r="J73" s="81"/>
      <c r="K73" s="55"/>
      <c r="L73" s="55"/>
      <c r="M73" s="81"/>
      <c r="N73" s="55"/>
      <c r="O73" s="81"/>
      <c r="P73" s="81"/>
      <c r="R73" s="55"/>
      <c r="S73" s="55"/>
      <c r="T73" s="55"/>
      <c r="U73" s="55"/>
      <c r="V73" s="55"/>
      <c r="W73" s="55"/>
      <c r="X73" s="55"/>
      <c r="Y73" s="55"/>
      <c r="Z73" s="55"/>
    </row>
    <row r="74" spans="3:26" x14ac:dyDescent="0.25">
      <c r="C74" s="80"/>
      <c r="D74" s="55"/>
      <c r="E74" s="55"/>
      <c r="F74" s="55"/>
      <c r="G74" s="55"/>
      <c r="H74" s="55"/>
      <c r="I74" s="55"/>
      <c r="J74" s="81"/>
      <c r="K74" s="55"/>
      <c r="L74" s="55"/>
      <c r="M74" s="81"/>
      <c r="N74" s="55"/>
      <c r="O74" s="81"/>
      <c r="P74" s="81"/>
      <c r="R74" s="55"/>
      <c r="S74" s="55"/>
      <c r="T74" s="55"/>
      <c r="U74" s="55"/>
      <c r="V74" s="55"/>
      <c r="W74" s="55"/>
      <c r="X74" s="55"/>
      <c r="Y74" s="55"/>
      <c r="Z74" s="55"/>
    </row>
    <row r="75" spans="3:26" x14ac:dyDescent="0.25">
      <c r="C75" s="80"/>
      <c r="D75" s="55"/>
      <c r="E75" s="55"/>
      <c r="F75" s="55"/>
      <c r="G75" s="55"/>
      <c r="H75" s="55"/>
      <c r="I75" s="55"/>
      <c r="J75" s="81"/>
      <c r="K75" s="55"/>
      <c r="L75" s="55"/>
      <c r="M75" s="81"/>
      <c r="N75" s="55"/>
      <c r="O75" s="81"/>
      <c r="P75" s="81"/>
      <c r="R75" s="55"/>
      <c r="S75" s="55"/>
      <c r="T75" s="55"/>
      <c r="U75" s="55"/>
      <c r="V75" s="55"/>
      <c r="W75" s="55"/>
      <c r="X75" s="55"/>
      <c r="Y75" s="55"/>
      <c r="Z75" s="55"/>
    </row>
    <row r="76" spans="3:26" x14ac:dyDescent="0.25">
      <c r="C76" s="80"/>
      <c r="D76" s="55"/>
      <c r="E76" s="55"/>
      <c r="F76" s="55"/>
      <c r="G76" s="55"/>
      <c r="H76" s="55"/>
      <c r="I76" s="55"/>
      <c r="J76" s="81"/>
      <c r="K76" s="55"/>
      <c r="L76" s="55"/>
      <c r="M76" s="81"/>
      <c r="N76" s="55"/>
      <c r="O76" s="81"/>
      <c r="P76" s="81"/>
      <c r="R76" s="55"/>
      <c r="S76" s="55"/>
      <c r="T76" s="55"/>
      <c r="U76" s="55"/>
      <c r="V76" s="55"/>
      <c r="W76" s="55"/>
      <c r="X76" s="55"/>
      <c r="Y76" s="55"/>
      <c r="Z76" s="55"/>
    </row>
    <row r="77" spans="3:26" x14ac:dyDescent="0.25">
      <c r="C77" s="80"/>
      <c r="D77" s="55"/>
      <c r="E77" s="55"/>
      <c r="F77" s="55"/>
      <c r="G77" s="55"/>
      <c r="H77" s="55"/>
      <c r="I77" s="55"/>
      <c r="J77" s="81"/>
      <c r="K77" s="55"/>
      <c r="L77" s="55"/>
      <c r="M77" s="81"/>
      <c r="N77" s="55"/>
      <c r="O77" s="81"/>
      <c r="P77" s="81"/>
      <c r="R77" s="55"/>
      <c r="S77" s="55"/>
      <c r="T77" s="55"/>
      <c r="U77" s="55"/>
      <c r="V77" s="55"/>
      <c r="W77" s="55"/>
      <c r="X77" s="55"/>
      <c r="Y77" s="55"/>
      <c r="Z77" s="55"/>
    </row>
    <row r="78" spans="3:26" x14ac:dyDescent="0.25">
      <c r="C78" s="80"/>
      <c r="D78" s="55"/>
      <c r="E78" s="55"/>
      <c r="F78" s="55"/>
      <c r="G78" s="55"/>
      <c r="H78" s="55"/>
      <c r="I78" s="55"/>
      <c r="J78" s="81"/>
      <c r="K78" s="55"/>
      <c r="L78" s="55"/>
      <c r="M78" s="81"/>
      <c r="N78" s="55"/>
      <c r="O78" s="81"/>
      <c r="P78" s="81"/>
      <c r="R78" s="55"/>
      <c r="S78" s="55"/>
      <c r="T78" s="55"/>
      <c r="U78" s="55"/>
      <c r="V78" s="55"/>
      <c r="W78" s="55"/>
      <c r="X78" s="55"/>
      <c r="Y78" s="55"/>
      <c r="Z78" s="55"/>
    </row>
    <row r="79" spans="3:26" x14ac:dyDescent="0.25">
      <c r="C79" s="80"/>
      <c r="D79" s="55"/>
      <c r="E79" s="55"/>
      <c r="F79" s="55"/>
      <c r="G79" s="55"/>
      <c r="H79" s="55"/>
      <c r="I79" s="55"/>
      <c r="J79" s="81"/>
      <c r="K79" s="55"/>
      <c r="L79" s="55"/>
      <c r="M79" s="81"/>
      <c r="N79" s="55"/>
      <c r="O79" s="81"/>
      <c r="P79" s="81"/>
      <c r="R79" s="55"/>
      <c r="S79" s="55"/>
      <c r="T79" s="55"/>
      <c r="U79" s="55"/>
      <c r="V79" s="55"/>
      <c r="W79" s="55"/>
      <c r="X79" s="55"/>
      <c r="Y79" s="55"/>
      <c r="Z79" s="55"/>
    </row>
    <row r="80" spans="3:26" x14ac:dyDescent="0.25">
      <c r="C80" s="80"/>
      <c r="D80" s="55"/>
      <c r="E80" s="55"/>
      <c r="F80" s="55"/>
      <c r="G80" s="55"/>
      <c r="H80" s="55"/>
      <c r="I80" s="55"/>
      <c r="J80" s="81"/>
      <c r="K80" s="55"/>
      <c r="L80" s="55"/>
      <c r="M80" s="81"/>
      <c r="N80" s="55"/>
      <c r="O80" s="81"/>
      <c r="P80" s="81"/>
      <c r="R80" s="55"/>
      <c r="S80" s="55"/>
      <c r="T80" s="55"/>
      <c r="U80" s="55"/>
      <c r="V80" s="55"/>
      <c r="W80" s="55"/>
      <c r="X80" s="55"/>
      <c r="Y80" s="55"/>
      <c r="Z80" s="55"/>
    </row>
    <row r="81" spans="4:26" x14ac:dyDescent="0.25">
      <c r="D81" s="37"/>
      <c r="E81" s="37"/>
      <c r="F81" s="37"/>
      <c r="G81" s="37"/>
      <c r="H81" s="37"/>
      <c r="I81" s="37"/>
      <c r="J81" s="82"/>
      <c r="K81" s="37"/>
      <c r="L81" s="37"/>
      <c r="M81" s="82"/>
      <c r="N81" s="37"/>
      <c r="O81" s="82"/>
      <c r="P81" s="82"/>
      <c r="R81" s="55"/>
      <c r="S81" s="55"/>
      <c r="T81" s="55"/>
      <c r="U81" s="55"/>
      <c r="V81" s="55"/>
      <c r="W81" s="55"/>
      <c r="X81" s="55"/>
      <c r="Y81" s="55"/>
      <c r="Z81" s="55"/>
    </row>
    <row r="82" spans="4:26" x14ac:dyDescent="0.25">
      <c r="D82" s="33"/>
      <c r="P82" s="81"/>
      <c r="R82" s="55"/>
      <c r="S82" s="55"/>
      <c r="T82" s="55"/>
      <c r="U82" s="55"/>
      <c r="V82" s="55"/>
      <c r="W82" s="55"/>
      <c r="X82" s="55"/>
      <c r="Y82" s="55"/>
      <c r="Z82" s="55"/>
    </row>
    <row r="83" spans="4:26" x14ac:dyDescent="0.25">
      <c r="D83" s="33"/>
      <c r="R83" s="55"/>
      <c r="S83" s="55"/>
      <c r="T83" s="55"/>
      <c r="U83" s="55"/>
      <c r="V83" s="55"/>
      <c r="W83" s="55"/>
      <c r="X83" s="55"/>
      <c r="Y83" s="55"/>
      <c r="Z83" s="55"/>
    </row>
    <row r="84" spans="4:26" x14ac:dyDescent="0.25">
      <c r="D84" s="33"/>
      <c r="R84" s="55"/>
      <c r="S84" s="55"/>
      <c r="T84" s="55"/>
      <c r="U84" s="55"/>
      <c r="V84" s="55"/>
      <c r="W84" s="55"/>
      <c r="X84" s="55"/>
      <c r="Y84" s="55"/>
      <c r="Z84" s="55"/>
    </row>
    <row r="85" spans="4:26" x14ac:dyDescent="0.25">
      <c r="D85" s="33"/>
      <c r="R85" s="55"/>
      <c r="S85" s="55"/>
      <c r="T85" s="55"/>
      <c r="U85" s="55"/>
      <c r="V85" s="55"/>
      <c r="W85" s="55"/>
      <c r="X85" s="55"/>
      <c r="Y85" s="55"/>
      <c r="Z85" s="55"/>
    </row>
    <row r="86" spans="4:26" x14ac:dyDescent="0.25">
      <c r="D86" s="33"/>
      <c r="R86" s="55"/>
      <c r="S86" s="55"/>
      <c r="T86" s="55"/>
      <c r="U86" s="55"/>
      <c r="V86" s="55"/>
      <c r="W86" s="55"/>
      <c r="X86" s="55"/>
      <c r="Y86" s="55"/>
      <c r="Z86" s="55"/>
    </row>
    <row r="87" spans="4:26" x14ac:dyDescent="0.25">
      <c r="D87" s="33"/>
      <c r="R87" s="55"/>
      <c r="S87" s="55"/>
      <c r="T87" s="55"/>
      <c r="U87" s="55"/>
      <c r="V87" s="55"/>
      <c r="W87" s="55"/>
      <c r="X87" s="55"/>
      <c r="Y87" s="55"/>
      <c r="Z87" s="55"/>
    </row>
    <row r="88" spans="4:26" x14ac:dyDescent="0.25">
      <c r="D88" s="33"/>
    </row>
    <row r="89" spans="4:26" x14ac:dyDescent="0.25">
      <c r="D89" s="33"/>
    </row>
    <row r="90" spans="4:26" x14ac:dyDescent="0.25">
      <c r="D90" s="33"/>
    </row>
    <row r="91" spans="4:26" x14ac:dyDescent="0.25">
      <c r="D91" s="33"/>
      <c r="G91" s="55"/>
      <c r="H91" s="55"/>
    </row>
    <row r="92" spans="4:26" x14ac:dyDescent="0.25">
      <c r="D92" s="33"/>
      <c r="G92" s="55"/>
      <c r="H92" s="55"/>
    </row>
    <row r="93" spans="4:26" x14ac:dyDescent="0.25">
      <c r="D93" s="33"/>
      <c r="G93" s="55"/>
      <c r="H93" s="55"/>
    </row>
    <row r="94" spans="4:26" x14ac:dyDescent="0.25">
      <c r="D94" s="33"/>
      <c r="G94" s="55"/>
      <c r="H94" s="55"/>
    </row>
    <row r="95" spans="4:26" x14ac:dyDescent="0.25">
      <c r="D95" s="33"/>
      <c r="G95" s="55"/>
      <c r="H95" s="55"/>
    </row>
    <row r="96" spans="4:26" x14ac:dyDescent="0.25">
      <c r="D96" s="33"/>
      <c r="G96" s="55"/>
      <c r="H96" s="55"/>
    </row>
    <row r="97" spans="4:8" x14ac:dyDescent="0.25">
      <c r="D97" s="33"/>
      <c r="G97" s="55"/>
      <c r="H97" s="55"/>
    </row>
    <row r="98" spans="4:8" x14ac:dyDescent="0.25">
      <c r="D98" s="33"/>
      <c r="G98" s="55"/>
      <c r="H98" s="55"/>
    </row>
    <row r="99" spans="4:8" x14ac:dyDescent="0.25">
      <c r="D99" s="33"/>
      <c r="G99" s="55"/>
      <c r="H99" s="55"/>
    </row>
    <row r="100" spans="4:8" x14ac:dyDescent="0.25">
      <c r="D100" s="33"/>
      <c r="G100" s="55"/>
      <c r="H100" s="55"/>
    </row>
    <row r="101" spans="4:8" x14ac:dyDescent="0.25">
      <c r="D101" s="33"/>
      <c r="G101" s="55"/>
      <c r="H101" s="55"/>
    </row>
    <row r="102" spans="4:8" x14ac:dyDescent="0.25">
      <c r="D102" s="33"/>
      <c r="G102" s="55"/>
      <c r="H102" s="55"/>
    </row>
    <row r="103" spans="4:8" x14ac:dyDescent="0.25">
      <c r="D103" s="33"/>
      <c r="G103" s="55"/>
      <c r="H103" s="55"/>
    </row>
    <row r="104" spans="4:8" x14ac:dyDescent="0.25">
      <c r="D104" s="33"/>
      <c r="G104" s="55"/>
      <c r="H104" s="55"/>
    </row>
    <row r="105" spans="4:8" x14ac:dyDescent="0.25">
      <c r="D105" s="33"/>
      <c r="G105" s="55"/>
      <c r="H105" s="55"/>
    </row>
    <row r="106" spans="4:8" x14ac:dyDescent="0.25">
      <c r="D106" s="33"/>
      <c r="G106" s="55"/>
      <c r="H106" s="55"/>
    </row>
    <row r="107" spans="4:8" x14ac:dyDescent="0.25">
      <c r="D107" s="33"/>
      <c r="G107" s="55"/>
      <c r="H107" s="55"/>
    </row>
    <row r="108" spans="4:8" x14ac:dyDescent="0.25">
      <c r="D108" s="33"/>
      <c r="G108" s="55"/>
      <c r="H108" s="55"/>
    </row>
    <row r="109" spans="4:8" x14ac:dyDescent="0.25">
      <c r="G109" s="55"/>
      <c r="H109" s="55"/>
    </row>
    <row r="110" spans="4:8" x14ac:dyDescent="0.25">
      <c r="G110" s="55"/>
      <c r="H110" s="55"/>
    </row>
    <row r="111" spans="4:8" x14ac:dyDescent="0.25">
      <c r="G111" s="55"/>
      <c r="H111" s="55"/>
    </row>
    <row r="112" spans="4:8" x14ac:dyDescent="0.25">
      <c r="G112" s="55"/>
      <c r="H112" s="55"/>
    </row>
    <row r="113" spans="7:8" x14ac:dyDescent="0.25">
      <c r="G113" s="55"/>
      <c r="H113" s="55"/>
    </row>
    <row r="114" spans="7:8" x14ac:dyDescent="0.25">
      <c r="G114" s="55"/>
      <c r="H114" s="55"/>
    </row>
    <row r="115" spans="7:8" x14ac:dyDescent="0.25">
      <c r="G115" s="55"/>
      <c r="H115" s="55"/>
    </row>
    <row r="116" spans="7:8" x14ac:dyDescent="0.25">
      <c r="G116" s="55"/>
      <c r="H116" s="55"/>
    </row>
    <row r="117" spans="7:8" x14ac:dyDescent="0.25">
      <c r="G117" s="55"/>
      <c r="H117" s="55"/>
    </row>
    <row r="118" spans="7:8" x14ac:dyDescent="0.25">
      <c r="G118" s="55"/>
      <c r="H118" s="55"/>
    </row>
    <row r="119" spans="7:8" x14ac:dyDescent="0.25">
      <c r="G119" s="55"/>
      <c r="H119" s="55"/>
    </row>
    <row r="120" spans="7:8" x14ac:dyDescent="0.25">
      <c r="G120" s="55"/>
      <c r="H120" s="55"/>
    </row>
    <row r="121" spans="7:8" x14ac:dyDescent="0.25">
      <c r="G121" s="55"/>
      <c r="H121" s="55"/>
    </row>
    <row r="122" spans="7:8" x14ac:dyDescent="0.25">
      <c r="G122" s="55"/>
      <c r="H122" s="55"/>
    </row>
    <row r="123" spans="7:8" x14ac:dyDescent="0.25">
      <c r="G123" s="55"/>
      <c r="H123" s="55"/>
    </row>
    <row r="124" spans="7:8" x14ac:dyDescent="0.25">
      <c r="G124" s="55"/>
      <c r="H124" s="55"/>
    </row>
  </sheetData>
  <mergeCells count="3">
    <mergeCell ref="F4:J4"/>
    <mergeCell ref="L4:P4"/>
    <mergeCell ref="C5:C35"/>
  </mergeCells>
  <dataValidations count="1">
    <dataValidation type="list" allowBlank="1" showInputMessage="1" showErrorMessage="1" sqref="E82:E1048576" xr:uid="{42731857-0CA9-471D-9D92-6FE587799F69}">
      <formula1>$D$6:$D$102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1AF107-A782-4A19-9FBC-247008415D14}">
          <x14:formula1>
            <xm:f>Tabela_Clientes!$C$6:$C$61</xm:f>
          </x14:formula1>
          <xm:sqref>E6:E35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B4B-0D18-4625-85F9-DC10A4F570DB}">
  <sheetPr codeName="Planilha8"/>
  <dimension ref="A1:S69"/>
  <sheetViews>
    <sheetView topLeftCell="A10" zoomScaleNormal="100" workbookViewId="0">
      <selection activeCell="B38" sqref="B38:K69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4.140625" style="30" bestFit="1" customWidth="1"/>
    <col min="4" max="4" width="28.5703125" style="30" bestFit="1" customWidth="1"/>
    <col min="5" max="5" width="19" style="30" bestFit="1" customWidth="1"/>
    <col min="6" max="6" width="22.140625" style="30" bestFit="1" customWidth="1"/>
    <col min="7" max="7" width="21.140625" style="30" bestFit="1" customWidth="1"/>
    <col min="8" max="8" width="22.85546875" style="30" bestFit="1" customWidth="1"/>
    <col min="9" max="9" width="27.28515625" style="30" bestFit="1" customWidth="1"/>
    <col min="10" max="10" width="20.7109375" style="30" bestFit="1" customWidth="1"/>
    <col min="11" max="11" width="26.140625" style="30" bestFit="1" customWidth="1"/>
    <col min="12" max="12" width="14.140625" style="30" bestFit="1" customWidth="1"/>
    <col min="13" max="13" width="15" style="30" bestFit="1" customWidth="1"/>
    <col min="14" max="16384" width="9.140625" style="30"/>
  </cols>
  <sheetData>
    <row r="1" spans="1:19" customFormat="1" ht="30" customHeight="1" x14ac:dyDescent="0.25">
      <c r="A1" s="96" t="s">
        <v>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1:19" ht="30" customHeight="1" x14ac:dyDescent="0.25"/>
    <row r="3" spans="1:19" x14ac:dyDescent="0.25">
      <c r="C3" s="95" t="s">
        <v>23</v>
      </c>
      <c r="D3" s="95"/>
      <c r="E3" s="95"/>
      <c r="F3" s="95"/>
      <c r="G3" s="95"/>
      <c r="H3" s="95"/>
      <c r="I3" s="95"/>
      <c r="J3" s="95"/>
      <c r="K3" s="95"/>
      <c r="L3" s="18" t="s">
        <v>37</v>
      </c>
      <c r="M3" s="45"/>
    </row>
    <row r="4" spans="1:19" x14ac:dyDescent="0.25">
      <c r="B4" s="15" t="s">
        <v>0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34</v>
      </c>
      <c r="M4" s="48" t="s">
        <v>55</v>
      </c>
      <c r="N4" s="55"/>
    </row>
    <row r="5" spans="1:19" x14ac:dyDescent="0.25">
      <c r="B5" s="19">
        <v>44866</v>
      </c>
      <c r="C5" s="12">
        <v>6</v>
      </c>
      <c r="D5" s="12"/>
      <c r="E5" s="12"/>
      <c r="F5" s="12"/>
      <c r="G5" s="12"/>
      <c r="H5" s="12"/>
      <c r="I5" s="12"/>
      <c r="J5" s="12"/>
      <c r="K5" s="12"/>
      <c r="L5" s="12"/>
      <c r="M5" s="12">
        <f>SUM(Tabela4[[#This Row],[Pimentinha]:[Baconzitos]])</f>
        <v>6</v>
      </c>
      <c r="N5" s="55"/>
      <c r="O5" s="31"/>
      <c r="P5" s="31"/>
      <c r="Q5" s="31"/>
      <c r="R5" s="31"/>
      <c r="S5" s="31"/>
    </row>
    <row r="6" spans="1:19" x14ac:dyDescent="0.25">
      <c r="B6" s="19">
        <v>44867</v>
      </c>
      <c r="C6" s="12"/>
      <c r="D6" s="1">
        <v>5</v>
      </c>
      <c r="E6" s="1"/>
      <c r="F6" s="1"/>
      <c r="G6" s="1"/>
      <c r="H6" s="1"/>
      <c r="I6" s="1"/>
      <c r="J6" s="1"/>
      <c r="K6" s="1"/>
      <c r="L6" s="1"/>
      <c r="M6" s="12">
        <f>SUM(Tabela4[[#This Row],[Pimentinha]:[Baconzitos]])</f>
        <v>5</v>
      </c>
      <c r="N6" s="55"/>
    </row>
    <row r="7" spans="1:19" x14ac:dyDescent="0.25">
      <c r="B7" s="19">
        <v>44868</v>
      </c>
      <c r="C7" s="12"/>
      <c r="D7" s="1"/>
      <c r="E7" s="1">
        <v>5</v>
      </c>
      <c r="F7" s="1"/>
      <c r="G7" s="1"/>
      <c r="H7" s="1"/>
      <c r="I7" s="1"/>
      <c r="J7" s="1"/>
      <c r="K7" s="1"/>
      <c r="L7" s="1"/>
      <c r="M7" s="12">
        <f>SUM(Tabela4[[#This Row],[Pimentinha]:[Baconzitos]])</f>
        <v>5</v>
      </c>
      <c r="N7" s="55"/>
    </row>
    <row r="8" spans="1:19" x14ac:dyDescent="0.25">
      <c r="B8" s="19">
        <v>44869</v>
      </c>
      <c r="C8" s="12"/>
      <c r="D8" s="1"/>
      <c r="E8" s="1"/>
      <c r="F8" s="1">
        <v>6</v>
      </c>
      <c r="G8" s="1"/>
      <c r="H8" s="1"/>
      <c r="I8" s="1"/>
      <c r="J8" s="1"/>
      <c r="K8" s="1"/>
      <c r="L8" s="1"/>
      <c r="M8" s="12">
        <f>SUM(Tabela4[[#This Row],[Pimentinha]:[Baconzitos]])</f>
        <v>6</v>
      </c>
      <c r="N8" s="55"/>
    </row>
    <row r="9" spans="1:19" x14ac:dyDescent="0.25">
      <c r="B9" s="19">
        <v>44870</v>
      </c>
      <c r="C9" s="12"/>
      <c r="D9" s="1">
        <v>5</v>
      </c>
      <c r="E9" s="1"/>
      <c r="F9" s="1"/>
      <c r="G9" s="1"/>
      <c r="H9" s="1"/>
      <c r="I9" s="1"/>
      <c r="J9" s="1"/>
      <c r="K9" s="1"/>
      <c r="L9" s="1"/>
      <c r="M9" s="12">
        <f>SUM(Tabela4[[#This Row],[Pimentinha]:[Baconzitos]])</f>
        <v>5</v>
      </c>
      <c r="N9" s="55"/>
    </row>
    <row r="10" spans="1:19" x14ac:dyDescent="0.25">
      <c r="B10" s="19">
        <v>44871</v>
      </c>
      <c r="C10" s="12"/>
      <c r="D10" s="1"/>
      <c r="E10" s="1">
        <v>5</v>
      </c>
      <c r="F10" s="1"/>
      <c r="G10" s="1"/>
      <c r="H10" s="1"/>
      <c r="I10" s="1"/>
      <c r="J10" s="1"/>
      <c r="K10" s="1"/>
      <c r="L10" s="1"/>
      <c r="M10" s="12">
        <f>SUM(Tabela4[[#This Row],[Pimentinha]:[Baconzitos]])</f>
        <v>5</v>
      </c>
      <c r="N10" s="55"/>
    </row>
    <row r="11" spans="1:19" x14ac:dyDescent="0.25">
      <c r="B11" s="19">
        <v>44872</v>
      </c>
      <c r="C11" s="12">
        <v>5</v>
      </c>
      <c r="D11" s="1"/>
      <c r="E11" s="1"/>
      <c r="F11" s="1"/>
      <c r="G11" s="1"/>
      <c r="H11" s="1"/>
      <c r="I11" s="1"/>
      <c r="J11" s="1"/>
      <c r="K11" s="1"/>
      <c r="L11" s="1"/>
      <c r="M11" s="12">
        <f>SUM(Tabela4[[#This Row],[Pimentinha]:[Baconzitos]])</f>
        <v>5</v>
      </c>
      <c r="N11" s="55"/>
    </row>
    <row r="12" spans="1:19" x14ac:dyDescent="0.25">
      <c r="B12" s="19">
        <v>44873</v>
      </c>
      <c r="C12" s="12"/>
      <c r="D12" s="1">
        <v>5</v>
      </c>
      <c r="E12" s="1"/>
      <c r="F12" s="1"/>
      <c r="G12" s="1"/>
      <c r="H12" s="1"/>
      <c r="I12" s="1"/>
      <c r="J12" s="1"/>
      <c r="K12" s="1"/>
      <c r="L12" s="1"/>
      <c r="M12" s="12">
        <f>SUM(Tabela4[[#This Row],[Pimentinha]:[Baconzitos]])</f>
        <v>5</v>
      </c>
      <c r="N12" s="55"/>
    </row>
    <row r="13" spans="1:19" x14ac:dyDescent="0.25">
      <c r="B13" s="19">
        <v>44874</v>
      </c>
      <c r="C13" s="1"/>
      <c r="D13" s="1">
        <v>5</v>
      </c>
      <c r="E13" s="1"/>
      <c r="F13" s="1">
        <v>5</v>
      </c>
      <c r="G13" s="1"/>
      <c r="H13" s="1"/>
      <c r="I13" s="1"/>
      <c r="J13" s="1"/>
      <c r="K13" s="1"/>
      <c r="L13" s="1"/>
      <c r="M13" s="12">
        <f>SUM(Tabela4[[#This Row],[Pimentinha]:[Baconzitos]])</f>
        <v>10</v>
      </c>
      <c r="N13" s="55"/>
    </row>
    <row r="14" spans="1:19" x14ac:dyDescent="0.25">
      <c r="B14" s="19">
        <v>44875</v>
      </c>
      <c r="C14" s="1"/>
      <c r="D14" s="1"/>
      <c r="E14" s="1"/>
      <c r="F14" s="1">
        <v>5</v>
      </c>
      <c r="G14" s="1"/>
      <c r="H14" s="1"/>
      <c r="I14" s="1"/>
      <c r="J14" s="1"/>
      <c r="K14" s="1"/>
      <c r="L14" s="1"/>
      <c r="M14" s="12">
        <f>SUM(Tabela4[[#This Row],[Pimentinha]:[Baconzitos]])</f>
        <v>5</v>
      </c>
      <c r="N14" s="55"/>
    </row>
    <row r="15" spans="1:19" x14ac:dyDescent="0.25">
      <c r="B15" s="19">
        <v>44876</v>
      </c>
      <c r="C15" s="1"/>
      <c r="D15" s="1">
        <v>54</v>
      </c>
      <c r="E15" s="1"/>
      <c r="F15" s="1"/>
      <c r="G15" s="1"/>
      <c r="H15" s="1"/>
      <c r="I15" s="1">
        <v>10</v>
      </c>
      <c r="J15" s="1"/>
      <c r="K15" s="1">
        <v>3</v>
      </c>
      <c r="L15" s="1"/>
      <c r="M15" s="12">
        <f>SUM(Tabela4[[#This Row],[Pimentinha]:[Baconzitos]])</f>
        <v>67</v>
      </c>
      <c r="N15" s="55"/>
    </row>
    <row r="16" spans="1:19" x14ac:dyDescent="0.25">
      <c r="B16" s="19">
        <v>44877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2">
        <f>SUM(Tabela4[[#This Row],[Pimentinha]:[Baconzitos]])</f>
        <v>0</v>
      </c>
      <c r="N16" s="55"/>
    </row>
    <row r="17" spans="2:14" x14ac:dyDescent="0.25">
      <c r="B17" s="19">
        <v>44878</v>
      </c>
      <c r="C17" s="1"/>
      <c r="D17" s="1"/>
      <c r="E17" s="1"/>
      <c r="F17" s="1"/>
      <c r="G17" s="1">
        <v>5</v>
      </c>
      <c r="H17" s="1"/>
      <c r="I17" s="1"/>
      <c r="J17" s="1"/>
      <c r="K17" s="1"/>
      <c r="L17" s="1"/>
      <c r="M17" s="12">
        <f>SUM(Tabela4[[#This Row],[Pimentinha]:[Baconzitos]])</f>
        <v>5</v>
      </c>
      <c r="N17" s="55"/>
    </row>
    <row r="18" spans="2:14" x14ac:dyDescent="0.25">
      <c r="B18" s="19">
        <v>44879</v>
      </c>
      <c r="C18" s="1"/>
      <c r="D18" s="1">
        <v>5</v>
      </c>
      <c r="E18" s="1"/>
      <c r="F18" s="1"/>
      <c r="G18" s="1"/>
      <c r="H18" s="1"/>
      <c r="I18" s="1"/>
      <c r="J18" s="1"/>
      <c r="K18" s="1"/>
      <c r="L18" s="1"/>
      <c r="M18" s="12">
        <f>SUM(Tabela4[[#This Row],[Pimentinha]:[Baconzitos]])</f>
        <v>5</v>
      </c>
      <c r="N18" s="55"/>
    </row>
    <row r="19" spans="2:14" x14ac:dyDescent="0.25">
      <c r="B19" s="19">
        <v>44880</v>
      </c>
      <c r="C19" s="1"/>
      <c r="D19" s="1"/>
      <c r="E19" s="1">
        <v>5</v>
      </c>
      <c r="F19" s="1"/>
      <c r="G19" s="1"/>
      <c r="H19" s="1"/>
      <c r="I19" s="1"/>
      <c r="J19" s="1"/>
      <c r="K19" s="1"/>
      <c r="L19" s="1"/>
      <c r="M19" s="12">
        <f>SUM(Tabela4[[#This Row],[Pimentinha]:[Baconzitos]])</f>
        <v>5</v>
      </c>
      <c r="N19" s="55"/>
    </row>
    <row r="20" spans="2:14" x14ac:dyDescent="0.25">
      <c r="B20" s="19">
        <v>44881</v>
      </c>
      <c r="C20" s="1"/>
      <c r="D20" s="1"/>
      <c r="E20" s="1"/>
      <c r="F20" s="1">
        <v>5</v>
      </c>
      <c r="G20" s="1"/>
      <c r="H20" s="1"/>
      <c r="I20" s="1"/>
      <c r="J20" s="1"/>
      <c r="K20" s="1"/>
      <c r="L20" s="1"/>
      <c r="M20" s="12">
        <f>SUM(Tabela4[[#This Row],[Pimentinha]:[Baconzitos]])</f>
        <v>5</v>
      </c>
      <c r="N20" s="55"/>
    </row>
    <row r="21" spans="2:14" x14ac:dyDescent="0.25">
      <c r="B21" s="19">
        <v>44882</v>
      </c>
      <c r="C21" s="1"/>
      <c r="D21" s="1"/>
      <c r="E21" s="1"/>
      <c r="F21" s="1"/>
      <c r="G21" s="1">
        <v>5</v>
      </c>
      <c r="H21" s="1"/>
      <c r="I21" s="1"/>
      <c r="J21" s="1"/>
      <c r="K21" s="1"/>
      <c r="L21" s="1"/>
      <c r="M21" s="12">
        <f>SUM(Tabela4[[#This Row],[Pimentinha]:[Baconzitos]])</f>
        <v>5</v>
      </c>
      <c r="N21" s="55"/>
    </row>
    <row r="22" spans="2:14" x14ac:dyDescent="0.25">
      <c r="B22" s="19">
        <v>44883</v>
      </c>
      <c r="C22" s="1"/>
      <c r="D22" s="1"/>
      <c r="E22" s="1"/>
      <c r="F22" s="1"/>
      <c r="G22" s="1"/>
      <c r="H22" s="1"/>
      <c r="I22" s="1">
        <v>5</v>
      </c>
      <c r="J22" s="1"/>
      <c r="K22" s="1"/>
      <c r="L22" s="1"/>
      <c r="M22" s="12">
        <f>SUM(Tabela4[[#This Row],[Pimentinha]:[Baconzitos]])</f>
        <v>5</v>
      </c>
      <c r="N22" s="55"/>
    </row>
    <row r="23" spans="2:14" x14ac:dyDescent="0.25">
      <c r="B23" s="19">
        <v>44884</v>
      </c>
      <c r="C23" s="1"/>
      <c r="D23" s="1"/>
      <c r="E23" s="1"/>
      <c r="F23" s="1"/>
      <c r="G23" s="1"/>
      <c r="H23" s="1">
        <v>5</v>
      </c>
      <c r="I23" s="1"/>
      <c r="J23" s="1"/>
      <c r="K23" s="1">
        <v>5</v>
      </c>
      <c r="L23" s="1"/>
      <c r="M23" s="12">
        <f>SUM(Tabela4[[#This Row],[Pimentinha]:[Baconzitos]])</f>
        <v>10</v>
      </c>
      <c r="N23" s="55"/>
    </row>
    <row r="24" spans="2:14" x14ac:dyDescent="0.25">
      <c r="B24" s="19">
        <v>44885</v>
      </c>
      <c r="C24" s="1"/>
      <c r="D24" s="1"/>
      <c r="E24" s="1"/>
      <c r="F24" s="1"/>
      <c r="G24" s="1"/>
      <c r="H24" s="1"/>
      <c r="I24" s="1"/>
      <c r="J24" s="1">
        <v>5</v>
      </c>
      <c r="K24" s="1"/>
      <c r="L24" s="1"/>
      <c r="M24" s="12">
        <f>SUM(Tabela4[[#This Row],[Pimentinha]:[Baconzitos]])</f>
        <v>5</v>
      </c>
      <c r="N24" s="55"/>
    </row>
    <row r="25" spans="2:14" x14ac:dyDescent="0.25">
      <c r="B25" s="19">
        <v>44886</v>
      </c>
      <c r="C25" s="1"/>
      <c r="D25" s="1"/>
      <c r="E25" s="1"/>
      <c r="F25" s="1"/>
      <c r="G25" s="1"/>
      <c r="H25" s="1"/>
      <c r="I25" s="1"/>
      <c r="J25" s="1"/>
      <c r="K25" s="1"/>
      <c r="L25" s="1">
        <v>5</v>
      </c>
      <c r="M25" s="12">
        <f>SUM(Tabela4[[#This Row],[Pimentinha]:[Baconzitos]])</f>
        <v>5</v>
      </c>
      <c r="N25" s="55"/>
    </row>
    <row r="26" spans="2:14" x14ac:dyDescent="0.25">
      <c r="B26" s="19">
        <v>44887</v>
      </c>
      <c r="C26" s="1">
        <v>5</v>
      </c>
      <c r="D26" s="1"/>
      <c r="E26" s="1"/>
      <c r="F26" s="1"/>
      <c r="G26" s="1"/>
      <c r="H26" s="1"/>
      <c r="I26" s="1"/>
      <c r="J26" s="1"/>
      <c r="K26" s="1"/>
      <c r="L26" s="1"/>
      <c r="M26" s="12">
        <f>SUM(Tabela4[[#This Row],[Pimentinha]:[Baconzitos]])</f>
        <v>5</v>
      </c>
      <c r="N26" s="55"/>
    </row>
    <row r="27" spans="2:14" x14ac:dyDescent="0.25">
      <c r="B27" s="19">
        <v>44888</v>
      </c>
      <c r="C27" s="1"/>
      <c r="D27" s="1">
        <v>5</v>
      </c>
      <c r="E27" s="1"/>
      <c r="F27" s="1"/>
      <c r="G27" s="1"/>
      <c r="H27" s="1"/>
      <c r="I27" s="1"/>
      <c r="J27" s="1"/>
      <c r="K27" s="1"/>
      <c r="L27" s="1"/>
      <c r="M27" s="12">
        <f>SUM(Tabela4[[#This Row],[Pimentinha]:[Baconzitos]])</f>
        <v>5</v>
      </c>
      <c r="N27" s="55"/>
    </row>
    <row r="28" spans="2:14" x14ac:dyDescent="0.25">
      <c r="B28" s="19">
        <v>44889</v>
      </c>
      <c r="C28" s="1"/>
      <c r="D28" s="1"/>
      <c r="E28" s="1">
        <v>5</v>
      </c>
      <c r="F28" s="1"/>
      <c r="G28" s="1"/>
      <c r="H28" s="1"/>
      <c r="I28" s="1"/>
      <c r="J28" s="1"/>
      <c r="K28" s="1"/>
      <c r="L28" s="1"/>
      <c r="M28" s="12">
        <f>SUM(Tabela4[[#This Row],[Pimentinha]:[Baconzitos]])</f>
        <v>5</v>
      </c>
      <c r="N28" s="55"/>
    </row>
    <row r="29" spans="2:14" x14ac:dyDescent="0.25">
      <c r="B29" s="19">
        <v>44890</v>
      </c>
      <c r="C29" s="1"/>
      <c r="D29" s="1"/>
      <c r="E29" s="1"/>
      <c r="F29" s="1"/>
      <c r="G29" s="1"/>
      <c r="H29" s="1">
        <v>5</v>
      </c>
      <c r="I29" s="1"/>
      <c r="J29" s="1"/>
      <c r="K29" s="1"/>
      <c r="L29" s="1"/>
      <c r="M29" s="12">
        <f>SUM(Tabela4[[#This Row],[Pimentinha]:[Baconzitos]])</f>
        <v>5</v>
      </c>
      <c r="N29" s="55"/>
    </row>
    <row r="30" spans="2:14" x14ac:dyDescent="0.25">
      <c r="B30" s="19">
        <v>44891</v>
      </c>
      <c r="C30" s="1"/>
      <c r="D30" s="1"/>
      <c r="E30" s="1"/>
      <c r="F30" s="1">
        <v>5</v>
      </c>
      <c r="G30" s="1"/>
      <c r="H30" s="1"/>
      <c r="I30" s="1"/>
      <c r="J30" s="1"/>
      <c r="K30" s="1"/>
      <c r="L30" s="1"/>
      <c r="M30" s="12">
        <f>SUM(Tabela4[[#This Row],[Pimentinha]:[Baconzitos]])</f>
        <v>5</v>
      </c>
      <c r="N30" s="55"/>
    </row>
    <row r="31" spans="2:14" x14ac:dyDescent="0.25">
      <c r="B31" s="19">
        <v>44892</v>
      </c>
      <c r="C31" s="1"/>
      <c r="D31" s="1"/>
      <c r="E31" s="1"/>
      <c r="F31" s="1"/>
      <c r="G31" s="1"/>
      <c r="H31" s="1"/>
      <c r="I31" s="1">
        <v>5</v>
      </c>
      <c r="J31" s="1"/>
      <c r="K31" s="1"/>
      <c r="L31" s="1"/>
      <c r="M31" s="12">
        <f>SUM(Tabela4[[#This Row],[Pimentinha]:[Baconzitos]])</f>
        <v>5</v>
      </c>
      <c r="N31" s="55"/>
    </row>
    <row r="32" spans="2:14" x14ac:dyDescent="0.25">
      <c r="B32" s="19">
        <v>44893</v>
      </c>
      <c r="C32" s="1"/>
      <c r="D32" s="1"/>
      <c r="E32" s="1"/>
      <c r="F32" s="1"/>
      <c r="G32" s="1"/>
      <c r="H32" s="1"/>
      <c r="I32" s="1"/>
      <c r="J32" s="1"/>
      <c r="K32" s="1"/>
      <c r="L32" s="1">
        <v>5</v>
      </c>
      <c r="M32" s="12">
        <f>SUM(Tabela4[[#This Row],[Pimentinha]:[Baconzitos]])</f>
        <v>5</v>
      </c>
      <c r="N32" s="55"/>
    </row>
    <row r="33" spans="2:14" x14ac:dyDescent="0.25">
      <c r="B33" s="19">
        <v>44894</v>
      </c>
      <c r="C33" s="1"/>
      <c r="D33" s="1"/>
      <c r="E33" s="1"/>
      <c r="F33" s="1"/>
      <c r="G33" s="1"/>
      <c r="H33" s="1"/>
      <c r="I33" s="1"/>
      <c r="J33" s="1"/>
      <c r="K33" s="1">
        <v>5</v>
      </c>
      <c r="L33" s="1"/>
      <c r="M33" s="12">
        <f>SUM(Tabela4[[#This Row],[Pimentinha]:[Baconzitos]])</f>
        <v>5</v>
      </c>
      <c r="N33" s="55"/>
    </row>
    <row r="34" spans="2:14" x14ac:dyDescent="0.25">
      <c r="B34" s="19">
        <v>44895</v>
      </c>
      <c r="C34" s="1"/>
      <c r="D34" s="1"/>
      <c r="E34" s="1"/>
      <c r="F34" s="1"/>
      <c r="G34" s="1">
        <v>5</v>
      </c>
      <c r="H34" s="1"/>
      <c r="I34" s="1"/>
      <c r="J34" s="1"/>
      <c r="K34" s="1"/>
      <c r="L34" s="1"/>
      <c r="M34" s="12">
        <f>SUM(Tabela4[[#This Row],[Pimentinha]:[Baconzitos]])</f>
        <v>5</v>
      </c>
      <c r="N34" s="55"/>
    </row>
    <row r="35" spans="2:14" x14ac:dyDescent="0.25">
      <c r="B35" s="19" t="s">
        <v>41</v>
      </c>
      <c r="C35" s="50">
        <f t="shared" ref="C35:M35" si="0">SUM(C5:C34)*13</f>
        <v>208</v>
      </c>
      <c r="D35" s="50">
        <f t="shared" si="0"/>
        <v>1092</v>
      </c>
      <c r="E35" s="50">
        <f t="shared" si="0"/>
        <v>260</v>
      </c>
      <c r="F35" s="50">
        <f t="shared" si="0"/>
        <v>338</v>
      </c>
      <c r="G35" s="50">
        <f t="shared" si="0"/>
        <v>195</v>
      </c>
      <c r="H35" s="50">
        <f t="shared" si="0"/>
        <v>130</v>
      </c>
      <c r="I35" s="50">
        <f t="shared" si="0"/>
        <v>260</v>
      </c>
      <c r="J35" s="50">
        <f t="shared" si="0"/>
        <v>65</v>
      </c>
      <c r="K35" s="50">
        <f t="shared" si="0"/>
        <v>169</v>
      </c>
      <c r="L35" s="50">
        <f t="shared" si="0"/>
        <v>130</v>
      </c>
      <c r="M35" s="50">
        <f t="shared" si="0"/>
        <v>2847</v>
      </c>
      <c r="N35" s="55"/>
    </row>
    <row r="36" spans="2:14" x14ac:dyDescent="0.25">
      <c r="N36" s="55"/>
    </row>
    <row r="37" spans="2:14" x14ac:dyDescent="0.25">
      <c r="B37"/>
      <c r="C37" s="97" t="s">
        <v>22</v>
      </c>
      <c r="D37" s="97"/>
      <c r="E37" s="97"/>
      <c r="F37" s="97"/>
      <c r="G37" s="97"/>
      <c r="H37" s="97"/>
      <c r="I37" s="97"/>
      <c r="J37" s="97"/>
      <c r="K37" s="97"/>
      <c r="L37" s="97"/>
      <c r="N37" s="55"/>
    </row>
    <row r="38" spans="2:14" x14ac:dyDescent="0.25">
      <c r="B38" s="15" t="s">
        <v>0</v>
      </c>
      <c r="C38" s="16" t="s">
        <v>25</v>
      </c>
      <c r="D38" s="16" t="s">
        <v>26</v>
      </c>
      <c r="E38" s="16" t="s">
        <v>27</v>
      </c>
      <c r="F38" s="16" t="s">
        <v>28</v>
      </c>
      <c r="G38" s="16" t="s">
        <v>29</v>
      </c>
      <c r="H38" s="16" t="s">
        <v>30</v>
      </c>
      <c r="I38" s="16" t="s">
        <v>31</v>
      </c>
      <c r="J38" s="16" t="s">
        <v>32</v>
      </c>
      <c r="K38" s="16" t="s">
        <v>33</v>
      </c>
      <c r="L38" s="58" t="s">
        <v>55</v>
      </c>
      <c r="N38" s="55"/>
    </row>
    <row r="39" spans="2:14" x14ac:dyDescent="0.25">
      <c r="B39" s="19">
        <v>44866</v>
      </c>
      <c r="C39" s="43">
        <v>5</v>
      </c>
      <c r="D39" s="43"/>
      <c r="E39" s="43"/>
      <c r="F39" s="43"/>
      <c r="G39" s="43"/>
      <c r="H39" s="43"/>
      <c r="I39" s="43"/>
      <c r="J39" s="43"/>
      <c r="K39" s="43"/>
      <c r="L39" s="56">
        <f>SUM(Tabela5[[#This Row],[Pimentinha]:[Salg. Sabor Cebola &amp; Salsa]])</f>
        <v>5</v>
      </c>
      <c r="N39" s="55"/>
    </row>
    <row r="40" spans="2:14" x14ac:dyDescent="0.25">
      <c r="B40" s="19">
        <v>44867</v>
      </c>
      <c r="C40" s="43"/>
      <c r="D40" s="44">
        <v>5</v>
      </c>
      <c r="E40" s="44"/>
      <c r="F40" s="44"/>
      <c r="G40" s="44"/>
      <c r="H40" s="44"/>
      <c r="I40" s="44"/>
      <c r="J40" s="44"/>
      <c r="K40" s="44"/>
      <c r="L40" s="56">
        <f>SUM(Tabela5[[#This Row],[Pimentinha]:[Salg. Sabor Cebola &amp; Salsa]])</f>
        <v>5</v>
      </c>
      <c r="N40" s="55"/>
    </row>
    <row r="41" spans="2:14" x14ac:dyDescent="0.25">
      <c r="B41" s="19">
        <v>44868</v>
      </c>
      <c r="C41" s="43"/>
      <c r="D41" s="44"/>
      <c r="E41" s="44">
        <v>5</v>
      </c>
      <c r="F41" s="44"/>
      <c r="G41" s="44"/>
      <c r="H41" s="44"/>
      <c r="I41" s="44"/>
      <c r="J41" s="44"/>
      <c r="K41" s="44"/>
      <c r="L41" s="56">
        <f>SUM(Tabela5[[#This Row],[Pimentinha]:[Salg. Sabor Cebola &amp; Salsa]])</f>
        <v>5</v>
      </c>
      <c r="N41" s="55"/>
    </row>
    <row r="42" spans="2:14" x14ac:dyDescent="0.25">
      <c r="B42" s="19">
        <v>44869</v>
      </c>
      <c r="C42" s="43"/>
      <c r="D42" s="44"/>
      <c r="E42" s="44"/>
      <c r="F42" s="44">
        <v>5</v>
      </c>
      <c r="G42" s="44"/>
      <c r="H42" s="44"/>
      <c r="I42" s="44"/>
      <c r="J42" s="44"/>
      <c r="K42" s="44"/>
      <c r="L42" s="56">
        <f>SUM(Tabela5[[#This Row],[Pimentinha]:[Salg. Sabor Cebola &amp; Salsa]])</f>
        <v>5</v>
      </c>
      <c r="N42" s="55"/>
    </row>
    <row r="43" spans="2:14" x14ac:dyDescent="0.25">
      <c r="B43" s="19">
        <v>44870</v>
      </c>
      <c r="C43" s="43"/>
      <c r="D43" s="44">
        <v>5</v>
      </c>
      <c r="E43" s="44"/>
      <c r="F43" s="44"/>
      <c r="G43" s="44"/>
      <c r="H43" s="44"/>
      <c r="I43" s="44"/>
      <c r="J43" s="44"/>
      <c r="K43" s="44"/>
      <c r="L43" s="56">
        <f>SUM(Tabela5[[#This Row],[Pimentinha]:[Salg. Sabor Cebola &amp; Salsa]])</f>
        <v>5</v>
      </c>
      <c r="N43" s="55"/>
    </row>
    <row r="44" spans="2:14" x14ac:dyDescent="0.25">
      <c r="B44" s="19">
        <v>44871</v>
      </c>
      <c r="C44" s="43"/>
      <c r="D44" s="44"/>
      <c r="E44" s="44"/>
      <c r="F44" s="44"/>
      <c r="G44" s="44"/>
      <c r="H44" s="44">
        <v>5</v>
      </c>
      <c r="I44" s="44"/>
      <c r="J44" s="44"/>
      <c r="K44" s="44"/>
      <c r="L44" s="56">
        <f>SUM(Tabela5[[#This Row],[Pimentinha]:[Salg. Sabor Cebola &amp; Salsa]])</f>
        <v>5</v>
      </c>
      <c r="N44" s="55"/>
    </row>
    <row r="45" spans="2:14" x14ac:dyDescent="0.25">
      <c r="B45" s="19">
        <v>44872</v>
      </c>
      <c r="C45" s="43"/>
      <c r="D45" s="44"/>
      <c r="E45" s="44"/>
      <c r="F45" s="44"/>
      <c r="G45" s="44">
        <v>5</v>
      </c>
      <c r="H45" s="44"/>
      <c r="I45" s="44"/>
      <c r="J45" s="44"/>
      <c r="K45" s="44"/>
      <c r="L45" s="56">
        <f>SUM(Tabela5[[#This Row],[Pimentinha]:[Salg. Sabor Cebola &amp; Salsa]])</f>
        <v>5</v>
      </c>
      <c r="N45" s="55"/>
    </row>
    <row r="46" spans="2:14" x14ac:dyDescent="0.25">
      <c r="B46" s="19">
        <v>44873</v>
      </c>
      <c r="C46" s="43"/>
      <c r="D46" s="44"/>
      <c r="E46" s="44"/>
      <c r="F46" s="44"/>
      <c r="G46" s="44"/>
      <c r="H46" s="44"/>
      <c r="I46" s="44">
        <v>5</v>
      </c>
      <c r="J46" s="44"/>
      <c r="K46" s="44"/>
      <c r="L46" s="56">
        <f>SUM(Tabela5[[#This Row],[Pimentinha]:[Salg. Sabor Cebola &amp; Salsa]])</f>
        <v>5</v>
      </c>
      <c r="N46" s="55"/>
    </row>
    <row r="47" spans="2:14" x14ac:dyDescent="0.25">
      <c r="B47" s="19">
        <v>44874</v>
      </c>
      <c r="C47" s="44"/>
      <c r="D47" s="44"/>
      <c r="E47" s="44"/>
      <c r="F47" s="44"/>
      <c r="G47" s="44"/>
      <c r="H47" s="44"/>
      <c r="I47" s="44"/>
      <c r="J47" s="44">
        <v>5</v>
      </c>
      <c r="K47" s="44"/>
      <c r="L47" s="56">
        <f>SUM(Tabela5[[#This Row],[Pimentinha]:[Salg. Sabor Cebola &amp; Salsa]])</f>
        <v>5</v>
      </c>
      <c r="N47" s="55"/>
    </row>
    <row r="48" spans="2:14" x14ac:dyDescent="0.25">
      <c r="B48" s="19">
        <v>44875</v>
      </c>
      <c r="C48" s="44"/>
      <c r="D48" s="44"/>
      <c r="E48" s="44"/>
      <c r="F48" s="44"/>
      <c r="G48" s="44"/>
      <c r="H48" s="44"/>
      <c r="I48" s="44"/>
      <c r="J48" s="44"/>
      <c r="K48" s="44">
        <v>5</v>
      </c>
      <c r="L48" s="56">
        <f>SUM(Tabela5[[#This Row],[Pimentinha]:[Salg. Sabor Cebola &amp; Salsa]])</f>
        <v>5</v>
      </c>
      <c r="N48" s="55"/>
    </row>
    <row r="49" spans="2:14" x14ac:dyDescent="0.25">
      <c r="B49" s="19">
        <v>44876</v>
      </c>
      <c r="C49" s="44"/>
      <c r="D49" s="44"/>
      <c r="E49" s="44"/>
      <c r="F49" s="44"/>
      <c r="G49" s="44"/>
      <c r="H49" s="44"/>
      <c r="I49" s="44">
        <v>5</v>
      </c>
      <c r="J49" s="44"/>
      <c r="K49" s="44"/>
      <c r="L49" s="56">
        <f>SUM(Tabela5[[#This Row],[Pimentinha]:[Salg. Sabor Cebola &amp; Salsa]])</f>
        <v>5</v>
      </c>
      <c r="N49" s="55"/>
    </row>
    <row r="50" spans="2:14" x14ac:dyDescent="0.25">
      <c r="B50" s="19">
        <v>44877</v>
      </c>
      <c r="C50" s="44"/>
      <c r="D50" s="44"/>
      <c r="E50" s="44"/>
      <c r="F50" s="44"/>
      <c r="G50" s="44">
        <v>5</v>
      </c>
      <c r="H50" s="44"/>
      <c r="I50" s="44"/>
      <c r="J50" s="44"/>
      <c r="K50" s="44"/>
      <c r="L50" s="56">
        <f>SUM(Tabela5[[#This Row],[Pimentinha]:[Salg. Sabor Cebola &amp; Salsa]])</f>
        <v>5</v>
      </c>
      <c r="N50" s="55"/>
    </row>
    <row r="51" spans="2:14" x14ac:dyDescent="0.25">
      <c r="B51" s="19">
        <v>44878</v>
      </c>
      <c r="C51" s="44"/>
      <c r="D51" s="44"/>
      <c r="E51" s="44">
        <v>5</v>
      </c>
      <c r="F51" s="44"/>
      <c r="G51" s="44"/>
      <c r="H51" s="44"/>
      <c r="I51" s="44"/>
      <c r="J51" s="44"/>
      <c r="K51" s="44"/>
      <c r="L51" s="56">
        <f>SUM(Tabela5[[#This Row],[Pimentinha]:[Salg. Sabor Cebola &amp; Salsa]])</f>
        <v>5</v>
      </c>
      <c r="N51" s="55"/>
    </row>
    <row r="52" spans="2:14" x14ac:dyDescent="0.25">
      <c r="B52" s="19">
        <v>44879</v>
      </c>
      <c r="C52" s="44">
        <v>5</v>
      </c>
      <c r="D52" s="44"/>
      <c r="E52" s="44"/>
      <c r="F52" s="44"/>
      <c r="G52" s="44"/>
      <c r="H52" s="44"/>
      <c r="I52" s="44"/>
      <c r="J52" s="44"/>
      <c r="K52" s="44"/>
      <c r="L52" s="56">
        <f>SUM(Tabela5[[#This Row],[Pimentinha]:[Salg. Sabor Cebola &amp; Salsa]])</f>
        <v>5</v>
      </c>
      <c r="N52" s="55"/>
    </row>
    <row r="53" spans="2:14" x14ac:dyDescent="0.25">
      <c r="B53" s="19">
        <v>44880</v>
      </c>
      <c r="C53" s="44"/>
      <c r="D53" s="44"/>
      <c r="E53" s="44">
        <v>5</v>
      </c>
      <c r="F53" s="44"/>
      <c r="G53" s="44"/>
      <c r="H53" s="44"/>
      <c r="I53" s="44"/>
      <c r="J53" s="44"/>
      <c r="K53" s="44"/>
      <c r="L53" s="56">
        <f>SUM(Tabela5[[#This Row],[Pimentinha]:[Salg. Sabor Cebola &amp; Salsa]])</f>
        <v>5</v>
      </c>
      <c r="N53" s="55"/>
    </row>
    <row r="54" spans="2:14" x14ac:dyDescent="0.25">
      <c r="B54" s="19">
        <v>44881</v>
      </c>
      <c r="C54" s="44"/>
      <c r="D54" s="44">
        <v>5</v>
      </c>
      <c r="E54" s="44"/>
      <c r="F54" s="44"/>
      <c r="G54" s="44"/>
      <c r="H54" s="44"/>
      <c r="I54" s="44"/>
      <c r="J54" s="44"/>
      <c r="K54" s="44"/>
      <c r="L54" s="56">
        <f>SUM(Tabela5[[#This Row],[Pimentinha]:[Salg. Sabor Cebola &amp; Salsa]])</f>
        <v>5</v>
      </c>
      <c r="N54" s="55"/>
    </row>
    <row r="55" spans="2:14" x14ac:dyDescent="0.25">
      <c r="B55" s="19">
        <v>44882</v>
      </c>
      <c r="C55" s="44"/>
      <c r="D55" s="44"/>
      <c r="E55" s="44"/>
      <c r="F55" s="44"/>
      <c r="G55" s="44">
        <v>5</v>
      </c>
      <c r="H55" s="44"/>
      <c r="I55" s="44"/>
      <c r="J55" s="44"/>
      <c r="K55" s="44"/>
      <c r="L55" s="56">
        <f>SUM(Tabela5[[#This Row],[Pimentinha]:[Salg. Sabor Cebola &amp; Salsa]])</f>
        <v>5</v>
      </c>
      <c r="N55" s="55"/>
    </row>
    <row r="56" spans="2:14" x14ac:dyDescent="0.25">
      <c r="B56" s="19">
        <v>44883</v>
      </c>
      <c r="C56" s="44"/>
      <c r="D56" s="44"/>
      <c r="E56" s="44"/>
      <c r="F56" s="44"/>
      <c r="G56" s="44"/>
      <c r="H56" s="44">
        <v>5</v>
      </c>
      <c r="I56" s="44"/>
      <c r="J56" s="44"/>
      <c r="K56" s="44"/>
      <c r="L56" s="56">
        <f>SUM(Tabela5[[#This Row],[Pimentinha]:[Salg. Sabor Cebola &amp; Salsa]])</f>
        <v>5</v>
      </c>
      <c r="N56" s="55"/>
    </row>
    <row r="57" spans="2:14" x14ac:dyDescent="0.25">
      <c r="B57" s="19">
        <v>44884</v>
      </c>
      <c r="C57" s="44"/>
      <c r="D57" s="44"/>
      <c r="E57" s="44"/>
      <c r="F57" s="44"/>
      <c r="G57" s="44"/>
      <c r="H57" s="44"/>
      <c r="I57" s="44"/>
      <c r="J57" s="44">
        <v>5</v>
      </c>
      <c r="K57" s="44"/>
      <c r="L57" s="56">
        <f>SUM(Tabela5[[#This Row],[Pimentinha]:[Salg. Sabor Cebola &amp; Salsa]])</f>
        <v>5</v>
      </c>
      <c r="N57" s="55"/>
    </row>
    <row r="58" spans="2:14" x14ac:dyDescent="0.25">
      <c r="B58" s="19">
        <v>44885</v>
      </c>
      <c r="C58" s="44"/>
      <c r="D58" s="44"/>
      <c r="E58" s="44"/>
      <c r="F58" s="44">
        <v>5</v>
      </c>
      <c r="G58" s="44"/>
      <c r="H58" s="44"/>
      <c r="I58" s="44"/>
      <c r="J58" s="44"/>
      <c r="K58" s="44"/>
      <c r="L58" s="56">
        <f>SUM(Tabela5[[#This Row],[Pimentinha]:[Salg. Sabor Cebola &amp; Salsa]])</f>
        <v>5</v>
      </c>
      <c r="N58" s="55"/>
    </row>
    <row r="59" spans="2:14" x14ac:dyDescent="0.25">
      <c r="B59" s="19">
        <v>44886</v>
      </c>
      <c r="C59" s="44"/>
      <c r="D59" s="44">
        <v>5</v>
      </c>
      <c r="E59" s="44"/>
      <c r="F59" s="44"/>
      <c r="G59" s="44"/>
      <c r="H59" s="44"/>
      <c r="I59" s="44"/>
      <c r="J59" s="44"/>
      <c r="K59" s="44"/>
      <c r="L59" s="56">
        <f>SUM(Tabela5[[#This Row],[Pimentinha]:[Salg. Sabor Cebola &amp; Salsa]])</f>
        <v>5</v>
      </c>
      <c r="N59" s="55"/>
    </row>
    <row r="60" spans="2:14" x14ac:dyDescent="0.25">
      <c r="B60" s="19">
        <v>44887</v>
      </c>
      <c r="C60" s="44">
        <v>5</v>
      </c>
      <c r="D60" s="44"/>
      <c r="E60" s="44"/>
      <c r="F60" s="44"/>
      <c r="G60" s="44"/>
      <c r="H60" s="44"/>
      <c r="I60" s="44"/>
      <c r="J60" s="44"/>
      <c r="K60" s="44"/>
      <c r="L60" s="56">
        <f>SUM(Tabela5[[#This Row],[Pimentinha]:[Salg. Sabor Cebola &amp; Salsa]])</f>
        <v>5</v>
      </c>
    </row>
    <row r="61" spans="2:14" x14ac:dyDescent="0.25">
      <c r="B61" s="19">
        <v>44888</v>
      </c>
      <c r="C61" s="44"/>
      <c r="D61" s="44"/>
      <c r="E61" s="44">
        <v>5</v>
      </c>
      <c r="F61" s="44"/>
      <c r="G61" s="44"/>
      <c r="H61" s="44"/>
      <c r="I61" s="44"/>
      <c r="J61" s="44"/>
      <c r="K61" s="44"/>
      <c r="L61" s="56">
        <f>SUM(Tabela5[[#This Row],[Pimentinha]:[Salg. Sabor Cebola &amp; Salsa]])</f>
        <v>5</v>
      </c>
    </row>
    <row r="62" spans="2:14" x14ac:dyDescent="0.25">
      <c r="B62" s="19">
        <v>44889</v>
      </c>
      <c r="C62" s="44"/>
      <c r="D62" s="44"/>
      <c r="E62" s="44"/>
      <c r="F62" s="44"/>
      <c r="G62" s="44"/>
      <c r="H62" s="44">
        <v>5</v>
      </c>
      <c r="I62" s="44"/>
      <c r="J62" s="44"/>
      <c r="K62" s="44"/>
      <c r="L62" s="56">
        <f>SUM(Tabela5[[#This Row],[Pimentinha]:[Salg. Sabor Cebola &amp; Salsa]])</f>
        <v>5</v>
      </c>
    </row>
    <row r="63" spans="2:14" x14ac:dyDescent="0.25">
      <c r="B63" s="19">
        <v>44890</v>
      </c>
      <c r="C63" s="44"/>
      <c r="D63" s="44"/>
      <c r="E63" s="44"/>
      <c r="F63" s="44"/>
      <c r="G63" s="44"/>
      <c r="H63" s="44"/>
      <c r="I63" s="44"/>
      <c r="J63" s="44">
        <v>5</v>
      </c>
      <c r="K63" s="44"/>
      <c r="L63" s="56">
        <f>SUM(Tabela5[[#This Row],[Pimentinha]:[Salg. Sabor Cebola &amp; Salsa]])</f>
        <v>5</v>
      </c>
    </row>
    <row r="64" spans="2:14" x14ac:dyDescent="0.25">
      <c r="B64" s="19">
        <v>44891</v>
      </c>
      <c r="C64" s="44"/>
      <c r="D64" s="44"/>
      <c r="E64" s="44"/>
      <c r="F64" s="44"/>
      <c r="G64" s="44"/>
      <c r="H64" s="44"/>
      <c r="I64" s="44"/>
      <c r="J64" s="44"/>
      <c r="K64" s="44">
        <v>5</v>
      </c>
      <c r="L64" s="56">
        <f>SUM(Tabela5[[#This Row],[Pimentinha]:[Salg. Sabor Cebola &amp; Salsa]])</f>
        <v>5</v>
      </c>
    </row>
    <row r="65" spans="2:12" x14ac:dyDescent="0.25">
      <c r="B65" s="19">
        <v>44892</v>
      </c>
      <c r="C65" s="44"/>
      <c r="D65" s="44"/>
      <c r="E65" s="44"/>
      <c r="F65" s="44"/>
      <c r="G65" s="44"/>
      <c r="H65" s="44"/>
      <c r="I65" s="44"/>
      <c r="J65" s="44">
        <v>5</v>
      </c>
      <c r="K65" s="44"/>
      <c r="L65" s="56">
        <f>SUM(Tabela5[[#This Row],[Pimentinha]:[Salg. Sabor Cebola &amp; Salsa]])</f>
        <v>5</v>
      </c>
    </row>
    <row r="66" spans="2:12" x14ac:dyDescent="0.25">
      <c r="B66" s="19">
        <v>44893</v>
      </c>
      <c r="C66" s="44"/>
      <c r="D66" s="44"/>
      <c r="E66" s="44"/>
      <c r="F66" s="44"/>
      <c r="G66" s="44"/>
      <c r="H66" s="44">
        <v>5</v>
      </c>
      <c r="I66" s="44"/>
      <c r="J66" s="44"/>
      <c r="K66" s="44"/>
      <c r="L66" s="56">
        <f>SUM(Tabela5[[#This Row],[Pimentinha]:[Salg. Sabor Cebola &amp; Salsa]])</f>
        <v>5</v>
      </c>
    </row>
    <row r="67" spans="2:12" x14ac:dyDescent="0.25">
      <c r="B67" s="19">
        <v>44894</v>
      </c>
      <c r="C67" s="44"/>
      <c r="D67" s="44"/>
      <c r="E67" s="44"/>
      <c r="F67" s="44">
        <v>5</v>
      </c>
      <c r="G67" s="44"/>
      <c r="H67" s="44"/>
      <c r="I67" s="44"/>
      <c r="J67" s="44"/>
      <c r="K67" s="44"/>
      <c r="L67" s="56">
        <f>SUM(Tabela5[[#This Row],[Pimentinha]:[Salg. Sabor Cebola &amp; Salsa]])</f>
        <v>5</v>
      </c>
    </row>
    <row r="68" spans="2:12" x14ac:dyDescent="0.25">
      <c r="B68" s="19">
        <v>44895</v>
      </c>
      <c r="C68" s="44"/>
      <c r="D68" s="44">
        <v>5</v>
      </c>
      <c r="E68" s="44"/>
      <c r="F68" s="44"/>
      <c r="G68" s="44"/>
      <c r="H68" s="44"/>
      <c r="I68" s="44"/>
      <c r="J68" s="44"/>
      <c r="K68" s="44"/>
      <c r="L68" s="56">
        <f>SUM(Tabela5[[#This Row],[Pimentinha]:[Salg. Sabor Cebola &amp; Salsa]])</f>
        <v>5</v>
      </c>
    </row>
    <row r="69" spans="2:12" x14ac:dyDescent="0.25">
      <c r="B69" s="19" t="s">
        <v>41</v>
      </c>
      <c r="C69" s="49">
        <f t="shared" ref="C69:K69" si="1">SUM(C39:C68)*10</f>
        <v>150</v>
      </c>
      <c r="D69" s="49">
        <f t="shared" si="1"/>
        <v>250</v>
      </c>
      <c r="E69" s="49">
        <f t="shared" si="1"/>
        <v>200</v>
      </c>
      <c r="F69" s="49">
        <f t="shared" si="1"/>
        <v>150</v>
      </c>
      <c r="G69" s="49">
        <f t="shared" si="1"/>
        <v>150</v>
      </c>
      <c r="H69" s="49">
        <f t="shared" si="1"/>
        <v>200</v>
      </c>
      <c r="I69" s="49">
        <f t="shared" si="1"/>
        <v>100</v>
      </c>
      <c r="J69" s="49">
        <f t="shared" si="1"/>
        <v>200</v>
      </c>
      <c r="K69" s="49">
        <f t="shared" si="1"/>
        <v>100</v>
      </c>
      <c r="L69" s="59">
        <f>SUM(Tabela5[[#This Row],[Pimentinha]:[Salg. Sabor Cebola &amp; Salsa]])</f>
        <v>1500</v>
      </c>
    </row>
  </sheetData>
  <mergeCells count="3">
    <mergeCell ref="C3:K3"/>
    <mergeCell ref="A1:P1"/>
    <mergeCell ref="C37:L37"/>
  </mergeCells>
  <pageMargins left="0.511811024" right="0.511811024" top="0.78740157499999996" bottom="0.78740157499999996" header="0.31496062000000002" footer="0.31496062000000002"/>
  <ignoredErrors>
    <ignoredError sqref="M35 C39:I68" calculatedColumn="1"/>
  </ignoredErrors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3" operator="greaterThan" id="{B26BA23A-3A57-4590-AA4E-6A3DF64509A9}">
            <xm:f>'Estoque - Novembro'!$E$6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4" operator="lessThan" id="{0DD518A5-3350-4F5F-93C6-07CCEDBBCCD5}">
            <xm:f>'Estoque - Novembro'!$E$6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41" operator="greaterThan" id="{006B5475-0AA1-4BAB-873A-E751379FF8B3}">
            <xm:f>'Estoque - Novembro'!$E$7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2" operator="lessThan" id="{B4A2F374-465A-4A9E-917A-66737EA97C61}">
            <xm:f>'Estoque - Novembro'!$E$7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39" operator="greaterThan" id="{A913E536-2361-467C-9677-7107B9785498}">
            <xm:f>'Estoque - Novembro'!$E$26+'Estoque - Novembro'!$E$16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0" operator="lessThan" id="{5B68885E-49D1-4DF0-BBC2-DF9082CACCBB}">
            <xm:f>'Estoque - Novembro'!$E$16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M35</xm:sqref>
        </x14:conditionalFormatting>
        <x14:conditionalFormatting xmlns:xm="http://schemas.microsoft.com/office/excel/2006/main">
          <x14:cfRule type="cellIs" priority="37" operator="greaterThan" id="{6101D2E1-CF11-4733-B92F-E6CD3E8B1340}">
            <xm:f>'Estoque - Novembro'!$E$8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8" operator="lessThan" id="{A51EEEAE-7006-4FBE-862A-8F02D11B93B7}">
            <xm:f>'Estoque - Novembro'!$E$8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ellIs" priority="35" operator="greaterThan" id="{D7596A20-82A5-4B2B-974F-F0A98573F650}">
            <xm:f>'Estoque - Novembro'!$E$9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6" operator="lessThan" id="{0EDE034A-CB38-426B-B517-0792681E3122}">
            <xm:f>'Estoque - Novembro'!$E$9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33" operator="greaterThan" id="{0BDA9417-8CDB-4939-B818-1399E02A8129}">
            <xm:f>'Estoque - Novembro'!$E$10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4" operator="lessThan" id="{E332B0C3-45F4-4582-8270-0DC55BAACEB8}">
            <xm:f>'Estoque - Novembro'!$E$10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cellIs" priority="31" operator="greaterThan" id="{85D36C85-E7F9-4244-8FDA-97CF067D90CF}">
            <xm:f>'Estoque - Novembro'!$E$11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2" operator="lessThan" id="{A097E4E0-307B-47FF-89F8-775AD4D2AE41}">
            <xm:f>'Estoque - Novembro'!$E$11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29" operator="greaterThan" id="{9D504FBB-DF45-4EB4-9B40-D6D56CAE0B71}">
            <xm:f>'Estoque - Novembro'!$E$12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0" operator="lessThan" id="{1FBF0025-F7D3-4D75-8044-5D55D2923AF1}">
            <xm:f>'Estoque - Novembro'!$E$12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I35</xm:sqref>
        </x14:conditionalFormatting>
        <x14:conditionalFormatting xmlns:xm="http://schemas.microsoft.com/office/excel/2006/main">
          <x14:cfRule type="cellIs" priority="27" operator="greaterThan" id="{1037E5E2-BAB0-41ED-966A-53819194769F}">
            <xm:f>'Estoque - Novembro'!$E$13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8" operator="lessThan" id="{9E019825-62A4-4A7B-B1B5-51C6D02EF4E6}">
            <xm:f>'Estoque - Novembro'!$E$13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J35</xm:sqref>
        </x14:conditionalFormatting>
        <x14:conditionalFormatting xmlns:xm="http://schemas.microsoft.com/office/excel/2006/main">
          <x14:cfRule type="cellIs" priority="25" operator="greaterThan" id="{FF7EBCBE-BC9A-48CD-8F54-D675BD59301B}">
            <xm:f>'Estoque - Novembro'!$E$14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6" operator="lessThan" id="{C84263F6-60F1-496D-9383-6C221CC8ADE3}">
            <xm:f>'Estoque - Novembro'!$E$14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K35</xm:sqref>
        </x14:conditionalFormatting>
        <x14:conditionalFormatting xmlns:xm="http://schemas.microsoft.com/office/excel/2006/main">
          <x14:cfRule type="cellIs" priority="23" operator="greaterThan" id="{F4621E23-F74F-4BAA-9B81-696E3FE5FBA2}">
            <xm:f>'Estoque - Novembro'!$E$15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4" operator="lessThan" id="{7F25B71A-3B38-4916-8D13-4A022DED7147}">
            <xm:f>'Estoque - Novembro'!$E$15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L35</xm:sqref>
        </x14:conditionalFormatting>
        <x14:conditionalFormatting xmlns:xm="http://schemas.microsoft.com/office/excel/2006/main">
          <x14:cfRule type="cellIs" priority="19" operator="greaterThan" id="{2BBCFC05-CC34-43FD-80A9-0A965C4AED1E}">
            <xm:f>'Estoque - Novembro'!$E$17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0" operator="lessThan" id="{1E458F56-62BB-423D-AA97-0F7F2E37CE17}">
            <xm:f>'Estoque - Novembro'!$E$17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C69</xm:sqref>
        </x14:conditionalFormatting>
        <x14:conditionalFormatting xmlns:xm="http://schemas.microsoft.com/office/excel/2006/main">
          <x14:cfRule type="cellIs" priority="17" operator="greaterThan" id="{F849A455-5FCE-41DF-B26B-0682F3BE282C}">
            <xm:f>'Estoque - Novembro'!$E$18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8" operator="lessThan" id="{45602EE7-1937-4910-AFA2-9C7FBD57917F}">
            <xm:f>'Estoque - Novembro'!$E$18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ellIs" priority="15" operator="greaterThan" id="{A09AA54B-D914-4622-A8A2-2D12C821D4C8}">
            <xm:f>'Estoque - Novembro'!$E$19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6" operator="lessThan" id="{0AA93BEB-07C4-4AC5-AF8A-94A8D8DD65BB}">
            <xm:f>'Estoque - Novembro'!$E$19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E69</xm:sqref>
        </x14:conditionalFormatting>
        <x14:conditionalFormatting xmlns:xm="http://schemas.microsoft.com/office/excel/2006/main">
          <x14:cfRule type="cellIs" priority="13" operator="greaterThan" id="{E91D6F9C-B807-493A-938C-F63B1E695918}">
            <xm:f>'Estoque - Novembro'!$E$20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4" operator="lessThan" id="{EFBDD02A-008E-400B-976B-7D59D8C84959}">
            <xm:f>'Estoque - Novembro'!$E$20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F69</xm:sqref>
        </x14:conditionalFormatting>
        <x14:conditionalFormatting xmlns:xm="http://schemas.microsoft.com/office/excel/2006/main">
          <x14:cfRule type="cellIs" priority="11" operator="greaterThan" id="{5CE0F7E0-B6FA-4324-B753-C9CC9BD93ECB}">
            <xm:f>'Estoque - Novembro'!$E$21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2" operator="lessThan" id="{CFBC98EC-467A-4C6A-A1FC-FC4278A8875D}">
            <xm:f>'Estoque - Novembro'!$E$21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G69</xm:sqref>
        </x14:conditionalFormatting>
        <x14:conditionalFormatting xmlns:xm="http://schemas.microsoft.com/office/excel/2006/main">
          <x14:cfRule type="cellIs" priority="9" operator="greaterThan" id="{3768E07E-B8EE-436E-AE27-AD4876DEBBA3}">
            <xm:f>'Estoque - Novembro'!$E$22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0" operator="lessThan" id="{39F4422B-601F-4E53-AD67-23269C59E39C}">
            <xm:f>'Estoque - Novembro'!$E$22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7" operator="greaterThan" id="{941CD016-6241-4207-BC41-73694E8C7945}">
            <xm:f>'Estoque - Novembro'!$E$23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8" operator="lessThan" id="{54AA902F-8B1C-4483-998A-4A50608660E7}">
            <xm:f>'Estoque - Novembro'!$E$23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I69</xm:sqref>
        </x14:conditionalFormatting>
        <x14:conditionalFormatting xmlns:xm="http://schemas.microsoft.com/office/excel/2006/main">
          <x14:cfRule type="cellIs" priority="5" operator="greaterThan" id="{7E9D21C4-9176-402C-B5D7-FE0DBB269933}">
            <xm:f>'Estoque - Novembro'!$E$24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6" operator="lessThan" id="{5B8C3FB6-5496-46C9-B3FF-8102CEC5C2E7}">
            <xm:f>'Estoque - Novembro'!$E$24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J69</xm:sqref>
        </x14:conditionalFormatting>
        <x14:conditionalFormatting xmlns:xm="http://schemas.microsoft.com/office/excel/2006/main">
          <x14:cfRule type="cellIs" priority="3" operator="greaterThan" id="{479DBBA6-A20B-4A12-91E2-DF150E51F7DA}">
            <xm:f>'Estoque - Novembro'!$E$25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052465D4-A198-4FE1-968F-6F2B0E00C70A}">
            <xm:f>'Estoque - Novembro'!$E$25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K69</xm:sqref>
        </x14:conditionalFormatting>
        <x14:conditionalFormatting xmlns:xm="http://schemas.microsoft.com/office/excel/2006/main">
          <x14:cfRule type="cellIs" priority="1" operator="greaterThan" id="{DC991512-EAA9-4982-BD38-3E1A138FD693}">
            <xm:f>'Estoque - Novembro'!$E$26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" operator="lessThan" id="{7CD4263E-60ED-4CD6-925B-A818FC0FFE78}">
            <xm:f>'Estoque - Novembro'!$E$26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L69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2A27-6ED0-4ADE-A685-B1B43953DF4F}">
  <sheetPr codeName="Planilha9"/>
  <dimension ref="A1:T39"/>
  <sheetViews>
    <sheetView topLeftCell="A2" zoomScale="110" zoomScaleNormal="110" workbookViewId="0">
      <selection activeCell="E4" sqref="E4:F35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5.28515625" style="30" bestFit="1" customWidth="1"/>
    <col min="4" max="4" width="6.7109375" style="30" customWidth="1"/>
    <col min="5" max="5" width="9.42578125" style="30" bestFit="1" customWidth="1"/>
    <col min="6" max="6" width="15.28515625" style="30" bestFit="1" customWidth="1"/>
    <col min="7" max="7" width="22.85546875" style="30" bestFit="1" customWidth="1"/>
    <col min="8" max="8" width="27.28515625" style="30" bestFit="1" customWidth="1"/>
    <col min="9" max="9" width="20.7109375" style="30" bestFit="1" customWidth="1"/>
    <col min="10" max="10" width="26.140625" style="30" bestFit="1" customWidth="1"/>
    <col min="11" max="11" width="14.140625" style="30" bestFit="1" customWidth="1"/>
    <col min="12" max="16384" width="9.140625" style="30"/>
  </cols>
  <sheetData>
    <row r="1" spans="1:20" customFormat="1" ht="30" customHeight="1" x14ac:dyDescent="0.25">
      <c r="A1" s="96" t="s">
        <v>44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20" ht="16.5" customHeight="1" x14ac:dyDescent="0.25"/>
    <row r="3" spans="1:20" x14ac:dyDescent="0.25">
      <c r="B3"/>
      <c r="C3" s="18" t="s">
        <v>124</v>
      </c>
      <c r="E3"/>
      <c r="F3" s="18" t="s">
        <v>125</v>
      </c>
    </row>
    <row r="4" spans="1:20" x14ac:dyDescent="0.25">
      <c r="B4" s="22" t="s">
        <v>0</v>
      </c>
      <c r="C4" s="21" t="s">
        <v>38</v>
      </c>
      <c r="E4" s="20" t="s">
        <v>0</v>
      </c>
      <c r="F4" s="21" t="s">
        <v>38</v>
      </c>
    </row>
    <row r="5" spans="1:20" x14ac:dyDescent="0.25">
      <c r="B5" s="23">
        <v>44866</v>
      </c>
      <c r="C5" s="51">
        <v>7</v>
      </c>
      <c r="E5" s="23">
        <v>44866</v>
      </c>
      <c r="F5" s="51">
        <v>5</v>
      </c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25">
      <c r="B6" s="23">
        <v>44867</v>
      </c>
      <c r="C6" s="51">
        <v>5</v>
      </c>
      <c r="E6" s="23">
        <v>44867</v>
      </c>
      <c r="F6" s="51">
        <v>5</v>
      </c>
    </row>
    <row r="7" spans="1:20" x14ac:dyDescent="0.25">
      <c r="B7" s="23">
        <v>44868</v>
      </c>
      <c r="C7" s="51">
        <v>5</v>
      </c>
      <c r="E7" s="23">
        <v>44868</v>
      </c>
      <c r="F7" s="51">
        <v>5</v>
      </c>
    </row>
    <row r="8" spans="1:20" x14ac:dyDescent="0.25">
      <c r="B8" s="23">
        <v>44869</v>
      </c>
      <c r="C8" s="51">
        <v>5</v>
      </c>
      <c r="E8" s="23">
        <v>44869</v>
      </c>
      <c r="F8" s="51">
        <v>5</v>
      </c>
    </row>
    <row r="9" spans="1:20" x14ac:dyDescent="0.25">
      <c r="B9" s="23">
        <v>44870</v>
      </c>
      <c r="C9" s="51">
        <v>5</v>
      </c>
      <c r="E9" s="23">
        <v>44870</v>
      </c>
      <c r="F9" s="51">
        <v>5</v>
      </c>
    </row>
    <row r="10" spans="1:20" x14ac:dyDescent="0.25">
      <c r="B10" s="23">
        <v>44871</v>
      </c>
      <c r="C10" s="51">
        <v>5</v>
      </c>
      <c r="E10" s="23">
        <v>44871</v>
      </c>
      <c r="F10" s="51">
        <v>5</v>
      </c>
    </row>
    <row r="11" spans="1:20" x14ac:dyDescent="0.25">
      <c r="B11" s="23">
        <v>44872</v>
      </c>
      <c r="C11" s="51">
        <v>5</v>
      </c>
      <c r="E11" s="23">
        <v>44872</v>
      </c>
      <c r="F11" s="51">
        <v>5</v>
      </c>
    </row>
    <row r="12" spans="1:20" x14ac:dyDescent="0.25">
      <c r="B12" s="23">
        <v>44873</v>
      </c>
      <c r="C12" s="51">
        <v>5</v>
      </c>
      <c r="E12" s="23">
        <v>44873</v>
      </c>
      <c r="F12" s="51">
        <v>5</v>
      </c>
    </row>
    <row r="13" spans="1:20" x14ac:dyDescent="0.25">
      <c r="B13" s="23">
        <v>44874</v>
      </c>
      <c r="C13" s="51">
        <v>5</v>
      </c>
      <c r="E13" s="23">
        <v>44874</v>
      </c>
      <c r="F13" s="51">
        <v>5</v>
      </c>
    </row>
    <row r="14" spans="1:20" x14ac:dyDescent="0.25">
      <c r="B14" s="23">
        <v>44875</v>
      </c>
      <c r="C14" s="51">
        <v>5</v>
      </c>
      <c r="E14" s="23">
        <v>44875</v>
      </c>
      <c r="F14" s="51">
        <v>5</v>
      </c>
    </row>
    <row r="15" spans="1:20" x14ac:dyDescent="0.25">
      <c r="B15" s="23">
        <v>44876</v>
      </c>
      <c r="C15" s="51">
        <v>5</v>
      </c>
      <c r="E15" s="23">
        <v>44876</v>
      </c>
      <c r="F15" s="51">
        <v>5</v>
      </c>
    </row>
    <row r="16" spans="1:20" x14ac:dyDescent="0.25">
      <c r="B16" s="23">
        <v>44877</v>
      </c>
      <c r="C16" s="51">
        <v>5</v>
      </c>
      <c r="E16" s="23">
        <v>44877</v>
      </c>
      <c r="F16" s="51">
        <v>5</v>
      </c>
    </row>
    <row r="17" spans="2:6" x14ac:dyDescent="0.25">
      <c r="B17" s="23">
        <v>44878</v>
      </c>
      <c r="C17" s="51">
        <v>5</v>
      </c>
      <c r="E17" s="23">
        <v>44878</v>
      </c>
      <c r="F17" s="51">
        <v>5</v>
      </c>
    </row>
    <row r="18" spans="2:6" x14ac:dyDescent="0.25">
      <c r="B18" s="23">
        <v>44879</v>
      </c>
      <c r="C18" s="51">
        <v>5</v>
      </c>
      <c r="E18" s="23">
        <v>44879</v>
      </c>
      <c r="F18" s="51">
        <v>5</v>
      </c>
    </row>
    <row r="19" spans="2:6" x14ac:dyDescent="0.25">
      <c r="B19" s="23">
        <v>44880</v>
      </c>
      <c r="C19" s="51">
        <v>5</v>
      </c>
      <c r="E19" s="23">
        <v>44880</v>
      </c>
      <c r="F19" s="51">
        <v>5</v>
      </c>
    </row>
    <row r="20" spans="2:6" x14ac:dyDescent="0.25">
      <c r="B20" s="23">
        <v>44881</v>
      </c>
      <c r="C20" s="51">
        <v>5</v>
      </c>
      <c r="E20" s="23">
        <v>44881</v>
      </c>
      <c r="F20" s="51">
        <v>5</v>
      </c>
    </row>
    <row r="21" spans="2:6" x14ac:dyDescent="0.25">
      <c r="B21" s="23">
        <v>44882</v>
      </c>
      <c r="C21" s="51">
        <v>5</v>
      </c>
      <c r="E21" s="23">
        <v>44882</v>
      </c>
      <c r="F21" s="51">
        <v>5</v>
      </c>
    </row>
    <row r="22" spans="2:6" x14ac:dyDescent="0.25">
      <c r="B22" s="23">
        <v>44883</v>
      </c>
      <c r="C22" s="51">
        <v>5</v>
      </c>
      <c r="E22" s="23">
        <v>44883</v>
      </c>
      <c r="F22" s="51">
        <v>5</v>
      </c>
    </row>
    <row r="23" spans="2:6" x14ac:dyDescent="0.25">
      <c r="B23" s="23">
        <v>44884</v>
      </c>
      <c r="C23" s="51">
        <v>5</v>
      </c>
      <c r="E23" s="23">
        <v>44884</v>
      </c>
      <c r="F23" s="51">
        <v>5</v>
      </c>
    </row>
    <row r="24" spans="2:6" x14ac:dyDescent="0.25">
      <c r="B24" s="23">
        <v>44885</v>
      </c>
      <c r="C24" s="51">
        <v>5</v>
      </c>
      <c r="E24" s="23">
        <v>44885</v>
      </c>
      <c r="F24" s="51">
        <v>5</v>
      </c>
    </row>
    <row r="25" spans="2:6" x14ac:dyDescent="0.25">
      <c r="B25" s="23">
        <v>44886</v>
      </c>
      <c r="C25" s="51">
        <v>5</v>
      </c>
      <c r="E25" s="23">
        <v>44886</v>
      </c>
      <c r="F25" s="51">
        <v>5</v>
      </c>
    </row>
    <row r="26" spans="2:6" x14ac:dyDescent="0.25">
      <c r="B26" s="23">
        <v>44887</v>
      </c>
      <c r="C26" s="51">
        <v>5</v>
      </c>
      <c r="E26" s="23">
        <v>44887</v>
      </c>
      <c r="F26" s="51">
        <v>5</v>
      </c>
    </row>
    <row r="27" spans="2:6" x14ac:dyDescent="0.25">
      <c r="B27" s="23">
        <v>44888</v>
      </c>
      <c r="C27" s="51">
        <v>5</v>
      </c>
      <c r="E27" s="23">
        <v>44888</v>
      </c>
      <c r="F27" s="51">
        <v>5</v>
      </c>
    </row>
    <row r="28" spans="2:6" x14ac:dyDescent="0.25">
      <c r="B28" s="23">
        <v>44889</v>
      </c>
      <c r="C28" s="51">
        <v>5</v>
      </c>
      <c r="E28" s="23">
        <v>44889</v>
      </c>
      <c r="F28" s="51">
        <v>5</v>
      </c>
    </row>
    <row r="29" spans="2:6" x14ac:dyDescent="0.25">
      <c r="B29" s="23">
        <v>44890</v>
      </c>
      <c r="C29" s="51">
        <v>5</v>
      </c>
      <c r="E29" s="23">
        <v>44890</v>
      </c>
      <c r="F29" s="51">
        <v>5</v>
      </c>
    </row>
    <row r="30" spans="2:6" x14ac:dyDescent="0.25">
      <c r="B30" s="23">
        <v>44891</v>
      </c>
      <c r="C30" s="51">
        <v>5</v>
      </c>
      <c r="E30" s="23">
        <v>44891</v>
      </c>
      <c r="F30" s="51">
        <v>5</v>
      </c>
    </row>
    <row r="31" spans="2:6" x14ac:dyDescent="0.25">
      <c r="B31" s="23">
        <v>44892</v>
      </c>
      <c r="C31" s="51">
        <v>5</v>
      </c>
      <c r="E31" s="23">
        <v>44892</v>
      </c>
      <c r="F31" s="51">
        <v>5</v>
      </c>
    </row>
    <row r="32" spans="2:6" x14ac:dyDescent="0.25">
      <c r="B32" s="23">
        <v>44893</v>
      </c>
      <c r="C32" s="51">
        <v>5</v>
      </c>
      <c r="E32" s="23">
        <v>44893</v>
      </c>
      <c r="F32" s="51">
        <v>5</v>
      </c>
    </row>
    <row r="33" spans="2:11" x14ac:dyDescent="0.25">
      <c r="B33" s="23">
        <v>44894</v>
      </c>
      <c r="C33" s="51">
        <v>5</v>
      </c>
      <c r="E33" s="23">
        <v>44894</v>
      </c>
      <c r="F33" s="51">
        <v>5</v>
      </c>
    </row>
    <row r="34" spans="2:11" x14ac:dyDescent="0.25">
      <c r="B34" s="23">
        <v>44895</v>
      </c>
      <c r="C34" s="51">
        <v>5</v>
      </c>
      <c r="E34" s="23">
        <v>44895</v>
      </c>
      <c r="F34" s="51">
        <v>5</v>
      </c>
    </row>
    <row r="35" spans="2:11" x14ac:dyDescent="0.25">
      <c r="B35" s="24" t="s">
        <v>41</v>
      </c>
      <c r="C35" s="51">
        <f>SUBTOTAL(109,Tabela6[Pele Listrada])*12</f>
        <v>1824</v>
      </c>
      <c r="E35" s="24" t="s">
        <v>41</v>
      </c>
      <c r="F35" s="1">
        <f>SUBTOTAL(109,Tabela7[Pele Listrada])*9</f>
        <v>1350</v>
      </c>
    </row>
    <row r="39" spans="2:11" x14ac:dyDescent="0.25">
      <c r="K39" s="31"/>
    </row>
  </sheetData>
  <mergeCells count="1">
    <mergeCell ref="A1:Q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7342F56-B72E-4133-88D6-727BD5D33194}">
            <xm:f>'Estoque - Novembro'!$J$6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7508ECA1-03A3-4B69-AC40-477FD6580B4C}">
            <xm:f>'Estoque - Novembro'!$J$6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51" operator="greaterThan" id="{62D22CA4-431E-4ABA-8F62-8E6F61EA1DD2}">
            <xm:f>'Estoque - Novembro'!$J$8</xm:f>
            <x14:dxf>
              <font>
                <color rgb="FF9C0006"/>
              </font>
              <fill>
                <patternFill>
                  <bgColor rgb="FFFF8997"/>
                </patternFill>
              </fill>
            </x14:dxf>
          </x14:cfRule>
          <x14:cfRule type="cellIs" priority="52" operator="lessThan" id="{E26ACD81-BBB7-4DD3-BF4A-CF009866C401}">
            <xm:f>'Estoque - Novembro'!$J$8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3CE6-5A6E-43C0-A979-EF772C68CE8B}">
  <dimension ref="B2:N95"/>
  <sheetViews>
    <sheetView tabSelected="1" topLeftCell="A73" zoomScaleNormal="100" workbookViewId="0">
      <selection activeCell="G96" sqref="G96"/>
    </sheetView>
  </sheetViews>
  <sheetFormatPr defaultRowHeight="15" x14ac:dyDescent="0.25"/>
  <cols>
    <col min="2" max="2" width="18" bestFit="1" customWidth="1"/>
    <col min="3" max="3" width="20.28515625" bestFit="1" customWidth="1"/>
    <col min="4" max="4" width="13.7109375" bestFit="1" customWidth="1"/>
    <col min="6" max="6" width="18" bestFit="1" customWidth="1"/>
    <col min="7" max="7" width="20.5703125" bestFit="1" customWidth="1"/>
    <col min="8" max="8" width="20.5703125" customWidth="1"/>
    <col min="9" max="9" width="18" bestFit="1" customWidth="1"/>
    <col min="10" max="10" width="20.5703125" bestFit="1" customWidth="1"/>
    <col min="11" max="11" width="10.7109375" bestFit="1" customWidth="1"/>
  </cols>
  <sheetData>
    <row r="2" spans="2:14" x14ac:dyDescent="0.25">
      <c r="B2" s="46" t="s">
        <v>53</v>
      </c>
      <c r="D2" s="46" t="s">
        <v>54</v>
      </c>
      <c r="F2" s="98" t="s">
        <v>56</v>
      </c>
      <c r="G2" s="98"/>
      <c r="H2" s="98"/>
      <c r="K2" s="98" t="s">
        <v>58</v>
      </c>
      <c r="L2" s="98"/>
      <c r="M2" s="98"/>
    </row>
    <row r="3" spans="2:14" x14ac:dyDescent="0.25">
      <c r="B3" s="1">
        <f>COUNTA(Tabela2[Cliente])</f>
        <v>30</v>
      </c>
      <c r="D3" s="1">
        <f>COUNTA(Clientes_Cadastrados!D6:D1048576)</f>
        <v>56</v>
      </c>
      <c r="F3" s="52" t="s">
        <v>135</v>
      </c>
      <c r="G3" s="54" t="s">
        <v>122</v>
      </c>
      <c r="H3" s="53">
        <f>'Pedidos - Sal_Nov'!$C$35</f>
        <v>208</v>
      </c>
      <c r="K3" s="52" t="s">
        <v>145</v>
      </c>
      <c r="L3" s="54" t="s">
        <v>36</v>
      </c>
      <c r="M3" s="53">
        <f>Tabela6[[#Totals],[Pele Listrada]]</f>
        <v>1824</v>
      </c>
    </row>
    <row r="4" spans="2:14" x14ac:dyDescent="0.25">
      <c r="F4" s="52" t="s">
        <v>136</v>
      </c>
      <c r="G4" s="54" t="s">
        <v>122</v>
      </c>
      <c r="H4" s="53">
        <f>'Pedidos - Sal_Nov'!$D$35</f>
        <v>1092</v>
      </c>
      <c r="K4" s="52" t="s">
        <v>145</v>
      </c>
      <c r="L4" s="54" t="s">
        <v>22</v>
      </c>
      <c r="M4" s="53">
        <f>Tabela7[[#Totals],[Pele Listrada]]</f>
        <v>1350</v>
      </c>
    </row>
    <row r="5" spans="2:14" x14ac:dyDescent="0.25">
      <c r="B5" s="47" t="s">
        <v>3</v>
      </c>
      <c r="F5" s="52" t="s">
        <v>137</v>
      </c>
      <c r="G5" s="54" t="s">
        <v>122</v>
      </c>
      <c r="H5" s="53">
        <f>'Pedidos - Sal_Nov'!$E$35</f>
        <v>260</v>
      </c>
      <c r="K5" s="60" t="s">
        <v>57</v>
      </c>
      <c r="L5" s="61" t="str">
        <f>_xlfn.IFS(M5=M3,L3,M5=M4,L4)</f>
        <v>2kg</v>
      </c>
      <c r="M5" s="62">
        <f>LARGE(M3:M4,1)</f>
        <v>1824</v>
      </c>
      <c r="N5" s="63"/>
    </row>
    <row r="6" spans="2:14" x14ac:dyDescent="0.25">
      <c r="B6" s="3">
        <f>SUM(Tabela2[Valor Total])</f>
        <v>65969.600000000006</v>
      </c>
      <c r="F6" s="52" t="s">
        <v>138</v>
      </c>
      <c r="G6" s="54" t="s">
        <v>122</v>
      </c>
      <c r="H6" s="53">
        <f>'Pedidos - Sal_Nov'!$F$35</f>
        <v>338</v>
      </c>
      <c r="K6" s="60" t="s">
        <v>59</v>
      </c>
      <c r="L6" s="99" t="str">
        <f>_xlfn.IFS(M5=M3,K3,M5=M4,K4)</f>
        <v>Picanha</v>
      </c>
      <c r="M6" s="99"/>
      <c r="N6" s="61" t="str">
        <f>L5</f>
        <v>2kg</v>
      </c>
    </row>
    <row r="7" spans="2:14" x14ac:dyDescent="0.25">
      <c r="F7" s="52" t="s">
        <v>139</v>
      </c>
      <c r="G7" s="54" t="s">
        <v>122</v>
      </c>
      <c r="H7" s="53">
        <f>'Pedidos - Sal_Nov'!$G$35</f>
        <v>195</v>
      </c>
    </row>
    <row r="8" spans="2:14" x14ac:dyDescent="0.25">
      <c r="B8" s="57" t="s">
        <v>60</v>
      </c>
      <c r="F8" s="52" t="s">
        <v>140</v>
      </c>
      <c r="G8" s="54" t="s">
        <v>122</v>
      </c>
      <c r="H8" s="53">
        <f>'Pedidos - Sal_Nov'!$H$35</f>
        <v>130</v>
      </c>
      <c r="L8" s="61" t="s">
        <v>49</v>
      </c>
      <c r="M8" s="61" t="s">
        <v>50</v>
      </c>
    </row>
    <row r="9" spans="2:14" x14ac:dyDescent="0.25">
      <c r="B9" s="3">
        <f>SUM(Pedidos!P6:P13)</f>
        <v>13122</v>
      </c>
      <c r="F9" s="52" t="s">
        <v>141</v>
      </c>
      <c r="G9" s="54" t="s">
        <v>122</v>
      </c>
      <c r="H9" s="53">
        <f>'Pedidos - Sal_Nov'!$I$35</f>
        <v>260</v>
      </c>
      <c r="K9" s="60" t="s">
        <v>38</v>
      </c>
      <c r="L9" s="62">
        <f>Tabela7[[#Totals],[Pele Listrada]]</f>
        <v>1350</v>
      </c>
      <c r="M9" s="62">
        <f>Tabela6[[#Totals],[Pele Listrada]]</f>
        <v>1824</v>
      </c>
    </row>
    <row r="10" spans="2:14" x14ac:dyDescent="0.25">
      <c r="F10" s="52" t="s">
        <v>142</v>
      </c>
      <c r="G10" s="54" t="s">
        <v>122</v>
      </c>
      <c r="H10" s="53">
        <f>'Pedidos - Sal_Nov'!$J$35</f>
        <v>65</v>
      </c>
    </row>
    <row r="11" spans="2:14" x14ac:dyDescent="0.25">
      <c r="B11" s="57" t="s">
        <v>61</v>
      </c>
      <c r="F11" s="52" t="s">
        <v>144</v>
      </c>
      <c r="G11" s="54" t="s">
        <v>122</v>
      </c>
      <c r="H11" s="53">
        <f>'Pedidos - Sal_Nov'!$K$35</f>
        <v>169</v>
      </c>
    </row>
    <row r="12" spans="2:14" x14ac:dyDescent="0.25">
      <c r="B12" s="3">
        <f>AVERAGE(Tabela2[Valor Total])</f>
        <v>2198.9866666666667</v>
      </c>
      <c r="F12" s="52" t="s">
        <v>143</v>
      </c>
      <c r="G12" s="54" t="s">
        <v>122</v>
      </c>
      <c r="H12" s="53">
        <f>'Pedidos - Sal_Nov'!$L$35</f>
        <v>130</v>
      </c>
    </row>
    <row r="13" spans="2:14" x14ac:dyDescent="0.25">
      <c r="F13" s="52" t="s">
        <v>135</v>
      </c>
      <c r="G13" s="54" t="s">
        <v>123</v>
      </c>
      <c r="H13" s="53">
        <f>'Pedidos - Sal_Nov'!$C$69</f>
        <v>150</v>
      </c>
    </row>
    <row r="14" spans="2:14" x14ac:dyDescent="0.25">
      <c r="B14" s="57" t="s">
        <v>62</v>
      </c>
      <c r="F14" s="52" t="s">
        <v>136</v>
      </c>
      <c r="G14" s="54" t="s">
        <v>123</v>
      </c>
      <c r="H14" s="53">
        <f>'Pedidos - Sal_Nov'!$D$69</f>
        <v>250</v>
      </c>
    </row>
    <row r="15" spans="2:14" x14ac:dyDescent="0.25">
      <c r="B15" s="3">
        <f ca="1">SUM(OFFSET(Tabela2[[#Headers],[Valor Total]],COUNT(Pedidos!P:P)-6,,7))</f>
        <v>12904</v>
      </c>
      <c r="F15" s="52" t="s">
        <v>137</v>
      </c>
      <c r="G15" s="54" t="s">
        <v>123</v>
      </c>
      <c r="H15" s="53">
        <f>'Pedidos - Sal_Nov'!$E$69</f>
        <v>200</v>
      </c>
    </row>
    <row r="16" spans="2:14" x14ac:dyDescent="0.25">
      <c r="F16" s="52" t="s">
        <v>138</v>
      </c>
      <c r="G16" s="54" t="s">
        <v>123</v>
      </c>
      <c r="H16" s="53">
        <f>'Pedidos - Sal_Nov'!$F$69</f>
        <v>150</v>
      </c>
    </row>
    <row r="17" spans="2:9" x14ac:dyDescent="0.25">
      <c r="F17" s="52" t="s">
        <v>139</v>
      </c>
      <c r="G17" s="54" t="s">
        <v>123</v>
      </c>
      <c r="H17" s="53">
        <f>'Pedidos - Sal_Nov'!$G$69</f>
        <v>150</v>
      </c>
    </row>
    <row r="18" spans="2:9" x14ac:dyDescent="0.25">
      <c r="B18" s="101" t="s">
        <v>148</v>
      </c>
      <c r="C18" s="101"/>
      <c r="F18" s="52" t="s">
        <v>140</v>
      </c>
      <c r="G18" s="54" t="s">
        <v>123</v>
      </c>
      <c r="H18" s="53">
        <f>'Pedidos - Sal_Nov'!$H$69</f>
        <v>200</v>
      </c>
    </row>
    <row r="19" spans="2:9" x14ac:dyDescent="0.25">
      <c r="B19" s="102">
        <v>44866</v>
      </c>
      <c r="C19" s="44">
        <v>6</v>
      </c>
      <c r="F19" s="52" t="s">
        <v>141</v>
      </c>
      <c r="G19" s="54" t="s">
        <v>123</v>
      </c>
      <c r="H19" s="53">
        <f>'Pedidos - Sal_Nov'!$I$69</f>
        <v>100</v>
      </c>
    </row>
    <row r="20" spans="2:9" x14ac:dyDescent="0.25">
      <c r="B20" s="102">
        <v>44867</v>
      </c>
      <c r="C20" s="44">
        <v>5</v>
      </c>
      <c r="F20" s="52" t="s">
        <v>142</v>
      </c>
      <c r="G20" s="54" t="s">
        <v>123</v>
      </c>
      <c r="H20" s="53">
        <f>'Pedidos - Sal_Nov'!$J$69</f>
        <v>200</v>
      </c>
    </row>
    <row r="21" spans="2:9" x14ac:dyDescent="0.25">
      <c r="B21" s="102">
        <v>44868</v>
      </c>
      <c r="C21" s="44">
        <v>5</v>
      </c>
      <c r="F21" s="52" t="s">
        <v>144</v>
      </c>
      <c r="G21" s="54" t="s">
        <v>123</v>
      </c>
      <c r="H21" s="53">
        <f>'Pedidos - Sal_Nov'!$K$69</f>
        <v>100</v>
      </c>
    </row>
    <row r="22" spans="2:9" x14ac:dyDescent="0.25">
      <c r="B22" s="102">
        <v>44869</v>
      </c>
      <c r="C22" s="44">
        <v>6</v>
      </c>
      <c r="F22" s="60" t="s">
        <v>57</v>
      </c>
      <c r="G22" s="61" t="str">
        <f>_xlfn.IFS(H22=H3,G3,H22=H4,G4,H22=H5,G5,H22=H6,G6,H22=H7,G7,H22=H7,G7,H22=H8,G8,H22=H9,G9,H22=H10,G10,H22=H11,G11,H22=H12,G12,H22=H13,G13,H22=H14,G14,H22=H15,G15,H22=H16,G16,H22=H17,G17,H22=H18,G18,H22=H19,G19,H22=H20,G20,H22=H21,G21)</f>
        <v>15kg</v>
      </c>
      <c r="H22" s="62">
        <f>LARGE(H3:H21,1)</f>
        <v>1092</v>
      </c>
      <c r="I22" s="63"/>
    </row>
    <row r="23" spans="2:9" x14ac:dyDescent="0.25">
      <c r="B23" s="102">
        <v>44870</v>
      </c>
      <c r="C23" s="44">
        <v>5</v>
      </c>
      <c r="F23" s="60" t="s">
        <v>59</v>
      </c>
      <c r="G23" s="99" t="str">
        <f>_xlfn.IFS(H22=H3,F3,H22=H4,F4,H22=H5,F5,H22=H6,F6,H22=H7,F7,H22=H8,F8,H22=H9,F9,H22=H10,F10,H22=H11,F11,H22=H12,F12,H22=H13,F415,H22=H14,F14,H22=H15,F15,H22=H16,F16,H22=H17,F17,H22=H18,F18,H22=H19,F19,H22=H20,F20,H22=H21,F21)</f>
        <v>Bancon II</v>
      </c>
      <c r="H23" s="99"/>
      <c r="I23" s="61" t="str">
        <f>G22</f>
        <v>15kg</v>
      </c>
    </row>
    <row r="24" spans="2:9" x14ac:dyDescent="0.25">
      <c r="B24" s="102">
        <v>44871</v>
      </c>
      <c r="C24" s="44">
        <v>5</v>
      </c>
    </row>
    <row r="25" spans="2:9" x14ac:dyDescent="0.25">
      <c r="B25" s="102">
        <v>44872</v>
      </c>
      <c r="C25" s="44">
        <v>5</v>
      </c>
      <c r="F25" s="57" t="s">
        <v>60</v>
      </c>
      <c r="G25" s="57" t="s">
        <v>63</v>
      </c>
      <c r="H25" s="57" t="s">
        <v>64</v>
      </c>
      <c r="I25" s="57" t="s">
        <v>65</v>
      </c>
    </row>
    <row r="26" spans="2:9" x14ac:dyDescent="0.25">
      <c r="B26" s="102">
        <v>44873</v>
      </c>
      <c r="C26" s="44">
        <v>5</v>
      </c>
      <c r="F26" s="3">
        <f>SUM(Pedidos!P6:P12)</f>
        <v>12691.5</v>
      </c>
      <c r="G26" s="3">
        <f>SUM(Pedidos!P13:P19)</f>
        <v>21296.25</v>
      </c>
      <c r="H26" s="3">
        <f>SUM(Pedidos!P20:P26)</f>
        <v>15208</v>
      </c>
      <c r="I26" s="3">
        <f>SUM(Pedidos!P27:P35)</f>
        <v>16773.849999999999</v>
      </c>
    </row>
    <row r="27" spans="2:9" x14ac:dyDescent="0.25">
      <c r="B27" s="102">
        <v>44874</v>
      </c>
      <c r="C27" s="44">
        <v>10</v>
      </c>
    </row>
    <row r="28" spans="2:9" x14ac:dyDescent="0.25">
      <c r="B28" s="102">
        <v>44875</v>
      </c>
      <c r="C28" s="44">
        <v>5</v>
      </c>
    </row>
    <row r="29" spans="2:9" x14ac:dyDescent="0.25">
      <c r="B29" s="102">
        <v>44876</v>
      </c>
      <c r="C29" s="44">
        <v>67</v>
      </c>
      <c r="F29" s="101" t="s">
        <v>150</v>
      </c>
      <c r="G29" s="101"/>
    </row>
    <row r="30" spans="2:9" x14ac:dyDescent="0.25">
      <c r="B30" s="102">
        <v>44877</v>
      </c>
      <c r="C30" s="44">
        <v>0</v>
      </c>
      <c r="F30" s="104">
        <v>44866</v>
      </c>
      <c r="G30" s="44">
        <v>7</v>
      </c>
    </row>
    <row r="31" spans="2:9" x14ac:dyDescent="0.25">
      <c r="B31" s="102">
        <v>44878</v>
      </c>
      <c r="C31" s="44">
        <v>5</v>
      </c>
      <c r="F31" s="104">
        <v>44867</v>
      </c>
      <c r="G31" s="44">
        <v>5</v>
      </c>
    </row>
    <row r="32" spans="2:9" x14ac:dyDescent="0.25">
      <c r="B32" s="102">
        <v>44879</v>
      </c>
      <c r="C32" s="44">
        <v>5</v>
      </c>
      <c r="F32" s="104">
        <v>44868</v>
      </c>
      <c r="G32" s="44">
        <v>5</v>
      </c>
    </row>
    <row r="33" spans="2:7" x14ac:dyDescent="0.25">
      <c r="B33" s="102">
        <v>44880</v>
      </c>
      <c r="C33" s="44">
        <v>5</v>
      </c>
      <c r="F33" s="104">
        <v>44869</v>
      </c>
      <c r="G33" s="44">
        <v>5</v>
      </c>
    </row>
    <row r="34" spans="2:7" x14ac:dyDescent="0.25">
      <c r="B34" s="102">
        <v>44881</v>
      </c>
      <c r="C34" s="44">
        <v>5</v>
      </c>
      <c r="F34" s="104">
        <v>44870</v>
      </c>
      <c r="G34" s="44">
        <v>5</v>
      </c>
    </row>
    <row r="35" spans="2:7" x14ac:dyDescent="0.25">
      <c r="B35" s="102">
        <v>44882</v>
      </c>
      <c r="C35" s="44">
        <v>5</v>
      </c>
      <c r="F35" s="104">
        <v>44871</v>
      </c>
      <c r="G35" s="44">
        <v>5</v>
      </c>
    </row>
    <row r="36" spans="2:7" x14ac:dyDescent="0.25">
      <c r="B36" s="102">
        <v>44883</v>
      </c>
      <c r="C36" s="44">
        <v>5</v>
      </c>
      <c r="F36" s="104">
        <v>44872</v>
      </c>
      <c r="G36" s="44">
        <v>5</v>
      </c>
    </row>
    <row r="37" spans="2:7" x14ac:dyDescent="0.25">
      <c r="B37" s="102">
        <v>44884</v>
      </c>
      <c r="C37" s="44">
        <v>10</v>
      </c>
      <c r="F37" s="104">
        <v>44873</v>
      </c>
      <c r="G37" s="44">
        <v>5</v>
      </c>
    </row>
    <row r="38" spans="2:7" x14ac:dyDescent="0.25">
      <c r="B38" s="102">
        <v>44885</v>
      </c>
      <c r="C38" s="44">
        <v>5</v>
      </c>
      <c r="F38" s="104">
        <v>44874</v>
      </c>
      <c r="G38" s="44">
        <v>5</v>
      </c>
    </row>
    <row r="39" spans="2:7" x14ac:dyDescent="0.25">
      <c r="B39" s="102">
        <v>44886</v>
      </c>
      <c r="C39" s="44">
        <v>5</v>
      </c>
      <c r="F39" s="104">
        <v>44875</v>
      </c>
      <c r="G39" s="44">
        <v>5</v>
      </c>
    </row>
    <row r="40" spans="2:7" x14ac:dyDescent="0.25">
      <c r="B40" s="102">
        <v>44887</v>
      </c>
      <c r="C40" s="44">
        <v>5</v>
      </c>
      <c r="F40" s="104">
        <v>44876</v>
      </c>
      <c r="G40" s="44">
        <v>5</v>
      </c>
    </row>
    <row r="41" spans="2:7" x14ac:dyDescent="0.25">
      <c r="B41" s="102">
        <v>44888</v>
      </c>
      <c r="C41" s="44">
        <v>5</v>
      </c>
      <c r="F41" s="104">
        <v>44877</v>
      </c>
      <c r="G41" s="44">
        <v>5</v>
      </c>
    </row>
    <row r="42" spans="2:7" x14ac:dyDescent="0.25">
      <c r="B42" s="102">
        <v>44889</v>
      </c>
      <c r="C42" s="44">
        <v>5</v>
      </c>
      <c r="F42" s="104">
        <v>44878</v>
      </c>
      <c r="G42" s="44">
        <v>5</v>
      </c>
    </row>
    <row r="43" spans="2:7" x14ac:dyDescent="0.25">
      <c r="B43" s="102">
        <v>44890</v>
      </c>
      <c r="C43" s="44">
        <v>5</v>
      </c>
      <c r="F43" s="104">
        <v>44879</v>
      </c>
      <c r="G43" s="44">
        <v>5</v>
      </c>
    </row>
    <row r="44" spans="2:7" x14ac:dyDescent="0.25">
      <c r="B44" s="102">
        <v>44891</v>
      </c>
      <c r="C44" s="44">
        <v>5</v>
      </c>
      <c r="F44" s="104">
        <v>44880</v>
      </c>
      <c r="G44" s="44">
        <v>5</v>
      </c>
    </row>
    <row r="45" spans="2:7" x14ac:dyDescent="0.25">
      <c r="B45" s="102">
        <v>44892</v>
      </c>
      <c r="C45" s="44">
        <v>5</v>
      </c>
      <c r="F45" s="104">
        <v>44881</v>
      </c>
      <c r="G45" s="44">
        <v>5</v>
      </c>
    </row>
    <row r="46" spans="2:7" x14ac:dyDescent="0.25">
      <c r="B46" s="102">
        <v>44893</v>
      </c>
      <c r="C46" s="44">
        <v>5</v>
      </c>
      <c r="F46" s="104">
        <v>44882</v>
      </c>
      <c r="G46" s="44">
        <v>5</v>
      </c>
    </row>
    <row r="47" spans="2:7" x14ac:dyDescent="0.25">
      <c r="B47" s="102">
        <v>44894</v>
      </c>
      <c r="C47" s="44">
        <v>5</v>
      </c>
      <c r="F47" s="104">
        <v>44883</v>
      </c>
      <c r="G47" s="44">
        <v>5</v>
      </c>
    </row>
    <row r="48" spans="2:7" x14ac:dyDescent="0.25">
      <c r="B48" s="102">
        <v>44895</v>
      </c>
      <c r="C48" s="44">
        <v>5</v>
      </c>
      <c r="F48" s="104">
        <v>44884</v>
      </c>
      <c r="G48" s="44">
        <v>5</v>
      </c>
    </row>
    <row r="49" spans="2:7" x14ac:dyDescent="0.25">
      <c r="B49" s="60" t="s">
        <v>41</v>
      </c>
      <c r="C49" s="62">
        <f>SUM(C19:C48)*15</f>
        <v>3285</v>
      </c>
      <c r="F49" s="104">
        <v>44885</v>
      </c>
      <c r="G49" s="44">
        <v>5</v>
      </c>
    </row>
    <row r="50" spans="2:7" x14ac:dyDescent="0.25">
      <c r="B50" s="60" t="s">
        <v>147</v>
      </c>
      <c r="C50" s="103">
        <f>C49/'Estoque - Novembro'!F16*100/100</f>
        <v>0.12042230287033982</v>
      </c>
      <c r="F50" s="104">
        <v>44886</v>
      </c>
      <c r="G50" s="44">
        <v>5</v>
      </c>
    </row>
    <row r="51" spans="2:7" x14ac:dyDescent="0.25">
      <c r="F51" s="104">
        <v>44887</v>
      </c>
      <c r="G51" s="44">
        <v>5</v>
      </c>
    </row>
    <row r="52" spans="2:7" x14ac:dyDescent="0.25">
      <c r="B52" s="101" t="s">
        <v>149</v>
      </c>
      <c r="C52" s="101"/>
      <c r="F52" s="104">
        <v>44888</v>
      </c>
      <c r="G52" s="44">
        <v>5</v>
      </c>
    </row>
    <row r="53" spans="2:7" x14ac:dyDescent="0.25">
      <c r="B53" s="102">
        <v>44866</v>
      </c>
      <c r="C53" s="44">
        <v>5</v>
      </c>
      <c r="F53" s="104">
        <v>44889</v>
      </c>
      <c r="G53" s="44">
        <v>5</v>
      </c>
    </row>
    <row r="54" spans="2:7" x14ac:dyDescent="0.25">
      <c r="B54" s="102">
        <v>44867</v>
      </c>
      <c r="C54" s="44">
        <v>5</v>
      </c>
      <c r="F54" s="104">
        <v>44890</v>
      </c>
      <c r="G54" s="44">
        <v>5</v>
      </c>
    </row>
    <row r="55" spans="2:7" x14ac:dyDescent="0.25">
      <c r="B55" s="102">
        <v>44868</v>
      </c>
      <c r="C55" s="44">
        <v>5</v>
      </c>
      <c r="F55" s="104">
        <v>44891</v>
      </c>
      <c r="G55" s="44">
        <v>5</v>
      </c>
    </row>
    <row r="56" spans="2:7" x14ac:dyDescent="0.25">
      <c r="B56" s="102">
        <v>44869</v>
      </c>
      <c r="C56" s="44">
        <v>5</v>
      </c>
      <c r="F56" s="104">
        <v>44892</v>
      </c>
      <c r="G56" s="44">
        <v>5</v>
      </c>
    </row>
    <row r="57" spans="2:7" x14ac:dyDescent="0.25">
      <c r="B57" s="102">
        <v>44870</v>
      </c>
      <c r="C57" s="44">
        <v>5</v>
      </c>
      <c r="F57" s="104">
        <v>44893</v>
      </c>
      <c r="G57" s="44">
        <v>5</v>
      </c>
    </row>
    <row r="58" spans="2:7" x14ac:dyDescent="0.25">
      <c r="B58" s="102">
        <v>44871</v>
      </c>
      <c r="C58" s="44">
        <v>5</v>
      </c>
      <c r="F58" s="104">
        <v>44894</v>
      </c>
      <c r="G58" s="44">
        <v>5</v>
      </c>
    </row>
    <row r="59" spans="2:7" x14ac:dyDescent="0.25">
      <c r="B59" s="102">
        <v>44872</v>
      </c>
      <c r="C59" s="44">
        <v>5</v>
      </c>
      <c r="F59" s="104">
        <v>44895</v>
      </c>
      <c r="G59" s="44">
        <v>5</v>
      </c>
    </row>
    <row r="60" spans="2:7" x14ac:dyDescent="0.25">
      <c r="B60" s="102">
        <v>44873</v>
      </c>
      <c r="C60" s="44">
        <v>5</v>
      </c>
      <c r="F60" s="60" t="s">
        <v>41</v>
      </c>
      <c r="G60" s="62">
        <f>SUM(G30:G59)</f>
        <v>152</v>
      </c>
    </row>
    <row r="61" spans="2:7" x14ac:dyDescent="0.25">
      <c r="B61" s="102">
        <v>44874</v>
      </c>
      <c r="C61" s="44">
        <v>5</v>
      </c>
      <c r="F61" s="60" t="s">
        <v>147</v>
      </c>
      <c r="G61" s="103">
        <f>G60/'Estoque - Novembro'!K7*100/100</f>
        <v>9.0692124105011929E-2</v>
      </c>
    </row>
    <row r="62" spans="2:7" x14ac:dyDescent="0.25">
      <c r="B62" s="102">
        <v>44875</v>
      </c>
      <c r="C62" s="44">
        <v>5</v>
      </c>
    </row>
    <row r="63" spans="2:7" x14ac:dyDescent="0.25">
      <c r="B63" s="102">
        <v>44876</v>
      </c>
      <c r="C63" s="44">
        <v>5</v>
      </c>
      <c r="F63" s="101" t="s">
        <v>151</v>
      </c>
      <c r="G63" s="101"/>
    </row>
    <row r="64" spans="2:7" x14ac:dyDescent="0.25">
      <c r="B64" s="102">
        <v>44877</v>
      </c>
      <c r="C64" s="44">
        <v>5</v>
      </c>
      <c r="F64" s="104">
        <v>44866</v>
      </c>
      <c r="G64" s="44">
        <v>5</v>
      </c>
    </row>
    <row r="65" spans="2:7" x14ac:dyDescent="0.25">
      <c r="B65" s="102">
        <v>44878</v>
      </c>
      <c r="C65" s="44">
        <v>5</v>
      </c>
      <c r="F65" s="104">
        <v>44867</v>
      </c>
      <c r="G65" s="44">
        <v>5</v>
      </c>
    </row>
    <row r="66" spans="2:7" x14ac:dyDescent="0.25">
      <c r="B66" s="102">
        <v>44879</v>
      </c>
      <c r="C66" s="44">
        <v>5</v>
      </c>
      <c r="F66" s="104">
        <v>44868</v>
      </c>
      <c r="G66" s="44">
        <v>5</v>
      </c>
    </row>
    <row r="67" spans="2:7" x14ac:dyDescent="0.25">
      <c r="B67" s="102">
        <v>44880</v>
      </c>
      <c r="C67" s="44">
        <v>5</v>
      </c>
      <c r="F67" s="104">
        <v>44869</v>
      </c>
      <c r="G67" s="44">
        <v>5</v>
      </c>
    </row>
    <row r="68" spans="2:7" x14ac:dyDescent="0.25">
      <c r="B68" s="102">
        <v>44881</v>
      </c>
      <c r="C68" s="44">
        <v>5</v>
      </c>
      <c r="F68" s="104">
        <v>44870</v>
      </c>
      <c r="G68" s="44">
        <v>5</v>
      </c>
    </row>
    <row r="69" spans="2:7" x14ac:dyDescent="0.25">
      <c r="B69" s="102">
        <v>44882</v>
      </c>
      <c r="C69" s="44">
        <v>5</v>
      </c>
      <c r="F69" s="104">
        <v>44871</v>
      </c>
      <c r="G69" s="44">
        <v>5</v>
      </c>
    </row>
    <row r="70" spans="2:7" x14ac:dyDescent="0.25">
      <c r="B70" s="102">
        <v>44883</v>
      </c>
      <c r="C70" s="44">
        <v>5</v>
      </c>
      <c r="F70" s="104">
        <v>44872</v>
      </c>
      <c r="G70" s="44">
        <v>5</v>
      </c>
    </row>
    <row r="71" spans="2:7" x14ac:dyDescent="0.25">
      <c r="B71" s="102">
        <v>44884</v>
      </c>
      <c r="C71" s="44">
        <v>5</v>
      </c>
      <c r="F71" s="104">
        <v>44873</v>
      </c>
      <c r="G71" s="44">
        <v>5</v>
      </c>
    </row>
    <row r="72" spans="2:7" x14ac:dyDescent="0.25">
      <c r="B72" s="102">
        <v>44885</v>
      </c>
      <c r="C72" s="44">
        <v>5</v>
      </c>
      <c r="F72" s="104">
        <v>44874</v>
      </c>
      <c r="G72" s="44">
        <v>5</v>
      </c>
    </row>
    <row r="73" spans="2:7" x14ac:dyDescent="0.25">
      <c r="B73" s="102">
        <v>44886</v>
      </c>
      <c r="C73" s="44">
        <v>5</v>
      </c>
      <c r="F73" s="104">
        <v>44875</v>
      </c>
      <c r="G73" s="44">
        <v>5</v>
      </c>
    </row>
    <row r="74" spans="2:7" x14ac:dyDescent="0.25">
      <c r="B74" s="102">
        <v>44887</v>
      </c>
      <c r="C74" s="44">
        <v>5</v>
      </c>
      <c r="F74" s="104">
        <v>44876</v>
      </c>
      <c r="G74" s="44">
        <v>5</v>
      </c>
    </row>
    <row r="75" spans="2:7" x14ac:dyDescent="0.25">
      <c r="B75" s="102">
        <v>44888</v>
      </c>
      <c r="C75" s="44">
        <v>5</v>
      </c>
      <c r="F75" s="104">
        <v>44877</v>
      </c>
      <c r="G75" s="44">
        <v>5</v>
      </c>
    </row>
    <row r="76" spans="2:7" x14ac:dyDescent="0.25">
      <c r="B76" s="102">
        <v>44889</v>
      </c>
      <c r="C76" s="44">
        <v>5</v>
      </c>
      <c r="F76" s="104">
        <v>44878</v>
      </c>
      <c r="G76" s="44">
        <v>5</v>
      </c>
    </row>
    <row r="77" spans="2:7" x14ac:dyDescent="0.25">
      <c r="B77" s="102">
        <v>44890</v>
      </c>
      <c r="C77" s="44">
        <v>5</v>
      </c>
      <c r="F77" s="104">
        <v>44879</v>
      </c>
      <c r="G77" s="44">
        <v>5</v>
      </c>
    </row>
    <row r="78" spans="2:7" x14ac:dyDescent="0.25">
      <c r="B78" s="102">
        <v>44891</v>
      </c>
      <c r="C78" s="44">
        <v>5</v>
      </c>
      <c r="F78" s="104">
        <v>44880</v>
      </c>
      <c r="G78" s="44">
        <v>5</v>
      </c>
    </row>
    <row r="79" spans="2:7" x14ac:dyDescent="0.25">
      <c r="B79" s="102">
        <v>44892</v>
      </c>
      <c r="C79" s="44">
        <v>5</v>
      </c>
      <c r="F79" s="104">
        <v>44881</v>
      </c>
      <c r="G79" s="44">
        <v>5</v>
      </c>
    </row>
    <row r="80" spans="2:7" x14ac:dyDescent="0.25">
      <c r="B80" s="102">
        <v>44893</v>
      </c>
      <c r="C80" s="44">
        <v>5</v>
      </c>
      <c r="F80" s="104">
        <v>44882</v>
      </c>
      <c r="G80" s="44">
        <v>5</v>
      </c>
    </row>
    <row r="81" spans="2:7" x14ac:dyDescent="0.25">
      <c r="B81" s="102">
        <v>44894</v>
      </c>
      <c r="C81" s="44">
        <v>5</v>
      </c>
      <c r="F81" s="104">
        <v>44883</v>
      </c>
      <c r="G81" s="44">
        <v>5</v>
      </c>
    </row>
    <row r="82" spans="2:7" x14ac:dyDescent="0.25">
      <c r="B82" s="102">
        <v>44895</v>
      </c>
      <c r="C82" s="44">
        <v>5</v>
      </c>
      <c r="F82" s="104">
        <v>44884</v>
      </c>
      <c r="G82" s="44">
        <v>5</v>
      </c>
    </row>
    <row r="83" spans="2:7" x14ac:dyDescent="0.25">
      <c r="B83" s="60" t="s">
        <v>41</v>
      </c>
      <c r="C83" s="62">
        <f>SUM(C53:C82)</f>
        <v>150</v>
      </c>
      <c r="F83" s="104">
        <v>44885</v>
      </c>
      <c r="G83" s="44">
        <v>5</v>
      </c>
    </row>
    <row r="84" spans="2:7" x14ac:dyDescent="0.25">
      <c r="B84" s="60" t="s">
        <v>147</v>
      </c>
      <c r="C84" s="103">
        <f>C83/'Estoque - Novembro'!F26*100/100</f>
        <v>3.9287585123101102E-3</v>
      </c>
      <c r="F84" s="104">
        <v>44886</v>
      </c>
      <c r="G84" s="44">
        <v>5</v>
      </c>
    </row>
    <row r="85" spans="2:7" x14ac:dyDescent="0.25">
      <c r="F85" s="104">
        <v>44887</v>
      </c>
      <c r="G85" s="44">
        <v>5</v>
      </c>
    </row>
    <row r="86" spans="2:7" x14ac:dyDescent="0.25">
      <c r="F86" s="104">
        <v>44888</v>
      </c>
      <c r="G86" s="44">
        <v>5</v>
      </c>
    </row>
    <row r="87" spans="2:7" x14ac:dyDescent="0.25">
      <c r="F87" s="104">
        <v>44889</v>
      </c>
      <c r="G87" s="44">
        <v>5</v>
      </c>
    </row>
    <row r="88" spans="2:7" x14ac:dyDescent="0.25">
      <c r="F88" s="104">
        <v>44890</v>
      </c>
      <c r="G88" s="44">
        <v>5</v>
      </c>
    </row>
    <row r="89" spans="2:7" x14ac:dyDescent="0.25">
      <c r="F89" s="104">
        <v>44891</v>
      </c>
      <c r="G89" s="44">
        <v>5</v>
      </c>
    </row>
    <row r="90" spans="2:7" x14ac:dyDescent="0.25">
      <c r="F90" s="104">
        <v>44892</v>
      </c>
      <c r="G90" s="44">
        <v>5</v>
      </c>
    </row>
    <row r="91" spans="2:7" x14ac:dyDescent="0.25">
      <c r="F91" s="104">
        <v>44893</v>
      </c>
      <c r="G91" s="44">
        <v>5</v>
      </c>
    </row>
    <row r="92" spans="2:7" x14ac:dyDescent="0.25">
      <c r="F92" s="104">
        <v>44894</v>
      </c>
      <c r="G92" s="44">
        <v>5</v>
      </c>
    </row>
    <row r="93" spans="2:7" x14ac:dyDescent="0.25">
      <c r="F93" s="104">
        <v>44895</v>
      </c>
      <c r="G93" s="44">
        <v>5</v>
      </c>
    </row>
    <row r="94" spans="2:7" x14ac:dyDescent="0.25">
      <c r="F94" s="60" t="s">
        <v>41</v>
      </c>
      <c r="G94" s="62">
        <f>SUM(G64:G93)</f>
        <v>150</v>
      </c>
    </row>
    <row r="95" spans="2:7" x14ac:dyDescent="0.25">
      <c r="F95" s="60" t="s">
        <v>147</v>
      </c>
      <c r="G95" s="103">
        <f>G94/'Estoque - Novembro'!K9*100/100</f>
        <v>4.3503480278422275E-2</v>
      </c>
    </row>
  </sheetData>
  <mergeCells count="8">
    <mergeCell ref="F63:G63"/>
    <mergeCell ref="B52:C52"/>
    <mergeCell ref="B18:C18"/>
    <mergeCell ref="F29:G29"/>
    <mergeCell ref="F2:H2"/>
    <mergeCell ref="K2:M2"/>
    <mergeCell ref="L6:M6"/>
    <mergeCell ref="G23:H2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BB89-B214-4F56-AE20-1D297E25D5EB}">
  <dimension ref="A1:AC5"/>
  <sheetViews>
    <sheetView showGridLines="0" zoomScaleNormal="100" workbookViewId="0">
      <selection activeCell="R16" sqref="R16"/>
    </sheetView>
  </sheetViews>
  <sheetFormatPr defaultColWidth="9.140625" defaultRowHeight="15" x14ac:dyDescent="0.25"/>
  <cols>
    <col min="1" max="16384" width="9.140625" style="36"/>
  </cols>
  <sheetData>
    <row r="1" spans="1:29" ht="5.25" customHeight="1" x14ac:dyDescent="0.25"/>
    <row r="2" spans="1:29" ht="28.5" customHeight="1" x14ac:dyDescent="0.25">
      <c r="A2" s="100" t="s">
        <v>146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</row>
    <row r="5" spans="1:29" ht="30" customHeight="1" x14ac:dyDescent="0.25"/>
  </sheetData>
  <mergeCells count="1">
    <mergeCell ref="A2:AC2"/>
  </mergeCells>
  <pageMargins left="0.511811024" right="0.511811024" top="0.78740157499999996" bottom="0.78740157499999996" header="0.31496062000000002" footer="0.31496062000000002"/>
  <pageSetup scale="0" firstPageNumber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Formulas</vt:lpstr>
      <vt:lpstr>Tabela_Clientes</vt:lpstr>
      <vt:lpstr>Clientes_Cadastrados</vt:lpstr>
      <vt:lpstr>Estoque - Novembro</vt:lpstr>
      <vt:lpstr>Pedidos</vt:lpstr>
      <vt:lpstr>Pedidos - Sal_Nov</vt:lpstr>
      <vt:lpstr>Pedidos - Pele_Nov</vt:lpstr>
      <vt:lpstr>Tabela_Auxiliar</vt:lpstr>
      <vt:lpstr>Layout_Dashboard_Relatório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 Menezes</dc:creator>
  <cp:lastModifiedBy>Caio Ferreira Menezes</cp:lastModifiedBy>
  <dcterms:created xsi:type="dcterms:W3CDTF">2022-09-19T01:07:05Z</dcterms:created>
  <dcterms:modified xsi:type="dcterms:W3CDTF">2022-12-03T02:14:21Z</dcterms:modified>
</cp:coreProperties>
</file>