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io Miyai\Pós doc\PROPe 13.2022\documentos prope 13.2022\Relatório\"/>
    </mc:Choice>
  </mc:AlternateContent>
  <xr:revisionPtr revIDLastSave="0" documentId="8_{8E753F5D-32C6-4D01-988C-AEF63AFEAFBB}" xr6:coauthVersionLast="47" xr6:coauthVersionMax="47" xr10:uidLastSave="{00000000-0000-0000-0000-000000000000}"/>
  <bookViews>
    <workbookView xWindow="-108" yWindow="-108" windowWidth="23256" windowHeight="12576" activeTab="1" xr2:uid="{CA764955-BBE0-4713-8E9F-71ABD4ADCF1B}"/>
  </bookViews>
  <sheets>
    <sheet name="CT MÁX" sheetId="1" r:id="rId1"/>
    <sheet name="CT MÍ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" i="1" l="1"/>
  <c r="E123" i="1"/>
  <c r="E122" i="1"/>
  <c r="E121" i="1"/>
  <c r="E120" i="1"/>
  <c r="E119" i="1"/>
  <c r="I118" i="1"/>
  <c r="H118" i="1"/>
  <c r="E118" i="1"/>
  <c r="E117" i="1"/>
  <c r="E116" i="1"/>
  <c r="E115" i="1"/>
  <c r="E114" i="1"/>
  <c r="E113" i="1"/>
  <c r="I119" i="1" s="1"/>
  <c r="E112" i="1"/>
  <c r="E111" i="1"/>
  <c r="E110" i="1"/>
  <c r="E109" i="1"/>
  <c r="E108" i="1"/>
  <c r="E107" i="1"/>
  <c r="E106" i="1"/>
  <c r="E105" i="1"/>
  <c r="E104" i="1"/>
  <c r="E103" i="1"/>
  <c r="E102" i="1"/>
  <c r="I101" i="1"/>
  <c r="H101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I102" i="1" s="1"/>
  <c r="E88" i="1"/>
  <c r="E87" i="1"/>
  <c r="E86" i="1"/>
  <c r="E85" i="1"/>
  <c r="E84" i="1"/>
  <c r="E83" i="1"/>
  <c r="I82" i="1"/>
  <c r="H82" i="1"/>
  <c r="E82" i="1"/>
  <c r="E81" i="1"/>
  <c r="E80" i="1"/>
  <c r="E79" i="1"/>
  <c r="E78" i="1"/>
  <c r="E77" i="1"/>
  <c r="E76" i="1"/>
  <c r="E75" i="1"/>
  <c r="E74" i="1"/>
  <c r="I83" i="1" s="1"/>
  <c r="E73" i="1"/>
  <c r="E72" i="1"/>
  <c r="E71" i="1"/>
  <c r="E70" i="1"/>
  <c r="E69" i="1"/>
  <c r="E68" i="1"/>
  <c r="E67" i="1"/>
  <c r="E66" i="1"/>
  <c r="E65" i="1"/>
  <c r="E64" i="1"/>
  <c r="I63" i="1"/>
  <c r="H63" i="1"/>
  <c r="E63" i="1"/>
  <c r="E62" i="1"/>
  <c r="E61" i="1"/>
  <c r="E60" i="1"/>
  <c r="E59" i="1"/>
  <c r="E58" i="1"/>
  <c r="E57" i="1"/>
  <c r="E56" i="1"/>
  <c r="E55" i="1"/>
  <c r="E54" i="1"/>
  <c r="E53" i="1"/>
  <c r="I64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I39" i="1"/>
  <c r="H39" i="1"/>
  <c r="E39" i="1"/>
  <c r="E38" i="1"/>
  <c r="E37" i="1"/>
  <c r="E36" i="1"/>
  <c r="E35" i="1"/>
  <c r="E34" i="1"/>
  <c r="E33" i="1"/>
  <c r="E32" i="1"/>
  <c r="E31" i="1"/>
  <c r="I40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I12" i="1"/>
  <c r="H12" i="1"/>
  <c r="E12" i="1"/>
  <c r="E11" i="1"/>
  <c r="E10" i="1"/>
  <c r="E9" i="1"/>
  <c r="E8" i="1"/>
  <c r="E7" i="1"/>
  <c r="E6" i="1"/>
  <c r="E5" i="1"/>
  <c r="I13" i="1" s="1"/>
  <c r="E4" i="1"/>
  <c r="E3" i="1"/>
  <c r="E2" i="1"/>
  <c r="H13" i="1" s="1"/>
  <c r="E121" i="2"/>
  <c r="E120" i="2"/>
  <c r="E119" i="2"/>
  <c r="E118" i="2"/>
  <c r="E117" i="2"/>
  <c r="E116" i="2"/>
  <c r="E115" i="2"/>
  <c r="E114" i="2"/>
  <c r="I113" i="2"/>
  <c r="H113" i="2"/>
  <c r="E113" i="2"/>
  <c r="E112" i="2"/>
  <c r="E111" i="2"/>
  <c r="E110" i="2"/>
  <c r="I114" i="2" s="1"/>
  <c r="E109" i="2"/>
  <c r="E108" i="2"/>
  <c r="H114" i="2" s="1"/>
  <c r="E107" i="2"/>
  <c r="E106" i="2"/>
  <c r="E105" i="2"/>
  <c r="E104" i="2"/>
  <c r="E103" i="2"/>
  <c r="E102" i="2"/>
  <c r="E101" i="2"/>
  <c r="E100" i="2"/>
  <c r="E99" i="2"/>
  <c r="E98" i="2"/>
  <c r="E97" i="2"/>
  <c r="I96" i="2"/>
  <c r="H96" i="2"/>
  <c r="E96" i="2"/>
  <c r="E95" i="2"/>
  <c r="E94" i="2"/>
  <c r="E93" i="2"/>
  <c r="E92" i="2"/>
  <c r="E91" i="2"/>
  <c r="E90" i="2"/>
  <c r="E89" i="2"/>
  <c r="E88" i="2"/>
  <c r="E87" i="2"/>
  <c r="E86" i="2"/>
  <c r="I97" i="2" s="1"/>
  <c r="E85" i="2"/>
  <c r="E84" i="2"/>
  <c r="E83" i="2"/>
  <c r="E82" i="2"/>
  <c r="E81" i="2"/>
  <c r="E80" i="2"/>
  <c r="I79" i="2"/>
  <c r="H79" i="2"/>
  <c r="E79" i="2"/>
  <c r="E78" i="2"/>
  <c r="E77" i="2"/>
  <c r="E76" i="2"/>
  <c r="E75" i="2"/>
  <c r="E74" i="2"/>
  <c r="H80" i="2" s="1"/>
  <c r="E73" i="2"/>
  <c r="E72" i="2"/>
  <c r="I80" i="2" s="1"/>
  <c r="E71" i="2"/>
  <c r="E70" i="2"/>
  <c r="E69" i="2"/>
  <c r="E68" i="2"/>
  <c r="E67" i="2"/>
  <c r="E66" i="2"/>
  <c r="E65" i="2"/>
  <c r="E64" i="2"/>
  <c r="E63" i="2"/>
  <c r="E62" i="2"/>
  <c r="I61" i="2"/>
  <c r="H61" i="2"/>
  <c r="E61" i="2"/>
  <c r="E60" i="2"/>
  <c r="E59" i="2"/>
  <c r="E58" i="2"/>
  <c r="E57" i="2"/>
  <c r="E56" i="2"/>
  <c r="E55" i="2"/>
  <c r="E54" i="2"/>
  <c r="I62" i="2" s="1"/>
  <c r="E53" i="2"/>
  <c r="E52" i="2"/>
  <c r="E51" i="2"/>
  <c r="H62" i="2" s="1"/>
  <c r="E50" i="2"/>
  <c r="E49" i="2"/>
  <c r="E48" i="2"/>
  <c r="E47" i="2"/>
  <c r="E46" i="2"/>
  <c r="E45" i="2"/>
  <c r="E44" i="2"/>
  <c r="E43" i="2"/>
  <c r="E42" i="2"/>
  <c r="E41" i="2"/>
  <c r="I40" i="2"/>
  <c r="H40" i="2"/>
  <c r="E40" i="2"/>
  <c r="E39" i="2"/>
  <c r="E38" i="2"/>
  <c r="E37" i="2"/>
  <c r="E36" i="2"/>
  <c r="E35" i="2"/>
  <c r="E34" i="2"/>
  <c r="E33" i="2"/>
  <c r="E32" i="2"/>
  <c r="E31" i="2"/>
  <c r="E30" i="2"/>
  <c r="H41" i="2" s="1"/>
  <c r="E29" i="2"/>
  <c r="I41" i="2" s="1"/>
  <c r="E28" i="2"/>
  <c r="E27" i="2"/>
  <c r="E26" i="2"/>
  <c r="E25" i="2"/>
  <c r="E24" i="2"/>
  <c r="E23" i="2"/>
  <c r="E22" i="2"/>
  <c r="E21" i="2"/>
  <c r="E20" i="2"/>
  <c r="E19" i="2"/>
  <c r="E18" i="2"/>
  <c r="I17" i="2"/>
  <c r="H17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8" i="2" s="1"/>
  <c r="H102" i="1" l="1"/>
  <c r="H83" i="1"/>
  <c r="H119" i="1"/>
  <c r="H40" i="1"/>
  <c r="H64" i="1"/>
  <c r="I18" i="2"/>
  <c r="H97" i="2"/>
</calcChain>
</file>

<file path=xl/sharedStrings.xml><?xml version="1.0" encoding="utf-8"?>
<sst xmlns="http://schemas.openxmlformats.org/spreadsheetml/2006/main" count="582" uniqueCount="27">
  <si>
    <t>Réplica</t>
  </si>
  <si>
    <t>Temperatura de aclimatação</t>
  </si>
  <si>
    <t>Espécie</t>
  </si>
  <si>
    <t>Sexo</t>
  </si>
  <si>
    <t>Peso (g)</t>
  </si>
  <si>
    <t>End Point (°C)</t>
  </si>
  <si>
    <t>Potimirim</t>
  </si>
  <si>
    <t xml:space="preserve">Fêmea </t>
  </si>
  <si>
    <t>Macho</t>
  </si>
  <si>
    <t>CT min</t>
  </si>
  <si>
    <t>n=27</t>
  </si>
  <si>
    <t>Fêmea</t>
  </si>
  <si>
    <t>potimirim</t>
  </si>
  <si>
    <t>média</t>
  </si>
  <si>
    <t>desvpad</t>
  </si>
  <si>
    <t>Neocaridina</t>
  </si>
  <si>
    <t xml:space="preserve">Macho </t>
  </si>
  <si>
    <t>n=22</t>
  </si>
  <si>
    <t>neocaridina</t>
  </si>
  <si>
    <t>Ct min</t>
  </si>
  <si>
    <t>n=21</t>
  </si>
  <si>
    <t>n=14</t>
  </si>
  <si>
    <t>Ct max</t>
  </si>
  <si>
    <t>n=29</t>
  </si>
  <si>
    <t>n=15</t>
  </si>
  <si>
    <t>n=23</t>
  </si>
  <si>
    <t>n=13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</si>
</sst>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7314-BB2A-4B2F-A16B-C633EE616ABB}">
  <dimension ref="A1:I124"/>
  <sheetViews>
    <sheetView workbookViewId="0">
      <selection sqref="A1:XFD1048576"/>
    </sheetView>
  </sheetViews>
  <sheetFormatPr defaultRowHeight="14.4" x14ac:dyDescent="0.3"/>
  <cols>
    <col min="1" max="1" width="16.21875" style="1" customWidth="1"/>
    <col min="2" max="2" width="25" style="1" customWidth="1"/>
    <col min="3" max="3" width="18.33203125" style="1" customWidth="1"/>
    <col min="4" max="4" width="15.21875" style="1" customWidth="1"/>
    <col min="5" max="5" width="8.88671875" style="1"/>
    <col min="6" max="6" width="15.21875" style="1" customWidth="1"/>
    <col min="7" max="7" width="13.33203125" customWidth="1"/>
    <col min="8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3">
      <c r="A2" s="1">
        <v>1</v>
      </c>
      <c r="B2" s="1">
        <v>22</v>
      </c>
      <c r="C2" s="1" t="s">
        <v>6</v>
      </c>
      <c r="D2" s="2" t="s">
        <v>8</v>
      </c>
      <c r="E2" s="1">
        <f>0.5426-0.5156</f>
        <v>2.7000000000000024E-2</v>
      </c>
      <c r="F2" s="1">
        <v>35.4</v>
      </c>
      <c r="G2" s="1"/>
    </row>
    <row r="3" spans="1:9" x14ac:dyDescent="0.3">
      <c r="A3" s="1">
        <v>2</v>
      </c>
      <c r="B3" s="1">
        <v>22</v>
      </c>
      <c r="C3" s="1" t="s">
        <v>6</v>
      </c>
      <c r="D3" s="2" t="s">
        <v>7</v>
      </c>
      <c r="E3" s="1">
        <f>0.5801-0.5238</f>
        <v>5.6299999999999906E-2</v>
      </c>
      <c r="F3" s="1">
        <v>35.6</v>
      </c>
      <c r="G3" s="1"/>
    </row>
    <row r="4" spans="1:9" x14ac:dyDescent="0.3">
      <c r="A4" s="1">
        <v>3</v>
      </c>
      <c r="B4" s="1">
        <v>22</v>
      </c>
      <c r="C4" s="1" t="s">
        <v>6</v>
      </c>
      <c r="D4" s="2" t="s">
        <v>7</v>
      </c>
      <c r="E4" s="1">
        <f>0.5471-0.5261</f>
        <v>2.1000000000000019E-2</v>
      </c>
      <c r="F4" s="1">
        <v>35.700000000000003</v>
      </c>
      <c r="G4" s="1"/>
    </row>
    <row r="5" spans="1:9" x14ac:dyDescent="0.3">
      <c r="A5" s="1">
        <v>4</v>
      </c>
      <c r="B5" s="1">
        <v>22</v>
      </c>
      <c r="C5" s="1" t="s">
        <v>6</v>
      </c>
      <c r="D5" s="2" t="s">
        <v>8</v>
      </c>
      <c r="E5" s="1">
        <f>0.5924-0.5325</f>
        <v>5.9900000000000064E-2</v>
      </c>
      <c r="F5" s="1">
        <v>35.799999999999997</v>
      </c>
      <c r="G5" s="1"/>
    </row>
    <row r="6" spans="1:9" x14ac:dyDescent="0.3">
      <c r="A6" s="1">
        <v>5</v>
      </c>
      <c r="B6" s="1">
        <v>22</v>
      </c>
      <c r="C6" s="1" t="s">
        <v>6</v>
      </c>
      <c r="D6" s="2" t="s">
        <v>8</v>
      </c>
      <c r="E6" s="1">
        <f>0.5947-0.5295</f>
        <v>6.5200000000000036E-2</v>
      </c>
      <c r="F6" s="1">
        <v>35.799999999999997</v>
      </c>
      <c r="G6" s="1"/>
    </row>
    <row r="7" spans="1:9" x14ac:dyDescent="0.3">
      <c r="A7" s="1">
        <v>6</v>
      </c>
      <c r="B7" s="1">
        <v>22</v>
      </c>
      <c r="C7" s="1" t="s">
        <v>6</v>
      </c>
      <c r="D7" s="2" t="s">
        <v>7</v>
      </c>
      <c r="E7" s="1">
        <f>0.5418-0.5258</f>
        <v>1.5999999999999903E-2</v>
      </c>
      <c r="F7" s="1">
        <v>35.9</v>
      </c>
      <c r="G7" s="1"/>
    </row>
    <row r="8" spans="1:9" x14ac:dyDescent="0.3">
      <c r="A8" s="1">
        <v>7</v>
      </c>
      <c r="B8" s="1">
        <v>22</v>
      </c>
      <c r="C8" s="1" t="s">
        <v>6</v>
      </c>
      <c r="D8" s="2" t="s">
        <v>8</v>
      </c>
      <c r="E8" s="1">
        <f>0.6236-0.5442</f>
        <v>7.9400000000000026E-2</v>
      </c>
      <c r="F8" s="1">
        <v>35.9</v>
      </c>
      <c r="G8" s="1"/>
    </row>
    <row r="9" spans="1:9" x14ac:dyDescent="0.3">
      <c r="A9" s="1">
        <v>8</v>
      </c>
      <c r="B9" s="1">
        <v>22</v>
      </c>
      <c r="C9" s="1" t="s">
        <v>6</v>
      </c>
      <c r="D9" s="2" t="s">
        <v>8</v>
      </c>
      <c r="E9" s="1">
        <f>0.5952-0.5418</f>
        <v>5.3400000000000003E-2</v>
      </c>
      <c r="F9" s="1">
        <v>36</v>
      </c>
      <c r="H9" s="1" t="s">
        <v>22</v>
      </c>
      <c r="I9" s="1" t="s">
        <v>23</v>
      </c>
    </row>
    <row r="10" spans="1:9" x14ac:dyDescent="0.3">
      <c r="A10" s="1">
        <v>9</v>
      </c>
      <c r="B10" s="1">
        <v>22</v>
      </c>
      <c r="C10" s="1" t="s">
        <v>6</v>
      </c>
      <c r="D10" s="2" t="s">
        <v>7</v>
      </c>
      <c r="E10" s="1">
        <f>0.5644-0.5411</f>
        <v>2.3299999999999987E-2</v>
      </c>
      <c r="F10" s="1">
        <v>36.1</v>
      </c>
      <c r="H10" s="1" t="s">
        <v>12</v>
      </c>
      <c r="I10" s="1">
        <v>22</v>
      </c>
    </row>
    <row r="11" spans="1:9" x14ac:dyDescent="0.3">
      <c r="A11" s="1">
        <v>10</v>
      </c>
      <c r="B11" s="1">
        <v>22</v>
      </c>
      <c r="C11" s="1" t="s">
        <v>6</v>
      </c>
      <c r="D11" s="2" t="s">
        <v>7</v>
      </c>
      <c r="E11" s="1">
        <f>0.5911-0.544</f>
        <v>4.709999999999992E-2</v>
      </c>
      <c r="F11" s="1">
        <v>36.1</v>
      </c>
      <c r="H11" s="1" t="s">
        <v>13</v>
      </c>
      <c r="I11" s="1" t="s">
        <v>14</v>
      </c>
    </row>
    <row r="12" spans="1:9" x14ac:dyDescent="0.3">
      <c r="A12" s="1">
        <v>11</v>
      </c>
      <c r="B12" s="1">
        <v>22</v>
      </c>
      <c r="C12" s="1" t="s">
        <v>6</v>
      </c>
      <c r="D12" s="2" t="s">
        <v>8</v>
      </c>
      <c r="E12" s="1">
        <f>0.5199-0.4656</f>
        <v>5.4300000000000015E-2</v>
      </c>
      <c r="F12" s="1">
        <v>36.200000000000003</v>
      </c>
      <c r="G12" s="1" t="s">
        <v>5</v>
      </c>
      <c r="H12" s="1">
        <f>AVERAGE(F2:F30)</f>
        <v>36.127586206896552</v>
      </c>
      <c r="I12" s="1">
        <f>STDEV(F2:F30)</f>
        <v>0.44792900563445265</v>
      </c>
    </row>
    <row r="13" spans="1:9" x14ac:dyDescent="0.3">
      <c r="A13" s="1">
        <v>12</v>
      </c>
      <c r="B13" s="1">
        <v>22</v>
      </c>
      <c r="C13" s="1" t="s">
        <v>6</v>
      </c>
      <c r="D13" s="2" t="s">
        <v>8</v>
      </c>
      <c r="E13" s="1">
        <f>0.5412-0.4723</f>
        <v>6.8900000000000017E-2</v>
      </c>
      <c r="F13" s="1">
        <v>36.4</v>
      </c>
      <c r="G13" s="1" t="s">
        <v>4</v>
      </c>
      <c r="H13" s="1">
        <f>AVERAGE(E2:E30)</f>
        <v>4.0796551724137931E-2</v>
      </c>
      <c r="I13" s="1">
        <f>STDEV(E2:E30)</f>
        <v>2.0443501984714244E-2</v>
      </c>
    </row>
    <row r="14" spans="1:9" x14ac:dyDescent="0.3">
      <c r="A14" s="1">
        <v>13</v>
      </c>
      <c r="B14" s="1">
        <v>22</v>
      </c>
      <c r="C14" s="1" t="s">
        <v>6</v>
      </c>
      <c r="D14" s="2" t="s">
        <v>7</v>
      </c>
      <c r="E14" s="1">
        <f>0.4941-0.474</f>
        <v>2.0100000000000007E-2</v>
      </c>
      <c r="F14" s="1">
        <v>36.4</v>
      </c>
      <c r="G14" s="1"/>
    </row>
    <row r="15" spans="1:9" x14ac:dyDescent="0.3">
      <c r="A15" s="1">
        <v>14</v>
      </c>
      <c r="B15" s="1">
        <v>22</v>
      </c>
      <c r="C15" s="1" t="s">
        <v>6</v>
      </c>
      <c r="D15" s="2" t="s">
        <v>8</v>
      </c>
      <c r="E15" s="1">
        <f>0.6823-0.5899</f>
        <v>9.2400000000000038E-2</v>
      </c>
      <c r="F15" s="1">
        <v>35.5</v>
      </c>
      <c r="G15" s="1"/>
    </row>
    <row r="16" spans="1:9" x14ac:dyDescent="0.3">
      <c r="A16" s="1">
        <v>15</v>
      </c>
      <c r="B16" s="1">
        <v>22</v>
      </c>
      <c r="C16" s="1" t="s">
        <v>6</v>
      </c>
      <c r="D16" s="2" t="s">
        <v>7</v>
      </c>
      <c r="E16" s="1">
        <f>0.5186-0.4969</f>
        <v>2.1699999999999942E-2</v>
      </c>
      <c r="F16" s="1">
        <v>35.5</v>
      </c>
      <c r="G16" s="1"/>
    </row>
    <row r="17" spans="1:7" x14ac:dyDescent="0.3">
      <c r="A17" s="1">
        <v>16</v>
      </c>
      <c r="B17" s="1">
        <v>22</v>
      </c>
      <c r="C17" s="1" t="s">
        <v>6</v>
      </c>
      <c r="D17" s="2" t="s">
        <v>7</v>
      </c>
      <c r="E17" s="1">
        <f>0.5244-0.5044</f>
        <v>2.0000000000000018E-2</v>
      </c>
      <c r="F17" s="1">
        <v>35.6</v>
      </c>
      <c r="G17" s="1"/>
    </row>
    <row r="18" spans="1:7" x14ac:dyDescent="0.3">
      <c r="A18" s="1">
        <v>17</v>
      </c>
      <c r="B18" s="1">
        <v>22</v>
      </c>
      <c r="C18" s="1" t="s">
        <v>6</v>
      </c>
      <c r="D18" s="2" t="s">
        <v>8</v>
      </c>
      <c r="E18" s="1">
        <f>0.5578-0.5334</f>
        <v>2.4399999999999977E-2</v>
      </c>
      <c r="F18" s="1">
        <v>35.6</v>
      </c>
      <c r="G18" s="1"/>
    </row>
    <row r="19" spans="1:7" x14ac:dyDescent="0.3">
      <c r="A19" s="1">
        <v>18</v>
      </c>
      <c r="B19" s="1">
        <v>22</v>
      </c>
      <c r="C19" s="1" t="s">
        <v>6</v>
      </c>
      <c r="D19" s="2" t="s">
        <v>7</v>
      </c>
      <c r="E19" s="1">
        <f>0.5266-0.5041</f>
        <v>2.2499999999999964E-2</v>
      </c>
      <c r="F19" s="1">
        <v>35.700000000000003</v>
      </c>
      <c r="G19" s="1"/>
    </row>
    <row r="20" spans="1:7" x14ac:dyDescent="0.3">
      <c r="A20" s="1">
        <v>19</v>
      </c>
      <c r="B20" s="1">
        <v>22</v>
      </c>
      <c r="C20" s="1" t="s">
        <v>6</v>
      </c>
      <c r="D20" s="2" t="s">
        <v>7</v>
      </c>
      <c r="E20" s="1">
        <f>0.7204-0.6897</f>
        <v>3.0700000000000061E-2</v>
      </c>
      <c r="F20" s="1">
        <v>36.4</v>
      </c>
      <c r="G20" s="1"/>
    </row>
    <row r="21" spans="1:7" x14ac:dyDescent="0.3">
      <c r="A21" s="1">
        <v>20</v>
      </c>
      <c r="B21" s="1">
        <v>22</v>
      </c>
      <c r="C21" s="1" t="s">
        <v>6</v>
      </c>
      <c r="D21" s="2" t="s">
        <v>7</v>
      </c>
      <c r="E21" s="1">
        <f>0.5538-0.5207</f>
        <v>3.3099999999999907E-2</v>
      </c>
      <c r="F21" s="1">
        <v>36.4</v>
      </c>
      <c r="G21" s="1"/>
    </row>
    <row r="22" spans="1:7" x14ac:dyDescent="0.3">
      <c r="A22" s="1">
        <v>21</v>
      </c>
      <c r="B22" s="1">
        <v>22</v>
      </c>
      <c r="C22" s="1" t="s">
        <v>6</v>
      </c>
      <c r="D22" s="2" t="s">
        <v>7</v>
      </c>
      <c r="E22" s="1">
        <f>0.5472-0.5222</f>
        <v>2.5000000000000022E-2</v>
      </c>
      <c r="F22" s="1">
        <v>36.5</v>
      </c>
      <c r="G22" s="1"/>
    </row>
    <row r="23" spans="1:7" x14ac:dyDescent="0.3">
      <c r="A23" s="1">
        <v>22</v>
      </c>
      <c r="B23" s="1">
        <v>22</v>
      </c>
      <c r="C23" s="1" t="s">
        <v>6</v>
      </c>
      <c r="D23" s="2" t="s">
        <v>7</v>
      </c>
      <c r="E23" s="1">
        <f>0.7012-0.648</f>
        <v>5.3200000000000025E-2</v>
      </c>
      <c r="F23" s="1">
        <v>36.5</v>
      </c>
      <c r="G23" s="1"/>
    </row>
    <row r="24" spans="1:7" x14ac:dyDescent="0.3">
      <c r="A24" s="1">
        <v>23</v>
      </c>
      <c r="B24" s="1">
        <v>22</v>
      </c>
      <c r="C24" s="1" t="s">
        <v>6</v>
      </c>
      <c r="D24" s="2" t="s">
        <v>7</v>
      </c>
      <c r="E24" s="1">
        <f>0.5291-0.508</f>
        <v>2.1100000000000008E-2</v>
      </c>
      <c r="F24" s="1">
        <v>36.5</v>
      </c>
      <c r="G24" s="1"/>
    </row>
    <row r="25" spans="1:7" x14ac:dyDescent="0.3">
      <c r="A25" s="1">
        <v>24</v>
      </c>
      <c r="B25" s="1">
        <v>22</v>
      </c>
      <c r="C25" s="1" t="s">
        <v>6</v>
      </c>
      <c r="D25" s="2" t="s">
        <v>7</v>
      </c>
      <c r="E25" s="1">
        <f>0.6144-0.5857</f>
        <v>2.8699999999999948E-2</v>
      </c>
      <c r="F25" s="1">
        <v>36.5</v>
      </c>
      <c r="G25" s="1"/>
    </row>
    <row r="26" spans="1:7" x14ac:dyDescent="0.3">
      <c r="A26" s="1">
        <v>25</v>
      </c>
      <c r="B26" s="1">
        <v>22</v>
      </c>
      <c r="C26" s="1" t="s">
        <v>6</v>
      </c>
      <c r="D26" s="2" t="s">
        <v>7</v>
      </c>
      <c r="E26" s="1">
        <f>0.615-0.5908</f>
        <v>2.4199999999999999E-2</v>
      </c>
      <c r="F26" s="1">
        <v>36.6</v>
      </c>
      <c r="G26" s="1"/>
    </row>
    <row r="27" spans="1:7" x14ac:dyDescent="0.3">
      <c r="A27" s="1">
        <v>26</v>
      </c>
      <c r="B27" s="1">
        <v>22</v>
      </c>
      <c r="C27" s="1" t="s">
        <v>6</v>
      </c>
      <c r="D27" s="2" t="s">
        <v>7</v>
      </c>
      <c r="E27" s="1">
        <f>0.6578-0.6068</f>
        <v>5.1000000000000045E-2</v>
      </c>
      <c r="F27" s="1">
        <v>36.700000000000003</v>
      </c>
      <c r="G27" s="1"/>
    </row>
    <row r="28" spans="1:7" x14ac:dyDescent="0.3">
      <c r="A28" s="1">
        <v>27</v>
      </c>
      <c r="B28" s="1">
        <v>22</v>
      </c>
      <c r="C28" s="1" t="s">
        <v>6</v>
      </c>
      <c r="D28" s="2" t="s">
        <v>7</v>
      </c>
      <c r="E28" s="1">
        <f>0.5611-0.5174</f>
        <v>4.3700000000000072E-2</v>
      </c>
      <c r="F28" s="1">
        <v>36.799999999999997</v>
      </c>
      <c r="G28" s="1"/>
    </row>
    <row r="29" spans="1:7" x14ac:dyDescent="0.3">
      <c r="A29" s="1">
        <v>28</v>
      </c>
      <c r="B29" s="1">
        <v>22</v>
      </c>
      <c r="C29" s="1" t="s">
        <v>6</v>
      </c>
      <c r="D29" s="2" t="s">
        <v>8</v>
      </c>
      <c r="E29" s="1">
        <f>0.5875-0.5278</f>
        <v>5.9699999999999975E-2</v>
      </c>
      <c r="F29" s="1">
        <v>36.799999999999997</v>
      </c>
      <c r="G29" s="1"/>
    </row>
    <row r="30" spans="1:7" x14ac:dyDescent="0.3">
      <c r="A30" s="1">
        <v>29</v>
      </c>
      <c r="B30" s="1">
        <v>22</v>
      </c>
      <c r="C30" s="1" t="s">
        <v>6</v>
      </c>
      <c r="D30" s="2" t="s">
        <v>7</v>
      </c>
      <c r="E30" s="1">
        <f>0.6298-0.59</f>
        <v>3.9800000000000058E-2</v>
      </c>
      <c r="F30" s="1">
        <v>36.799999999999997</v>
      </c>
      <c r="G30" s="1"/>
    </row>
    <row r="31" spans="1:7" x14ac:dyDescent="0.3">
      <c r="A31" s="1">
        <v>1</v>
      </c>
      <c r="B31" s="1">
        <v>22</v>
      </c>
      <c r="C31" s="1" t="s">
        <v>15</v>
      </c>
      <c r="D31" s="2" t="s">
        <v>7</v>
      </c>
      <c r="E31" s="1">
        <f>0.5603-0.5344</f>
        <v>2.5900000000000034E-2</v>
      </c>
      <c r="F31" s="1">
        <v>38.1</v>
      </c>
      <c r="G31" s="1"/>
    </row>
    <row r="32" spans="1:7" x14ac:dyDescent="0.3">
      <c r="A32" s="1">
        <v>2</v>
      </c>
      <c r="B32" s="1">
        <v>22</v>
      </c>
      <c r="C32" s="1" t="s">
        <v>15</v>
      </c>
      <c r="D32" s="2" t="s">
        <v>7</v>
      </c>
      <c r="E32" s="1">
        <f>0.56-0.5341</f>
        <v>2.5900000000000034E-2</v>
      </c>
      <c r="F32" s="1">
        <v>38.5</v>
      </c>
      <c r="G32" s="1"/>
    </row>
    <row r="33" spans="1:9" x14ac:dyDescent="0.3">
      <c r="A33" s="1">
        <v>3</v>
      </c>
      <c r="B33" s="1">
        <v>22</v>
      </c>
      <c r="C33" s="1" t="s">
        <v>15</v>
      </c>
      <c r="D33" s="2" t="s">
        <v>8</v>
      </c>
      <c r="E33" s="1">
        <f>0.5811-0.5453</f>
        <v>3.5799999999999943E-2</v>
      </c>
      <c r="F33" s="1">
        <v>38.700000000000003</v>
      </c>
      <c r="G33" s="1"/>
    </row>
    <row r="34" spans="1:9" x14ac:dyDescent="0.3">
      <c r="A34" s="1">
        <v>4</v>
      </c>
      <c r="B34" s="1">
        <v>22</v>
      </c>
      <c r="C34" s="1" t="s">
        <v>15</v>
      </c>
      <c r="D34" s="2" t="s">
        <v>7</v>
      </c>
      <c r="E34" s="1">
        <f>0.5781-0.5447</f>
        <v>3.3399999999999985E-2</v>
      </c>
      <c r="F34" s="1">
        <v>39.1</v>
      </c>
      <c r="G34" s="1"/>
    </row>
    <row r="35" spans="1:9" x14ac:dyDescent="0.3">
      <c r="A35" s="1">
        <v>5</v>
      </c>
      <c r="B35" s="1">
        <v>22</v>
      </c>
      <c r="C35" s="1" t="s">
        <v>15</v>
      </c>
      <c r="D35" s="2" t="s">
        <v>7</v>
      </c>
      <c r="E35" s="1">
        <f>0.5847-0.5467</f>
        <v>3.8000000000000034E-2</v>
      </c>
      <c r="F35" s="1">
        <v>38.6</v>
      </c>
      <c r="G35" s="1"/>
    </row>
    <row r="36" spans="1:9" x14ac:dyDescent="0.3">
      <c r="A36" s="1">
        <v>6</v>
      </c>
      <c r="B36" s="1">
        <v>22</v>
      </c>
      <c r="C36" s="1" t="s">
        <v>15</v>
      </c>
      <c r="D36" s="2" t="s">
        <v>11</v>
      </c>
      <c r="E36" s="1">
        <f>0.5601-0.5442</f>
        <v>1.5900000000000025E-2</v>
      </c>
      <c r="F36" s="1">
        <v>38.9</v>
      </c>
      <c r="H36" s="1" t="s">
        <v>22</v>
      </c>
      <c r="I36" s="1" t="s">
        <v>17</v>
      </c>
    </row>
    <row r="37" spans="1:9" x14ac:dyDescent="0.3">
      <c r="A37" s="1">
        <v>7</v>
      </c>
      <c r="B37" s="1">
        <v>22</v>
      </c>
      <c r="C37" s="1" t="s">
        <v>15</v>
      </c>
      <c r="D37" s="2" t="s">
        <v>8</v>
      </c>
      <c r="E37" s="1">
        <f>0.6019-0.5542</f>
        <v>4.7699999999999965E-2</v>
      </c>
      <c r="F37" s="1">
        <v>39</v>
      </c>
      <c r="H37" s="1" t="s">
        <v>18</v>
      </c>
      <c r="I37" s="1">
        <v>22</v>
      </c>
    </row>
    <row r="38" spans="1:9" x14ac:dyDescent="0.3">
      <c r="A38" s="1">
        <v>8</v>
      </c>
      <c r="B38" s="1">
        <v>22</v>
      </c>
      <c r="C38" s="1" t="s">
        <v>15</v>
      </c>
      <c r="D38" s="2" t="s">
        <v>11</v>
      </c>
      <c r="E38" s="1">
        <f>0.637-0.6073</f>
        <v>2.970000000000006E-2</v>
      </c>
      <c r="F38" s="1">
        <v>39</v>
      </c>
      <c r="H38" s="1" t="s">
        <v>13</v>
      </c>
      <c r="I38" s="1" t="s">
        <v>14</v>
      </c>
    </row>
    <row r="39" spans="1:9" x14ac:dyDescent="0.3">
      <c r="A39" s="1">
        <v>9</v>
      </c>
      <c r="B39" s="1">
        <v>22</v>
      </c>
      <c r="C39" s="1" t="s">
        <v>15</v>
      </c>
      <c r="D39" s="2" t="s">
        <v>11</v>
      </c>
      <c r="E39" s="1">
        <f>0.6587-0.6107</f>
        <v>4.7999999999999932E-2</v>
      </c>
      <c r="F39" s="1">
        <v>39</v>
      </c>
      <c r="G39" s="1" t="s">
        <v>5</v>
      </c>
      <c r="H39" s="1">
        <f>AVERAGE(F31:F52)</f>
        <v>38.650000000000006</v>
      </c>
      <c r="I39" s="1">
        <f>STDEV(F31:F52)</f>
        <v>0.33487737627802944</v>
      </c>
    </row>
    <row r="40" spans="1:9" x14ac:dyDescent="0.3">
      <c r="A40" s="1">
        <v>10</v>
      </c>
      <c r="B40" s="1">
        <v>22</v>
      </c>
      <c r="C40" s="1" t="s">
        <v>15</v>
      </c>
      <c r="D40" s="2" t="s">
        <v>16</v>
      </c>
      <c r="E40" s="1">
        <f>0.6734-0.6442</f>
        <v>2.9200000000000004E-2</v>
      </c>
      <c r="F40" s="1">
        <v>39</v>
      </c>
      <c r="G40" s="1" t="s">
        <v>4</v>
      </c>
      <c r="H40" s="1">
        <f>AVERAGE(E31:E52)</f>
        <v>3.7168181818181815E-2</v>
      </c>
      <c r="I40" s="1">
        <f>STDEV(E31:E52)</f>
        <v>1.040322231964856E-2</v>
      </c>
    </row>
    <row r="41" spans="1:9" x14ac:dyDescent="0.3">
      <c r="A41" s="1">
        <v>11</v>
      </c>
      <c r="B41" s="1">
        <v>22</v>
      </c>
      <c r="C41" s="1" t="s">
        <v>15</v>
      </c>
      <c r="D41" s="2" t="s">
        <v>16</v>
      </c>
      <c r="E41" s="1">
        <f>0.6852-0.6384</f>
        <v>4.6800000000000064E-2</v>
      </c>
      <c r="F41" s="1">
        <v>39</v>
      </c>
      <c r="G41" s="1"/>
    </row>
    <row r="42" spans="1:9" x14ac:dyDescent="0.3">
      <c r="A42" s="1">
        <v>12</v>
      </c>
      <c r="B42" s="1">
        <v>22</v>
      </c>
      <c r="C42" s="1" t="s">
        <v>15</v>
      </c>
      <c r="D42" s="2" t="s">
        <v>11</v>
      </c>
      <c r="E42" s="1">
        <f>0.6851-0.6322</f>
        <v>5.2900000000000058E-2</v>
      </c>
      <c r="F42" s="1">
        <v>39</v>
      </c>
      <c r="G42" s="1"/>
    </row>
    <row r="43" spans="1:9" x14ac:dyDescent="0.3">
      <c r="A43" s="1">
        <v>13</v>
      </c>
      <c r="B43" s="1">
        <v>22</v>
      </c>
      <c r="C43" s="1" t="s">
        <v>15</v>
      </c>
      <c r="D43" s="2" t="s">
        <v>16</v>
      </c>
      <c r="E43" s="1">
        <f>0.7023-0.6664</f>
        <v>3.5900000000000043E-2</v>
      </c>
      <c r="F43" s="1">
        <v>39</v>
      </c>
      <c r="G43" s="1"/>
    </row>
    <row r="44" spans="1:9" x14ac:dyDescent="0.3">
      <c r="A44" s="1">
        <v>14</v>
      </c>
      <c r="B44" s="1">
        <v>22</v>
      </c>
      <c r="C44" s="1" t="s">
        <v>15</v>
      </c>
      <c r="D44" s="2" t="s">
        <v>16</v>
      </c>
      <c r="E44" s="1">
        <f>0.5125-0.4695</f>
        <v>4.2999999999999983E-2</v>
      </c>
      <c r="F44" s="1">
        <v>38.200000000000003</v>
      </c>
      <c r="G44" s="1"/>
    </row>
    <row r="45" spans="1:9" x14ac:dyDescent="0.3">
      <c r="A45" s="1">
        <v>15</v>
      </c>
      <c r="B45" s="1">
        <v>22</v>
      </c>
      <c r="C45" s="1" t="s">
        <v>15</v>
      </c>
      <c r="D45" s="2" t="s">
        <v>11</v>
      </c>
      <c r="E45" s="1">
        <f>0.5546-0.5016</f>
        <v>5.2999999999999936E-2</v>
      </c>
      <c r="F45" s="1">
        <v>38.200000000000003</v>
      </c>
      <c r="G45" s="1"/>
    </row>
    <row r="46" spans="1:9" x14ac:dyDescent="0.3">
      <c r="A46" s="1">
        <v>16</v>
      </c>
      <c r="B46" s="1">
        <v>22</v>
      </c>
      <c r="C46" s="1" t="s">
        <v>15</v>
      </c>
      <c r="D46" s="2" t="s">
        <v>11</v>
      </c>
      <c r="E46" s="1">
        <f>0.5637-0.5209</f>
        <v>4.2799999999999949E-2</v>
      </c>
      <c r="F46" s="1">
        <v>38.200000000000003</v>
      </c>
      <c r="G46" s="1"/>
    </row>
    <row r="47" spans="1:9" x14ac:dyDescent="0.3">
      <c r="A47" s="1">
        <v>17</v>
      </c>
      <c r="B47" s="1">
        <v>22</v>
      </c>
      <c r="C47" s="1" t="s">
        <v>15</v>
      </c>
      <c r="D47" s="2" t="s">
        <v>7</v>
      </c>
      <c r="E47" s="1">
        <f>0.5882-0.5501</f>
        <v>3.8099999999999912E-2</v>
      </c>
      <c r="F47" s="1">
        <v>38.299999999999997</v>
      </c>
      <c r="G47" s="1"/>
    </row>
    <row r="48" spans="1:9" x14ac:dyDescent="0.3">
      <c r="A48" s="1">
        <v>18</v>
      </c>
      <c r="B48" s="1">
        <v>22</v>
      </c>
      <c r="C48" s="1" t="s">
        <v>15</v>
      </c>
      <c r="D48" s="2" t="s">
        <v>16</v>
      </c>
      <c r="E48" s="1">
        <f>0.5427-0.5201</f>
        <v>2.2599999999999953E-2</v>
      </c>
      <c r="F48" s="1">
        <v>38.4</v>
      </c>
      <c r="G48" s="1"/>
    </row>
    <row r="49" spans="1:9" x14ac:dyDescent="0.3">
      <c r="A49" s="1">
        <v>19</v>
      </c>
      <c r="B49" s="1">
        <v>22</v>
      </c>
      <c r="C49" s="1" t="s">
        <v>15</v>
      </c>
      <c r="D49" s="2" t="s">
        <v>16</v>
      </c>
      <c r="E49" s="1">
        <f>0.5865-0.5421</f>
        <v>4.4399999999999995E-2</v>
      </c>
      <c r="F49" s="1">
        <v>38.4</v>
      </c>
      <c r="G49" s="1"/>
    </row>
    <row r="50" spans="1:9" x14ac:dyDescent="0.3">
      <c r="A50" s="1">
        <v>20</v>
      </c>
      <c r="B50" s="1">
        <v>22</v>
      </c>
      <c r="C50" s="1" t="s">
        <v>15</v>
      </c>
      <c r="D50" s="2" t="s">
        <v>7</v>
      </c>
      <c r="E50" s="1">
        <f>0.5522-0.5265</f>
        <v>2.5700000000000056E-2</v>
      </c>
      <c r="F50" s="1">
        <v>38.5</v>
      </c>
      <c r="G50" s="1"/>
    </row>
    <row r="51" spans="1:9" x14ac:dyDescent="0.3">
      <c r="A51" s="1">
        <v>21</v>
      </c>
      <c r="B51" s="1">
        <v>22</v>
      </c>
      <c r="C51" s="1" t="s">
        <v>15</v>
      </c>
      <c r="D51" s="2" t="s">
        <v>16</v>
      </c>
      <c r="E51" s="1">
        <f>0.5763-0.5422</f>
        <v>3.4100000000000019E-2</v>
      </c>
      <c r="F51" s="1">
        <v>38.5</v>
      </c>
      <c r="G51" s="1"/>
    </row>
    <row r="52" spans="1:9" x14ac:dyDescent="0.3">
      <c r="A52" s="1">
        <v>22</v>
      </c>
      <c r="B52" s="1">
        <v>22</v>
      </c>
      <c r="C52" s="1" t="s">
        <v>15</v>
      </c>
      <c r="D52" s="2" t="s">
        <v>7</v>
      </c>
      <c r="E52" s="1">
        <f>0.6039-0.555</f>
        <v>4.8899999999999944E-2</v>
      </c>
      <c r="F52" s="1">
        <v>38.700000000000003</v>
      </c>
      <c r="G52" s="1"/>
    </row>
    <row r="53" spans="1:9" x14ac:dyDescent="0.3">
      <c r="A53" s="1">
        <v>1</v>
      </c>
      <c r="B53" s="1">
        <v>27</v>
      </c>
      <c r="C53" s="1" t="s">
        <v>6</v>
      </c>
      <c r="D53" s="2" t="s">
        <v>8</v>
      </c>
      <c r="E53" s="1">
        <f>0.5213-0.4625</f>
        <v>5.8799999999999963E-2</v>
      </c>
      <c r="F53" s="1">
        <v>36.700000000000003</v>
      </c>
      <c r="G53" s="1"/>
    </row>
    <row r="54" spans="1:9" x14ac:dyDescent="0.3">
      <c r="A54" s="1">
        <v>2</v>
      </c>
      <c r="B54" s="1">
        <v>27</v>
      </c>
      <c r="C54" s="1" t="s">
        <v>6</v>
      </c>
      <c r="D54" s="2" t="s">
        <v>8</v>
      </c>
      <c r="E54" s="1">
        <f>0.524-0.4685</f>
        <v>5.5499999999999994E-2</v>
      </c>
      <c r="F54" s="1">
        <v>37</v>
      </c>
      <c r="G54" s="1"/>
    </row>
    <row r="55" spans="1:9" x14ac:dyDescent="0.3">
      <c r="A55" s="1">
        <v>3</v>
      </c>
      <c r="B55" s="1">
        <v>27</v>
      </c>
      <c r="C55" s="1" t="s">
        <v>6</v>
      </c>
      <c r="D55" s="2" t="s">
        <v>7</v>
      </c>
      <c r="E55" s="1">
        <f>0.4962-0.4689</f>
        <v>2.7299999999999991E-2</v>
      </c>
      <c r="F55" s="1">
        <v>37.799999999999997</v>
      </c>
      <c r="G55" s="1"/>
    </row>
    <row r="56" spans="1:9" x14ac:dyDescent="0.3">
      <c r="A56" s="1">
        <v>4</v>
      </c>
      <c r="B56" s="1">
        <v>27</v>
      </c>
      <c r="C56" s="1" t="s">
        <v>6</v>
      </c>
      <c r="D56" s="2" t="s">
        <v>7</v>
      </c>
      <c r="E56" s="1">
        <f>0.5434-0.5247</f>
        <v>1.8699999999999939E-2</v>
      </c>
      <c r="F56" s="1">
        <v>37.4</v>
      </c>
      <c r="G56" s="1"/>
    </row>
    <row r="57" spans="1:9" x14ac:dyDescent="0.3">
      <c r="A57" s="1">
        <v>5</v>
      </c>
      <c r="B57" s="1">
        <v>27</v>
      </c>
      <c r="C57" s="1" t="s">
        <v>6</v>
      </c>
      <c r="D57" s="2" t="s">
        <v>7</v>
      </c>
      <c r="E57" s="1">
        <f>0.5563-0.5372</f>
        <v>1.9100000000000006E-2</v>
      </c>
      <c r="F57" s="1">
        <v>37.4</v>
      </c>
    </row>
    <row r="58" spans="1:9" x14ac:dyDescent="0.3">
      <c r="A58" s="1">
        <v>6</v>
      </c>
      <c r="B58" s="1">
        <v>27</v>
      </c>
      <c r="C58" s="1" t="s">
        <v>6</v>
      </c>
      <c r="D58" s="2" t="s">
        <v>7</v>
      </c>
      <c r="E58" s="1">
        <f>0.511-0.4914</f>
        <v>1.9600000000000006E-2</v>
      </c>
      <c r="F58" s="1">
        <v>37.4</v>
      </c>
    </row>
    <row r="59" spans="1:9" x14ac:dyDescent="0.3">
      <c r="A59" s="1">
        <v>7</v>
      </c>
      <c r="B59" s="1">
        <v>27</v>
      </c>
      <c r="C59" s="1" t="s">
        <v>6</v>
      </c>
      <c r="D59" s="2" t="s">
        <v>7</v>
      </c>
      <c r="E59" s="1">
        <f>0.5332-0.5062</f>
        <v>2.7000000000000024E-2</v>
      </c>
      <c r="F59" s="1">
        <v>37.4</v>
      </c>
    </row>
    <row r="60" spans="1:9" x14ac:dyDescent="0.3">
      <c r="A60" s="1">
        <v>8</v>
      </c>
      <c r="B60" s="1">
        <v>27</v>
      </c>
      <c r="C60" s="1" t="s">
        <v>6</v>
      </c>
      <c r="D60" s="2" t="s">
        <v>7</v>
      </c>
      <c r="E60" s="1">
        <f>0.4932-0.4729</f>
        <v>2.030000000000004E-2</v>
      </c>
      <c r="F60" s="1">
        <v>37.4</v>
      </c>
      <c r="H60" s="1" t="s">
        <v>22</v>
      </c>
      <c r="I60" s="1" t="s">
        <v>20</v>
      </c>
    </row>
    <row r="61" spans="1:9" x14ac:dyDescent="0.3">
      <c r="A61" s="1">
        <v>9</v>
      </c>
      <c r="B61" s="1">
        <v>27</v>
      </c>
      <c r="C61" s="1" t="s">
        <v>6</v>
      </c>
      <c r="D61" s="2" t="s">
        <v>7</v>
      </c>
      <c r="E61" s="1">
        <f>0.5007-0.4847</f>
        <v>1.6000000000000014E-2</v>
      </c>
      <c r="F61" s="1">
        <v>37.5</v>
      </c>
      <c r="H61" s="1" t="s">
        <v>12</v>
      </c>
      <c r="I61" s="1">
        <v>27</v>
      </c>
    </row>
    <row r="62" spans="1:9" x14ac:dyDescent="0.3">
      <c r="A62" s="1">
        <v>10</v>
      </c>
      <c r="B62" s="1">
        <v>27</v>
      </c>
      <c r="C62" s="1" t="s">
        <v>6</v>
      </c>
      <c r="D62" s="2" t="s">
        <v>7</v>
      </c>
      <c r="E62" s="1">
        <f>0.5655-0.542</f>
        <v>2.3499999999999965E-2</v>
      </c>
      <c r="F62" s="1">
        <v>37.6</v>
      </c>
      <c r="H62" s="1" t="s">
        <v>13</v>
      </c>
      <c r="I62" s="1" t="s">
        <v>14</v>
      </c>
    </row>
    <row r="63" spans="1:9" x14ac:dyDescent="0.3">
      <c r="A63" s="1">
        <v>11</v>
      </c>
      <c r="B63" s="1">
        <v>27</v>
      </c>
      <c r="C63" s="1" t="s">
        <v>6</v>
      </c>
      <c r="D63" s="2" t="s">
        <v>7</v>
      </c>
      <c r="E63" s="1">
        <f>0.5548-0.529</f>
        <v>2.5799999999999934E-2</v>
      </c>
      <c r="F63" s="1">
        <v>37.799999999999997</v>
      </c>
      <c r="G63" s="1" t="s">
        <v>5</v>
      </c>
      <c r="H63" s="1">
        <f>AVERAGE(F53:F73)</f>
        <v>37.642857142857132</v>
      </c>
      <c r="I63" s="1">
        <f>STDEV(F53:F73)</f>
        <v>0.378908205996423</v>
      </c>
    </row>
    <row r="64" spans="1:9" x14ac:dyDescent="0.3">
      <c r="A64" s="1">
        <v>12</v>
      </c>
      <c r="B64" s="1">
        <v>27</v>
      </c>
      <c r="C64" s="1" t="s">
        <v>6</v>
      </c>
      <c r="D64" s="2" t="s">
        <v>7</v>
      </c>
      <c r="E64" s="1">
        <f>0.5463-0.5375</f>
        <v>8.80000000000003E-3</v>
      </c>
      <c r="F64" s="1">
        <v>37.799999999999997</v>
      </c>
      <c r="G64" s="1" t="s">
        <v>4</v>
      </c>
      <c r="H64" s="1">
        <f>AVERAGE(E53:E73)</f>
        <v>2.692857142857143E-2</v>
      </c>
      <c r="I64" s="1">
        <f>STDEV(E53:E73)</f>
        <v>1.3733504390982764E-2</v>
      </c>
    </row>
    <row r="65" spans="1:9" x14ac:dyDescent="0.3">
      <c r="A65" s="1">
        <v>13</v>
      </c>
      <c r="B65" s="1">
        <v>27</v>
      </c>
      <c r="C65" s="1" t="s">
        <v>6</v>
      </c>
      <c r="D65" s="2" t="s">
        <v>7</v>
      </c>
      <c r="E65" s="1">
        <f>0.5762-0.5423</f>
        <v>3.3900000000000041E-2</v>
      </c>
      <c r="F65" s="1">
        <v>37.799999999999997</v>
      </c>
      <c r="G65" s="1"/>
    </row>
    <row r="66" spans="1:9" x14ac:dyDescent="0.3">
      <c r="A66" s="1">
        <v>14</v>
      </c>
      <c r="B66" s="1">
        <v>27</v>
      </c>
      <c r="C66" s="1" t="s">
        <v>6</v>
      </c>
      <c r="D66" s="2" t="s">
        <v>7</v>
      </c>
      <c r="E66" s="1">
        <f>0.5264-0.5013</f>
        <v>2.5100000000000011E-2</v>
      </c>
      <c r="F66" s="1">
        <v>37.799999999999997</v>
      </c>
      <c r="G66" s="1"/>
    </row>
    <row r="67" spans="1:9" x14ac:dyDescent="0.3">
      <c r="A67" s="1">
        <v>15</v>
      </c>
      <c r="B67" s="1">
        <v>27</v>
      </c>
      <c r="C67" s="1" t="s">
        <v>6</v>
      </c>
      <c r="D67" s="2" t="s">
        <v>7</v>
      </c>
      <c r="E67" s="1">
        <f>0.5341-0.5084</f>
        <v>2.5700000000000056E-2</v>
      </c>
      <c r="F67" s="1">
        <v>37.799999999999997</v>
      </c>
      <c r="G67" s="1"/>
    </row>
    <row r="68" spans="1:9" x14ac:dyDescent="0.3">
      <c r="A68" s="1">
        <v>16</v>
      </c>
      <c r="B68" s="1">
        <v>27</v>
      </c>
      <c r="C68" s="1" t="s">
        <v>6</v>
      </c>
      <c r="D68" s="2" t="s">
        <v>7</v>
      </c>
      <c r="E68" s="1">
        <f>0.498-0.4763</f>
        <v>2.1699999999999997E-2</v>
      </c>
      <c r="F68" s="1">
        <v>37.799999999999997</v>
      </c>
      <c r="G68" s="1"/>
    </row>
    <row r="69" spans="1:9" x14ac:dyDescent="0.3">
      <c r="A69" s="1">
        <v>17</v>
      </c>
      <c r="B69" s="1">
        <v>27</v>
      </c>
      <c r="C69" s="1" t="s">
        <v>6</v>
      </c>
      <c r="D69" s="2" t="s">
        <v>8</v>
      </c>
      <c r="E69" s="1">
        <f>0.5477-0.49</f>
        <v>5.7699999999999974E-2</v>
      </c>
      <c r="F69" s="1">
        <v>37.799999999999997</v>
      </c>
      <c r="G69" s="1"/>
    </row>
    <row r="70" spans="1:9" x14ac:dyDescent="0.3">
      <c r="A70" s="1">
        <v>18</v>
      </c>
      <c r="B70" s="1">
        <v>27</v>
      </c>
      <c r="C70" s="1" t="s">
        <v>6</v>
      </c>
      <c r="D70" s="2" t="s">
        <v>7</v>
      </c>
      <c r="E70" s="1">
        <f>0.5094-0.4891</f>
        <v>2.0299999999999985E-2</v>
      </c>
      <c r="F70" s="1">
        <v>37.799999999999997</v>
      </c>
      <c r="G70" s="1"/>
    </row>
    <row r="71" spans="1:9" x14ac:dyDescent="0.3">
      <c r="A71" s="1">
        <v>19</v>
      </c>
      <c r="B71" s="1">
        <v>27</v>
      </c>
      <c r="C71" s="1" t="s">
        <v>6</v>
      </c>
      <c r="D71" s="2" t="s">
        <v>7</v>
      </c>
      <c r="E71" s="1">
        <f>0.535-0.51</f>
        <v>2.5000000000000022E-2</v>
      </c>
      <c r="F71" s="1">
        <v>37.799999999999997</v>
      </c>
      <c r="G71" s="1"/>
    </row>
    <row r="72" spans="1:9" x14ac:dyDescent="0.3">
      <c r="A72" s="1">
        <v>20</v>
      </c>
      <c r="B72" s="1">
        <v>27</v>
      </c>
      <c r="C72" s="1" t="s">
        <v>6</v>
      </c>
      <c r="D72" s="2" t="s">
        <v>8</v>
      </c>
      <c r="E72" s="1">
        <f>0.5358-0.5155</f>
        <v>2.0300000000000096E-2</v>
      </c>
      <c r="F72" s="1">
        <v>38.299999999999997</v>
      </c>
      <c r="G72" s="1"/>
    </row>
    <row r="73" spans="1:9" x14ac:dyDescent="0.3">
      <c r="A73" s="1">
        <v>21</v>
      </c>
      <c r="B73" s="1">
        <v>27</v>
      </c>
      <c r="C73" s="1" t="s">
        <v>6</v>
      </c>
      <c r="D73" s="2" t="s">
        <v>7</v>
      </c>
      <c r="E73" s="1">
        <f>0.4876-0.4722</f>
        <v>1.5399999999999969E-2</v>
      </c>
      <c r="F73" s="1">
        <v>38.4</v>
      </c>
      <c r="G73" s="1"/>
    </row>
    <row r="74" spans="1:9" x14ac:dyDescent="0.3">
      <c r="A74" s="1">
        <v>1</v>
      </c>
      <c r="B74" s="1">
        <v>27</v>
      </c>
      <c r="C74" s="1" t="s">
        <v>15</v>
      </c>
      <c r="D74" s="2" t="s">
        <v>11</v>
      </c>
      <c r="E74" s="1">
        <f>0.5891-0.5445</f>
        <v>4.4599999999999973E-2</v>
      </c>
      <c r="F74" s="1">
        <v>39.6</v>
      </c>
      <c r="G74" s="1"/>
    </row>
    <row r="75" spans="1:9" x14ac:dyDescent="0.3">
      <c r="A75" s="1">
        <v>2</v>
      </c>
      <c r="B75" s="1">
        <v>27</v>
      </c>
      <c r="C75" s="1" t="s">
        <v>15</v>
      </c>
      <c r="D75" s="2" t="s">
        <v>16</v>
      </c>
      <c r="E75" s="1">
        <f>0.5877-0.5449</f>
        <v>4.2799999999999949E-2</v>
      </c>
      <c r="F75" s="1">
        <v>39.700000000000003</v>
      </c>
    </row>
    <row r="76" spans="1:9" x14ac:dyDescent="0.3">
      <c r="A76" s="1">
        <v>3</v>
      </c>
      <c r="B76" s="1">
        <v>27</v>
      </c>
      <c r="C76" s="1" t="s">
        <v>15</v>
      </c>
      <c r="D76" s="2" t="s">
        <v>16</v>
      </c>
      <c r="E76" s="1">
        <f>0.5697-0.5454</f>
        <v>2.4299999999999988E-2</v>
      </c>
      <c r="F76" s="1">
        <v>39.799999999999997</v>
      </c>
    </row>
    <row r="77" spans="1:9" x14ac:dyDescent="0.3">
      <c r="A77" s="1">
        <v>4</v>
      </c>
      <c r="B77" s="1">
        <v>27</v>
      </c>
      <c r="C77" s="1" t="s">
        <v>15</v>
      </c>
      <c r="D77" s="2" t="s">
        <v>16</v>
      </c>
      <c r="E77" s="1">
        <f>0.5833-0.5451</f>
        <v>3.8200000000000012E-2</v>
      </c>
      <c r="F77" s="1">
        <v>39.799999999999997</v>
      </c>
    </row>
    <row r="78" spans="1:9" x14ac:dyDescent="0.3">
      <c r="A78" s="1">
        <v>5</v>
      </c>
      <c r="B78" s="1">
        <v>27</v>
      </c>
      <c r="C78" s="1" t="s">
        <v>15</v>
      </c>
      <c r="D78" s="2" t="s">
        <v>16</v>
      </c>
      <c r="E78" s="1">
        <f>0.5744-0.546</f>
        <v>2.8399999999999981E-2</v>
      </c>
      <c r="F78" s="1">
        <v>40</v>
      </c>
      <c r="G78" s="1"/>
    </row>
    <row r="79" spans="1:9" x14ac:dyDescent="0.3">
      <c r="A79" s="1">
        <v>6</v>
      </c>
      <c r="B79" s="1">
        <v>27</v>
      </c>
      <c r="C79" s="1" t="s">
        <v>15</v>
      </c>
      <c r="D79" s="2" t="s">
        <v>16</v>
      </c>
      <c r="E79" s="1">
        <f>0.585-0.5459</f>
        <v>3.9099999999999913E-2</v>
      </c>
      <c r="F79" s="1">
        <v>40.1</v>
      </c>
      <c r="H79" s="1" t="s">
        <v>22</v>
      </c>
      <c r="I79" s="1" t="s">
        <v>24</v>
      </c>
    </row>
    <row r="80" spans="1:9" x14ac:dyDescent="0.3">
      <c r="A80" s="1">
        <v>7</v>
      </c>
      <c r="B80" s="1">
        <v>27</v>
      </c>
      <c r="C80" s="1" t="s">
        <v>15</v>
      </c>
      <c r="D80" s="2" t="s">
        <v>16</v>
      </c>
      <c r="E80" s="1">
        <f>0.5837-0.549</f>
        <v>3.4699999999999953E-2</v>
      </c>
      <c r="F80" s="1">
        <v>40.1</v>
      </c>
      <c r="H80" s="1" t="s">
        <v>18</v>
      </c>
      <c r="I80" s="1">
        <v>27</v>
      </c>
    </row>
    <row r="81" spans="1:9" x14ac:dyDescent="0.3">
      <c r="A81" s="1">
        <v>8</v>
      </c>
      <c r="B81" s="1">
        <v>27</v>
      </c>
      <c r="C81" s="1" t="s">
        <v>15</v>
      </c>
      <c r="D81" s="2" t="s">
        <v>7</v>
      </c>
      <c r="E81" s="1">
        <f>0.5876-0.5479</f>
        <v>3.9699999999999958E-2</v>
      </c>
      <c r="F81" s="1">
        <v>40.200000000000003</v>
      </c>
      <c r="H81" s="1" t="s">
        <v>13</v>
      </c>
      <c r="I81" s="1" t="s">
        <v>14</v>
      </c>
    </row>
    <row r="82" spans="1:9" x14ac:dyDescent="0.3">
      <c r="A82" s="1">
        <v>9</v>
      </c>
      <c r="B82" s="1">
        <v>27</v>
      </c>
      <c r="C82" s="1" t="s">
        <v>15</v>
      </c>
      <c r="D82" s="2" t="s">
        <v>16</v>
      </c>
      <c r="E82" s="1">
        <f>0.5812-0.547</f>
        <v>3.4200000000000008E-2</v>
      </c>
      <c r="F82" s="1">
        <v>40.200000000000003</v>
      </c>
      <c r="G82" s="1" t="s">
        <v>5</v>
      </c>
      <c r="H82" s="1">
        <f>AVERAGE(F74:F88)</f>
        <v>40.019999999999996</v>
      </c>
      <c r="I82" s="1">
        <f>STDEV(F74:F88)</f>
        <v>0.21111946516469893</v>
      </c>
    </row>
    <row r="83" spans="1:9" x14ac:dyDescent="0.3">
      <c r="A83" s="1">
        <v>10</v>
      </c>
      <c r="B83" s="1">
        <v>27</v>
      </c>
      <c r="C83" s="1" t="s">
        <v>15</v>
      </c>
      <c r="D83" s="2" t="s">
        <v>11</v>
      </c>
      <c r="E83" s="1">
        <f>0.6179-0.555</f>
        <v>6.2899999999999956E-2</v>
      </c>
      <c r="F83" s="1">
        <v>40</v>
      </c>
      <c r="G83" s="1" t="s">
        <v>4</v>
      </c>
      <c r="H83" s="1">
        <f>AVERAGE(E74:E88)</f>
        <v>4.1053333333333317E-2</v>
      </c>
      <c r="I83" s="1">
        <f>STDEV(E74:E88)</f>
        <v>9.4522761179264992E-3</v>
      </c>
    </row>
    <row r="84" spans="1:9" x14ac:dyDescent="0.3">
      <c r="A84" s="1">
        <v>11</v>
      </c>
      <c r="B84" s="1">
        <v>27</v>
      </c>
      <c r="C84" s="1" t="s">
        <v>15</v>
      </c>
      <c r="D84" s="2" t="s">
        <v>11</v>
      </c>
      <c r="E84" s="1">
        <f>0.5927-0.5438</f>
        <v>4.8900000000000055E-2</v>
      </c>
      <c r="F84" s="1">
        <v>40</v>
      </c>
      <c r="G84" s="1"/>
    </row>
    <row r="85" spans="1:9" x14ac:dyDescent="0.3">
      <c r="A85" s="1">
        <v>12</v>
      </c>
      <c r="B85" s="1">
        <v>27</v>
      </c>
      <c r="C85" s="1" t="s">
        <v>15</v>
      </c>
      <c r="D85" s="2" t="s">
        <v>16</v>
      </c>
      <c r="E85" s="1">
        <f>0.5826-0.5371</f>
        <v>4.5499999999999985E-2</v>
      </c>
      <c r="F85" s="1">
        <v>40.1</v>
      </c>
      <c r="G85" s="1"/>
    </row>
    <row r="86" spans="1:9" x14ac:dyDescent="0.3">
      <c r="A86" s="1">
        <v>13</v>
      </c>
      <c r="B86" s="1">
        <v>27</v>
      </c>
      <c r="C86" s="1" t="s">
        <v>15</v>
      </c>
      <c r="D86" s="2" t="s">
        <v>16</v>
      </c>
      <c r="E86" s="1">
        <f>0.6051-0.5543</f>
        <v>5.0799999999999956E-2</v>
      </c>
      <c r="F86" s="1">
        <v>40.1</v>
      </c>
      <c r="G86" s="1"/>
    </row>
    <row r="87" spans="1:9" x14ac:dyDescent="0.3">
      <c r="A87" s="1">
        <v>14</v>
      </c>
      <c r="B87" s="1">
        <v>27</v>
      </c>
      <c r="C87" s="1" t="s">
        <v>15</v>
      </c>
      <c r="D87" s="2" t="s">
        <v>16</v>
      </c>
      <c r="E87" s="1">
        <f>0.5832-0.5379</f>
        <v>4.5300000000000007E-2</v>
      </c>
      <c r="F87" s="1">
        <v>40.299999999999997</v>
      </c>
      <c r="G87" s="1"/>
    </row>
    <row r="88" spans="1:9" x14ac:dyDescent="0.3">
      <c r="A88" s="1">
        <v>15</v>
      </c>
      <c r="B88" s="1">
        <v>27</v>
      </c>
      <c r="C88" s="1" t="s">
        <v>15</v>
      </c>
      <c r="D88" s="2" t="s">
        <v>16</v>
      </c>
      <c r="E88" s="1">
        <f>0.5933-0.5569</f>
        <v>3.6400000000000099E-2</v>
      </c>
      <c r="F88" s="1">
        <v>40.299999999999997</v>
      </c>
      <c r="G88" s="1"/>
    </row>
    <row r="89" spans="1:9" x14ac:dyDescent="0.3">
      <c r="A89" s="1">
        <v>1</v>
      </c>
      <c r="B89" s="1">
        <v>32</v>
      </c>
      <c r="C89" s="1" t="s">
        <v>6</v>
      </c>
      <c r="D89" s="2" t="s">
        <v>8</v>
      </c>
      <c r="E89" s="1">
        <f>0.6102-0.5482</f>
        <v>6.1999999999999944E-2</v>
      </c>
      <c r="F89" s="1">
        <v>37.6</v>
      </c>
      <c r="G89" s="1"/>
    </row>
    <row r="90" spans="1:9" x14ac:dyDescent="0.3">
      <c r="A90" s="1">
        <v>2</v>
      </c>
      <c r="B90" s="1">
        <v>32</v>
      </c>
      <c r="C90" s="1" t="s">
        <v>6</v>
      </c>
      <c r="D90" s="2" t="s">
        <v>7</v>
      </c>
      <c r="E90" s="1">
        <f>0.5751-0.5528</f>
        <v>2.2299999999999986E-2</v>
      </c>
      <c r="F90" s="1">
        <v>37.799999999999997</v>
      </c>
      <c r="G90" s="1"/>
    </row>
    <row r="91" spans="1:9" x14ac:dyDescent="0.3">
      <c r="A91" s="1">
        <v>3</v>
      </c>
      <c r="B91" s="1">
        <v>32</v>
      </c>
      <c r="C91" s="1" t="s">
        <v>6</v>
      </c>
      <c r="D91" s="2" t="s">
        <v>7</v>
      </c>
      <c r="E91" s="1">
        <f>0.5746-0.5619</f>
        <v>1.2700000000000045E-2</v>
      </c>
      <c r="F91" s="1">
        <v>37.9</v>
      </c>
      <c r="G91" s="1"/>
    </row>
    <row r="92" spans="1:9" x14ac:dyDescent="0.3">
      <c r="A92" s="1">
        <v>4</v>
      </c>
      <c r="B92" s="1">
        <v>32</v>
      </c>
      <c r="C92" s="1" t="s">
        <v>6</v>
      </c>
      <c r="D92" s="2" t="s">
        <v>7</v>
      </c>
      <c r="E92" s="1">
        <f>0.58-0.5601</f>
        <v>1.9899999999999918E-2</v>
      </c>
      <c r="F92" s="1">
        <v>38</v>
      </c>
      <c r="G92" s="1"/>
    </row>
    <row r="93" spans="1:9" x14ac:dyDescent="0.3">
      <c r="A93" s="1">
        <v>5</v>
      </c>
      <c r="B93" s="1">
        <v>32</v>
      </c>
      <c r="C93" s="1" t="s">
        <v>6</v>
      </c>
      <c r="D93" s="2" t="s">
        <v>7</v>
      </c>
      <c r="E93" s="1">
        <f>0.5493-0.5328</f>
        <v>1.6499999999999959E-2</v>
      </c>
      <c r="F93" s="1">
        <v>38</v>
      </c>
      <c r="G93" s="1"/>
    </row>
    <row r="94" spans="1:9" x14ac:dyDescent="0.3">
      <c r="A94" s="1">
        <v>6</v>
      </c>
      <c r="B94" s="1">
        <v>32</v>
      </c>
      <c r="C94" s="1" t="s">
        <v>6</v>
      </c>
      <c r="D94" s="2" t="s">
        <v>7</v>
      </c>
      <c r="E94" s="1">
        <f>0.5652-0.5386</f>
        <v>2.6600000000000068E-2</v>
      </c>
      <c r="F94" s="1">
        <v>38</v>
      </c>
      <c r="G94" s="1"/>
    </row>
    <row r="95" spans="1:9" x14ac:dyDescent="0.3">
      <c r="A95" s="1">
        <v>7</v>
      </c>
      <c r="B95" s="1">
        <v>32</v>
      </c>
      <c r="C95" s="1" t="s">
        <v>6</v>
      </c>
      <c r="D95" s="2" t="s">
        <v>7</v>
      </c>
      <c r="E95" s="1">
        <f>0.5681-0.5486</f>
        <v>1.9500000000000073E-2</v>
      </c>
      <c r="F95" s="1">
        <v>38.1</v>
      </c>
      <c r="G95" s="1"/>
    </row>
    <row r="96" spans="1:9" x14ac:dyDescent="0.3">
      <c r="A96" s="1">
        <v>8</v>
      </c>
      <c r="B96" s="1">
        <v>32</v>
      </c>
      <c r="C96" s="1" t="s">
        <v>6</v>
      </c>
      <c r="D96" s="2" t="s">
        <v>7</v>
      </c>
      <c r="E96" s="1">
        <f>0.5877-0.5681</f>
        <v>1.9599999999999951E-2</v>
      </c>
      <c r="F96" s="1">
        <v>38.1</v>
      </c>
      <c r="G96" s="1"/>
    </row>
    <row r="97" spans="1:9" x14ac:dyDescent="0.3">
      <c r="A97" s="1">
        <v>9</v>
      </c>
      <c r="B97" s="1">
        <v>32</v>
      </c>
      <c r="C97" s="1" t="s">
        <v>6</v>
      </c>
      <c r="D97" s="2" t="s">
        <v>7</v>
      </c>
      <c r="E97" s="1">
        <f>0.5391-0.5232</f>
        <v>1.5900000000000025E-2</v>
      </c>
      <c r="F97" s="1">
        <v>38.1</v>
      </c>
      <c r="G97" s="1"/>
    </row>
    <row r="98" spans="1:9" x14ac:dyDescent="0.3">
      <c r="A98" s="1">
        <v>10</v>
      </c>
      <c r="B98" s="1">
        <v>32</v>
      </c>
      <c r="C98" s="1" t="s">
        <v>6</v>
      </c>
      <c r="D98" s="2" t="s">
        <v>7</v>
      </c>
      <c r="E98" s="1">
        <f>0.5452-0.527</f>
        <v>1.8199999999999994E-2</v>
      </c>
      <c r="F98" s="1">
        <v>38.200000000000003</v>
      </c>
      <c r="H98" s="1" t="s">
        <v>22</v>
      </c>
      <c r="I98" s="1" t="s">
        <v>25</v>
      </c>
    </row>
    <row r="99" spans="1:9" x14ac:dyDescent="0.3">
      <c r="A99" s="1">
        <v>11</v>
      </c>
      <c r="B99" s="1">
        <v>32</v>
      </c>
      <c r="C99" s="1" t="s">
        <v>6</v>
      </c>
      <c r="D99" s="2" t="s">
        <v>7</v>
      </c>
      <c r="E99" s="1">
        <f>0.5541-0.5388</f>
        <v>1.5300000000000091E-2</v>
      </c>
      <c r="F99" s="1">
        <v>38.4</v>
      </c>
      <c r="H99" s="1" t="s">
        <v>12</v>
      </c>
      <c r="I99" s="1">
        <v>32</v>
      </c>
    </row>
    <row r="100" spans="1:9" x14ac:dyDescent="0.3">
      <c r="A100" s="1">
        <v>12</v>
      </c>
      <c r="B100" s="1">
        <v>32</v>
      </c>
      <c r="C100" s="1" t="s">
        <v>6</v>
      </c>
      <c r="D100" s="2" t="s">
        <v>7</v>
      </c>
      <c r="E100" s="1">
        <f>0.5603-0.5391</f>
        <v>2.1199999999999997E-2</v>
      </c>
      <c r="F100" s="1">
        <v>39.200000000000003</v>
      </c>
      <c r="H100" s="1" t="s">
        <v>13</v>
      </c>
      <c r="I100" s="1" t="s">
        <v>14</v>
      </c>
    </row>
    <row r="101" spans="1:9" x14ac:dyDescent="0.3">
      <c r="A101" s="1">
        <v>13</v>
      </c>
      <c r="B101" s="1">
        <v>32</v>
      </c>
      <c r="C101" s="1" t="s">
        <v>6</v>
      </c>
      <c r="D101" s="2" t="s">
        <v>7</v>
      </c>
      <c r="E101" s="1">
        <f>0.5645-0.5404</f>
        <v>2.410000000000001E-2</v>
      </c>
      <c r="F101" s="1">
        <v>39.6</v>
      </c>
      <c r="G101" s="1" t="s">
        <v>5</v>
      </c>
      <c r="H101" s="1">
        <f>AVERAGE(F89:F111)</f>
        <v>38.969565217391299</v>
      </c>
      <c r="I101" s="1">
        <f>STDEV(F89:F111)</f>
        <v>0.95937232444812359</v>
      </c>
    </row>
    <row r="102" spans="1:9" x14ac:dyDescent="0.3">
      <c r="A102" s="1">
        <v>14</v>
      </c>
      <c r="B102" s="1">
        <v>32</v>
      </c>
      <c r="C102" s="1" t="s">
        <v>6</v>
      </c>
      <c r="D102" s="2" t="s">
        <v>7</v>
      </c>
      <c r="E102" s="1">
        <f>0.5931-0.5543</f>
        <v>3.8799999999999946E-2</v>
      </c>
      <c r="F102" s="1">
        <v>39.6</v>
      </c>
      <c r="G102" s="1" t="s">
        <v>4</v>
      </c>
      <c r="H102" s="1">
        <f>AVERAGE(E89:E111)</f>
        <v>2.7869565217391309E-2</v>
      </c>
      <c r="I102" s="1">
        <f>STDEV(E89:E111)</f>
        <v>1.4864308526944321E-2</v>
      </c>
    </row>
    <row r="103" spans="1:9" x14ac:dyDescent="0.3">
      <c r="A103" s="1">
        <v>15</v>
      </c>
      <c r="B103" s="1">
        <v>32</v>
      </c>
      <c r="C103" s="1" t="s">
        <v>6</v>
      </c>
      <c r="D103" s="2" t="s">
        <v>7</v>
      </c>
      <c r="E103" s="1">
        <f>0.6562-0.5861</f>
        <v>7.0100000000000051E-2</v>
      </c>
      <c r="F103" s="1">
        <v>39.799999999999997</v>
      </c>
      <c r="G103" s="1"/>
    </row>
    <row r="104" spans="1:9" x14ac:dyDescent="0.3">
      <c r="A104" s="1">
        <v>16</v>
      </c>
      <c r="B104" s="1">
        <v>32</v>
      </c>
      <c r="C104" s="1" t="s">
        <v>6</v>
      </c>
      <c r="D104" s="2" t="s">
        <v>8</v>
      </c>
      <c r="E104" s="1">
        <f>0.5675-0.5488</f>
        <v>1.870000000000005E-2</v>
      </c>
      <c r="F104" s="1">
        <v>39.9</v>
      </c>
      <c r="G104" s="1"/>
    </row>
    <row r="105" spans="1:9" x14ac:dyDescent="0.3">
      <c r="A105" s="1">
        <v>17</v>
      </c>
      <c r="B105" s="1">
        <v>32</v>
      </c>
      <c r="C105" s="1" t="s">
        <v>6</v>
      </c>
      <c r="D105" s="2" t="s">
        <v>7</v>
      </c>
      <c r="E105" s="1">
        <f>0.5564-0.5334</f>
        <v>2.300000000000002E-2</v>
      </c>
      <c r="F105" s="1">
        <v>39.9</v>
      </c>
      <c r="G105" s="1"/>
    </row>
    <row r="106" spans="1:9" x14ac:dyDescent="0.3">
      <c r="A106" s="1">
        <v>18</v>
      </c>
      <c r="B106" s="1">
        <v>32</v>
      </c>
      <c r="C106" s="1" t="s">
        <v>6</v>
      </c>
      <c r="D106" s="2" t="s">
        <v>7</v>
      </c>
      <c r="E106" s="1">
        <f>0.5602-0.5411</f>
        <v>1.9100000000000006E-2</v>
      </c>
      <c r="F106" s="1">
        <v>40</v>
      </c>
      <c r="G106" s="1"/>
    </row>
    <row r="107" spans="1:9" x14ac:dyDescent="0.3">
      <c r="A107" s="1">
        <v>19</v>
      </c>
      <c r="B107" s="1">
        <v>32</v>
      </c>
      <c r="C107" s="1" t="s">
        <v>6</v>
      </c>
      <c r="D107" s="2" t="s">
        <v>7</v>
      </c>
      <c r="E107" s="1">
        <f>0.5951-0.5515</f>
        <v>4.3599999999999972E-2</v>
      </c>
      <c r="F107" s="1">
        <v>40</v>
      </c>
      <c r="G107" s="1"/>
    </row>
    <row r="108" spans="1:9" x14ac:dyDescent="0.3">
      <c r="A108" s="1">
        <v>20</v>
      </c>
      <c r="B108" s="1">
        <v>32</v>
      </c>
      <c r="C108" s="1" t="s">
        <v>6</v>
      </c>
      <c r="D108" s="2" t="s">
        <v>7</v>
      </c>
      <c r="E108" s="1">
        <f>0.6128-0.5688</f>
        <v>4.4000000000000039E-2</v>
      </c>
      <c r="F108" s="1">
        <v>40</v>
      </c>
      <c r="G108" s="1"/>
    </row>
    <row r="109" spans="1:9" x14ac:dyDescent="0.3">
      <c r="A109" s="1">
        <v>21</v>
      </c>
      <c r="B109" s="1">
        <v>32</v>
      </c>
      <c r="C109" s="1" t="s">
        <v>6</v>
      </c>
      <c r="D109" s="2" t="s">
        <v>7</v>
      </c>
      <c r="E109" s="1">
        <f>0.5976-0.566</f>
        <v>3.1600000000000072E-2</v>
      </c>
      <c r="F109" s="1">
        <v>40</v>
      </c>
      <c r="G109" s="1"/>
    </row>
    <row r="110" spans="1:9" x14ac:dyDescent="0.3">
      <c r="A110" s="1">
        <v>22</v>
      </c>
      <c r="B110" s="1">
        <v>32</v>
      </c>
      <c r="C110" s="1" t="s">
        <v>6</v>
      </c>
      <c r="D110" s="2" t="s">
        <v>8</v>
      </c>
      <c r="E110" s="1">
        <f>0.569-0.5441</f>
        <v>2.4899999999999922E-2</v>
      </c>
      <c r="F110" s="1">
        <v>40</v>
      </c>
      <c r="G110" s="1"/>
    </row>
    <row r="111" spans="1:9" x14ac:dyDescent="0.3">
      <c r="A111" s="1">
        <v>23</v>
      </c>
      <c r="B111" s="1">
        <v>32</v>
      </c>
      <c r="C111" s="1" t="s">
        <v>6</v>
      </c>
      <c r="D111" s="2" t="s">
        <v>7</v>
      </c>
      <c r="E111" s="1">
        <f>0.5884-0.555</f>
        <v>3.3399999999999985E-2</v>
      </c>
      <c r="F111" s="1">
        <v>40.1</v>
      </c>
      <c r="G111" s="1"/>
    </row>
    <row r="112" spans="1:9" x14ac:dyDescent="0.3">
      <c r="A112" s="1">
        <v>1</v>
      </c>
      <c r="B112" s="1">
        <v>32</v>
      </c>
      <c r="C112" s="1" t="s">
        <v>15</v>
      </c>
      <c r="D112" s="2" t="s">
        <v>16</v>
      </c>
      <c r="E112" s="1">
        <f>0.4784-0.4411</f>
        <v>3.73E-2</v>
      </c>
      <c r="F112" s="1">
        <v>40.5</v>
      </c>
      <c r="G112" s="1"/>
    </row>
    <row r="113" spans="1:9" x14ac:dyDescent="0.3">
      <c r="A113" s="1">
        <v>2</v>
      </c>
      <c r="B113" s="1">
        <v>32</v>
      </c>
      <c r="C113" s="1" t="s">
        <v>15</v>
      </c>
      <c r="D113" s="2" t="s">
        <v>16</v>
      </c>
      <c r="E113" s="1">
        <f>0.48-0.4432</f>
        <v>3.6799999999999999E-2</v>
      </c>
      <c r="F113" s="1">
        <v>40.5</v>
      </c>
      <c r="G113" s="1"/>
    </row>
    <row r="114" spans="1:9" x14ac:dyDescent="0.3">
      <c r="A114" s="1">
        <v>3</v>
      </c>
      <c r="B114" s="1">
        <v>32</v>
      </c>
      <c r="C114" s="1" t="s">
        <v>15</v>
      </c>
      <c r="D114" s="2" t="s">
        <v>11</v>
      </c>
      <c r="E114" s="1">
        <f>0.4963-0.4462</f>
        <v>5.0100000000000033E-2</v>
      </c>
      <c r="F114" s="1">
        <v>40.6</v>
      </c>
      <c r="G114" s="1"/>
    </row>
    <row r="115" spans="1:9" x14ac:dyDescent="0.3">
      <c r="A115" s="1">
        <v>4</v>
      </c>
      <c r="B115" s="1">
        <v>32</v>
      </c>
      <c r="C115" s="1" t="s">
        <v>15</v>
      </c>
      <c r="D115" s="2" t="s">
        <v>11</v>
      </c>
      <c r="E115" s="1">
        <f>0.4995-0.4458</f>
        <v>5.3700000000000025E-2</v>
      </c>
      <c r="F115" s="1">
        <v>40.700000000000003</v>
      </c>
      <c r="H115" s="1" t="s">
        <v>22</v>
      </c>
      <c r="I115" s="1" t="s">
        <v>26</v>
      </c>
    </row>
    <row r="116" spans="1:9" x14ac:dyDescent="0.3">
      <c r="A116" s="1">
        <v>5</v>
      </c>
      <c r="B116" s="1">
        <v>32</v>
      </c>
      <c r="C116" s="1" t="s">
        <v>15</v>
      </c>
      <c r="D116" s="2" t="s">
        <v>16</v>
      </c>
      <c r="E116" s="1">
        <f>0.4726-0.4461</f>
        <v>2.6500000000000024E-2</v>
      </c>
      <c r="F116" s="1">
        <v>40.700000000000003</v>
      </c>
      <c r="H116" s="1" t="s">
        <v>18</v>
      </c>
      <c r="I116" s="1">
        <v>32</v>
      </c>
    </row>
    <row r="117" spans="1:9" x14ac:dyDescent="0.3">
      <c r="A117" s="1">
        <v>6</v>
      </c>
      <c r="B117" s="1">
        <v>32</v>
      </c>
      <c r="C117" s="1" t="s">
        <v>15</v>
      </c>
      <c r="D117" s="2" t="s">
        <v>16</v>
      </c>
      <c r="E117" s="1">
        <f>0.5112-0.465</f>
        <v>4.6199999999999963E-2</v>
      </c>
      <c r="F117" s="1">
        <v>40.799999999999997</v>
      </c>
      <c r="H117" s="1" t="s">
        <v>13</v>
      </c>
      <c r="I117" s="1" t="s">
        <v>14</v>
      </c>
    </row>
    <row r="118" spans="1:9" x14ac:dyDescent="0.3">
      <c r="A118" s="1">
        <v>7</v>
      </c>
      <c r="B118" s="1">
        <v>32</v>
      </c>
      <c r="C118" s="1" t="s">
        <v>15</v>
      </c>
      <c r="D118" s="2" t="s">
        <v>7</v>
      </c>
      <c r="E118" s="1">
        <f>0.51-0.4654</f>
        <v>4.4600000000000029E-2</v>
      </c>
      <c r="F118" s="1">
        <v>40.9</v>
      </c>
      <c r="G118" s="1" t="s">
        <v>5</v>
      </c>
      <c r="H118" s="1">
        <f>AVERAGE(F112:F124)</f>
        <v>41.007692307692302</v>
      </c>
      <c r="I118" s="1">
        <f>STDEV(F112:F124)</f>
        <v>0.52354805328886866</v>
      </c>
    </row>
    <row r="119" spans="1:9" x14ac:dyDescent="0.3">
      <c r="A119" s="1">
        <v>8</v>
      </c>
      <c r="B119" s="1">
        <v>32</v>
      </c>
      <c r="C119" s="1" t="s">
        <v>15</v>
      </c>
      <c r="D119" s="2" t="s">
        <v>11</v>
      </c>
      <c r="E119" s="1">
        <f>0.4854-0.4603</f>
        <v>2.5100000000000011E-2</v>
      </c>
      <c r="F119" s="1">
        <v>40.9</v>
      </c>
      <c r="G119" s="1" t="s">
        <v>4</v>
      </c>
      <c r="H119" s="1">
        <f>AVERAGE(E112:E124)</f>
        <v>4.2653846153846181E-2</v>
      </c>
      <c r="I119" s="1">
        <f>STDEV(E112:E124)</f>
        <v>1.1607297660280739E-2</v>
      </c>
    </row>
    <row r="120" spans="1:9" x14ac:dyDescent="0.3">
      <c r="A120" s="1">
        <v>9</v>
      </c>
      <c r="B120" s="1">
        <v>32</v>
      </c>
      <c r="C120" s="1" t="s">
        <v>15</v>
      </c>
      <c r="D120" s="2" t="s">
        <v>11</v>
      </c>
      <c r="E120" s="1">
        <f>0.508-0.4555</f>
        <v>5.2499999999999991E-2</v>
      </c>
      <c r="F120" s="1">
        <v>40.9</v>
      </c>
      <c r="G120" s="1"/>
    </row>
    <row r="121" spans="1:9" x14ac:dyDescent="0.3">
      <c r="A121" s="1">
        <v>10</v>
      </c>
      <c r="B121" s="1">
        <v>32</v>
      </c>
      <c r="C121" s="1" t="s">
        <v>15</v>
      </c>
      <c r="D121" s="2" t="s">
        <v>11</v>
      </c>
      <c r="E121" s="1">
        <f>0.6176-0.5518</f>
        <v>6.5800000000000081E-2</v>
      </c>
      <c r="F121" s="1">
        <v>41</v>
      </c>
      <c r="G121" s="1"/>
    </row>
    <row r="122" spans="1:9" x14ac:dyDescent="0.3">
      <c r="A122" s="1">
        <v>11</v>
      </c>
      <c r="B122" s="1">
        <v>32</v>
      </c>
      <c r="C122" s="1" t="s">
        <v>15</v>
      </c>
      <c r="D122" s="2" t="s">
        <v>16</v>
      </c>
      <c r="E122" s="1">
        <f>0.6045-0.5719</f>
        <v>3.2600000000000073E-2</v>
      </c>
      <c r="F122" s="1">
        <v>41.6</v>
      </c>
      <c r="G122" s="1"/>
    </row>
    <row r="123" spans="1:9" x14ac:dyDescent="0.3">
      <c r="A123" s="1">
        <v>12</v>
      </c>
      <c r="B123" s="1">
        <v>32</v>
      </c>
      <c r="C123" s="1" t="s">
        <v>15</v>
      </c>
      <c r="D123" s="2" t="s">
        <v>16</v>
      </c>
      <c r="E123" s="1">
        <f>0.6123-0.5759</f>
        <v>3.6399999999999988E-2</v>
      </c>
      <c r="F123" s="1">
        <v>41.9</v>
      </c>
      <c r="G123" s="1"/>
    </row>
    <row r="124" spans="1:9" x14ac:dyDescent="0.3">
      <c r="A124" s="1">
        <v>13</v>
      </c>
      <c r="B124" s="1">
        <v>32</v>
      </c>
      <c r="C124" s="1" t="s">
        <v>15</v>
      </c>
      <c r="D124" s="2" t="s">
        <v>16</v>
      </c>
      <c r="E124" s="1">
        <f>0.6085-0.5616</f>
        <v>4.6900000000000053E-2</v>
      </c>
      <c r="F124" s="1">
        <v>42.1</v>
      </c>
      <c r="G12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8C995-4620-415D-9625-8527C0E5BEA6}">
  <dimension ref="A1:I121"/>
  <sheetViews>
    <sheetView tabSelected="1" topLeftCell="A13" workbookViewId="0">
      <selection sqref="A1:XFD1048576"/>
    </sheetView>
  </sheetViews>
  <sheetFormatPr defaultRowHeight="14.4" x14ac:dyDescent="0.3"/>
  <cols>
    <col min="1" max="1" width="14.21875" style="1" customWidth="1"/>
    <col min="2" max="2" width="19.109375" style="1" customWidth="1"/>
    <col min="3" max="3" width="12.6640625" style="1" customWidth="1"/>
    <col min="4" max="4" width="11.88671875" style="1" customWidth="1"/>
    <col min="5" max="6" width="12.6640625" style="1" customWidth="1"/>
    <col min="7" max="7" width="15" customWidth="1"/>
    <col min="8" max="16384" width="8.88671875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9" x14ac:dyDescent="0.3">
      <c r="A2" s="1">
        <v>1</v>
      </c>
      <c r="B2" s="1">
        <v>22</v>
      </c>
      <c r="C2" s="1" t="s">
        <v>6</v>
      </c>
      <c r="D2" s="2" t="s">
        <v>7</v>
      </c>
      <c r="E2" s="1">
        <f>0.5708-0.543</f>
        <v>2.7799999999999936E-2</v>
      </c>
      <c r="F2" s="1">
        <v>12.2</v>
      </c>
      <c r="G2" s="1"/>
    </row>
    <row r="3" spans="1:9" x14ac:dyDescent="0.3">
      <c r="A3" s="1">
        <v>2</v>
      </c>
      <c r="B3" s="1">
        <v>22</v>
      </c>
      <c r="C3" s="1" t="s">
        <v>6</v>
      </c>
      <c r="D3" s="2" t="s">
        <v>8</v>
      </c>
      <c r="E3" s="1">
        <f>0.5794-0.5192</f>
        <v>6.0200000000000031E-2</v>
      </c>
      <c r="F3" s="1">
        <v>12</v>
      </c>
      <c r="G3" s="1"/>
    </row>
    <row r="4" spans="1:9" x14ac:dyDescent="0.3">
      <c r="A4" s="1">
        <v>3</v>
      </c>
      <c r="B4" s="1">
        <v>22</v>
      </c>
      <c r="C4" s="1" t="s">
        <v>6</v>
      </c>
      <c r="D4" s="2" t="s">
        <v>7</v>
      </c>
      <c r="E4" s="1">
        <f>0.5658-0.5105</f>
        <v>5.5300000000000016E-2</v>
      </c>
      <c r="F4" s="1">
        <v>11.8</v>
      </c>
      <c r="G4" s="1"/>
    </row>
    <row r="5" spans="1:9" x14ac:dyDescent="0.3">
      <c r="A5" s="1">
        <v>4</v>
      </c>
      <c r="B5" s="1">
        <v>22</v>
      </c>
      <c r="C5" s="1" t="s">
        <v>6</v>
      </c>
      <c r="D5" s="2" t="s">
        <v>7</v>
      </c>
      <c r="E5" s="1">
        <f>0.5886-0.529</f>
        <v>5.9599999999999986E-2</v>
      </c>
      <c r="F5" s="1">
        <v>11.7</v>
      </c>
      <c r="G5" s="1"/>
    </row>
    <row r="6" spans="1:9" x14ac:dyDescent="0.3">
      <c r="A6" s="1">
        <v>5</v>
      </c>
      <c r="B6" s="1">
        <v>22</v>
      </c>
      <c r="C6" s="1" t="s">
        <v>6</v>
      </c>
      <c r="D6" s="2" t="s">
        <v>7</v>
      </c>
      <c r="E6" s="1">
        <f>0.5532-0.5257</f>
        <v>2.750000000000008E-2</v>
      </c>
      <c r="F6" s="1">
        <v>11.6</v>
      </c>
      <c r="G6" s="1"/>
    </row>
    <row r="7" spans="1:9" x14ac:dyDescent="0.3">
      <c r="A7" s="1">
        <v>6</v>
      </c>
      <c r="B7" s="1">
        <v>22</v>
      </c>
      <c r="C7" s="1" t="s">
        <v>6</v>
      </c>
      <c r="D7" s="2" t="s">
        <v>8</v>
      </c>
      <c r="E7" s="1">
        <f>0.6893-0.6133</f>
        <v>7.6000000000000068E-2</v>
      </c>
      <c r="F7" s="1">
        <v>11.5</v>
      </c>
      <c r="G7" s="1"/>
    </row>
    <row r="8" spans="1:9" x14ac:dyDescent="0.3">
      <c r="A8" s="1">
        <v>7</v>
      </c>
      <c r="B8" s="1">
        <v>22</v>
      </c>
      <c r="C8" s="1" t="s">
        <v>6</v>
      </c>
      <c r="D8" s="2" t="s">
        <v>7</v>
      </c>
      <c r="E8" s="1">
        <f>0.5244-0.495</f>
        <v>2.9399999999999982E-2</v>
      </c>
      <c r="F8" s="1">
        <v>11.4</v>
      </c>
      <c r="G8" s="1"/>
    </row>
    <row r="9" spans="1:9" x14ac:dyDescent="0.3">
      <c r="A9" s="1">
        <v>8</v>
      </c>
      <c r="B9" s="1">
        <v>22</v>
      </c>
      <c r="C9" s="1" t="s">
        <v>6</v>
      </c>
      <c r="D9" s="2" t="s">
        <v>8</v>
      </c>
      <c r="E9" s="1">
        <f>0.5308-0.4881</f>
        <v>4.2700000000000071E-2</v>
      </c>
      <c r="F9" s="1">
        <v>11.3</v>
      </c>
      <c r="G9" s="1"/>
    </row>
    <row r="10" spans="1:9" x14ac:dyDescent="0.3">
      <c r="A10" s="1">
        <v>9</v>
      </c>
      <c r="B10" s="1">
        <v>22</v>
      </c>
      <c r="C10" s="1" t="s">
        <v>6</v>
      </c>
      <c r="D10" s="2" t="s">
        <v>8</v>
      </c>
      <c r="E10" s="1">
        <f>0.5418-0.4765</f>
        <v>6.5299999999999969E-2</v>
      </c>
      <c r="F10" s="1">
        <v>11.3</v>
      </c>
    </row>
    <row r="11" spans="1:9" x14ac:dyDescent="0.3">
      <c r="A11" s="1">
        <v>10</v>
      </c>
      <c r="B11" s="1">
        <v>22</v>
      </c>
      <c r="C11" s="1" t="s">
        <v>6</v>
      </c>
      <c r="D11" s="2" t="s">
        <v>7</v>
      </c>
      <c r="E11" s="1">
        <f>0.557-0.4824</f>
        <v>7.4600000000000055E-2</v>
      </c>
      <c r="F11" s="1">
        <v>11.2</v>
      </c>
    </row>
    <row r="12" spans="1:9" x14ac:dyDescent="0.3">
      <c r="A12" s="1">
        <v>11</v>
      </c>
      <c r="B12" s="1">
        <v>22</v>
      </c>
      <c r="C12" s="1" t="s">
        <v>6</v>
      </c>
      <c r="D12" s="2" t="s">
        <v>8</v>
      </c>
      <c r="E12" s="1">
        <f>0.5404-0.4797</f>
        <v>6.0699999999999976E-2</v>
      </c>
      <c r="F12" s="1">
        <v>11.2</v>
      </c>
    </row>
    <row r="13" spans="1:9" x14ac:dyDescent="0.3">
      <c r="A13" s="1">
        <v>12</v>
      </c>
      <c r="B13" s="1">
        <v>22</v>
      </c>
      <c r="C13" s="1" t="s">
        <v>6</v>
      </c>
      <c r="D13" s="2" t="s">
        <v>7</v>
      </c>
      <c r="E13" s="1">
        <f>0.551-0.5126</f>
        <v>3.8400000000000101E-2</v>
      </c>
      <c r="F13" s="1">
        <v>11</v>
      </c>
      <c r="G13" s="1"/>
    </row>
    <row r="14" spans="1:9" x14ac:dyDescent="0.3">
      <c r="A14" s="1">
        <v>13</v>
      </c>
      <c r="B14" s="1">
        <v>22</v>
      </c>
      <c r="C14" s="1" t="s">
        <v>6</v>
      </c>
      <c r="D14" s="2" t="s">
        <v>7</v>
      </c>
      <c r="E14" s="1">
        <f>0.531-0.5132</f>
        <v>1.7800000000000038E-2</v>
      </c>
      <c r="F14" s="1">
        <v>11</v>
      </c>
      <c r="H14" s="1" t="s">
        <v>9</v>
      </c>
      <c r="I14" s="1" t="s">
        <v>10</v>
      </c>
    </row>
    <row r="15" spans="1:9" x14ac:dyDescent="0.3">
      <c r="A15" s="1">
        <v>14</v>
      </c>
      <c r="B15" s="1">
        <v>22</v>
      </c>
      <c r="C15" s="1" t="s">
        <v>6</v>
      </c>
      <c r="D15" s="2" t="s">
        <v>11</v>
      </c>
      <c r="E15" s="1">
        <f>0.6684-0.6415</f>
        <v>2.6900000000000035E-2</v>
      </c>
      <c r="F15" s="1">
        <v>12.3</v>
      </c>
      <c r="H15" s="1" t="s">
        <v>12</v>
      </c>
      <c r="I15" s="1">
        <v>22</v>
      </c>
    </row>
    <row r="16" spans="1:9" x14ac:dyDescent="0.3">
      <c r="A16" s="1">
        <v>15</v>
      </c>
      <c r="B16" s="1">
        <v>22</v>
      </c>
      <c r="C16" s="1" t="s">
        <v>6</v>
      </c>
      <c r="D16" s="2" t="s">
        <v>11</v>
      </c>
      <c r="E16" s="1">
        <f>0.6156-0.5465</f>
        <v>6.910000000000005E-2</v>
      </c>
      <c r="F16" s="1">
        <v>12.3</v>
      </c>
      <c r="H16" s="1" t="s">
        <v>13</v>
      </c>
      <c r="I16" s="1" t="s">
        <v>14</v>
      </c>
    </row>
    <row r="17" spans="1:9" x14ac:dyDescent="0.3">
      <c r="A17" s="1">
        <v>16</v>
      </c>
      <c r="B17" s="1">
        <v>22</v>
      </c>
      <c r="C17" s="1" t="s">
        <v>6</v>
      </c>
      <c r="D17" s="2" t="s">
        <v>11</v>
      </c>
      <c r="E17" s="1">
        <f>0.554-0.5253</f>
        <v>2.8700000000000059E-2</v>
      </c>
      <c r="F17" s="1">
        <v>12.3</v>
      </c>
      <c r="G17" s="1" t="s">
        <v>5</v>
      </c>
      <c r="H17" s="1">
        <f>AVERAGE(F2:F28)</f>
        <v>11.714814814814817</v>
      </c>
      <c r="I17" s="1">
        <f>STDEV(F2:F28)</f>
        <v>0.46961826044278832</v>
      </c>
    </row>
    <row r="18" spans="1:9" x14ac:dyDescent="0.3">
      <c r="A18" s="1">
        <v>17</v>
      </c>
      <c r="B18" s="1">
        <v>22</v>
      </c>
      <c r="C18" s="1" t="s">
        <v>6</v>
      </c>
      <c r="D18" s="2" t="s">
        <v>8</v>
      </c>
      <c r="E18" s="1">
        <f>0.6571-0.5585</f>
        <v>9.8600000000000021E-2</v>
      </c>
      <c r="F18" s="1">
        <v>12.3</v>
      </c>
      <c r="G18" s="1" t="s">
        <v>4</v>
      </c>
      <c r="H18" s="1">
        <f>AVERAGE(E2:E28)</f>
        <v>4.8039999999999992E-2</v>
      </c>
      <c r="I18" s="1">
        <f>STDEV(E2:E28)</f>
        <v>2.1774712927543398E-2</v>
      </c>
    </row>
    <row r="19" spans="1:9" x14ac:dyDescent="0.3">
      <c r="A19" s="1">
        <v>18</v>
      </c>
      <c r="B19" s="1">
        <v>22</v>
      </c>
      <c r="C19" s="1" t="s">
        <v>6</v>
      </c>
      <c r="D19" s="2" t="s">
        <v>8</v>
      </c>
      <c r="E19" s="1">
        <f>0.6699-0.6048</f>
        <v>6.5100000000000047E-2</v>
      </c>
      <c r="F19" s="1">
        <v>12.3</v>
      </c>
      <c r="G19" s="1"/>
    </row>
    <row r="20" spans="1:9" x14ac:dyDescent="0.3">
      <c r="A20" s="1">
        <v>19</v>
      </c>
      <c r="B20" s="1">
        <v>22</v>
      </c>
      <c r="C20" s="1" t="s">
        <v>6</v>
      </c>
      <c r="D20" s="2" t="s">
        <v>11</v>
      </c>
      <c r="E20" s="1">
        <f>0.5566-0.529</f>
        <v>2.7599999999999958E-2</v>
      </c>
      <c r="F20" s="1">
        <v>12.2</v>
      </c>
      <c r="G20" s="1"/>
    </row>
    <row r="21" spans="1:9" x14ac:dyDescent="0.3">
      <c r="A21" s="1">
        <v>20</v>
      </c>
      <c r="B21" s="1">
        <v>22</v>
      </c>
      <c r="C21" s="1" t="s">
        <v>6</v>
      </c>
      <c r="D21" s="2" t="s">
        <v>11</v>
      </c>
      <c r="E21" s="1">
        <f>0.5714-0.5215</f>
        <v>4.9900000000000055E-2</v>
      </c>
      <c r="F21" s="1">
        <v>12.2</v>
      </c>
      <c r="G21" s="1"/>
    </row>
    <row r="22" spans="1:9" x14ac:dyDescent="0.3">
      <c r="A22" s="1">
        <v>21</v>
      </c>
      <c r="B22" s="1">
        <v>22</v>
      </c>
      <c r="C22" s="1" t="s">
        <v>6</v>
      </c>
      <c r="D22" s="2" t="s">
        <v>8</v>
      </c>
      <c r="E22" s="1">
        <f>0.721-0.6411</f>
        <v>7.9899999999999971E-2</v>
      </c>
      <c r="F22" s="1">
        <v>12.2</v>
      </c>
      <c r="G22" s="1"/>
    </row>
    <row r="23" spans="1:9" x14ac:dyDescent="0.3">
      <c r="A23" s="1">
        <v>22</v>
      </c>
      <c r="B23" s="1">
        <v>22</v>
      </c>
      <c r="C23" s="1" t="s">
        <v>6</v>
      </c>
      <c r="D23" s="2" t="s">
        <v>11</v>
      </c>
      <c r="E23" s="1">
        <f>0.5518-0.5163</f>
        <v>3.5499999999999976E-2</v>
      </c>
      <c r="F23" s="1">
        <v>12</v>
      </c>
      <c r="G23" s="1"/>
    </row>
    <row r="24" spans="1:9" x14ac:dyDescent="0.3">
      <c r="A24" s="1">
        <v>23</v>
      </c>
      <c r="B24" s="1">
        <v>22</v>
      </c>
      <c r="C24" s="1" t="s">
        <v>6</v>
      </c>
      <c r="D24" s="2" t="s">
        <v>11</v>
      </c>
      <c r="E24" s="1">
        <f>0.5831-0.5409</f>
        <v>4.2199999999999904E-2</v>
      </c>
      <c r="F24" s="1">
        <v>11.7</v>
      </c>
      <c r="G24" s="1"/>
    </row>
    <row r="25" spans="1:9" x14ac:dyDescent="0.3">
      <c r="A25" s="1">
        <v>24</v>
      </c>
      <c r="B25" s="1">
        <v>22</v>
      </c>
      <c r="C25" s="1" t="s">
        <v>6</v>
      </c>
      <c r="D25" s="2" t="s">
        <v>11</v>
      </c>
      <c r="E25" s="1">
        <f>0.5605-0.533</f>
        <v>2.7499999999999969E-2</v>
      </c>
      <c r="F25" s="1">
        <v>11.7</v>
      </c>
      <c r="G25" s="1"/>
    </row>
    <row r="26" spans="1:9" x14ac:dyDescent="0.3">
      <c r="A26" s="1">
        <v>25</v>
      </c>
      <c r="B26" s="1">
        <v>22</v>
      </c>
      <c r="C26" s="1" t="s">
        <v>6</v>
      </c>
      <c r="D26" s="2" t="s">
        <v>11</v>
      </c>
      <c r="E26" s="1">
        <f>0.06188</f>
        <v>6.1879999999999998E-2</v>
      </c>
      <c r="F26" s="1">
        <v>11.3</v>
      </c>
      <c r="G26" s="1"/>
    </row>
    <row r="27" spans="1:9" x14ac:dyDescent="0.3">
      <c r="A27" s="1">
        <v>26</v>
      </c>
      <c r="B27" s="1">
        <v>22</v>
      </c>
      <c r="C27" s="1" t="s">
        <v>6</v>
      </c>
      <c r="D27" s="2" t="s">
        <v>11</v>
      </c>
      <c r="E27" s="1">
        <f>0.5629-0.552</f>
        <v>1.089999999999991E-2</v>
      </c>
      <c r="F27" s="1">
        <v>11.3</v>
      </c>
      <c r="G27" s="1"/>
    </row>
    <row r="28" spans="1:9" x14ac:dyDescent="0.3">
      <c r="A28" s="1">
        <v>27</v>
      </c>
      <c r="B28" s="1">
        <v>22</v>
      </c>
      <c r="C28" s="1" t="s">
        <v>6</v>
      </c>
      <c r="D28" s="2" t="s">
        <v>8</v>
      </c>
      <c r="E28" s="1">
        <f>0.5629-0.5249</f>
        <v>3.7999999999999923E-2</v>
      </c>
      <c r="F28" s="1">
        <v>11</v>
      </c>
      <c r="G28" s="1"/>
    </row>
    <row r="29" spans="1:9" x14ac:dyDescent="0.3">
      <c r="A29" s="1">
        <v>1</v>
      </c>
      <c r="B29" s="1">
        <v>22</v>
      </c>
      <c r="C29" s="1" t="s">
        <v>15</v>
      </c>
      <c r="D29" s="2" t="s">
        <v>7</v>
      </c>
      <c r="E29" s="1">
        <f>0.5876-0.5391</f>
        <v>4.8499999999999988E-2</v>
      </c>
      <c r="F29" s="1">
        <v>6.9</v>
      </c>
      <c r="G29" s="1"/>
    </row>
    <row r="30" spans="1:9" x14ac:dyDescent="0.3">
      <c r="A30" s="1">
        <v>2</v>
      </c>
      <c r="B30" s="1">
        <v>22</v>
      </c>
      <c r="C30" s="1" t="s">
        <v>15</v>
      </c>
      <c r="D30" s="2" t="s">
        <v>7</v>
      </c>
      <c r="E30" s="1">
        <f>0.5637-0.5435</f>
        <v>2.0199999999999996E-2</v>
      </c>
      <c r="F30" s="1">
        <v>6.7</v>
      </c>
      <c r="G30" s="1"/>
    </row>
    <row r="31" spans="1:9" x14ac:dyDescent="0.3">
      <c r="A31" s="1">
        <v>3</v>
      </c>
      <c r="B31" s="1">
        <v>22</v>
      </c>
      <c r="C31" s="1" t="s">
        <v>15</v>
      </c>
      <c r="D31" s="2" t="s">
        <v>16</v>
      </c>
      <c r="E31" s="1">
        <f>0.5811-0.5453</f>
        <v>3.5799999999999943E-2</v>
      </c>
      <c r="F31" s="1">
        <v>6.6</v>
      </c>
      <c r="G31" s="1"/>
    </row>
    <row r="32" spans="1:9" x14ac:dyDescent="0.3">
      <c r="A32" s="1">
        <v>4</v>
      </c>
      <c r="B32" s="1">
        <v>22</v>
      </c>
      <c r="C32" s="1" t="s">
        <v>15</v>
      </c>
      <c r="D32" s="2" t="s">
        <v>16</v>
      </c>
      <c r="E32" s="1">
        <f>0.5781-0.5447</f>
        <v>3.3399999999999985E-2</v>
      </c>
      <c r="F32" s="1">
        <v>6.4</v>
      </c>
      <c r="G32" s="1"/>
    </row>
    <row r="33" spans="1:9" x14ac:dyDescent="0.3">
      <c r="A33" s="1">
        <v>5</v>
      </c>
      <c r="B33" s="1">
        <v>22</v>
      </c>
      <c r="C33" s="1" t="s">
        <v>15</v>
      </c>
      <c r="D33" s="2" t="s">
        <v>16</v>
      </c>
      <c r="E33" s="1">
        <f>0.5847-0.5467</f>
        <v>3.8000000000000034E-2</v>
      </c>
      <c r="F33" s="1">
        <v>6.3</v>
      </c>
      <c r="G33" s="1"/>
    </row>
    <row r="34" spans="1:9" x14ac:dyDescent="0.3">
      <c r="A34" s="1">
        <v>6</v>
      </c>
      <c r="B34" s="1">
        <v>22</v>
      </c>
      <c r="C34" s="1" t="s">
        <v>15</v>
      </c>
      <c r="D34" s="2" t="s">
        <v>16</v>
      </c>
      <c r="E34" s="1">
        <f>0.5601-0.5442</f>
        <v>1.5900000000000025E-2</v>
      </c>
      <c r="F34" s="1">
        <v>6.2</v>
      </c>
      <c r="G34" s="1"/>
    </row>
    <row r="35" spans="1:9" x14ac:dyDescent="0.3">
      <c r="A35" s="1">
        <v>7</v>
      </c>
      <c r="B35" s="1">
        <v>22</v>
      </c>
      <c r="C35" s="1" t="s">
        <v>15</v>
      </c>
      <c r="D35" s="2" t="s">
        <v>11</v>
      </c>
      <c r="E35" s="1">
        <f>0.6019-0.5542</f>
        <v>4.7699999999999965E-2</v>
      </c>
      <c r="F35" s="1">
        <v>6.2</v>
      </c>
      <c r="G35" s="1"/>
    </row>
    <row r="36" spans="1:9" x14ac:dyDescent="0.3">
      <c r="A36" s="1">
        <v>8</v>
      </c>
      <c r="B36" s="1">
        <v>22</v>
      </c>
      <c r="C36" s="1" t="s">
        <v>15</v>
      </c>
      <c r="D36" s="2" t="s">
        <v>16</v>
      </c>
      <c r="E36" s="1">
        <f>0.637-0.6073</f>
        <v>2.970000000000006E-2</v>
      </c>
      <c r="F36" s="1">
        <v>6.2</v>
      </c>
    </row>
    <row r="37" spans="1:9" x14ac:dyDescent="0.3">
      <c r="A37" s="1">
        <v>9</v>
      </c>
      <c r="B37" s="1">
        <v>22</v>
      </c>
      <c r="C37" s="1" t="s">
        <v>15</v>
      </c>
      <c r="D37" s="2" t="s">
        <v>7</v>
      </c>
      <c r="E37" s="1">
        <f>0.6587-0.6107</f>
        <v>4.7999999999999932E-2</v>
      </c>
      <c r="F37" s="1">
        <v>6.2</v>
      </c>
      <c r="H37" t="s">
        <v>9</v>
      </c>
      <c r="I37" s="1" t="s">
        <v>17</v>
      </c>
    </row>
    <row r="38" spans="1:9" x14ac:dyDescent="0.3">
      <c r="A38" s="1">
        <v>10</v>
      </c>
      <c r="B38" s="1">
        <v>22</v>
      </c>
      <c r="C38" s="1" t="s">
        <v>15</v>
      </c>
      <c r="D38" s="2" t="s">
        <v>7</v>
      </c>
      <c r="E38" s="1">
        <f>0.6734-0.6442</f>
        <v>2.9200000000000004E-2</v>
      </c>
      <c r="F38" s="1">
        <v>6.2</v>
      </c>
      <c r="H38" s="1" t="s">
        <v>18</v>
      </c>
      <c r="I38" s="1">
        <v>22</v>
      </c>
    </row>
    <row r="39" spans="1:9" x14ac:dyDescent="0.3">
      <c r="A39" s="1">
        <v>11</v>
      </c>
      <c r="B39" s="1">
        <v>22</v>
      </c>
      <c r="C39" s="1" t="s">
        <v>15</v>
      </c>
      <c r="D39" s="2" t="s">
        <v>7</v>
      </c>
      <c r="E39" s="1">
        <f>0.6852-0.6384</f>
        <v>4.6800000000000064E-2</v>
      </c>
      <c r="F39" s="1">
        <v>6.2</v>
      </c>
      <c r="H39" s="1" t="s">
        <v>13</v>
      </c>
      <c r="I39" s="1" t="s">
        <v>14</v>
      </c>
    </row>
    <row r="40" spans="1:9" x14ac:dyDescent="0.3">
      <c r="A40" s="1">
        <v>12</v>
      </c>
      <c r="B40" s="1">
        <v>22</v>
      </c>
      <c r="C40" s="1" t="s">
        <v>15</v>
      </c>
      <c r="D40" s="2" t="s">
        <v>11</v>
      </c>
      <c r="E40" s="1">
        <f>0.6851-0.6322</f>
        <v>5.2900000000000058E-2</v>
      </c>
      <c r="F40" s="1">
        <v>6.2</v>
      </c>
      <c r="G40" s="1" t="s">
        <v>5</v>
      </c>
      <c r="H40" s="1">
        <f>AVERAGE(F29:F50)</f>
        <v>6.4454545454545462</v>
      </c>
      <c r="I40" s="1">
        <f>STDEV(F29:F50)</f>
        <v>0.35953312679650157</v>
      </c>
    </row>
    <row r="41" spans="1:9" x14ac:dyDescent="0.3">
      <c r="A41" s="1">
        <v>13</v>
      </c>
      <c r="B41" s="1">
        <v>22</v>
      </c>
      <c r="C41" s="1" t="s">
        <v>15</v>
      </c>
      <c r="D41" s="2" t="s">
        <v>16</v>
      </c>
      <c r="E41" s="1">
        <f>0.7023-0.6664</f>
        <v>3.5900000000000043E-2</v>
      </c>
      <c r="F41" s="1">
        <v>6.2</v>
      </c>
      <c r="G41" s="1" t="s">
        <v>4</v>
      </c>
      <c r="H41" s="1">
        <f>AVERAGE(E29:E50)</f>
        <v>3.9577272727272739E-2</v>
      </c>
      <c r="I41" s="1">
        <f>STDEV(E29:E50)</f>
        <v>1.3032265154796942E-2</v>
      </c>
    </row>
    <row r="42" spans="1:9" x14ac:dyDescent="0.3">
      <c r="A42" s="1">
        <v>14</v>
      </c>
      <c r="B42" s="1">
        <v>22</v>
      </c>
      <c r="C42" s="1" t="s">
        <v>15</v>
      </c>
      <c r="D42" s="2" t="s">
        <v>16</v>
      </c>
      <c r="E42" s="1">
        <f>0.651-0.6038</f>
        <v>4.720000000000002E-2</v>
      </c>
      <c r="F42" s="1">
        <v>7</v>
      </c>
      <c r="G42" s="1"/>
    </row>
    <row r="43" spans="1:9" x14ac:dyDescent="0.3">
      <c r="A43" s="1">
        <v>15</v>
      </c>
      <c r="B43" s="1">
        <v>22</v>
      </c>
      <c r="C43" s="1" t="s">
        <v>15</v>
      </c>
      <c r="D43" s="2" t="s">
        <v>16</v>
      </c>
      <c r="E43" s="1">
        <f>0.6197-0.5791</f>
        <v>4.060000000000008E-2</v>
      </c>
      <c r="F43" s="1">
        <v>7.5</v>
      </c>
      <c r="G43" s="1"/>
    </row>
    <row r="44" spans="1:9" x14ac:dyDescent="0.3">
      <c r="A44" s="1">
        <v>16</v>
      </c>
      <c r="B44" s="1">
        <v>22</v>
      </c>
      <c r="C44" s="1" t="s">
        <v>15</v>
      </c>
      <c r="D44" s="2" t="s">
        <v>8</v>
      </c>
      <c r="E44" s="1">
        <f>0.5875-0.5555</f>
        <v>3.2000000000000028E-2</v>
      </c>
      <c r="F44" s="1">
        <v>6.8</v>
      </c>
      <c r="G44" s="1"/>
    </row>
    <row r="45" spans="1:9" x14ac:dyDescent="0.3">
      <c r="A45" s="1">
        <v>17</v>
      </c>
      <c r="B45" s="1">
        <v>22</v>
      </c>
      <c r="C45" s="1" t="s">
        <v>15</v>
      </c>
      <c r="D45" s="2" t="s">
        <v>8</v>
      </c>
      <c r="E45" s="1">
        <f>0.5591-0.5085</f>
        <v>5.0600000000000089E-2</v>
      </c>
      <c r="F45" s="1">
        <v>6.6</v>
      </c>
      <c r="G45" s="1"/>
    </row>
    <row r="46" spans="1:9" x14ac:dyDescent="0.3">
      <c r="A46" s="1">
        <v>18</v>
      </c>
      <c r="B46" s="1">
        <v>22</v>
      </c>
      <c r="C46" s="1" t="s">
        <v>15</v>
      </c>
      <c r="D46" s="2" t="s">
        <v>11</v>
      </c>
      <c r="E46" s="1">
        <f>0.6015-0.5834</f>
        <v>1.8100000000000005E-2</v>
      </c>
      <c r="F46" s="1">
        <v>6.5</v>
      </c>
      <c r="G46" s="1"/>
    </row>
    <row r="47" spans="1:9" x14ac:dyDescent="0.3">
      <c r="A47" s="1">
        <v>19</v>
      </c>
      <c r="B47" s="1">
        <v>22</v>
      </c>
      <c r="C47" s="1" t="s">
        <v>15</v>
      </c>
      <c r="D47" s="2" t="s">
        <v>11</v>
      </c>
      <c r="E47" s="1">
        <f>0.6305-0.6028</f>
        <v>2.7699999999999947E-2</v>
      </c>
      <c r="F47" s="1">
        <v>6.5</v>
      </c>
      <c r="G47" s="1"/>
    </row>
    <row r="48" spans="1:9" x14ac:dyDescent="0.3">
      <c r="A48" s="1">
        <v>20</v>
      </c>
      <c r="B48" s="1">
        <v>22</v>
      </c>
      <c r="C48" s="1" t="s">
        <v>15</v>
      </c>
      <c r="D48" s="2" t="s">
        <v>11</v>
      </c>
      <c r="E48" s="1">
        <f>0.5791-0.5216</f>
        <v>5.7499999999999996E-2</v>
      </c>
      <c r="F48" s="1">
        <v>6.3</v>
      </c>
      <c r="G48" s="1"/>
    </row>
    <row r="49" spans="1:9" x14ac:dyDescent="0.3">
      <c r="A49" s="1">
        <v>21</v>
      </c>
      <c r="B49" s="1">
        <v>22</v>
      </c>
      <c r="C49" s="1" t="s">
        <v>15</v>
      </c>
      <c r="D49" s="2" t="s">
        <v>11</v>
      </c>
      <c r="E49" s="1">
        <f>0.7153-0.6651</f>
        <v>5.0200000000000022E-2</v>
      </c>
      <c r="F49" s="1">
        <v>6.1</v>
      </c>
      <c r="G49" s="1"/>
    </row>
    <row r="50" spans="1:9" x14ac:dyDescent="0.3">
      <c r="A50" s="1">
        <v>22</v>
      </c>
      <c r="B50" s="1">
        <v>22</v>
      </c>
      <c r="C50" s="1" t="s">
        <v>15</v>
      </c>
      <c r="D50" s="2" t="s">
        <v>11</v>
      </c>
      <c r="E50" s="1">
        <f>0.6234-0.5586</f>
        <v>6.4799999999999969E-2</v>
      </c>
      <c r="F50" s="1">
        <v>6</v>
      </c>
      <c r="G50" s="1"/>
    </row>
    <row r="51" spans="1:9" x14ac:dyDescent="0.3">
      <c r="A51" s="1">
        <v>1</v>
      </c>
      <c r="B51" s="1">
        <v>27</v>
      </c>
      <c r="C51" s="1" t="s">
        <v>6</v>
      </c>
      <c r="D51" s="2" t="s">
        <v>7</v>
      </c>
      <c r="E51" s="1">
        <f>0.5533-0.5389</f>
        <v>1.4399999999999968E-2</v>
      </c>
      <c r="F51" s="1">
        <v>13.8</v>
      </c>
      <c r="G51" s="1"/>
    </row>
    <row r="52" spans="1:9" x14ac:dyDescent="0.3">
      <c r="A52" s="1">
        <v>2</v>
      </c>
      <c r="B52" s="1">
        <v>27</v>
      </c>
      <c r="C52" s="1" t="s">
        <v>6</v>
      </c>
      <c r="D52" s="2" t="s">
        <v>8</v>
      </c>
      <c r="E52" s="1">
        <f>0.623-0.541</f>
        <v>8.1999999999999962E-2</v>
      </c>
      <c r="F52" s="1">
        <v>13.7</v>
      </c>
      <c r="G52" s="1"/>
    </row>
    <row r="53" spans="1:9" x14ac:dyDescent="0.3">
      <c r="A53" s="1">
        <v>3</v>
      </c>
      <c r="B53" s="1">
        <v>27</v>
      </c>
      <c r="C53" s="1" t="s">
        <v>6</v>
      </c>
      <c r="D53" s="2" t="s">
        <v>8</v>
      </c>
      <c r="E53" s="1">
        <f>0.5988-0.5443</f>
        <v>5.4499999999999993E-2</v>
      </c>
      <c r="F53" s="1">
        <v>13.5</v>
      </c>
      <c r="G53" s="1"/>
    </row>
    <row r="54" spans="1:9" x14ac:dyDescent="0.3">
      <c r="A54" s="1">
        <v>4</v>
      </c>
      <c r="B54" s="1">
        <v>27</v>
      </c>
      <c r="C54" s="1" t="s">
        <v>6</v>
      </c>
      <c r="D54" s="2" t="s">
        <v>11</v>
      </c>
      <c r="E54" s="1">
        <f>0.5966-0.5451</f>
        <v>5.149999999999999E-2</v>
      </c>
      <c r="F54" s="1">
        <v>14.2</v>
      </c>
      <c r="G54" s="1"/>
    </row>
    <row r="55" spans="1:9" x14ac:dyDescent="0.3">
      <c r="A55" s="1">
        <v>5</v>
      </c>
      <c r="B55" s="1">
        <v>27</v>
      </c>
      <c r="C55" s="1" t="s">
        <v>6</v>
      </c>
      <c r="D55" s="2" t="s">
        <v>11</v>
      </c>
      <c r="E55" s="1">
        <f>0.5462-0.5251</f>
        <v>2.1100000000000008E-2</v>
      </c>
      <c r="F55" s="1">
        <v>14.2</v>
      </c>
      <c r="G55" s="1"/>
    </row>
    <row r="56" spans="1:9" x14ac:dyDescent="0.3">
      <c r="A56" s="1">
        <v>6</v>
      </c>
      <c r="B56" s="1">
        <v>27</v>
      </c>
      <c r="C56" s="1" t="s">
        <v>6</v>
      </c>
      <c r="D56" s="2" t="s">
        <v>8</v>
      </c>
      <c r="E56" s="1">
        <f>0.5566-0.5415</f>
        <v>1.5100000000000002E-2</v>
      </c>
      <c r="F56" s="1">
        <v>14.2</v>
      </c>
      <c r="G56" s="1"/>
    </row>
    <row r="57" spans="1:9" x14ac:dyDescent="0.3">
      <c r="A57" s="1">
        <v>7</v>
      </c>
      <c r="B57" s="1">
        <v>27</v>
      </c>
      <c r="C57" s="1" t="s">
        <v>6</v>
      </c>
      <c r="D57" s="2" t="s">
        <v>11</v>
      </c>
      <c r="E57" s="1">
        <f>0.4886-0.4672</f>
        <v>2.1399999999999975E-2</v>
      </c>
      <c r="F57" s="1">
        <v>14.1</v>
      </c>
      <c r="G57" s="1"/>
    </row>
    <row r="58" spans="1:9" x14ac:dyDescent="0.3">
      <c r="A58" s="1">
        <v>8</v>
      </c>
      <c r="B58" s="1">
        <v>27</v>
      </c>
      <c r="C58" s="1" t="s">
        <v>6</v>
      </c>
      <c r="D58" s="2" t="s">
        <v>11</v>
      </c>
      <c r="E58" s="1">
        <f>0.5416-0.5214</f>
        <v>2.0199999999999996E-2</v>
      </c>
      <c r="F58" s="1">
        <v>14.1</v>
      </c>
      <c r="H58" s="1" t="s">
        <v>19</v>
      </c>
      <c r="I58" s="1" t="s">
        <v>20</v>
      </c>
    </row>
    <row r="59" spans="1:9" x14ac:dyDescent="0.3">
      <c r="A59" s="1">
        <v>9</v>
      </c>
      <c r="B59" s="1">
        <v>27</v>
      </c>
      <c r="C59" s="1" t="s">
        <v>6</v>
      </c>
      <c r="D59" s="2" t="s">
        <v>11</v>
      </c>
      <c r="E59" s="1">
        <f>0.5493-0.5336</f>
        <v>1.5700000000000047E-2</v>
      </c>
      <c r="F59" s="1">
        <v>14.1</v>
      </c>
      <c r="H59" s="1" t="s">
        <v>12</v>
      </c>
      <c r="I59" s="1">
        <v>27</v>
      </c>
    </row>
    <row r="60" spans="1:9" x14ac:dyDescent="0.3">
      <c r="A60" s="1">
        <v>10</v>
      </c>
      <c r="B60" s="1">
        <v>27</v>
      </c>
      <c r="C60" s="1" t="s">
        <v>6</v>
      </c>
      <c r="D60" s="2" t="s">
        <v>11</v>
      </c>
      <c r="E60" s="1">
        <f>0.5525-0.5354</f>
        <v>1.7100000000000004E-2</v>
      </c>
      <c r="F60" s="1">
        <v>14</v>
      </c>
      <c r="H60" s="1" t="s">
        <v>13</v>
      </c>
      <c r="I60" s="1" t="s">
        <v>14</v>
      </c>
    </row>
    <row r="61" spans="1:9" x14ac:dyDescent="0.3">
      <c r="A61" s="1">
        <v>11</v>
      </c>
      <c r="B61" s="1">
        <v>27</v>
      </c>
      <c r="C61" s="1" t="s">
        <v>6</v>
      </c>
      <c r="D61" s="2" t="s">
        <v>11</v>
      </c>
      <c r="E61" s="1">
        <f>0.5626-0.5345</f>
        <v>2.8100000000000014E-2</v>
      </c>
      <c r="F61" s="1">
        <v>14</v>
      </c>
      <c r="G61" s="1" t="s">
        <v>5</v>
      </c>
      <c r="H61" s="1">
        <f>AVERAGE(F51:F71)</f>
        <v>13.857142857142854</v>
      </c>
      <c r="I61" s="1">
        <f>STDEV(F51:F71)</f>
        <v>0.26752836965717947</v>
      </c>
    </row>
    <row r="62" spans="1:9" x14ac:dyDescent="0.3">
      <c r="A62" s="1">
        <v>12</v>
      </c>
      <c r="B62" s="1">
        <v>27</v>
      </c>
      <c r="C62" s="1" t="s">
        <v>6</v>
      </c>
      <c r="D62" s="2" t="s">
        <v>11</v>
      </c>
      <c r="E62" s="1">
        <f>0.5338-0.507</f>
        <v>2.6800000000000046E-2</v>
      </c>
      <c r="F62" s="1">
        <v>14</v>
      </c>
      <c r="G62" s="1" t="s">
        <v>4</v>
      </c>
      <c r="H62" s="1">
        <f>AVERAGE(E51:E71)</f>
        <v>3.1738095238095246E-2</v>
      </c>
      <c r="I62" s="1">
        <f>STDEV(E51:E71)</f>
        <v>1.8242956892742919E-2</v>
      </c>
    </row>
    <row r="63" spans="1:9" x14ac:dyDescent="0.3">
      <c r="A63" s="1">
        <v>13</v>
      </c>
      <c r="B63" s="1">
        <v>27</v>
      </c>
      <c r="C63" s="1" t="s">
        <v>6</v>
      </c>
      <c r="D63" s="2" t="s">
        <v>8</v>
      </c>
      <c r="E63" s="1">
        <f>0.5748-0.5469</f>
        <v>2.7899999999999925E-2</v>
      </c>
      <c r="F63" s="1">
        <v>13.9</v>
      </c>
      <c r="G63" s="1"/>
    </row>
    <row r="64" spans="1:9" x14ac:dyDescent="0.3">
      <c r="A64" s="1">
        <v>14</v>
      </c>
      <c r="B64" s="1">
        <v>27</v>
      </c>
      <c r="C64" s="1" t="s">
        <v>6</v>
      </c>
      <c r="D64" s="2" t="s">
        <v>11</v>
      </c>
      <c r="E64" s="1">
        <f>0.5766-0.5192</f>
        <v>5.7400000000000007E-2</v>
      </c>
      <c r="F64" s="1">
        <v>13.9</v>
      </c>
      <c r="G64" s="1"/>
    </row>
    <row r="65" spans="1:9" x14ac:dyDescent="0.3">
      <c r="A65" s="1">
        <v>15</v>
      </c>
      <c r="B65" s="1">
        <v>27</v>
      </c>
      <c r="C65" s="1" t="s">
        <v>6</v>
      </c>
      <c r="D65" s="2" t="s">
        <v>11</v>
      </c>
      <c r="E65" s="1">
        <f>0.5812-0.5397</f>
        <v>4.1500000000000092E-2</v>
      </c>
      <c r="F65" s="1">
        <v>13.9</v>
      </c>
      <c r="G65" s="1"/>
    </row>
    <row r="66" spans="1:9" x14ac:dyDescent="0.3">
      <c r="A66" s="1">
        <v>16</v>
      </c>
      <c r="B66" s="1">
        <v>27</v>
      </c>
      <c r="C66" s="1" t="s">
        <v>6</v>
      </c>
      <c r="D66" s="2" t="s">
        <v>11</v>
      </c>
      <c r="E66" s="1">
        <f>0.586-0.556</f>
        <v>2.9999999999999916E-2</v>
      </c>
      <c r="F66" s="1">
        <v>13.8</v>
      </c>
    </row>
    <row r="67" spans="1:9" x14ac:dyDescent="0.3">
      <c r="A67" s="1">
        <v>17</v>
      </c>
      <c r="B67" s="1">
        <v>27</v>
      </c>
      <c r="C67" s="1" t="s">
        <v>6</v>
      </c>
      <c r="D67" s="2" t="s">
        <v>11</v>
      </c>
      <c r="E67" s="1">
        <f>0.5616-0.5372</f>
        <v>2.4399999999999977E-2</v>
      </c>
      <c r="F67" s="1">
        <v>13.7</v>
      </c>
    </row>
    <row r="68" spans="1:9" x14ac:dyDescent="0.3">
      <c r="A68" s="1">
        <v>18</v>
      </c>
      <c r="B68" s="1">
        <v>27</v>
      </c>
      <c r="C68" s="1" t="s">
        <v>6</v>
      </c>
      <c r="D68" s="2" t="s">
        <v>11</v>
      </c>
      <c r="E68" s="1">
        <f>0.4947-0.4753</f>
        <v>1.9399999999999973E-2</v>
      </c>
      <c r="F68" s="1">
        <v>13.7</v>
      </c>
    </row>
    <row r="69" spans="1:9" x14ac:dyDescent="0.3">
      <c r="A69" s="1">
        <v>19</v>
      </c>
      <c r="B69" s="1">
        <v>27</v>
      </c>
      <c r="C69" s="1" t="s">
        <v>6</v>
      </c>
      <c r="D69" s="2" t="s">
        <v>11</v>
      </c>
      <c r="E69" s="1">
        <f>0.5682-0.5454</f>
        <v>2.2800000000000042E-2</v>
      </c>
      <c r="F69" s="1">
        <v>13.4</v>
      </c>
      <c r="G69" s="1"/>
    </row>
    <row r="70" spans="1:9" x14ac:dyDescent="0.3">
      <c r="A70" s="1">
        <v>20</v>
      </c>
      <c r="B70" s="1">
        <v>27</v>
      </c>
      <c r="C70" s="1" t="s">
        <v>6</v>
      </c>
      <c r="D70" s="2" t="s">
        <v>11</v>
      </c>
      <c r="E70" s="1">
        <f>0.5613-0.5418</f>
        <v>1.9500000000000073E-2</v>
      </c>
      <c r="F70" s="1">
        <v>13.4</v>
      </c>
      <c r="G70" s="1"/>
    </row>
    <row r="71" spans="1:9" x14ac:dyDescent="0.3">
      <c r="A71" s="1">
        <v>21</v>
      </c>
      <c r="B71" s="1">
        <v>27</v>
      </c>
      <c r="C71" s="1" t="s">
        <v>6</v>
      </c>
      <c r="D71" s="2" t="s">
        <v>8</v>
      </c>
      <c r="E71" s="1">
        <f>0.6296-0.5739</f>
        <v>5.5700000000000083E-2</v>
      </c>
      <c r="F71" s="1">
        <v>13.4</v>
      </c>
      <c r="G71" s="1"/>
    </row>
    <row r="72" spans="1:9" x14ac:dyDescent="0.3">
      <c r="A72" s="1">
        <v>1</v>
      </c>
      <c r="B72" s="1">
        <v>27</v>
      </c>
      <c r="C72" s="1" t="s">
        <v>15</v>
      </c>
      <c r="D72" s="2" t="s">
        <v>16</v>
      </c>
      <c r="E72" s="1">
        <f>0.5634-0.5155</f>
        <v>4.7900000000000054E-2</v>
      </c>
      <c r="F72" s="1">
        <v>12.1</v>
      </c>
      <c r="G72" s="1"/>
    </row>
    <row r="73" spans="1:9" x14ac:dyDescent="0.3">
      <c r="A73" s="1">
        <v>2</v>
      </c>
      <c r="B73" s="1">
        <v>27</v>
      </c>
      <c r="C73" s="1" t="s">
        <v>15</v>
      </c>
      <c r="D73" s="2" t="s">
        <v>16</v>
      </c>
      <c r="E73" s="1">
        <f>0.6025-0.5658</f>
        <v>3.6700000000000066E-2</v>
      </c>
      <c r="F73" s="1">
        <v>11.2</v>
      </c>
      <c r="G73" s="1"/>
    </row>
    <row r="74" spans="1:9" x14ac:dyDescent="0.3">
      <c r="A74" s="1">
        <v>3</v>
      </c>
      <c r="B74" s="1">
        <v>27</v>
      </c>
      <c r="C74" s="1" t="s">
        <v>15</v>
      </c>
      <c r="D74" s="2" t="s">
        <v>16</v>
      </c>
      <c r="E74" s="1">
        <f>0.8277-0.7961</f>
        <v>3.1599999999999961E-2</v>
      </c>
      <c r="F74" s="1">
        <v>10.7</v>
      </c>
      <c r="G74" s="1"/>
    </row>
    <row r="75" spans="1:9" x14ac:dyDescent="0.3">
      <c r="A75" s="1">
        <v>4</v>
      </c>
      <c r="B75" s="1">
        <v>27</v>
      </c>
      <c r="C75" s="1" t="s">
        <v>15</v>
      </c>
      <c r="D75" s="2" t="s">
        <v>16</v>
      </c>
      <c r="E75" s="1">
        <f>0.5442-0.5096</f>
        <v>3.4599999999999964E-2</v>
      </c>
      <c r="F75" s="1">
        <v>10.6</v>
      </c>
      <c r="G75" s="1"/>
    </row>
    <row r="76" spans="1:9" x14ac:dyDescent="0.3">
      <c r="A76" s="1">
        <v>5</v>
      </c>
      <c r="B76" s="1">
        <v>27</v>
      </c>
      <c r="C76" s="1" t="s">
        <v>15</v>
      </c>
      <c r="D76" s="2" t="s">
        <v>11</v>
      </c>
      <c r="E76" s="1">
        <f>0.5409-0.5135</f>
        <v>2.7400000000000091E-2</v>
      </c>
      <c r="F76" s="1">
        <v>10.4</v>
      </c>
      <c r="H76" s="1" t="s">
        <v>19</v>
      </c>
      <c r="I76" s="1" t="s">
        <v>21</v>
      </c>
    </row>
    <row r="77" spans="1:9" x14ac:dyDescent="0.3">
      <c r="A77" s="1">
        <v>6</v>
      </c>
      <c r="B77" s="1">
        <v>27</v>
      </c>
      <c r="C77" s="1" t="s">
        <v>15</v>
      </c>
      <c r="D77" s="2" t="s">
        <v>11</v>
      </c>
      <c r="E77" s="1">
        <f>0.5501-0.5135</f>
        <v>3.6600000000000077E-2</v>
      </c>
      <c r="F77" s="1">
        <v>10</v>
      </c>
      <c r="H77" s="1" t="s">
        <v>18</v>
      </c>
      <c r="I77" s="1">
        <v>27</v>
      </c>
    </row>
    <row r="78" spans="1:9" x14ac:dyDescent="0.3">
      <c r="A78" s="1">
        <v>7</v>
      </c>
      <c r="B78" s="1">
        <v>27</v>
      </c>
      <c r="C78" s="1" t="s">
        <v>15</v>
      </c>
      <c r="D78" s="2" t="s">
        <v>16</v>
      </c>
      <c r="E78" s="1">
        <f>0.5525-0.511</f>
        <v>4.1499999999999981E-2</v>
      </c>
      <c r="F78" s="1">
        <v>9.6</v>
      </c>
      <c r="H78" s="1" t="s">
        <v>13</v>
      </c>
      <c r="I78" s="1" t="s">
        <v>14</v>
      </c>
    </row>
    <row r="79" spans="1:9" x14ac:dyDescent="0.3">
      <c r="A79" s="1">
        <v>8</v>
      </c>
      <c r="B79" s="1">
        <v>27</v>
      </c>
      <c r="C79" s="1" t="s">
        <v>15</v>
      </c>
      <c r="D79" s="2" t="s">
        <v>11</v>
      </c>
      <c r="E79" s="1">
        <f>0.581-0.532</f>
        <v>4.8999999999999932E-2</v>
      </c>
      <c r="F79" s="1">
        <v>10</v>
      </c>
      <c r="G79" s="1" t="s">
        <v>5</v>
      </c>
      <c r="H79" s="1">
        <f>AVERAGE(F72:F85)</f>
        <v>10.085714285714285</v>
      </c>
      <c r="I79" s="1">
        <f>STDEV(F72:F85)</f>
        <v>0.8474914502469969</v>
      </c>
    </row>
    <row r="80" spans="1:9" x14ac:dyDescent="0.3">
      <c r="A80" s="1">
        <v>9</v>
      </c>
      <c r="B80" s="1">
        <v>27</v>
      </c>
      <c r="C80" s="1" t="s">
        <v>15</v>
      </c>
      <c r="D80" s="2" t="s">
        <v>16</v>
      </c>
      <c r="E80" s="1">
        <f>0.5611-0.5238</f>
        <v>3.73E-2</v>
      </c>
      <c r="F80" s="1">
        <v>9.8000000000000007</v>
      </c>
      <c r="G80" s="1" t="s">
        <v>4</v>
      </c>
      <c r="H80" s="1">
        <f>AVERAGE(E72:E85)</f>
        <v>4.1278571428571442E-2</v>
      </c>
      <c r="I80" s="1">
        <f>STDEV(E72:E85)</f>
        <v>8.1753079049451793E-3</v>
      </c>
    </row>
    <row r="81" spans="1:9" x14ac:dyDescent="0.3">
      <c r="A81" s="1">
        <v>10</v>
      </c>
      <c r="B81" s="1">
        <v>27</v>
      </c>
      <c r="C81" s="1" t="s">
        <v>15</v>
      </c>
      <c r="D81" s="2" t="s">
        <v>16</v>
      </c>
      <c r="E81" s="1">
        <f>0.5909-0.5439</f>
        <v>4.6999999999999931E-2</v>
      </c>
      <c r="F81" s="1">
        <v>9.6999999999999993</v>
      </c>
      <c r="G81" s="1"/>
    </row>
    <row r="82" spans="1:9" x14ac:dyDescent="0.3">
      <c r="A82" s="1">
        <v>11</v>
      </c>
      <c r="B82" s="1">
        <v>27</v>
      </c>
      <c r="C82" s="1" t="s">
        <v>15</v>
      </c>
      <c r="D82" s="2" t="s">
        <v>16</v>
      </c>
      <c r="E82" s="1">
        <f>0.5997-0.5515</f>
        <v>4.8200000000000021E-2</v>
      </c>
      <c r="F82" s="1">
        <v>9.6</v>
      </c>
      <c r="G82" s="1"/>
    </row>
    <row r="83" spans="1:9" x14ac:dyDescent="0.3">
      <c r="A83" s="1">
        <v>12</v>
      </c>
      <c r="B83" s="1">
        <v>27</v>
      </c>
      <c r="C83" s="1" t="s">
        <v>15</v>
      </c>
      <c r="D83" s="2" t="s">
        <v>11</v>
      </c>
      <c r="E83" s="1">
        <f>0.5843-0.5282</f>
        <v>5.6100000000000039E-2</v>
      </c>
      <c r="F83" s="1">
        <v>9.3000000000000007</v>
      </c>
      <c r="G83" s="1"/>
    </row>
    <row r="84" spans="1:9" x14ac:dyDescent="0.3">
      <c r="A84" s="1">
        <v>13</v>
      </c>
      <c r="B84" s="1">
        <v>27</v>
      </c>
      <c r="C84" s="1" t="s">
        <v>15</v>
      </c>
      <c r="D84" s="2" t="s">
        <v>16</v>
      </c>
      <c r="E84" s="1">
        <f>0.5675-0.5316</f>
        <v>3.5900000000000043E-2</v>
      </c>
      <c r="F84" s="1">
        <v>9.1999999999999993</v>
      </c>
      <c r="G84" s="1"/>
    </row>
    <row r="85" spans="1:9" x14ac:dyDescent="0.3">
      <c r="A85" s="1">
        <v>14</v>
      </c>
      <c r="B85" s="1">
        <v>27</v>
      </c>
      <c r="C85" s="1" t="s">
        <v>15</v>
      </c>
      <c r="D85" s="2" t="s">
        <v>16</v>
      </c>
      <c r="E85" s="1">
        <f>0.6149-0.5668</f>
        <v>4.8100000000000032E-2</v>
      </c>
      <c r="F85" s="1">
        <v>9</v>
      </c>
      <c r="G85" s="1"/>
    </row>
    <row r="86" spans="1:9" x14ac:dyDescent="0.3">
      <c r="A86" s="1">
        <v>1</v>
      </c>
      <c r="B86" s="1">
        <v>32</v>
      </c>
      <c r="C86" s="1" t="s">
        <v>6</v>
      </c>
      <c r="D86" s="2" t="s">
        <v>8</v>
      </c>
      <c r="E86" s="1">
        <f>0.5754-0.5474</f>
        <v>2.8000000000000025E-2</v>
      </c>
      <c r="F86" s="1">
        <v>17</v>
      </c>
      <c r="G86" s="1"/>
    </row>
    <row r="87" spans="1:9" x14ac:dyDescent="0.3">
      <c r="A87" s="1">
        <v>2</v>
      </c>
      <c r="B87" s="1">
        <v>32</v>
      </c>
      <c r="C87" s="1" t="s">
        <v>6</v>
      </c>
      <c r="D87" s="2" t="s">
        <v>8</v>
      </c>
      <c r="E87" s="1">
        <f>0.5977-0.5434</f>
        <v>5.4300000000000015E-2</v>
      </c>
      <c r="F87" s="1">
        <v>16.7</v>
      </c>
      <c r="G87" s="1"/>
    </row>
    <row r="88" spans="1:9" x14ac:dyDescent="0.3">
      <c r="A88" s="1">
        <v>3</v>
      </c>
      <c r="B88" s="1">
        <v>32</v>
      </c>
      <c r="C88" s="1" t="s">
        <v>6</v>
      </c>
      <c r="D88" s="2" t="s">
        <v>8</v>
      </c>
      <c r="E88" s="1">
        <f>0.5455-0.5233</f>
        <v>2.2199999999999998E-2</v>
      </c>
      <c r="F88" s="1">
        <v>16.5</v>
      </c>
      <c r="G88" s="1"/>
    </row>
    <row r="89" spans="1:9" x14ac:dyDescent="0.3">
      <c r="A89" s="1">
        <v>4</v>
      </c>
      <c r="B89" s="1">
        <v>32</v>
      </c>
      <c r="C89" s="1" t="s">
        <v>6</v>
      </c>
      <c r="D89" s="2" t="s">
        <v>8</v>
      </c>
      <c r="E89" s="1">
        <f>0.554-0.5367</f>
        <v>1.7300000000000093E-2</v>
      </c>
      <c r="F89" s="1">
        <v>16.5</v>
      </c>
      <c r="G89" s="1"/>
    </row>
    <row r="90" spans="1:9" x14ac:dyDescent="0.3">
      <c r="A90" s="1">
        <v>5</v>
      </c>
      <c r="B90" s="1">
        <v>32</v>
      </c>
      <c r="C90" s="1" t="s">
        <v>6</v>
      </c>
      <c r="D90" s="2" t="s">
        <v>11</v>
      </c>
      <c r="E90" s="1">
        <f>0.5581-0.5434</f>
        <v>1.4700000000000046E-2</v>
      </c>
      <c r="F90" s="1">
        <v>16.3</v>
      </c>
      <c r="G90" s="1"/>
    </row>
    <row r="91" spans="1:9" x14ac:dyDescent="0.3">
      <c r="A91" s="1">
        <v>6</v>
      </c>
      <c r="B91" s="1">
        <v>32</v>
      </c>
      <c r="C91" s="1" t="s">
        <v>6</v>
      </c>
      <c r="D91" s="2" t="s">
        <v>11</v>
      </c>
      <c r="E91" s="1">
        <f>0.5727-0.5591</f>
        <v>1.3599999999999945E-2</v>
      </c>
      <c r="F91" s="1">
        <v>16.2</v>
      </c>
      <c r="G91" s="1"/>
    </row>
    <row r="92" spans="1:9" x14ac:dyDescent="0.3">
      <c r="A92" s="1">
        <v>7</v>
      </c>
      <c r="B92" s="1">
        <v>32</v>
      </c>
      <c r="C92" s="1" t="s">
        <v>6</v>
      </c>
      <c r="D92" s="2" t="s">
        <v>11</v>
      </c>
      <c r="E92" s="1">
        <f>0.5579-0.5377</f>
        <v>2.0199999999999996E-2</v>
      </c>
      <c r="F92" s="1">
        <v>16.2</v>
      </c>
      <c r="G92" s="1"/>
    </row>
    <row r="93" spans="1:9" x14ac:dyDescent="0.3">
      <c r="A93" s="1">
        <v>8</v>
      </c>
      <c r="B93" s="1">
        <v>32</v>
      </c>
      <c r="C93" s="1" t="s">
        <v>6</v>
      </c>
      <c r="D93" s="2" t="s">
        <v>11</v>
      </c>
      <c r="E93" s="1">
        <f>0.5516-0.5374</f>
        <v>1.419999999999999E-2</v>
      </c>
      <c r="F93" s="1">
        <v>16.2</v>
      </c>
      <c r="H93" s="1" t="s">
        <v>19</v>
      </c>
      <c r="I93" s="1" t="s">
        <v>17</v>
      </c>
    </row>
    <row r="94" spans="1:9" x14ac:dyDescent="0.3">
      <c r="A94" s="1">
        <v>9</v>
      </c>
      <c r="B94" s="1">
        <v>32</v>
      </c>
      <c r="C94" s="1" t="s">
        <v>6</v>
      </c>
      <c r="D94" s="2" t="s">
        <v>11</v>
      </c>
      <c r="E94" s="1">
        <f>0.5713-0.5487</f>
        <v>2.2600000000000064E-2</v>
      </c>
      <c r="F94" s="1">
        <v>16.2</v>
      </c>
      <c r="H94" s="1" t="s">
        <v>12</v>
      </c>
      <c r="I94" s="1">
        <v>32</v>
      </c>
    </row>
    <row r="95" spans="1:9" x14ac:dyDescent="0.3">
      <c r="A95" s="1">
        <v>10</v>
      </c>
      <c r="B95" s="1">
        <v>32</v>
      </c>
      <c r="C95" s="1" t="s">
        <v>6</v>
      </c>
      <c r="D95" s="2" t="s">
        <v>11</v>
      </c>
      <c r="E95" s="1">
        <f>0.5575-0.5435</f>
        <v>1.4000000000000012E-2</v>
      </c>
      <c r="F95" s="1">
        <v>16.2</v>
      </c>
      <c r="H95" s="1" t="s">
        <v>13</v>
      </c>
      <c r="I95" s="1" t="s">
        <v>14</v>
      </c>
    </row>
    <row r="96" spans="1:9" x14ac:dyDescent="0.3">
      <c r="A96" s="1">
        <v>11</v>
      </c>
      <c r="B96" s="1">
        <v>32</v>
      </c>
      <c r="C96" s="1" t="s">
        <v>6</v>
      </c>
      <c r="D96" s="2" t="s">
        <v>8</v>
      </c>
      <c r="E96" s="1">
        <f>0.5696-0.552</f>
        <v>1.7599999999999949E-2</v>
      </c>
      <c r="F96" s="1">
        <v>16.100000000000001</v>
      </c>
      <c r="G96" s="1" t="s">
        <v>5</v>
      </c>
      <c r="H96" s="1">
        <f>AVERAGE(F86:F107)</f>
        <v>16.100000000000001</v>
      </c>
      <c r="I96" s="1">
        <f>STDEV(F86:F107)</f>
        <v>0.35186577527449819</v>
      </c>
    </row>
    <row r="97" spans="1:9" x14ac:dyDescent="0.3">
      <c r="A97" s="1">
        <v>12</v>
      </c>
      <c r="B97" s="1">
        <v>32</v>
      </c>
      <c r="C97" s="1" t="s">
        <v>6</v>
      </c>
      <c r="D97" s="2" t="s">
        <v>11</v>
      </c>
      <c r="E97" s="1">
        <f>0.5823-0.5531</f>
        <v>2.9200000000000004E-2</v>
      </c>
      <c r="F97" s="1">
        <v>16</v>
      </c>
      <c r="G97" s="1" t="s">
        <v>4</v>
      </c>
      <c r="H97" s="1">
        <f>AVERAGE(E86:E107)</f>
        <v>2.2877272727272736E-2</v>
      </c>
      <c r="I97" s="1">
        <f>STDEV(E86:E107)</f>
        <v>9.9539861275189639E-3</v>
      </c>
    </row>
    <row r="98" spans="1:9" x14ac:dyDescent="0.3">
      <c r="A98" s="1">
        <v>13</v>
      </c>
      <c r="B98" s="1">
        <v>32</v>
      </c>
      <c r="C98" s="1" t="s">
        <v>6</v>
      </c>
      <c r="D98" s="2" t="s">
        <v>8</v>
      </c>
      <c r="E98" s="1">
        <f>0.5559-0.5339</f>
        <v>2.1999999999999909E-2</v>
      </c>
      <c r="F98" s="1">
        <v>16</v>
      </c>
      <c r="G98" s="1"/>
    </row>
    <row r="99" spans="1:9" x14ac:dyDescent="0.3">
      <c r="A99" s="1">
        <v>14</v>
      </c>
      <c r="B99" s="1">
        <v>32</v>
      </c>
      <c r="C99" s="1" t="s">
        <v>6</v>
      </c>
      <c r="D99" s="2" t="s">
        <v>11</v>
      </c>
      <c r="E99" s="1">
        <f>0.5672-0.5481</f>
        <v>1.9100000000000006E-2</v>
      </c>
      <c r="F99" s="1">
        <v>16</v>
      </c>
      <c r="G99" s="1"/>
    </row>
    <row r="100" spans="1:9" x14ac:dyDescent="0.3">
      <c r="A100" s="1">
        <v>15</v>
      </c>
      <c r="B100" s="1">
        <v>32</v>
      </c>
      <c r="C100" s="1" t="s">
        <v>6</v>
      </c>
      <c r="D100" s="2" t="s">
        <v>11</v>
      </c>
      <c r="E100" s="1">
        <f>0.5534-0.5368</f>
        <v>1.6599999999999948E-2</v>
      </c>
      <c r="F100" s="1">
        <v>15.9</v>
      </c>
      <c r="G100" s="1"/>
    </row>
    <row r="101" spans="1:9" x14ac:dyDescent="0.3">
      <c r="A101" s="1">
        <v>16</v>
      </c>
      <c r="B101" s="1">
        <v>32</v>
      </c>
      <c r="C101" s="1" t="s">
        <v>6</v>
      </c>
      <c r="D101" s="2" t="s">
        <v>8</v>
      </c>
      <c r="E101" s="1">
        <f>0.5766-0.5526</f>
        <v>2.4000000000000021E-2</v>
      </c>
      <c r="F101" s="1">
        <v>15.8</v>
      </c>
      <c r="G101" s="1"/>
    </row>
    <row r="102" spans="1:9" x14ac:dyDescent="0.3">
      <c r="A102" s="1">
        <v>17</v>
      </c>
      <c r="B102" s="1">
        <v>32</v>
      </c>
      <c r="C102" s="1" t="s">
        <v>6</v>
      </c>
      <c r="D102" s="2" t="s">
        <v>8</v>
      </c>
      <c r="E102" s="1">
        <f>0.5783-0.532</f>
        <v>4.6300000000000008E-2</v>
      </c>
      <c r="F102" s="1">
        <v>15.8</v>
      </c>
      <c r="G102" s="1"/>
    </row>
    <row r="103" spans="1:9" x14ac:dyDescent="0.3">
      <c r="A103" s="1">
        <v>18</v>
      </c>
      <c r="B103" s="1">
        <v>32</v>
      </c>
      <c r="C103" s="1" t="s">
        <v>6</v>
      </c>
      <c r="D103" s="2" t="s">
        <v>11</v>
      </c>
      <c r="E103" s="1">
        <f>0.5643-0.5378</f>
        <v>2.6500000000000079E-2</v>
      </c>
      <c r="F103" s="1">
        <v>15.8</v>
      </c>
      <c r="G103" s="1"/>
    </row>
    <row r="104" spans="1:9" x14ac:dyDescent="0.3">
      <c r="A104" s="1">
        <v>19</v>
      </c>
      <c r="B104" s="1">
        <v>32</v>
      </c>
      <c r="C104" s="1" t="s">
        <v>6</v>
      </c>
      <c r="D104" s="2" t="s">
        <v>11</v>
      </c>
      <c r="E104" s="1">
        <f>0.5718-0.5513</f>
        <v>2.0499999999999963E-2</v>
      </c>
      <c r="F104" s="1">
        <v>15.8</v>
      </c>
      <c r="G104" s="1"/>
    </row>
    <row r="105" spans="1:9" x14ac:dyDescent="0.3">
      <c r="A105" s="1">
        <v>20</v>
      </c>
      <c r="B105" s="1">
        <v>32</v>
      </c>
      <c r="C105" s="1" t="s">
        <v>6</v>
      </c>
      <c r="D105" s="2" t="s">
        <v>11</v>
      </c>
      <c r="E105" s="1">
        <f>0.552-0.5311</f>
        <v>2.090000000000003E-2</v>
      </c>
      <c r="F105" s="1">
        <v>15.8</v>
      </c>
      <c r="G105" s="1"/>
    </row>
    <row r="106" spans="1:9" x14ac:dyDescent="0.3">
      <c r="A106" s="1">
        <v>21</v>
      </c>
      <c r="B106" s="1">
        <v>32</v>
      </c>
      <c r="C106" s="1" t="s">
        <v>6</v>
      </c>
      <c r="D106" s="2" t="s">
        <v>11</v>
      </c>
      <c r="E106" s="1">
        <f>0.5541-0.5362</f>
        <v>1.7900000000000027E-2</v>
      </c>
      <c r="F106" s="1">
        <v>15.6</v>
      </c>
      <c r="G106" s="1"/>
    </row>
    <row r="107" spans="1:9" x14ac:dyDescent="0.3">
      <c r="A107" s="1">
        <v>22</v>
      </c>
      <c r="B107" s="1">
        <v>32</v>
      </c>
      <c r="C107" s="1" t="s">
        <v>6</v>
      </c>
      <c r="D107" s="2" t="s">
        <v>11</v>
      </c>
      <c r="E107" s="1">
        <f>0.5872-0.5656</f>
        <v>2.1600000000000064E-2</v>
      </c>
      <c r="F107" s="1">
        <v>15.6</v>
      </c>
      <c r="G107" s="1"/>
    </row>
    <row r="108" spans="1:9" x14ac:dyDescent="0.3">
      <c r="A108" s="1">
        <v>1</v>
      </c>
      <c r="B108" s="1">
        <v>32</v>
      </c>
      <c r="C108" s="1" t="s">
        <v>15</v>
      </c>
      <c r="D108" s="2" t="s">
        <v>16</v>
      </c>
      <c r="E108" s="1">
        <f>0.5414-0.5122</f>
        <v>2.9200000000000004E-2</v>
      </c>
      <c r="F108" s="1">
        <v>15.6</v>
      </c>
      <c r="G108" s="1"/>
    </row>
    <row r="109" spans="1:9" x14ac:dyDescent="0.3">
      <c r="A109" s="1">
        <v>2</v>
      </c>
      <c r="B109" s="1">
        <v>32</v>
      </c>
      <c r="C109" s="1" t="s">
        <v>15</v>
      </c>
      <c r="D109" s="2" t="s">
        <v>16</v>
      </c>
      <c r="E109" s="1">
        <f>0.5504-0.5099</f>
        <v>4.049999999999998E-2</v>
      </c>
      <c r="F109" s="1">
        <v>14.7</v>
      </c>
      <c r="G109" s="1"/>
    </row>
    <row r="110" spans="1:9" x14ac:dyDescent="0.3">
      <c r="A110" s="1">
        <v>3</v>
      </c>
      <c r="B110" s="1">
        <v>32</v>
      </c>
      <c r="C110" s="1" t="s">
        <v>15</v>
      </c>
      <c r="D110" s="2" t="s">
        <v>16</v>
      </c>
      <c r="E110" s="1">
        <f>0.5483-0.511</f>
        <v>3.73E-2</v>
      </c>
      <c r="F110" s="1">
        <v>14.3</v>
      </c>
      <c r="H110" s="1" t="s">
        <v>19</v>
      </c>
      <c r="I110" s="1" t="s">
        <v>21</v>
      </c>
    </row>
    <row r="111" spans="1:9" x14ac:dyDescent="0.3">
      <c r="A111" s="1">
        <v>4</v>
      </c>
      <c r="B111" s="1">
        <v>32</v>
      </c>
      <c r="C111" s="1" t="s">
        <v>15</v>
      </c>
      <c r="D111" s="2" t="s">
        <v>16</v>
      </c>
      <c r="E111" s="1">
        <f>0.5462-0.5102</f>
        <v>3.6000000000000032E-2</v>
      </c>
      <c r="F111" s="1">
        <v>14</v>
      </c>
      <c r="H111" s="1" t="s">
        <v>18</v>
      </c>
      <c r="I111" s="1">
        <v>32</v>
      </c>
    </row>
    <row r="112" spans="1:9" x14ac:dyDescent="0.3">
      <c r="A112" s="1">
        <v>5</v>
      </c>
      <c r="B112" s="1">
        <v>32</v>
      </c>
      <c r="C112" s="1" t="s">
        <v>15</v>
      </c>
      <c r="D112" s="2" t="s">
        <v>16</v>
      </c>
      <c r="E112" s="1">
        <f>0.5382-0.5103</f>
        <v>2.7900000000000036E-2</v>
      </c>
      <c r="F112" s="1">
        <v>13.9</v>
      </c>
      <c r="H112" s="1" t="s">
        <v>13</v>
      </c>
      <c r="I112" s="1" t="s">
        <v>14</v>
      </c>
    </row>
    <row r="113" spans="1:9" x14ac:dyDescent="0.3">
      <c r="A113" s="1">
        <v>6</v>
      </c>
      <c r="B113" s="1">
        <v>32</v>
      </c>
      <c r="C113" s="1" t="s">
        <v>15</v>
      </c>
      <c r="D113" s="2" t="s">
        <v>11</v>
      </c>
      <c r="E113" s="1">
        <f>0.5476-0.5106</f>
        <v>3.6999999999999922E-2</v>
      </c>
      <c r="F113" s="1">
        <v>13.5</v>
      </c>
      <c r="G113" s="1" t="s">
        <v>5</v>
      </c>
      <c r="H113" s="1">
        <f>AVERAGE(F108:F121)</f>
        <v>14.02857142857143</v>
      </c>
      <c r="I113" s="1">
        <f>STDEV(F108:F121)</f>
        <v>0.74258236676383005</v>
      </c>
    </row>
    <row r="114" spans="1:9" x14ac:dyDescent="0.3">
      <c r="A114" s="1">
        <v>7</v>
      </c>
      <c r="B114" s="1">
        <v>32</v>
      </c>
      <c r="C114" s="1" t="s">
        <v>15</v>
      </c>
      <c r="D114" s="2" t="s">
        <v>11</v>
      </c>
      <c r="E114" s="1">
        <f>0.5555-0.5108</f>
        <v>4.4699999999999962E-2</v>
      </c>
      <c r="F114" s="1">
        <v>13.4</v>
      </c>
      <c r="G114" s="1" t="s">
        <v>4</v>
      </c>
      <c r="H114" s="1">
        <f>AVERAGE(E108:E121)</f>
        <v>4.1742857142857137E-2</v>
      </c>
      <c r="I114" s="1">
        <f>STDEV(E108:E121)</f>
        <v>1.1993056599274687E-2</v>
      </c>
    </row>
    <row r="115" spans="1:9" x14ac:dyDescent="0.3">
      <c r="A115" s="1">
        <v>8</v>
      </c>
      <c r="B115" s="1">
        <v>32</v>
      </c>
      <c r="C115" s="1" t="s">
        <v>15</v>
      </c>
      <c r="D115" s="2" t="s">
        <v>11</v>
      </c>
      <c r="E115" s="1">
        <f>0.5445-0.5094</f>
        <v>3.510000000000002E-2</v>
      </c>
      <c r="F115" s="1">
        <v>13</v>
      </c>
      <c r="G115" s="1"/>
    </row>
    <row r="116" spans="1:9" x14ac:dyDescent="0.3">
      <c r="A116" s="1">
        <v>9</v>
      </c>
      <c r="B116" s="1">
        <v>32</v>
      </c>
      <c r="C116" s="1" t="s">
        <v>15</v>
      </c>
      <c r="D116" s="2" t="s">
        <v>7</v>
      </c>
      <c r="E116" s="1">
        <f>0.5877-0.5322</f>
        <v>5.5499999999999994E-2</v>
      </c>
      <c r="F116" s="1">
        <v>13</v>
      </c>
      <c r="G116" s="1"/>
    </row>
    <row r="117" spans="1:9" x14ac:dyDescent="0.3">
      <c r="A117" s="1">
        <v>10</v>
      </c>
      <c r="B117" s="1">
        <v>32</v>
      </c>
      <c r="C117" s="1" t="s">
        <v>15</v>
      </c>
      <c r="D117" s="2" t="s">
        <v>16</v>
      </c>
      <c r="E117" s="1">
        <f>0.5852-0.5548</f>
        <v>3.0400000000000094E-2</v>
      </c>
      <c r="F117" s="1">
        <v>14.9</v>
      </c>
      <c r="G117" s="1"/>
    </row>
    <row r="118" spans="1:9" x14ac:dyDescent="0.3">
      <c r="A118" s="1">
        <v>11</v>
      </c>
      <c r="B118" s="1">
        <v>32</v>
      </c>
      <c r="C118" s="1" t="s">
        <v>15</v>
      </c>
      <c r="D118" s="2" t="s">
        <v>16</v>
      </c>
      <c r="E118" s="1">
        <f>0.6066-0.5643</f>
        <v>4.2300000000000004E-2</v>
      </c>
      <c r="F118" s="1">
        <v>14.4</v>
      </c>
      <c r="G118" s="1"/>
    </row>
    <row r="119" spans="1:9" x14ac:dyDescent="0.3">
      <c r="A119" s="1">
        <v>12</v>
      </c>
      <c r="B119" s="1">
        <v>32</v>
      </c>
      <c r="C119" s="1" t="s">
        <v>15</v>
      </c>
      <c r="D119" s="2" t="s">
        <v>16</v>
      </c>
      <c r="E119" s="1">
        <f>0.589-0.55</f>
        <v>3.8999999999999924E-2</v>
      </c>
      <c r="F119" s="1">
        <v>14.3</v>
      </c>
      <c r="G119" s="1"/>
    </row>
    <row r="120" spans="1:9" x14ac:dyDescent="0.3">
      <c r="A120" s="1">
        <v>13</v>
      </c>
      <c r="B120" s="1">
        <v>32</v>
      </c>
      <c r="C120" s="1" t="s">
        <v>15</v>
      </c>
      <c r="D120" s="2" t="s">
        <v>16</v>
      </c>
      <c r="E120" s="1">
        <f>0.6304-0.5675</f>
        <v>6.2899999999999956E-2</v>
      </c>
      <c r="F120" s="1">
        <v>14</v>
      </c>
      <c r="G120" s="1"/>
    </row>
    <row r="121" spans="1:9" x14ac:dyDescent="0.3">
      <c r="A121" s="1">
        <v>14</v>
      </c>
      <c r="B121" s="1">
        <v>32</v>
      </c>
      <c r="C121" s="1" t="s">
        <v>15</v>
      </c>
      <c r="D121" s="2" t="s">
        <v>11</v>
      </c>
      <c r="E121" s="1">
        <f>0.6348-0.5682</f>
        <v>6.6599999999999993E-2</v>
      </c>
      <c r="F121" s="1">
        <v>13.4</v>
      </c>
      <c r="G121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CT MÁX</vt:lpstr>
      <vt:lpstr>CT MÍN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miyai</dc:creator>
  <cp:lastModifiedBy>caio miyai</cp:lastModifiedBy>
  <dcterms:created xsi:type="dcterms:W3CDTF">2024-01-26T15:25:10Z</dcterms:created>
  <dcterms:modified xsi:type="dcterms:W3CDTF">2024-01-26T15:27:01Z</dcterms:modified>
</cp:coreProperties>
</file>