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leitura_ults\modelo_bd\"/>
    </mc:Choice>
  </mc:AlternateContent>
  <xr:revisionPtr revIDLastSave="0" documentId="13_ncr:1_{E84E20AB-CCB2-49D6-AACF-9C024DE5DFC2}" xr6:coauthVersionLast="47" xr6:coauthVersionMax="47" xr10:uidLastSave="{00000000-0000-0000-0000-000000000000}"/>
  <bookViews>
    <workbookView xWindow="28680" yWindow="-120" windowWidth="29040" windowHeight="15840" xr2:uid="{1446E3CF-A477-421A-8B55-C128585F7F09}"/>
  </bookViews>
  <sheets>
    <sheet name="Planilha1" sheetId="1" r:id="rId1"/>
    <sheet name="Planilha5" sheetId="7" r:id="rId2"/>
    <sheet name="Planilha3" sheetId="5" r:id="rId3"/>
    <sheet name="Planilha2" sheetId="4" r:id="rId4"/>
    <sheet name="EXEMPLO" sheetId="2" r:id="rId5"/>
  </sheets>
  <definedNames>
    <definedName name="_xlnm.Print_Area" localSheetId="4">EXEMPLO!$A$8:$U$68</definedName>
    <definedName name="cofins">#REF!</definedName>
    <definedName name="I">Planilha5!$C$20:$D$20</definedName>
    <definedName name="pis">#REF!</definedName>
    <definedName name="tar_dem_fp">#REF!</definedName>
    <definedName name="tar_dem_p">#REF!</definedName>
    <definedName name="tar_te_fp">#REF!</definedName>
    <definedName name="tar_te_p">#REF!</definedName>
    <definedName name="tar_tusd_fp">#REF!</definedName>
    <definedName name="tar_tusd_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7" l="1"/>
  <c r="U6" i="7"/>
  <c r="U7" i="7"/>
  <c r="U8" i="7"/>
  <c r="U9" i="7"/>
  <c r="U10" i="7"/>
  <c r="U11" i="7"/>
  <c r="U12" i="7"/>
  <c r="U13" i="7"/>
  <c r="U14" i="7"/>
  <c r="P5" i="7"/>
  <c r="P6" i="7"/>
  <c r="P7" i="7"/>
  <c r="P8" i="7"/>
  <c r="P9" i="7"/>
  <c r="P10" i="7"/>
  <c r="P11" i="7"/>
  <c r="P12" i="7"/>
  <c r="P13" i="7"/>
  <c r="P14" i="7"/>
  <c r="K5" i="7"/>
  <c r="K6" i="7"/>
  <c r="K7" i="7"/>
  <c r="K8" i="7"/>
  <c r="K9" i="7"/>
  <c r="K10" i="7"/>
  <c r="K11" i="7"/>
  <c r="K12" i="7"/>
  <c r="K13" i="7"/>
  <c r="K14" i="7"/>
  <c r="F5" i="7"/>
  <c r="F6" i="7"/>
  <c r="F7" i="7"/>
  <c r="F8" i="7"/>
  <c r="F9" i="7"/>
  <c r="F10" i="7"/>
  <c r="F11" i="7"/>
  <c r="F12" i="7"/>
  <c r="F13" i="7"/>
  <c r="F14" i="7"/>
  <c r="U4" i="7"/>
  <c r="P4" i="7"/>
  <c r="K4" i="7"/>
  <c r="F4" i="7"/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" i="4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R76" i="2"/>
  <c r="M52" i="2"/>
  <c r="Q49" i="2"/>
  <c r="K49" i="2"/>
  <c r="S48" i="2"/>
  <c r="M48" i="2"/>
  <c r="Q47" i="2"/>
  <c r="R47" i="2" s="1"/>
  <c r="K47" i="2"/>
  <c r="L47" i="2" s="1"/>
  <c r="P46" i="2"/>
  <c r="S46" i="2" s="1"/>
  <c r="M46" i="2"/>
  <c r="M45" i="2"/>
  <c r="P39" i="2"/>
  <c r="J39" i="2"/>
  <c r="J38" i="2"/>
  <c r="I38" i="2"/>
  <c r="K38" i="2" s="1"/>
  <c r="P36" i="2"/>
  <c r="Q36" i="2" s="1"/>
  <c r="J35" i="2"/>
  <c r="I35" i="2"/>
  <c r="I37" i="2" s="1"/>
  <c r="O33" i="2"/>
  <c r="M53" i="2" s="1"/>
  <c r="O32" i="2"/>
  <c r="O35" i="2" s="1"/>
  <c r="Q35" i="2" s="1"/>
  <c r="I32" i="2"/>
  <c r="O29" i="2"/>
  <c r="O39" i="2" s="1"/>
  <c r="Q39" i="2" s="1"/>
  <c r="K29" i="2"/>
  <c r="P28" i="2"/>
  <c r="P38" i="2" s="1"/>
  <c r="O28" i="2"/>
  <c r="Q28" i="2" s="1"/>
  <c r="K28" i="2"/>
  <c r="L28" i="2" s="1"/>
  <c r="P27" i="2"/>
  <c r="P35" i="2" s="1"/>
  <c r="O27" i="2"/>
  <c r="Q27" i="2" s="1"/>
  <c r="K27" i="2"/>
  <c r="J27" i="2"/>
  <c r="I27" i="2"/>
  <c r="I39" i="2" s="1"/>
  <c r="K39" i="2" s="1"/>
  <c r="P24" i="2"/>
  <c r="P37" i="2" s="1"/>
  <c r="O24" i="2"/>
  <c r="Q24" i="2" s="1"/>
  <c r="K24" i="2"/>
  <c r="J24" i="2"/>
  <c r="J37" i="2" s="1"/>
  <c r="W5" i="2"/>
  <c r="R4" i="2"/>
  <c r="P4" i="2"/>
  <c r="W3" i="2"/>
  <c r="R41" i="2" s="1"/>
  <c r="R27" i="2" l="1"/>
  <c r="R36" i="2"/>
  <c r="S36" i="2"/>
  <c r="L39" i="2"/>
  <c r="M39" i="2"/>
  <c r="S39" i="2"/>
  <c r="R39" i="2"/>
  <c r="K37" i="2"/>
  <c r="R35" i="2"/>
  <c r="S35" i="2"/>
  <c r="M38" i="2"/>
  <c r="L38" i="2"/>
  <c r="S47" i="2"/>
  <c r="Q25" i="2"/>
  <c r="R24" i="2"/>
  <c r="R25" i="2" s="1"/>
  <c r="R28" i="2"/>
  <c r="K25" i="2"/>
  <c r="O38" i="2"/>
  <c r="Q38" i="2" s="1"/>
  <c r="L40" i="2"/>
  <c r="R42" i="2"/>
  <c r="L24" i="2"/>
  <c r="L25" i="2" s="1"/>
  <c r="L27" i="2"/>
  <c r="L30" i="2" s="1"/>
  <c r="K30" i="2"/>
  <c r="K35" i="2"/>
  <c r="L41" i="2"/>
  <c r="P45" i="2"/>
  <c r="S45" i="2" s="1"/>
  <c r="S49" i="2" s="1"/>
  <c r="Q29" i="2"/>
  <c r="L32" i="2"/>
  <c r="M32" i="2" s="1"/>
  <c r="O37" i="2"/>
  <c r="Q37" i="2" s="1"/>
  <c r="Q43" i="2" s="1"/>
  <c r="R40" i="2"/>
  <c r="L42" i="2"/>
  <c r="W4" i="2"/>
  <c r="L29" i="2"/>
  <c r="M28" i="2" l="1"/>
  <c r="M47" i="2"/>
  <c r="M49" i="2" s="1"/>
  <c r="M29" i="2"/>
  <c r="S24" i="2"/>
  <c r="S25" i="2" s="1"/>
  <c r="R29" i="2"/>
  <c r="S29" i="2"/>
  <c r="L37" i="2"/>
  <c r="M37" i="2"/>
  <c r="Q30" i="2"/>
  <c r="R38" i="2"/>
  <c r="S38" i="2"/>
  <c r="M27" i="2"/>
  <c r="M30" i="2" s="1"/>
  <c r="R30" i="2"/>
  <c r="M35" i="2"/>
  <c r="K43" i="2"/>
  <c r="L35" i="2"/>
  <c r="L43" i="2" s="1"/>
  <c r="S28" i="2"/>
  <c r="S37" i="2"/>
  <c r="X23" i="2" s="1"/>
  <c r="R37" i="2"/>
  <c r="R43" i="2" s="1"/>
  <c r="M24" i="2"/>
  <c r="S40" i="2"/>
  <c r="S42" i="2"/>
  <c r="S27" i="2"/>
  <c r="S30" i="2" s="1"/>
  <c r="V30" i="2" l="1"/>
  <c r="X22" i="2"/>
  <c r="S43" i="2"/>
  <c r="M59" i="2" s="1"/>
  <c r="M61" i="2" s="1"/>
  <c r="O61" i="2" s="1"/>
  <c r="S41" i="2"/>
  <c r="V39" i="2" s="1"/>
  <c r="V40" i="2" s="1"/>
  <c r="V41" i="2" s="1"/>
  <c r="M25" i="2"/>
  <c r="V27" i="2"/>
  <c r="V28" i="2" s="1"/>
  <c r="V31" i="2" s="1"/>
  <c r="V32" i="2" s="1"/>
  <c r="M42" i="2"/>
  <c r="M41" i="2"/>
  <c r="M40" i="2"/>
  <c r="M43" i="2" s="1"/>
  <c r="M55" i="2" s="1"/>
  <c r="M58" i="2" l="1"/>
  <c r="L74" i="2" s="1"/>
  <c r="O55" i="2"/>
  <c r="M56" i="2" s="1"/>
  <c r="L81" i="2" s="1"/>
  <c r="J88" i="2" l="1"/>
  <c r="J84" i="2"/>
  <c r="J82" i="2"/>
  <c r="J79" i="2"/>
  <c r="J85" i="2"/>
  <c r="J80" i="2"/>
  <c r="J87" i="2"/>
  <c r="J86" i="2"/>
  <c r="J83" i="2"/>
  <c r="J81" i="2"/>
  <c r="M63" i="2"/>
  <c r="O56" i="2"/>
  <c r="O63" i="2"/>
  <c r="Q58" i="2"/>
  <c r="L82" i="2"/>
  <c r="L83" i="2" l="1"/>
  <c r="M74" i="2"/>
  <c r="W71" i="2"/>
  <c r="E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 Stavrakas</author>
  </authors>
  <commentList>
    <comment ref="C33" authorId="0" shapeId="0" xr:uid="{656735E2-D2B1-419F-A207-68C34974D2A0}">
      <text>
        <r>
          <rPr>
            <b/>
            <sz val="9"/>
            <color indexed="81"/>
            <rFont val="Segoe UI"/>
            <family val="2"/>
          </rPr>
          <t>Andre Stavrakas:</t>
        </r>
        <r>
          <rPr>
            <sz val="9"/>
            <color indexed="81"/>
            <rFont val="Segoe UI"/>
            <family val="2"/>
          </rPr>
          <t xml:space="preserve">
LEITURA A PARTIR DO MÊS DE PRODUCAO DA FATURA</t>
        </r>
      </text>
    </comment>
    <comment ref="D33" authorId="0" shapeId="0" xr:uid="{FB1DD0FB-EFCD-4E8C-87D4-41D88D721851}">
      <text>
        <r>
          <rPr>
            <b/>
            <sz val="9"/>
            <color indexed="81"/>
            <rFont val="Segoe UI"/>
            <family val="2"/>
          </rPr>
          <t>Andre Stavrakas:</t>
        </r>
        <r>
          <rPr>
            <sz val="9"/>
            <color indexed="81"/>
            <rFont val="Segoe UI"/>
            <family val="2"/>
          </rPr>
          <t xml:space="preserve">
PUXADO DO SOLARZ A PARTIR DO PERIODO INDICADO NA FATURA</t>
        </r>
      </text>
    </comment>
    <comment ref="E33" authorId="0" shapeId="0" xr:uid="{2804EFCC-7C22-497A-8230-54BBF6518800}">
      <text>
        <r>
          <rPr>
            <b/>
            <sz val="9"/>
            <color indexed="81"/>
            <rFont val="Segoe UI"/>
            <family val="2"/>
          </rPr>
          <t>Andre Stavrakas:</t>
        </r>
        <r>
          <rPr>
            <sz val="9"/>
            <color indexed="81"/>
            <rFont val="Segoe UI"/>
            <family val="2"/>
          </rPr>
          <t xml:space="preserve">
ENERGIA INJETADA NO FINAL DA FATURA (QUADRO ESPECIAL)</t>
        </r>
      </text>
    </comment>
    <comment ref="C34" authorId="0" shapeId="0" xr:uid="{515121D2-C6B2-4842-AA1B-0912569E9FB8}">
      <text>
        <r>
          <rPr>
            <b/>
            <sz val="9"/>
            <color indexed="81"/>
            <rFont val="Segoe UI"/>
            <family val="2"/>
          </rPr>
          <t>Andre Stavrakas:</t>
        </r>
        <r>
          <rPr>
            <sz val="9"/>
            <color indexed="81"/>
            <rFont val="Segoe UI"/>
            <family val="2"/>
          </rPr>
          <t xml:space="preserve">
LIDO A PARTIR DA LINHA QUE ELE APARECE NA FATURA (MÊS/ANO)</t>
        </r>
      </text>
    </comment>
    <comment ref="F34" authorId="0" shapeId="0" xr:uid="{A8D28845-52D1-4030-83F6-ED043B91806E}">
      <text>
        <r>
          <rPr>
            <b/>
            <sz val="9"/>
            <color indexed="81"/>
            <rFont val="Segoe UI"/>
            <family val="2"/>
          </rPr>
          <t>Andre Stavrakas:</t>
        </r>
        <r>
          <rPr>
            <sz val="9"/>
            <color indexed="81"/>
            <rFont val="Segoe UI"/>
            <family val="2"/>
          </rPr>
          <t xml:space="preserve">
MONTANTE QUE APARECE NA LINHA</t>
        </r>
      </text>
    </comment>
    <comment ref="G34" authorId="0" shapeId="0" xr:uid="{3FBC4239-56A2-4A7D-89A7-F45A9CDF524B}">
      <text>
        <r>
          <rPr>
            <b/>
            <sz val="9"/>
            <color indexed="81"/>
            <rFont val="Segoe UI"/>
            <family val="2"/>
          </rPr>
          <t>Andre Stavrakas:</t>
        </r>
        <r>
          <rPr>
            <sz val="9"/>
            <color indexed="81"/>
            <rFont val="Segoe UI"/>
            <family val="2"/>
          </rPr>
          <t xml:space="preserve">
MÊS DA FATURA QUE ELE APARECE</t>
        </r>
      </text>
    </comment>
    <comment ref="D42" authorId="0" shapeId="0" xr:uid="{A43D6C7E-6AF6-4634-AF36-9B23C984158F}">
      <text>
        <r>
          <rPr>
            <b/>
            <sz val="9"/>
            <color indexed="81"/>
            <rFont val="Segoe UI"/>
            <family val="2"/>
          </rPr>
          <t>Andre Stavrakas:</t>
        </r>
        <r>
          <rPr>
            <sz val="9"/>
            <color indexed="81"/>
            <rFont val="Segoe UI"/>
            <family val="2"/>
          </rPr>
          <t xml:space="preserve">
UTILIZADO PARA PREENCHER A PLANILHA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</authors>
  <commentList>
    <comment ref="V5" authorId="0" shapeId="0" xr:uid="{BF971E42-EC56-40FF-910C-B084E48DC67D}">
      <text>
        <r>
          <rPr>
            <b/>
            <sz val="9"/>
            <color indexed="81"/>
            <rFont val="Segoe UI"/>
            <family val="2"/>
          </rPr>
          <t>Andre:</t>
        </r>
        <r>
          <rPr>
            <sz val="9"/>
            <color indexed="81"/>
            <rFont val="Segoe UI"/>
            <family val="2"/>
          </rPr>
          <t xml:space="preserve">
PIS, COFINS e ICMS cascateados</t>
        </r>
      </text>
    </comment>
  </commentList>
</comments>
</file>

<file path=xl/sharedStrings.xml><?xml version="1.0" encoding="utf-8"?>
<sst xmlns="http://schemas.openxmlformats.org/spreadsheetml/2006/main" count="305" uniqueCount="193">
  <si>
    <t>UNIDADE EDP</t>
  </si>
  <si>
    <t>GERADORA</t>
  </si>
  <si>
    <t>NOME</t>
  </si>
  <si>
    <t>Adilson</t>
  </si>
  <si>
    <t>PROPRIETARIO</t>
  </si>
  <si>
    <t>PLANILHA</t>
  </si>
  <si>
    <t>ULT</t>
  </si>
  <si>
    <t>ULT1</t>
  </si>
  <si>
    <t>DCN</t>
  </si>
  <si>
    <t>MÊS_PRODUCAO</t>
  </si>
  <si>
    <t>LEITURA_TELEM</t>
  </si>
  <si>
    <t>LEITURA_FATURA</t>
  </si>
  <si>
    <t>CONSUMO</t>
  </si>
  <si>
    <t>FATURAMENTO</t>
  </si>
  <si>
    <t>SOLARZ</t>
  </si>
  <si>
    <t>MÊS DE CONSUMO</t>
  </si>
  <si>
    <t>MONTANTE</t>
  </si>
  <si>
    <t>ICMS</t>
  </si>
  <si>
    <t>PIS</t>
  </si>
  <si>
    <t>COFINS</t>
  </si>
  <si>
    <t>UNID. CONSUMIDORA</t>
  </si>
  <si>
    <t>VALOR_FATURA</t>
  </si>
  <si>
    <t>Leitura fatura</t>
  </si>
  <si>
    <t>KUBINHOS</t>
  </si>
  <si>
    <t>CRITERIO_PROC</t>
  </si>
  <si>
    <t>BANDEIRA</t>
  </si>
  <si>
    <t>AMARELA</t>
  </si>
  <si>
    <t>VERMELHA 2</t>
  </si>
  <si>
    <t>CONSUMOS</t>
  </si>
  <si>
    <t>HISTORICO</t>
  </si>
  <si>
    <t>VALOR_CONTRATADO</t>
  </si>
  <si>
    <t>ECONOMIA</t>
  </si>
  <si>
    <t>MONTANTE_CONT</t>
  </si>
  <si>
    <t>Aliquotas de Impostos</t>
  </si>
  <si>
    <t>TARIFAS DE ENERGIA ELÉTRICA - CATIVAS</t>
  </si>
  <si>
    <t>Dem. P</t>
  </si>
  <si>
    <t>TUSD P.</t>
  </si>
  <si>
    <t>DIAS</t>
  </si>
  <si>
    <t>Bases de Impostos</t>
  </si>
  <si>
    <t>Dem. FP</t>
  </si>
  <si>
    <t>TE P.</t>
  </si>
  <si>
    <t>Verde</t>
  </si>
  <si>
    <t>Base Pis Cofins</t>
  </si>
  <si>
    <t>TUSD FP.</t>
  </si>
  <si>
    <t>Base Com ICMS</t>
  </si>
  <si>
    <t>ICMS Reduzido</t>
  </si>
  <si>
    <t>TE F.P.</t>
  </si>
  <si>
    <t>Base Antiga</t>
  </si>
  <si>
    <t>TE BT</t>
  </si>
  <si>
    <t>TUSD BT</t>
  </si>
  <si>
    <t>PRE - Revisao</t>
  </si>
  <si>
    <t>Nova</t>
  </si>
  <si>
    <t>Adicionais de Bandeiras</t>
  </si>
  <si>
    <t>Fatura: Novembro/2024</t>
  </si>
  <si>
    <t>Amarela</t>
  </si>
  <si>
    <t>Verm. 1</t>
  </si>
  <si>
    <t>Verm. 2</t>
  </si>
  <si>
    <t>Desconto gerar?</t>
  </si>
  <si>
    <t>Quantidade</t>
  </si>
  <si>
    <t>Valor unitário</t>
  </si>
  <si>
    <t>Total s/ Impostos</t>
  </si>
  <si>
    <t>Total com PIS e COFINS</t>
  </si>
  <si>
    <t>Total c/ PIS, COFINS e ICMS</t>
  </si>
  <si>
    <t>Valor</t>
  </si>
  <si>
    <t>Valor do desconto ICMS:</t>
  </si>
  <si>
    <t>Diferença ICMS com Gerar</t>
  </si>
  <si>
    <t>TUSD</t>
  </si>
  <si>
    <t>Subtotal</t>
  </si>
  <si>
    <t>Consumo</t>
  </si>
  <si>
    <t>Adicional Bandeira 1</t>
  </si>
  <si>
    <t>Adicional Bandeira 2</t>
  </si>
  <si>
    <t>Crédito Recebido mUC</t>
  </si>
  <si>
    <t>Crédito Recebido ULT 3</t>
  </si>
  <si>
    <t>Crédito Recebido ULT 4</t>
  </si>
  <si>
    <t>Energia Solar TE</t>
  </si>
  <si>
    <t>Energia Solar TUSD1</t>
  </si>
  <si>
    <t>Energia Solar TUSD2</t>
  </si>
  <si>
    <t>Ad. Band. Injetada 1</t>
  </si>
  <si>
    <t>Ad. Band. Injetada 2</t>
  </si>
  <si>
    <t>Iluminação Pública</t>
  </si>
  <si>
    <t>Multas, correçoes e outros</t>
  </si>
  <si>
    <t>Custo Disponibilidade</t>
  </si>
  <si>
    <t>Fatura Usina</t>
  </si>
  <si>
    <t>Energia Consumida</t>
  </si>
  <si>
    <t>Energia Injetada ULT</t>
  </si>
  <si>
    <t>ANTES</t>
  </si>
  <si>
    <t>DEPOIS</t>
  </si>
  <si>
    <t>GAP</t>
  </si>
  <si>
    <t>Custos EDP</t>
  </si>
  <si>
    <t>Diferença</t>
  </si>
  <si>
    <t>Vantagem Bruta</t>
  </si>
  <si>
    <t>Valor da tarifa 100% EDP</t>
  </si>
  <si>
    <t>Tarifa compensada (Beneficio Solar)</t>
  </si>
  <si>
    <t>Desagio Contratual</t>
  </si>
  <si>
    <t>Remuneracao ULT</t>
  </si>
  <si>
    <t>Valor do kWh ULT</t>
  </si>
  <si>
    <t>Vantagem Real Economizada</t>
  </si>
  <si>
    <t>Remuneralçao ULT</t>
  </si>
  <si>
    <t>Vantagem liquida</t>
  </si>
  <si>
    <t>Diferença Outubro</t>
  </si>
  <si>
    <t>Remuneração ULT</t>
  </si>
  <si>
    <t>Grafico</t>
  </si>
  <si>
    <t>Fatias</t>
  </si>
  <si>
    <t>Valor EDP</t>
  </si>
  <si>
    <t>Valor ULT</t>
  </si>
  <si>
    <t>Economia</t>
  </si>
  <si>
    <t>RECEBE ENERGIA DE</t>
  </si>
  <si>
    <t>TABELA NOMES</t>
  </si>
  <si>
    <t>GERACOES</t>
  </si>
  <si>
    <t>E Fernandes</t>
  </si>
  <si>
    <t>LUPE</t>
  </si>
  <si>
    <t>AUTO POSTO PEDRA AZUL LTDA AZUL LTDA</t>
  </si>
  <si>
    <t>TERRAZZO DEI NONNI LTDA</t>
  </si>
  <si>
    <t>EMPORIO DEI NONNI LTDA</t>
  </si>
  <si>
    <t>CURBANI &amp; CIA LTDA</t>
  </si>
  <si>
    <t>RESTAURANTE DON DUE LTDA</t>
  </si>
  <si>
    <t>VALLINO P. NAPOLETANA LTDA</t>
  </si>
  <si>
    <t>FREDELINO</t>
  </si>
  <si>
    <t>MARIA DA PENHA FAZOLO CURBANI</t>
  </si>
  <si>
    <t>ULT2</t>
  </si>
  <si>
    <t>ULT3</t>
  </si>
  <si>
    <t>ULT4</t>
  </si>
  <si>
    <t>LUCAS GENEROSO</t>
  </si>
  <si>
    <t>POLETO</t>
  </si>
  <si>
    <t>Gilles</t>
  </si>
  <si>
    <t>GD3 - MAIS ALIMENTOS</t>
  </si>
  <si>
    <t>POLETO 1</t>
  </si>
  <si>
    <t>Gilles 1</t>
  </si>
  <si>
    <t>LUCAS GENEROSO 1</t>
  </si>
  <si>
    <t>Adilson 45841</t>
  </si>
  <si>
    <t>Adilson 1793752</t>
  </si>
  <si>
    <t>Adilson 160508005</t>
  </si>
  <si>
    <t>KUBINHOS 160400900</t>
  </si>
  <si>
    <t>E Fernandes 161115578</t>
  </si>
  <si>
    <t>LUPE 318923</t>
  </si>
  <si>
    <t>AUTO POSTO PEDRA AZUL LTDA AZUL LTDA 160703715</t>
  </si>
  <si>
    <t>AUTO POSTO PEDRA AZUL LTDA AZUL LTDA 1577188</t>
  </si>
  <si>
    <t>TERRAZZO DEI NONNI LTDA 161086526</t>
  </si>
  <si>
    <t>EMPORIO DEI NONNI LTDA 161086525</t>
  </si>
  <si>
    <t>CURBANI &amp; CIA LTDA 160523291</t>
  </si>
  <si>
    <t>CURBANI &amp; CIA LTDA 1989890</t>
  </si>
  <si>
    <t>CURBANI &amp; CIA LTDA 1897967</t>
  </si>
  <si>
    <t>MARIA DA PENHA FAZOLO CURBANI 503047</t>
  </si>
  <si>
    <t>RESTAURANTE DON DUE LTDA 226705</t>
  </si>
  <si>
    <t>VALLINO P. NAPOLETANA LTDA 160800912</t>
  </si>
  <si>
    <t>FREDELINO 1043813</t>
  </si>
  <si>
    <t>TIPO</t>
  </si>
  <si>
    <t>n</t>
  </si>
  <si>
    <t>Mostrar o frame da fatura na pagina.</t>
  </si>
  <si>
    <t>Se for uma UC, mostrar a TUSD retirada da fatura, as bandeiras vigentes, mostrar se teve geração propria, mostrar todas as opções de gerações oUC, com opção de escolha da correta.</t>
  </si>
  <si>
    <t>Deixar 2 inputs, 1 para iluminação publica e outro para outros valores, podendo adicionar outros valores e serem somados.</t>
  </si>
  <si>
    <t>Colocar no código uma condicional para verificar se houve mais de 1 bandeira vigente no mesmo período de leitura.</t>
  </si>
  <si>
    <t>Assim que tudo for preenchido e escolhido, validar clicando em um botão.</t>
  </si>
  <si>
    <t>Clicando no botão, ele vai preencher os dados na planilha de economia e buscar os dados relevantes e assim guardar na tabela HISTORICO do banco de dados.</t>
  </si>
  <si>
    <t>Esse banco de dados terá os dados para preencher o grafana.</t>
  </si>
  <si>
    <t>Assim que os dados forem preenchidos no banco de dados, atualizar o dashboard do grafana.</t>
  </si>
  <si>
    <t>Colocar um código para verificar a instalação e relacioar ao nome da fatura, preparando um path antes para adiantar as leituras das faturas.</t>
  </si>
  <si>
    <t>Ele próprio</t>
  </si>
  <si>
    <t>Geradora</t>
  </si>
  <si>
    <t>UC</t>
  </si>
  <si>
    <t>Ler todas as faturas, uma a uma, buscando os dados e guardando nas tabelas do database.</t>
  </si>
  <si>
    <t>QUANT. DIAS BANDEIRA</t>
  </si>
  <si>
    <t>Quando entrar na página de uma instalação, deverá buscar os dados da fatura correspondente e ler as informações.</t>
  </si>
  <si>
    <t>UNIDADE_EDP</t>
  </si>
  <si>
    <t>RECEBE_ENERGIA_DE</t>
  </si>
  <si>
    <t>Setembro</t>
  </si>
  <si>
    <t>Outubro</t>
  </si>
  <si>
    <t>Novembro</t>
  </si>
  <si>
    <t>Agosto</t>
  </si>
  <si>
    <t>Leitura 1</t>
  </si>
  <si>
    <t>Leitura 2</t>
  </si>
  <si>
    <t>ULT 1</t>
  </si>
  <si>
    <t>ULT 2</t>
  </si>
  <si>
    <t>ULT 3</t>
  </si>
  <si>
    <t>ULT 4</t>
  </si>
  <si>
    <t>Telem. SolarZ</t>
  </si>
  <si>
    <t>Inj. Fatura</t>
  </si>
  <si>
    <t>Janeiro</t>
  </si>
  <si>
    <t>Fevereiro</t>
  </si>
  <si>
    <t>Março</t>
  </si>
  <si>
    <t>Abril</t>
  </si>
  <si>
    <t>Maio</t>
  </si>
  <si>
    <t>Junho</t>
  </si>
  <si>
    <t>Julho</t>
  </si>
  <si>
    <t>Mês</t>
  </si>
  <si>
    <t>INSTALAÇÃO</t>
  </si>
  <si>
    <t>CNPJ/CPF</t>
  </si>
  <si>
    <t xml:space="preserve">09179206000103 </t>
  </si>
  <si>
    <t xml:space="preserve">07584682000176 </t>
  </si>
  <si>
    <t>81801114749</t>
  </si>
  <si>
    <t>ALUGUEL_PAGO</t>
  </si>
  <si>
    <t>VALOR_KWH</t>
  </si>
  <si>
    <t>VALOR_ALUGUEL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</si>
</sst>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&quot;/kW&quot;_-;\-&quot;R$&quot;\ * #,##0.00_-;_-&quot;R$&quot;\ * &quot;-&quot;??_-;_-@_-"/>
    <numFmt numFmtId="165" formatCode="_-&quot;R$&quot;\ * #,##0.000&quot;/kWh&quot;_-;\-&quot;R$&quot;\ * #,##0.000_-;_-&quot;R$&quot;\ * &quot;-&quot;??_-;_-@_-"/>
    <numFmt numFmtId="166" formatCode="_-&quot;R$&quot;\ * #,##0.00&quot;/kWh&quot;_-;\-&quot;R$&quot;\ * #,##0.00_-;_-&quot;R$&quot;\ * &quot;-&quot;??_-;_-@_-"/>
    <numFmt numFmtId="167" formatCode="_-&quot;R$&quot;\ * #,##0.00&quot;/MWh&quot;_-;\-&quot;R$&quot;\ * #,##0.00_-;_-&quot;R$&quot;\ * &quot;-&quot;??_-;_-@_-"/>
    <numFmt numFmtId="168" formatCode="_-&quot;R$&quot;\ * #,##0.00000_-;\-&quot;R$&quot;\ * #,##0.00000_-;_-&quot;R$&quot;\ * &quot;-&quot;??_-;_-@_-"/>
    <numFmt numFmtId="169" formatCode="General\ &quot;kW&quot;"/>
    <numFmt numFmtId="170" formatCode="&quot;R$&quot;\ #,##0.00"/>
    <numFmt numFmtId="171" formatCode="_-* #,##0_-&quot;kWh&quot;;\-* #,##0_-;_-* &quot;-&quot;??_-;_-@_-"/>
    <numFmt numFmtId="172" formatCode="0.000"/>
    <numFmt numFmtId="173" formatCode="_-&quot;R$&quot;\ * #,##0.0000_-;\-&quot;R$&quot;\ * #,##0.0000_-;_-&quot;R$&quot;\ * &quot;-&quot;??_-;_-@_-"/>
    <numFmt numFmtId="174" formatCode="_-* #,##0.00_-&quot;kWh&quot;;\-* #,##0.00_-;_-* &quot;-&quot;??_-;_-@_-"/>
    <numFmt numFmtId="175" formatCode="_-* #,##0.00_-&quot;MWh&quot;;\-* #,##0.00_-;_-* &quot;-&quot;??_-;_-@_-"/>
    <numFmt numFmtId="176" formatCode="_-* #,##0_-;\-* #,##0_-;_-* &quot;-&quot;??_-;_-@_-"/>
    <numFmt numFmtId="177" formatCode="#,#00\ &quot;kWh&quot;"/>
    <numFmt numFmtId="178" formatCode="_-&quot;R$&quot;\ * #,##0.000_-;\-&quot;R$&quot;\ * #,##0.000_-;_-&quot;R$&quot;\ 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i/>
      <sz val="12"/>
      <color theme="4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Arial Rounded MT Bold"/>
      <family val="2"/>
    </font>
    <font>
      <sz val="14"/>
      <color theme="1"/>
      <name val="Arial"/>
      <family val="2"/>
    </font>
    <font>
      <i/>
      <sz val="14"/>
      <color theme="4" tint="-0.249977111117893"/>
      <name val="Arial"/>
      <family val="2"/>
    </font>
    <font>
      <b/>
      <sz val="14"/>
      <color theme="1"/>
      <name val="Arial"/>
      <family val="2"/>
    </font>
    <font>
      <b/>
      <i/>
      <sz val="14"/>
      <color theme="4" tint="-0.249977111117893"/>
      <name val="Calibri"/>
      <family val="2"/>
      <scheme val="minor"/>
    </font>
    <font>
      <b/>
      <i/>
      <sz val="14"/>
      <color rgb="FF002060"/>
      <name val="Arial"/>
      <family val="2"/>
    </font>
    <font>
      <b/>
      <u val="singleAccounting"/>
      <sz val="14"/>
      <color theme="1"/>
      <name val="Arial"/>
      <family val="2"/>
    </font>
    <font>
      <b/>
      <sz val="14"/>
      <color theme="0"/>
      <name val="Arial"/>
      <family val="2"/>
    </font>
    <font>
      <b/>
      <i/>
      <sz val="14"/>
      <color theme="4" tint="-0.499984740745262"/>
      <name val="Arial"/>
      <family val="2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0"/>
      <color rgb="FF000000"/>
      <name val="Courier New"/>
      <family val="3"/>
    </font>
    <font>
      <i/>
      <sz val="10"/>
      <color rgb="FFC0C0C0"/>
      <name val="Courier New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5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/>
      <top/>
      <bottom/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00206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4" tint="-0.499984740745262"/>
      </left>
      <right style="medium">
        <color indexed="64"/>
      </right>
      <top/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rgb="FF002060"/>
      </top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rgb="FF002060"/>
      </top>
      <bottom/>
      <diagonal/>
    </border>
    <border>
      <left style="medium">
        <color theme="4" tint="-0.499984740745262"/>
      </left>
      <right/>
      <top style="medium">
        <color rgb="FF002060"/>
      </top>
      <bottom style="medium">
        <color theme="4" tint="-0.499984740745262"/>
      </bottom>
      <diagonal/>
    </border>
    <border>
      <left/>
      <right/>
      <top style="medium">
        <color rgb="FF002060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rgb="FF002060"/>
      </top>
      <bottom style="medium">
        <color theme="4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6" fillId="4" borderId="0" applyNumberFormat="0" applyBorder="0" applyAlignment="0" applyProtection="0"/>
  </cellStyleXfs>
  <cellXfs count="219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44" fontId="0" fillId="0" borderId="0" xfId="0" applyNumberFormat="1"/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0" fillId="6" borderId="0" xfId="0" applyFill="1"/>
    <xf numFmtId="0" fontId="0" fillId="5" borderId="7" xfId="0" applyFill="1" applyBorder="1"/>
    <xf numFmtId="10" fontId="0" fillId="5" borderId="8" xfId="0" applyNumberFormat="1" applyFill="1" applyBorder="1"/>
    <xf numFmtId="0" fontId="0" fillId="7" borderId="9" xfId="0" applyFill="1" applyBorder="1"/>
    <xf numFmtId="164" fontId="0" fillId="8" borderId="10" xfId="2" applyNumberFormat="1" applyFont="1" applyFill="1" applyBorder="1"/>
    <xf numFmtId="0" fontId="0" fillId="7" borderId="0" xfId="0" applyFill="1"/>
    <xf numFmtId="165" fontId="0" fillId="8" borderId="11" xfId="2" applyNumberFormat="1" applyFont="1" applyFill="1" applyBorder="1"/>
    <xf numFmtId="165" fontId="0" fillId="8" borderId="0" xfId="2" applyNumberFormat="1" applyFont="1" applyFill="1" applyBorder="1"/>
    <xf numFmtId="0" fontId="8" fillId="5" borderId="8" xfId="0" applyFont="1" applyFill="1" applyBorder="1" applyAlignment="1">
      <alignment horizontal="center" vertical="center" wrapText="1"/>
    </xf>
    <xf numFmtId="0" fontId="0" fillId="9" borderId="12" xfId="0" applyFill="1" applyBorder="1"/>
    <xf numFmtId="164" fontId="0" fillId="10" borderId="0" xfId="2" applyNumberFormat="1" applyFont="1" applyFill="1" applyBorder="1"/>
    <xf numFmtId="0" fontId="0" fillId="7" borderId="13" xfId="0" applyFill="1" applyBorder="1"/>
    <xf numFmtId="166" fontId="0" fillId="8" borderId="13" xfId="2" applyNumberFormat="1" applyFont="1" applyFill="1" applyBorder="1"/>
    <xf numFmtId="166" fontId="0" fillId="8" borderId="0" xfId="2" applyNumberFormat="1" applyFont="1" applyFill="1" applyBorder="1"/>
    <xf numFmtId="167" fontId="0" fillId="0" borderId="14" xfId="2" applyNumberFormat="1" applyFont="1" applyBorder="1" applyAlignment="1">
      <alignment horizontal="center"/>
    </xf>
    <xf numFmtId="0" fontId="0" fillId="11" borderId="15" xfId="1" applyNumberFormat="1" applyFont="1" applyFill="1" applyBorder="1" applyAlignment="1">
      <alignment horizontal="center" vertical="center" wrapText="1"/>
    </xf>
    <xf numFmtId="0" fontId="0" fillId="5" borderId="16" xfId="0" applyFill="1" applyBorder="1"/>
    <xf numFmtId="9" fontId="0" fillId="5" borderId="17" xfId="0" applyNumberFormat="1" applyFill="1" applyBorder="1"/>
    <xf numFmtId="0" fontId="0" fillId="9" borderId="0" xfId="0" applyFill="1"/>
    <xf numFmtId="166" fontId="0" fillId="10" borderId="18" xfId="2" applyNumberFormat="1" applyFont="1" applyFill="1" applyBorder="1"/>
    <xf numFmtId="166" fontId="0" fillId="10" borderId="0" xfId="2" applyNumberFormat="1" applyFont="1" applyFill="1" applyBorder="1"/>
    <xf numFmtId="167" fontId="0" fillId="8" borderId="14" xfId="2" applyNumberFormat="1" applyFont="1" applyFill="1" applyBorder="1"/>
    <xf numFmtId="0" fontId="0" fillId="5" borderId="0" xfId="0" applyFill="1"/>
    <xf numFmtId="9" fontId="0" fillId="0" borderId="0" xfId="0" applyNumberFormat="1"/>
    <xf numFmtId="0" fontId="0" fillId="9" borderId="13" xfId="0" applyFill="1" applyBorder="1"/>
    <xf numFmtId="166" fontId="0" fillId="10" borderId="19" xfId="2" applyNumberFormat="1" applyFont="1" applyFill="1" applyBorder="1"/>
    <xf numFmtId="9" fontId="0" fillId="6" borderId="0" xfId="3" applyFont="1" applyFill="1" applyAlignment="1">
      <alignment horizontal="center" vertical="center"/>
    </xf>
    <xf numFmtId="168" fontId="0" fillId="6" borderId="0" xfId="0" applyNumberFormat="1" applyFill="1"/>
    <xf numFmtId="0" fontId="0" fillId="7" borderId="20" xfId="0" applyFill="1" applyBorder="1"/>
    <xf numFmtId="0" fontId="0" fillId="12" borderId="0" xfId="0" applyFill="1" applyAlignment="1">
      <alignment horizontal="center"/>
    </xf>
    <xf numFmtId="0" fontId="9" fillId="6" borderId="0" xfId="0" applyFont="1" applyFill="1"/>
    <xf numFmtId="44" fontId="0" fillId="6" borderId="0" xfId="0" applyNumberFormat="1" applyFill="1"/>
    <xf numFmtId="14" fontId="10" fillId="6" borderId="0" xfId="0" applyNumberFormat="1" applyFont="1" applyFill="1" applyAlignment="1">
      <alignment horizontal="right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5" fillId="6" borderId="0" xfId="0" applyFont="1" applyFill="1"/>
    <xf numFmtId="0" fontId="11" fillId="0" borderId="0" xfId="0" applyFont="1"/>
    <xf numFmtId="0" fontId="12" fillId="6" borderId="0" xfId="0" applyFont="1" applyFill="1"/>
    <xf numFmtId="0" fontId="11" fillId="6" borderId="0" xfId="0" applyFont="1" applyFill="1"/>
    <xf numFmtId="0" fontId="13" fillId="6" borderId="21" xfId="0" applyFont="1" applyFill="1" applyBorder="1" applyAlignment="1">
      <alignment horizontal="center" vertical="center" wrapText="1"/>
    </xf>
    <xf numFmtId="0" fontId="13" fillId="1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0" fillId="7" borderId="9" xfId="0" applyFill="1" applyBorder="1" applyAlignment="1">
      <alignment horizontal="center" vertical="center"/>
    </xf>
    <xf numFmtId="167" fontId="0" fillId="8" borderId="14" xfId="2" applyNumberFormat="1" applyFont="1" applyFill="1" applyBorder="1" applyAlignment="1">
      <alignment horizontal="center" vertical="center"/>
    </xf>
    <xf numFmtId="0" fontId="13" fillId="6" borderId="0" xfId="0" applyFont="1" applyFill="1"/>
    <xf numFmtId="169" fontId="14" fillId="6" borderId="21" xfId="0" applyNumberFormat="1" applyFont="1" applyFill="1" applyBorder="1"/>
    <xf numFmtId="164" fontId="14" fillId="6" borderId="21" xfId="0" applyNumberFormat="1" applyFont="1" applyFill="1" applyBorder="1"/>
    <xf numFmtId="44" fontId="14" fillId="6" borderId="22" xfId="2" applyFont="1" applyFill="1" applyBorder="1"/>
    <xf numFmtId="44" fontId="14" fillId="6" borderId="21" xfId="2" applyFont="1" applyFill="1" applyBorder="1"/>
    <xf numFmtId="44" fontId="14" fillId="16" borderId="0" xfId="2" applyFont="1" applyFill="1" applyBorder="1"/>
    <xf numFmtId="170" fontId="0" fillId="8" borderId="14" xfId="2" applyNumberFormat="1" applyFont="1" applyFill="1" applyBorder="1" applyAlignment="1">
      <alignment horizontal="center" vertical="center"/>
    </xf>
    <xf numFmtId="0" fontId="13" fillId="6" borderId="23" xfId="0" applyFont="1" applyFill="1" applyBorder="1"/>
    <xf numFmtId="171" fontId="14" fillId="17" borderId="24" xfId="1" applyNumberFormat="1" applyFont="1" applyFill="1" applyBorder="1"/>
    <xf numFmtId="166" fontId="14" fillId="8" borderId="21" xfId="2" applyNumberFormat="1" applyFont="1" applyFill="1" applyBorder="1"/>
    <xf numFmtId="44" fontId="14" fillId="8" borderId="0" xfId="2" applyFont="1" applyFill="1" applyBorder="1"/>
    <xf numFmtId="44" fontId="14" fillId="8" borderId="0" xfId="2" applyFont="1" applyFill="1"/>
    <xf numFmtId="44" fontId="14" fillId="8" borderId="23" xfId="2" applyFont="1" applyFill="1" applyBorder="1"/>
    <xf numFmtId="171" fontId="14" fillId="11" borderId="25" xfId="1" applyNumberFormat="1" applyFont="1" applyFill="1" applyBorder="1"/>
    <xf numFmtId="0" fontId="13" fillId="6" borderId="0" xfId="0" applyFont="1" applyFill="1" applyAlignment="1">
      <alignment horizontal="right"/>
    </xf>
    <xf numFmtId="169" fontId="14" fillId="6" borderId="26" xfId="0" applyNumberFormat="1" applyFont="1" applyFill="1" applyBorder="1"/>
    <xf numFmtId="164" fontId="14" fillId="6" borderId="0" xfId="0" applyNumberFormat="1" applyFont="1" applyFill="1"/>
    <xf numFmtId="44" fontId="15" fillId="18" borderId="25" xfId="2" applyFont="1" applyFill="1" applyBorder="1"/>
    <xf numFmtId="44" fontId="15" fillId="18" borderId="21" xfId="2" applyFont="1" applyFill="1" applyBorder="1"/>
    <xf numFmtId="44" fontId="15" fillId="18" borderId="23" xfId="2" applyFont="1" applyFill="1" applyBorder="1"/>
    <xf numFmtId="44" fontId="15" fillId="16" borderId="0" xfId="2" applyFont="1" applyFill="1" applyBorder="1"/>
    <xf numFmtId="169" fontId="14" fillId="6" borderId="0" xfId="0" applyNumberFormat="1" applyFont="1" applyFill="1"/>
    <xf numFmtId="44" fontId="15" fillId="18" borderId="27" xfId="2" applyFont="1" applyFill="1" applyBorder="1"/>
    <xf numFmtId="44" fontId="14" fillId="6" borderId="0" xfId="2" applyFont="1" applyFill="1" applyBorder="1"/>
    <xf numFmtId="171" fontId="14" fillId="17" borderId="0" xfId="1" applyNumberFormat="1" applyFont="1" applyFill="1"/>
    <xf numFmtId="166" fontId="14" fillId="8" borderId="0" xfId="2" applyNumberFormat="1" applyFont="1" applyFill="1" applyBorder="1"/>
    <xf numFmtId="171" fontId="14" fillId="17" borderId="28" xfId="1" applyNumberFormat="1" applyFont="1" applyFill="1" applyBorder="1"/>
    <xf numFmtId="166" fontId="14" fillId="8" borderId="29" xfId="2" applyNumberFormat="1" applyFont="1" applyFill="1" applyBorder="1"/>
    <xf numFmtId="44" fontId="14" fillId="8" borderId="29" xfId="2" applyFont="1" applyFill="1" applyBorder="1"/>
    <xf numFmtId="44" fontId="14" fillId="8" borderId="30" xfId="2" applyFont="1" applyFill="1" applyBorder="1"/>
    <xf numFmtId="172" fontId="0" fillId="6" borderId="0" xfId="0" applyNumberFormat="1" applyFill="1"/>
    <xf numFmtId="43" fontId="0" fillId="0" borderId="0" xfId="0" applyNumberFormat="1"/>
    <xf numFmtId="171" fontId="14" fillId="17" borderId="31" xfId="1" applyNumberFormat="1" applyFont="1" applyFill="1" applyBorder="1"/>
    <xf numFmtId="44" fontId="14" fillId="8" borderId="32" xfId="2" applyFont="1" applyFill="1" applyBorder="1"/>
    <xf numFmtId="165" fontId="14" fillId="8" borderId="33" xfId="2" applyNumberFormat="1" applyFont="1" applyFill="1" applyBorder="1"/>
    <xf numFmtId="171" fontId="14" fillId="17" borderId="34" xfId="1" applyNumberFormat="1" applyFont="1" applyFill="1" applyBorder="1"/>
    <xf numFmtId="165" fontId="14" fillId="8" borderId="35" xfId="2" applyNumberFormat="1" applyFont="1" applyFill="1" applyBorder="1"/>
    <xf numFmtId="169" fontId="14" fillId="6" borderId="36" xfId="0" applyNumberFormat="1" applyFont="1" applyFill="1" applyBorder="1"/>
    <xf numFmtId="44" fontId="15" fillId="18" borderId="34" xfId="2" applyFont="1" applyFill="1" applyBorder="1"/>
    <xf numFmtId="44" fontId="15" fillId="18" borderId="35" xfId="2" applyFont="1" applyFill="1" applyBorder="1"/>
    <xf numFmtId="44" fontId="15" fillId="18" borderId="37" xfId="2" applyFont="1" applyFill="1" applyBorder="1"/>
    <xf numFmtId="4" fontId="0" fillId="0" borderId="0" xfId="0" applyNumberFormat="1"/>
    <xf numFmtId="0" fontId="14" fillId="6" borderId="21" xfId="0" applyFont="1" applyFill="1" applyBorder="1"/>
    <xf numFmtId="0" fontId="14" fillId="6" borderId="22" xfId="0" applyFont="1" applyFill="1" applyBorder="1"/>
    <xf numFmtId="0" fontId="14" fillId="16" borderId="0" xfId="0" applyFont="1" applyFill="1"/>
    <xf numFmtId="173" fontId="0" fillId="6" borderId="0" xfId="2" applyNumberFormat="1" applyFont="1" applyFill="1"/>
    <xf numFmtId="0" fontId="13" fillId="6" borderId="32" xfId="0" applyFont="1" applyFill="1" applyBorder="1"/>
    <xf numFmtId="174" fontId="14" fillId="17" borderId="0" xfId="1" applyNumberFormat="1" applyFont="1" applyFill="1"/>
    <xf numFmtId="44" fontId="14" fillId="11" borderId="0" xfId="2" applyFont="1" applyFill="1" applyBorder="1"/>
    <xf numFmtId="44" fontId="14" fillId="16" borderId="38" xfId="2" applyFont="1" applyFill="1" applyBorder="1"/>
    <xf numFmtId="174" fontId="14" fillId="17" borderId="28" xfId="1" applyNumberFormat="1" applyFont="1" applyFill="1" applyBorder="1"/>
    <xf numFmtId="44" fontId="14" fillId="11" borderId="29" xfId="2" applyFont="1" applyFill="1" applyBorder="1"/>
    <xf numFmtId="174" fontId="14" fillId="17" borderId="31" xfId="1" applyNumberFormat="1" applyFont="1" applyFill="1" applyBorder="1"/>
    <xf numFmtId="171" fontId="14" fillId="6" borderId="0" xfId="1" applyNumberFormat="1" applyFont="1" applyFill="1"/>
    <xf numFmtId="175" fontId="14" fillId="17" borderId="0" xfId="1" applyNumberFormat="1" applyFont="1" applyFill="1"/>
    <xf numFmtId="175" fontId="14" fillId="17" borderId="31" xfId="1" applyNumberFormat="1" applyFont="1" applyFill="1" applyBorder="1"/>
    <xf numFmtId="43" fontId="0" fillId="6" borderId="0" xfId="0" applyNumberFormat="1" applyFill="1"/>
    <xf numFmtId="175" fontId="14" fillId="17" borderId="25" xfId="1" applyNumberFormat="1" applyFont="1" applyFill="1" applyBorder="1"/>
    <xf numFmtId="44" fontId="14" fillId="11" borderId="21" xfId="2" applyFont="1" applyFill="1" applyBorder="1"/>
    <xf numFmtId="175" fontId="14" fillId="17" borderId="34" xfId="1" applyNumberFormat="1" applyFont="1" applyFill="1" applyBorder="1"/>
    <xf numFmtId="44" fontId="14" fillId="11" borderId="35" xfId="2" applyFont="1" applyFill="1" applyBorder="1"/>
    <xf numFmtId="164" fontId="14" fillId="6" borderId="39" xfId="0" applyNumberFormat="1" applyFont="1" applyFill="1" applyBorder="1"/>
    <xf numFmtId="164" fontId="14" fillId="6" borderId="23" xfId="0" applyNumberFormat="1" applyFont="1" applyFill="1" applyBorder="1"/>
    <xf numFmtId="176" fontId="14" fillId="17" borderId="0" xfId="1" applyNumberFormat="1" applyFont="1" applyFill="1"/>
    <xf numFmtId="176" fontId="14" fillId="17" borderId="28" xfId="1" applyNumberFormat="1" applyFont="1" applyFill="1" applyBorder="1"/>
    <xf numFmtId="176" fontId="14" fillId="17" borderId="31" xfId="1" applyNumberFormat="1" applyFont="1" applyFill="1" applyBorder="1"/>
    <xf numFmtId="176" fontId="14" fillId="17" borderId="25" xfId="1" applyNumberFormat="1" applyFont="1" applyFill="1" applyBorder="1"/>
    <xf numFmtId="176" fontId="14" fillId="17" borderId="34" xfId="1" applyNumberFormat="1" applyFont="1" applyFill="1" applyBorder="1"/>
    <xf numFmtId="0" fontId="0" fillId="6" borderId="0" xfId="0" applyFill="1" applyAlignment="1">
      <alignment horizontal="right"/>
    </xf>
    <xf numFmtId="44" fontId="14" fillId="6" borderId="0" xfId="2" applyFont="1" applyFill="1"/>
    <xf numFmtId="44" fontId="14" fillId="6" borderId="26" xfId="2" applyFont="1" applyFill="1" applyBorder="1"/>
    <xf numFmtId="0" fontId="13" fillId="6" borderId="0" xfId="0" applyFont="1" applyFill="1" applyAlignment="1">
      <alignment horizontal="right" vertical="center"/>
    </xf>
    <xf numFmtId="44" fontId="16" fillId="6" borderId="0" xfId="2" applyFont="1" applyFill="1" applyBorder="1" applyAlignment="1">
      <alignment horizontal="center" vertical="center"/>
    </xf>
    <xf numFmtId="0" fontId="5" fillId="6" borderId="0" xfId="0" applyFont="1" applyFill="1" applyAlignment="1">
      <alignment horizontal="right"/>
    </xf>
    <xf numFmtId="166" fontId="14" fillId="6" borderId="0" xfId="2" applyNumberFormat="1" applyFont="1" applyFill="1" applyBorder="1"/>
    <xf numFmtId="44" fontId="0" fillId="6" borderId="0" xfId="2" applyFont="1" applyFill="1" applyBorder="1" applyAlignment="1">
      <alignment vertical="center"/>
    </xf>
    <xf numFmtId="171" fontId="19" fillId="17" borderId="31" xfId="1" applyNumberFormat="1" applyFont="1" applyFill="1" applyBorder="1" applyAlignment="1">
      <alignment horizontal="center" vertical="center"/>
    </xf>
    <xf numFmtId="171" fontId="14" fillId="17" borderId="0" xfId="1" applyNumberFormat="1" applyFont="1" applyFill="1" applyBorder="1" applyAlignment="1">
      <alignment horizontal="left" vertical="center"/>
    </xf>
    <xf numFmtId="171" fontId="19" fillId="17" borderId="32" xfId="1" applyNumberFormat="1" applyFont="1" applyFill="1" applyBorder="1" applyAlignment="1">
      <alignment horizontal="center" vertical="center"/>
    </xf>
    <xf numFmtId="44" fontId="14" fillId="8" borderId="31" xfId="2" applyFont="1" applyFill="1" applyBorder="1" applyAlignment="1">
      <alignment horizontal="center" vertical="center"/>
    </xf>
    <xf numFmtId="44" fontId="14" fillId="8" borderId="0" xfId="2" applyFont="1" applyFill="1" applyBorder="1" applyAlignment="1">
      <alignment horizontal="center" vertical="center"/>
    </xf>
    <xf numFmtId="44" fontId="14" fillId="8" borderId="32" xfId="2" applyFont="1" applyFill="1" applyBorder="1" applyAlignment="1">
      <alignment horizontal="center" vertical="center"/>
    </xf>
    <xf numFmtId="178" fontId="0" fillId="6" borderId="0" xfId="2" applyNumberFormat="1" applyFont="1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44" fontId="16" fillId="12" borderId="34" xfId="2" applyFont="1" applyFill="1" applyBorder="1" applyAlignment="1">
      <alignment horizontal="center" vertical="center"/>
    </xf>
    <xf numFmtId="44" fontId="16" fillId="12" borderId="35" xfId="2" applyFont="1" applyFill="1" applyBorder="1" applyAlignment="1">
      <alignment horizontal="center" vertical="center"/>
    </xf>
    <xf numFmtId="10" fontId="16" fillId="12" borderId="37" xfId="3" applyNumberFormat="1" applyFont="1" applyFill="1" applyBorder="1" applyAlignment="1">
      <alignment horizontal="right" vertical="center"/>
    </xf>
    <xf numFmtId="0" fontId="0" fillId="16" borderId="0" xfId="0" applyFill="1"/>
    <xf numFmtId="0" fontId="13" fillId="6" borderId="23" xfId="0" applyFont="1" applyFill="1" applyBorder="1" applyAlignment="1">
      <alignment horizontal="right" vertical="center"/>
    </xf>
    <xf numFmtId="166" fontId="20" fillId="4" borderId="43" xfId="6" applyNumberFormat="1" applyFont="1" applyBorder="1" applyAlignment="1">
      <alignment horizontal="center" vertical="center"/>
    </xf>
    <xf numFmtId="44" fontId="20" fillId="16" borderId="0" xfId="6" applyNumberFormat="1" applyFont="1" applyFill="1" applyBorder="1" applyAlignment="1">
      <alignment horizontal="center" vertical="center"/>
    </xf>
    <xf numFmtId="166" fontId="20" fillId="4" borderId="44" xfId="6" applyNumberFormat="1" applyFont="1" applyBorder="1" applyAlignment="1">
      <alignment horizontal="center" vertical="center"/>
    </xf>
    <xf numFmtId="166" fontId="20" fillId="16" borderId="0" xfId="6" applyNumberFormat="1" applyFont="1" applyFill="1" applyBorder="1" applyAlignment="1">
      <alignment horizontal="center" vertical="center"/>
    </xf>
    <xf numFmtId="166" fontId="21" fillId="8" borderId="15" xfId="2" applyNumberFormat="1" applyFont="1" applyFill="1" applyBorder="1" applyAlignment="1"/>
    <xf numFmtId="10" fontId="0" fillId="6" borderId="0" xfId="3" applyNumberFormat="1" applyFont="1" applyFill="1"/>
    <xf numFmtId="166" fontId="14" fillId="16" borderId="31" xfId="2" applyNumberFormat="1" applyFont="1" applyFill="1" applyBorder="1" applyAlignment="1"/>
    <xf numFmtId="44" fontId="20" fillId="4" borderId="15" xfId="2" applyFont="1" applyFill="1" applyBorder="1" applyAlignment="1">
      <alignment horizontal="center" vertical="center"/>
    </xf>
    <xf numFmtId="0" fontId="2" fillId="2" borderId="0" xfId="4"/>
    <xf numFmtId="43" fontId="2" fillId="2" borderId="0" xfId="4" applyNumberFormat="1"/>
    <xf numFmtId="44" fontId="16" fillId="12" borderId="45" xfId="2" applyFont="1" applyFill="1" applyBorder="1" applyAlignment="1">
      <alignment horizontal="center" vertical="center"/>
    </xf>
    <xf numFmtId="44" fontId="16" fillId="12" borderId="46" xfId="2" applyFont="1" applyFill="1" applyBorder="1" applyAlignment="1">
      <alignment horizontal="center" vertical="center"/>
    </xf>
    <xf numFmtId="10" fontId="16" fillId="12" borderId="47" xfId="3" applyNumberFormat="1" applyFont="1" applyFill="1" applyBorder="1" applyAlignment="1">
      <alignment horizontal="right" vertical="center"/>
    </xf>
    <xf numFmtId="1" fontId="22" fillId="3" borderId="1" xfId="1" applyNumberFormat="1" applyFont="1" applyFill="1" applyBorder="1" applyAlignment="1">
      <alignment horizontal="right"/>
    </xf>
    <xf numFmtId="1" fontId="23" fillId="3" borderId="1" xfId="1" applyNumberFormat="1" applyFont="1" applyFill="1" applyBorder="1" applyAlignment="1">
      <alignment horizontal="right"/>
    </xf>
    <xf numFmtId="0" fontId="3" fillId="3" borderId="1" xfId="5" applyAlignment="1">
      <alignment horizontal="right"/>
    </xf>
    <xf numFmtId="43" fontId="5" fillId="3" borderId="1" xfId="5" applyNumberFormat="1" applyFont="1"/>
    <xf numFmtId="0" fontId="3" fillId="3" borderId="1" xfId="5"/>
    <xf numFmtId="43" fontId="3" fillId="3" borderId="1" xfId="5" applyNumberFormat="1" applyAlignment="1">
      <alignment horizontal="right"/>
    </xf>
    <xf numFmtId="43" fontId="0" fillId="16" borderId="0" xfId="0" applyNumberFormat="1" applyFill="1"/>
    <xf numFmtId="9" fontId="0" fillId="16" borderId="0" xfId="0" applyNumberFormat="1" applyFill="1"/>
    <xf numFmtId="43" fontId="24" fillId="3" borderId="1" xfId="5" applyNumberFormat="1" applyFont="1"/>
    <xf numFmtId="44" fontId="0" fillId="16" borderId="0" xfId="0" applyNumberFormat="1" applyFill="1"/>
    <xf numFmtId="43" fontId="25" fillId="3" borderId="1" xfId="5" applyNumberFormat="1" applyFont="1"/>
    <xf numFmtId="43" fontId="26" fillId="2" borderId="1" xfId="4" applyNumberFormat="1" applyFont="1" applyBorder="1"/>
    <xf numFmtId="0" fontId="0" fillId="13" borderId="0" xfId="0" applyFill="1"/>
    <xf numFmtId="0" fontId="0" fillId="0" borderId="0" xfId="0" applyAlignment="1">
      <alignment vertical="top" wrapText="1"/>
    </xf>
    <xf numFmtId="44" fontId="0" fillId="19" borderId="0" xfId="0" applyNumberFormat="1" applyFill="1"/>
    <xf numFmtId="0" fontId="0" fillId="0" borderId="8" xfId="0" applyBorder="1" applyAlignment="1">
      <alignment horizontal="center"/>
    </xf>
    <xf numFmtId="17" fontId="0" fillId="0" borderId="8" xfId="0" applyNumberFormat="1" applyBorder="1" applyAlignment="1">
      <alignment horizontal="center"/>
    </xf>
    <xf numFmtId="44" fontId="0" fillId="0" borderId="8" xfId="2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44" fontId="0" fillId="0" borderId="8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9" fillId="16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9" fillId="16" borderId="48" xfId="0" applyFont="1" applyFill="1" applyBorder="1" applyAlignment="1">
      <alignment vertical="center" wrapText="1"/>
    </xf>
    <xf numFmtId="0" fontId="30" fillId="16" borderId="48" xfId="0" applyFont="1" applyFill="1" applyBorder="1" applyAlignment="1">
      <alignment vertical="center" wrapText="1"/>
    </xf>
    <xf numFmtId="0" fontId="13" fillId="6" borderId="31" xfId="0" applyFont="1" applyFill="1" applyBorder="1" applyAlignment="1">
      <alignment horizontal="right" vertical="center"/>
    </xf>
    <xf numFmtId="0" fontId="13" fillId="6" borderId="0" xfId="0" applyFont="1" applyFill="1" applyAlignment="1">
      <alignment horizontal="right" vertical="center"/>
    </xf>
    <xf numFmtId="0" fontId="0" fillId="6" borderId="0" xfId="0" applyFill="1" applyAlignment="1">
      <alignment horizontal="center"/>
    </xf>
    <xf numFmtId="177" fontId="16" fillId="17" borderId="28" xfId="1" applyNumberFormat="1" applyFont="1" applyFill="1" applyBorder="1" applyAlignment="1">
      <alignment horizontal="center"/>
    </xf>
    <xf numFmtId="177" fontId="16" fillId="17" borderId="29" xfId="1" applyNumberFormat="1" applyFont="1" applyFill="1" applyBorder="1" applyAlignment="1">
      <alignment horizontal="center"/>
    </xf>
    <xf numFmtId="177" fontId="16" fillId="17" borderId="30" xfId="1" applyNumberFormat="1" applyFont="1" applyFill="1" applyBorder="1" applyAlignment="1">
      <alignment horizontal="center"/>
    </xf>
    <xf numFmtId="0" fontId="17" fillId="6" borderId="0" xfId="0" applyFont="1" applyFill="1" applyAlignment="1">
      <alignment horizontal="right" wrapText="1"/>
    </xf>
    <xf numFmtId="177" fontId="18" fillId="17" borderId="40" xfId="1" applyNumberFormat="1" applyFont="1" applyFill="1" applyBorder="1" applyAlignment="1">
      <alignment horizontal="center"/>
    </xf>
    <xf numFmtId="177" fontId="18" fillId="17" borderId="41" xfId="1" applyNumberFormat="1" applyFont="1" applyFill="1" applyBorder="1" applyAlignment="1">
      <alignment horizontal="center"/>
    </xf>
    <xf numFmtId="177" fontId="18" fillId="17" borderId="42" xfId="1" applyNumberFormat="1" applyFont="1" applyFill="1" applyBorder="1" applyAlignment="1">
      <alignment horizontal="center"/>
    </xf>
    <xf numFmtId="0" fontId="8" fillId="6" borderId="0" xfId="0" applyFont="1" applyFill="1" applyAlignment="1">
      <alignment horizontal="right" wrapText="1"/>
    </xf>
    <xf numFmtId="0" fontId="31" fillId="0" borderId="0" xfId="0" applyFont="1" applyAlignment="1">
      <alignment horizontal="center" vertical="center"/>
    </xf>
    <xf numFmtId="0" fontId="32" fillId="0" borderId="56" xfId="0" applyFont="1" applyBorder="1" applyAlignment="1">
      <alignment horizontal="center" vertical="center"/>
    </xf>
    <xf numFmtId="0" fontId="32" fillId="0" borderId="57" xfId="0" applyFont="1" applyBorder="1" applyAlignment="1">
      <alignment horizontal="center" vertical="center"/>
    </xf>
    <xf numFmtId="0" fontId="32" fillId="0" borderId="58" xfId="0" applyFont="1" applyBorder="1" applyAlignment="1">
      <alignment horizontal="center" vertical="center"/>
    </xf>
    <xf numFmtId="0" fontId="32" fillId="0" borderId="53" xfId="0" applyFont="1" applyBorder="1" applyAlignment="1">
      <alignment horizontal="center" vertical="center"/>
    </xf>
    <xf numFmtId="0" fontId="32" fillId="0" borderId="54" xfId="0" applyFont="1" applyBorder="1" applyAlignment="1">
      <alignment horizontal="center" vertical="center"/>
    </xf>
    <xf numFmtId="0" fontId="31" fillId="0" borderId="55" xfId="0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14" fontId="31" fillId="0" borderId="8" xfId="0" applyNumberFormat="1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9" fontId="31" fillId="0" borderId="51" xfId="3" applyFont="1" applyBorder="1" applyAlignment="1">
      <alignment horizontal="center" vertical="center"/>
    </xf>
    <xf numFmtId="14" fontId="31" fillId="0" borderId="7" xfId="0" applyNumberFormat="1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14" fontId="31" fillId="0" borderId="17" xfId="0" applyNumberFormat="1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9" fontId="31" fillId="0" borderId="52" xfId="3" applyFont="1" applyBorder="1" applyAlignment="1">
      <alignment horizontal="center" vertical="center"/>
    </xf>
    <xf numFmtId="14" fontId="31" fillId="0" borderId="16" xfId="0" applyNumberFormat="1" applyFont="1" applyBorder="1" applyAlignment="1">
      <alignment horizontal="center" vertical="center"/>
    </xf>
    <xf numFmtId="1" fontId="29" fillId="16" borderId="8" xfId="0" applyNumberFormat="1" applyFont="1" applyFill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/>
    </xf>
    <xf numFmtId="0" fontId="32" fillId="0" borderId="49" xfId="0" applyFont="1" applyBorder="1" applyAlignment="1">
      <alignment horizontal="center" vertical="center"/>
    </xf>
    <xf numFmtId="0" fontId="32" fillId="0" borderId="50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49" fontId="31" fillId="0" borderId="8" xfId="0" applyNumberFormat="1" applyFont="1" applyBorder="1" applyAlignment="1">
      <alignment horizontal="center" vertical="center"/>
    </xf>
  </cellXfs>
  <cellStyles count="7">
    <cellStyle name="Cálculo" xfId="5" builtinId="22"/>
    <cellStyle name="Ênfase5" xfId="6" builtinId="45"/>
    <cellStyle name="Moeda" xfId="2" builtinId="4"/>
    <cellStyle name="Normal" xfId="0" builtinId="0"/>
    <cellStyle name="Porcentagem" xfId="3" builtinId="5"/>
    <cellStyle name="Ruim" xfId="4" builtinId="27"/>
    <cellStyle name="Vírgula" xfId="1" builtinId="3"/>
  </cellStyles>
  <dxfs count="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BDBD"/>
          <bgColor rgb="FFFFBDBD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Custo EDP</c:v>
          </c:tx>
          <c:spPr>
            <a:solidFill>
              <a:srgbClr val="FFC000"/>
            </a:solidFill>
            <a:ln w="0" cmpd="dbl"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 w="0" cmpd="dbl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35-4E18-A6BD-60F164192ADA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0" cmpd="dbl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35-4E18-A6BD-60F164192ADA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0" cmpd="dbl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35-4E18-A6BD-60F164192ADA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0" cmpd="dbl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35-4E18-A6BD-60F164192ADA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 w="0" cmpd="dbl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135-4E18-A6BD-60F164192ADA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0" cmpd="dbl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135-4E18-A6BD-60F164192ADA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0" cmpd="dbl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135-4E18-A6BD-60F164192ADA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0" cmpd="dbl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135-4E18-A6BD-60F164192ADA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0" cmpd="dbl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135-4E18-A6BD-60F164192ADA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0" cmpd="dbl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135-4E18-A6BD-60F164192ADA}"/>
              </c:ext>
            </c:extLst>
          </c:dPt>
          <c:val>
            <c:numRef>
              <c:f>EXEMPLO!$J$79:$J$88</c:f>
              <c:numCache>
                <c:formatCode>_("R$"* #,##0.00_);_("R$"* \(#,##0.00\);_("R$"* "-"??_);_(@_)</c:formatCode>
                <c:ptCount val="10"/>
                <c:pt idx="0">
                  <c:v>733.68351700283915</c:v>
                </c:pt>
                <c:pt idx="1">
                  <c:v>733.68351700283915</c:v>
                </c:pt>
                <c:pt idx="2">
                  <c:v>733.68351700283915</c:v>
                </c:pt>
                <c:pt idx="3">
                  <c:v>733.68351700283915</c:v>
                </c:pt>
                <c:pt idx="4">
                  <c:v>733.68351700283915</c:v>
                </c:pt>
                <c:pt idx="5">
                  <c:v>733.68351700283915</c:v>
                </c:pt>
                <c:pt idx="6">
                  <c:v>733.68351700283915</c:v>
                </c:pt>
                <c:pt idx="7">
                  <c:v>733.68351700283915</c:v>
                </c:pt>
                <c:pt idx="8">
                  <c:v>733.68351700283915</c:v>
                </c:pt>
                <c:pt idx="9">
                  <c:v>733.68351700283915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135-4E18-A6BD-60F164192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tx>
            <c:v>Custo ULT</c:v>
          </c:tx>
          <c:spPr>
            <a:solidFill>
              <a:schemeClr val="accent3"/>
            </a:solidFill>
            <a:ln w="31750"/>
            <a:effectLst/>
          </c:spPr>
          <c:dPt>
            <c:idx val="0"/>
            <c:bubble3D val="0"/>
            <c:spPr>
              <a:solidFill>
                <a:srgbClr val="0070C0"/>
              </a:solidFill>
              <a:ln w="317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135-4E18-A6BD-60F164192ADA}"/>
              </c:ext>
            </c:extLst>
          </c:dPt>
          <c:dPt>
            <c:idx val="1"/>
            <c:bubble3D val="0"/>
            <c:explosion val="1"/>
            <c:spPr>
              <a:solidFill>
                <a:srgbClr val="92D050"/>
              </a:solidFill>
              <a:ln w="317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135-4E18-A6BD-60F164192ADA}"/>
              </c:ext>
            </c:extLst>
          </c:dPt>
          <c:dLbls>
            <c:dLbl>
              <c:idx val="0"/>
              <c:layout>
                <c:manualLayout>
                  <c:x val="-7.1221723605160922E-2"/>
                  <c:y val="-0.2809397175092920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908DBDD-AEAD-435C-BB0B-3A8C7BA26AEC}" type="CELLREF">
                      <a:rPr lang="en-US"/>
                      <a:pPr>
                        <a:defRPr sz="3200"/>
                      </a:pPr>
                      <a:t>[CELLREF]</a:t>
                    </a:fld>
                    <a:endParaRPr lang="pt-BR"/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82932949044239"/>
                      <c:h val="0.35275462208924258"/>
                    </c:manualLayout>
                  </c15:layout>
                  <c15:dlblFieldTable>
                    <c15:dlblFTEntry>
                      <c15:txfldGUID>{4908DBDD-AEAD-435C-BB0B-3A8C7BA26AEC}</c15:txfldGUID>
                      <c15:f>EXEMPLO!$O$63</c15:f>
                      <c15:dlblFieldTableCache>
                        <c:ptCount val="1"/>
                        <c:pt idx="0">
                          <c:v>14,74%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7135-4E18-A6BD-60F164192ADA}"/>
                </c:ext>
              </c:extLst>
            </c:dLbl>
            <c:dLbl>
              <c:idx val="1"/>
              <c:layout>
                <c:manualLayout>
                  <c:x val="9.0362819064026809E-2"/>
                  <c:y val="0.103733856119706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7F40332-9263-4A08-BB68-FBC62D32EC89}" type="VALUE">
                      <a:rPr lang="en-US" sz="1200" b="1" i="1"/>
                      <a:pPr>
                        <a:defRPr sz="1200" b="1"/>
                      </a:pPr>
                      <a:t>[VALOR]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8-7135-4E18-A6BD-60F164192A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EXEMPLO!$L$82:$L$83</c:f>
              <c:numCache>
                <c:formatCode>_("R$"* #,##0.00_);_("R$"* \(#,##0.00\);_("R$"* "-"??_);_(@_)</c:formatCode>
                <c:ptCount val="2"/>
                <c:pt idx="0">
                  <c:v>4178.8121528927004</c:v>
                </c:pt>
                <c:pt idx="1">
                  <c:v>1309.6500000000005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135-4E18-A6BD-60F164192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CheckBox" fmlaLink="$X$2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1266265</xdr:colOff>
      <xdr:row>49</xdr:row>
      <xdr:rowOff>95249</xdr:rowOff>
    </xdr:from>
    <xdr:to>
      <xdr:col>15</xdr:col>
      <xdr:colOff>1008530</xdr:colOff>
      <xdr:row>65</xdr:row>
      <xdr:rowOff>89647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971865" y="12049124"/>
          <a:ext cx="7771840" cy="3747248"/>
        </a:xfrm>
        <a:prstGeom prst="roundRect">
          <a:avLst/>
        </a:prstGeom>
        <a:noFill/>
        <a:ln w="571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ctr"/>
          <a:endParaRPr lang="pt-BR" sz="1400"/>
        </a:p>
      </xdr:txBody>
    </xdr:sp>
    <xdr:clientData/>
  </xdr:twoCellAnchor>
  <xdr:twoCellAnchor>
    <xdr:from>
      <xdr:col>14</xdr:col>
      <xdr:colOff>27215</xdr:colOff>
      <xdr:row>17</xdr:row>
      <xdr:rowOff>33618</xdr:rowOff>
    </xdr:from>
    <xdr:to>
      <xdr:col>19</xdr:col>
      <xdr:colOff>27280</xdr:colOff>
      <xdr:row>20</xdr:row>
      <xdr:rowOff>145677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3105040" y="4405593"/>
          <a:ext cx="7286690" cy="731184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pt-BR" sz="2400">
              <a:solidFill>
                <a:schemeClr val="lt1"/>
              </a:solidFill>
              <a:latin typeface="+mn-lt"/>
              <a:ea typeface="+mn-ea"/>
              <a:cs typeface="+mn-cs"/>
            </a:rPr>
            <a:t>                          FATURA COM ENERGIA SOLAR ULT</a:t>
          </a:r>
        </a:p>
      </xdr:txBody>
    </xdr:sp>
    <xdr:clientData/>
  </xdr:twoCellAnchor>
  <xdr:twoCellAnchor>
    <xdr:from>
      <xdr:col>1</xdr:col>
      <xdr:colOff>571489</xdr:colOff>
      <xdr:row>25</xdr:row>
      <xdr:rowOff>136072</xdr:rowOff>
    </xdr:from>
    <xdr:to>
      <xdr:col>6</xdr:col>
      <xdr:colOff>207514</xdr:colOff>
      <xdr:row>29</xdr:row>
      <xdr:rowOff>180975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085839" y="6489247"/>
          <a:ext cx="2007750" cy="978353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 i="1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ENERGIA</a:t>
          </a:r>
        </a:p>
      </xdr:txBody>
    </xdr:sp>
    <xdr:clientData/>
  </xdr:twoCellAnchor>
  <xdr:twoCellAnchor>
    <xdr:from>
      <xdr:col>1</xdr:col>
      <xdr:colOff>561964</xdr:colOff>
      <xdr:row>22</xdr:row>
      <xdr:rowOff>27214</xdr:rowOff>
    </xdr:from>
    <xdr:to>
      <xdr:col>6</xdr:col>
      <xdr:colOff>207514</xdr:colOff>
      <xdr:row>24</xdr:row>
      <xdr:rowOff>140153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076314" y="5761264"/>
          <a:ext cx="2017275" cy="484414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 i="1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DISTRIBUIÇÃO </a:t>
          </a:r>
        </a:p>
      </xdr:txBody>
    </xdr:sp>
    <xdr:clientData/>
  </xdr:twoCellAnchor>
  <xdr:twoCellAnchor>
    <xdr:from>
      <xdr:col>8</xdr:col>
      <xdr:colOff>40822</xdr:colOff>
      <xdr:row>24</xdr:row>
      <xdr:rowOff>136071</xdr:rowOff>
    </xdr:from>
    <xdr:to>
      <xdr:col>9</xdr:col>
      <xdr:colOff>1197429</xdr:colOff>
      <xdr:row>24</xdr:row>
      <xdr:rowOff>136071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5270047" y="6241596"/>
          <a:ext cx="2632982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40822</xdr:colOff>
      <xdr:row>29</xdr:row>
      <xdr:rowOff>136071</xdr:rowOff>
    </xdr:from>
    <xdr:to>
      <xdr:col>9</xdr:col>
      <xdr:colOff>1197429</xdr:colOff>
      <xdr:row>29</xdr:row>
      <xdr:rowOff>136071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5270047" y="7422696"/>
          <a:ext cx="2632982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17</xdr:row>
      <xdr:rowOff>33618</xdr:rowOff>
    </xdr:from>
    <xdr:to>
      <xdr:col>13</xdr:col>
      <xdr:colOff>0</xdr:colOff>
      <xdr:row>20</xdr:row>
      <xdr:rowOff>145677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5229225" y="4405593"/>
          <a:ext cx="7229475" cy="731184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FATURA ORIGINAL</a:t>
          </a:r>
        </a:p>
      </xdr:txBody>
    </xdr:sp>
    <xdr:clientData/>
  </xdr:twoCellAnchor>
  <xdr:twoCellAnchor>
    <xdr:from>
      <xdr:col>1</xdr:col>
      <xdr:colOff>561964</xdr:colOff>
      <xdr:row>43</xdr:row>
      <xdr:rowOff>204097</xdr:rowOff>
    </xdr:from>
    <xdr:to>
      <xdr:col>6</xdr:col>
      <xdr:colOff>207514</xdr:colOff>
      <xdr:row>48</xdr:row>
      <xdr:rowOff>108857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076314" y="10748272"/>
          <a:ext cx="2017275" cy="106681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 i="1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OUTROS</a:t>
          </a:r>
          <a:r>
            <a:rPr lang="pt-BR" sz="1800" b="1" i="1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 CUSTOS</a:t>
          </a:r>
          <a:endParaRPr lang="pt-BR" sz="1800" b="1" i="1">
            <a:solidFill>
              <a:schemeClr val="tx1">
                <a:lumMod val="95000"/>
                <a:lumOff val="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40822</xdr:colOff>
      <xdr:row>48</xdr:row>
      <xdr:rowOff>136071</xdr:rowOff>
    </xdr:from>
    <xdr:to>
      <xdr:col>9</xdr:col>
      <xdr:colOff>1197429</xdr:colOff>
      <xdr:row>48</xdr:row>
      <xdr:rowOff>136071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5270047" y="11842296"/>
          <a:ext cx="2632982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561964</xdr:colOff>
      <xdr:row>50</xdr:row>
      <xdr:rowOff>1</xdr:rowOff>
    </xdr:from>
    <xdr:to>
      <xdr:col>6</xdr:col>
      <xdr:colOff>207514</xdr:colOff>
      <xdr:row>61</xdr:row>
      <xdr:rowOff>108857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076314" y="12182476"/>
          <a:ext cx="2017275" cy="2813956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 i="1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ANÁLISE</a:t>
          </a:r>
          <a:r>
            <a:rPr lang="pt-BR" sz="1800" b="1" i="1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 FINANCEIRA</a:t>
          </a:r>
          <a:endParaRPr lang="pt-BR" sz="1800" b="1" i="1">
            <a:solidFill>
              <a:schemeClr val="tx1">
                <a:lumMod val="95000"/>
                <a:lumOff val="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40822</xdr:colOff>
      <xdr:row>29</xdr:row>
      <xdr:rowOff>136071</xdr:rowOff>
    </xdr:from>
    <xdr:to>
      <xdr:col>15</xdr:col>
      <xdr:colOff>1197429</xdr:colOff>
      <xdr:row>29</xdr:row>
      <xdr:rowOff>136071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13118647" y="7422696"/>
          <a:ext cx="2813957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40822</xdr:colOff>
      <xdr:row>48</xdr:row>
      <xdr:rowOff>136071</xdr:rowOff>
    </xdr:from>
    <xdr:to>
      <xdr:col>15</xdr:col>
      <xdr:colOff>1197429</xdr:colOff>
      <xdr:row>48</xdr:row>
      <xdr:rowOff>136071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13118647" y="11842296"/>
          <a:ext cx="2813957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1596838</xdr:colOff>
      <xdr:row>52</xdr:row>
      <xdr:rowOff>144077</xdr:rowOff>
    </xdr:from>
    <xdr:to>
      <xdr:col>9</xdr:col>
      <xdr:colOff>935691</xdr:colOff>
      <xdr:row>59</xdr:row>
      <xdr:rowOff>157683</xdr:rowOff>
    </xdr:to>
    <xdr:sp macro="" textlink="">
      <xdr:nvSpPr>
        <xdr:cNvPr id="14" name="Seta: para a Direita Listrada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4721038" y="12774227"/>
          <a:ext cx="2920253" cy="1775731"/>
        </a:xfrm>
        <a:prstGeom prst="striped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cap="none" spc="0">
              <a:ln w="13462">
                <a:noFill/>
                <a:prstDash val="solid"/>
              </a:ln>
              <a:solidFill>
                <a:schemeClr val="bg1"/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RESUMO FINANCEIRO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57150</xdr:colOff>
          <xdr:row>3</xdr:row>
          <xdr:rowOff>95250</xdr:rowOff>
        </xdr:from>
        <xdr:to>
          <xdr:col>17</xdr:col>
          <xdr:colOff>514350</xdr:colOff>
          <xdr:row>5</xdr:row>
          <xdr:rowOff>123825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5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CRIA PLANILHAS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561964</xdr:colOff>
      <xdr:row>32</xdr:row>
      <xdr:rowOff>33619</xdr:rowOff>
    </xdr:from>
    <xdr:to>
      <xdr:col>6</xdr:col>
      <xdr:colOff>207514</xdr:colOff>
      <xdr:row>42</xdr:row>
      <xdr:rowOff>40822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076314" y="8034619"/>
          <a:ext cx="2017275" cy="2302728"/>
        </a:xfrm>
        <a:prstGeom prst="roundRect">
          <a:avLst/>
        </a:prstGeom>
        <a:solidFill>
          <a:schemeClr val="accent2"/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 i="1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ENERGIA</a:t>
          </a:r>
        </a:p>
        <a:p>
          <a:pPr marL="0" indent="0" algn="ctr"/>
          <a:r>
            <a:rPr lang="pt-BR" sz="1800" b="1" i="1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SOLAR</a:t>
          </a:r>
          <a:r>
            <a:rPr lang="pt-BR" sz="1800" b="1" i="1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 INJETADA</a:t>
          </a:r>
          <a:endParaRPr lang="pt-BR" sz="1800" b="1" i="1">
            <a:solidFill>
              <a:schemeClr val="tx1">
                <a:lumMod val="95000"/>
                <a:lumOff val="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40822</xdr:colOff>
      <xdr:row>42</xdr:row>
      <xdr:rowOff>136071</xdr:rowOff>
    </xdr:from>
    <xdr:to>
      <xdr:col>9</xdr:col>
      <xdr:colOff>1197429</xdr:colOff>
      <xdr:row>42</xdr:row>
      <xdr:rowOff>136071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5270047" y="10432596"/>
          <a:ext cx="2632982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40822</xdr:colOff>
      <xdr:row>42</xdr:row>
      <xdr:rowOff>136071</xdr:rowOff>
    </xdr:from>
    <xdr:to>
      <xdr:col>15</xdr:col>
      <xdr:colOff>1197429</xdr:colOff>
      <xdr:row>42</xdr:row>
      <xdr:rowOff>136071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>
          <a:off x="13118647" y="10432596"/>
          <a:ext cx="2813957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40822</xdr:colOff>
      <xdr:row>42</xdr:row>
      <xdr:rowOff>136071</xdr:rowOff>
    </xdr:from>
    <xdr:to>
      <xdr:col>15</xdr:col>
      <xdr:colOff>1197429</xdr:colOff>
      <xdr:row>42</xdr:row>
      <xdr:rowOff>136071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>
          <a:off x="13118647" y="10432596"/>
          <a:ext cx="2813957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176892</xdr:colOff>
      <xdr:row>17</xdr:row>
      <xdr:rowOff>177856</xdr:rowOff>
    </xdr:from>
    <xdr:to>
      <xdr:col>8</xdr:col>
      <xdr:colOff>1445079</xdr:colOff>
      <xdr:row>20</xdr:row>
      <xdr:rowOff>24300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6117" y="4549831"/>
          <a:ext cx="1268187" cy="465569"/>
        </a:xfrm>
        <a:prstGeom prst="rect">
          <a:avLst/>
        </a:prstGeom>
      </xdr:spPr>
    </xdr:pic>
    <xdr:clientData/>
  </xdr:twoCellAnchor>
  <xdr:twoCellAnchor>
    <xdr:from>
      <xdr:col>1</xdr:col>
      <xdr:colOff>326572</xdr:colOff>
      <xdr:row>11</xdr:row>
      <xdr:rowOff>100853</xdr:rowOff>
    </xdr:from>
    <xdr:to>
      <xdr:col>7</xdr:col>
      <xdr:colOff>2027464</xdr:colOff>
      <xdr:row>16</xdr:row>
      <xdr:rowOff>122464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840922" y="3234578"/>
          <a:ext cx="4310742" cy="1021736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>
              <a:latin typeface="Neuropolitical Rg" panose="020B0605020201080104" pitchFamily="34" charset="0"/>
            </a:rPr>
            <a:t>ULT EMPREENDIMENTOS</a:t>
          </a:r>
        </a:p>
      </xdr:txBody>
    </xdr:sp>
    <xdr:clientData/>
  </xdr:twoCellAnchor>
  <xdr:twoCellAnchor>
    <xdr:from>
      <xdr:col>1</xdr:col>
      <xdr:colOff>315687</xdr:colOff>
      <xdr:row>15</xdr:row>
      <xdr:rowOff>172411</xdr:rowOff>
    </xdr:from>
    <xdr:to>
      <xdr:col>7</xdr:col>
      <xdr:colOff>887186</xdr:colOff>
      <xdr:row>20</xdr:row>
      <xdr:rowOff>168088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830037" y="4068136"/>
          <a:ext cx="3181349" cy="1091052"/>
        </a:xfrm>
        <a:prstGeom prst="roundRect">
          <a:avLst/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Neuropolitical Rg" panose="020B0605020201080104" pitchFamily="34" charset="0"/>
            </a:rPr>
            <a:t>UC: 160400900</a:t>
          </a:r>
        </a:p>
        <a:p>
          <a:pPr algn="ctr"/>
          <a:r>
            <a:rPr lang="pt-BR" sz="1600">
              <a:latin typeface="Neuropolitical Rg" panose="020B0605020201080104" pitchFamily="34" charset="0"/>
            </a:rPr>
            <a:t>EDUARDO FERNANDES</a:t>
          </a:r>
          <a:r>
            <a:rPr lang="pt-BR" sz="1600" baseline="0">
              <a:latin typeface="Neuropolitical Rg" panose="020B0605020201080104" pitchFamily="34" charset="0"/>
            </a:rPr>
            <a:t> NETO</a:t>
          </a:r>
          <a:endParaRPr lang="pt-BR" sz="1600">
            <a:latin typeface="Neuropolitical Rg" panose="020B0605020201080104" pitchFamily="34" charset="0"/>
          </a:endParaRPr>
        </a:p>
      </xdr:txBody>
    </xdr:sp>
    <xdr:clientData/>
  </xdr:twoCellAnchor>
  <xdr:twoCellAnchor editAs="oneCell">
    <xdr:from>
      <xdr:col>7</xdr:col>
      <xdr:colOff>1047748</xdr:colOff>
      <xdr:row>11</xdr:row>
      <xdr:rowOff>159281</xdr:rowOff>
    </xdr:from>
    <xdr:to>
      <xdr:col>7</xdr:col>
      <xdr:colOff>2011135</xdr:colOff>
      <xdr:row>16</xdr:row>
      <xdr:rowOff>55545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1948" y="3293006"/>
          <a:ext cx="963387" cy="896389"/>
        </a:xfrm>
        <a:prstGeom prst="rect">
          <a:avLst/>
        </a:prstGeom>
      </xdr:spPr>
    </xdr:pic>
    <xdr:clientData/>
  </xdr:twoCellAnchor>
  <xdr:twoCellAnchor editAs="oneCell">
    <xdr:from>
      <xdr:col>14</xdr:col>
      <xdr:colOff>167768</xdr:colOff>
      <xdr:row>17</xdr:row>
      <xdr:rowOff>27215</xdr:rowOff>
    </xdr:from>
    <xdr:to>
      <xdr:col>14</xdr:col>
      <xdr:colOff>952501</xdr:colOff>
      <xdr:row>20</xdr:row>
      <xdr:rowOff>186019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5593" y="4399190"/>
          <a:ext cx="784733" cy="777929"/>
        </a:xfrm>
        <a:prstGeom prst="rect">
          <a:avLst/>
        </a:prstGeom>
      </xdr:spPr>
    </xdr:pic>
    <xdr:clientData/>
  </xdr:twoCellAnchor>
  <xdr:twoCellAnchor>
    <xdr:from>
      <xdr:col>14</xdr:col>
      <xdr:colOff>68036</xdr:colOff>
      <xdr:row>24</xdr:row>
      <xdr:rowOff>136072</xdr:rowOff>
    </xdr:from>
    <xdr:to>
      <xdr:col>15</xdr:col>
      <xdr:colOff>1360714</xdr:colOff>
      <xdr:row>24</xdr:row>
      <xdr:rowOff>136072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13145861" y="6241597"/>
          <a:ext cx="2950028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2343</xdr:colOff>
      <xdr:row>7</xdr:row>
      <xdr:rowOff>112057</xdr:rowOff>
    </xdr:from>
    <xdr:to>
      <xdr:col>20</xdr:col>
      <xdr:colOff>329045</xdr:colOff>
      <xdr:row>66</xdr:row>
      <xdr:rowOff>44822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516693" y="2121832"/>
          <a:ext cx="20729252" cy="13820215"/>
        </a:xfrm>
        <a:prstGeom prst="roundRect">
          <a:avLst>
            <a:gd name="adj" fmla="val 8563"/>
          </a:avLst>
        </a:prstGeom>
        <a:noFill/>
        <a:ln w="571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40822</xdr:colOff>
      <xdr:row>42</xdr:row>
      <xdr:rowOff>136071</xdr:rowOff>
    </xdr:from>
    <xdr:to>
      <xdr:col>9</xdr:col>
      <xdr:colOff>1197429</xdr:colOff>
      <xdr:row>42</xdr:row>
      <xdr:rowOff>136071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>
          <a:off x="5270047" y="10432596"/>
          <a:ext cx="2632982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40822</xdr:colOff>
      <xdr:row>42</xdr:row>
      <xdr:rowOff>136071</xdr:rowOff>
    </xdr:from>
    <xdr:to>
      <xdr:col>15</xdr:col>
      <xdr:colOff>1197429</xdr:colOff>
      <xdr:row>42</xdr:row>
      <xdr:rowOff>136071</xdr:rowOff>
    </xdr:to>
    <xdr:cxnSp macro="">
      <xdr:nvCxnSpPr>
        <xdr:cNvPr id="28" name="Conector de Seta Reta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>
          <a:off x="13118647" y="10432596"/>
          <a:ext cx="2813957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40822</xdr:colOff>
      <xdr:row>42</xdr:row>
      <xdr:rowOff>136071</xdr:rowOff>
    </xdr:from>
    <xdr:to>
      <xdr:col>15</xdr:col>
      <xdr:colOff>1197429</xdr:colOff>
      <xdr:row>42</xdr:row>
      <xdr:rowOff>136071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>
          <a:off x="13118647" y="10432596"/>
          <a:ext cx="2813957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1133475</xdr:colOff>
          <xdr:row>19</xdr:row>
          <xdr:rowOff>123825</xdr:rowOff>
        </xdr:from>
        <xdr:to>
          <xdr:col>22</xdr:col>
          <xdr:colOff>2724150</xdr:colOff>
          <xdr:row>21</xdr:row>
          <xdr:rowOff>123825</xdr:rowOff>
        </xdr:to>
        <xdr:sp macro="" textlink="">
          <xdr:nvSpPr>
            <xdr:cNvPr id="2050" name="Check Box 2" descr="&#10;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5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xdr:twoCellAnchor>
    <xdr:from>
      <xdr:col>10</xdr:col>
      <xdr:colOff>952092</xdr:colOff>
      <xdr:row>6</xdr:row>
      <xdr:rowOff>168088</xdr:rowOff>
    </xdr:from>
    <xdr:to>
      <xdr:col>16</xdr:col>
      <xdr:colOff>284222</xdr:colOff>
      <xdr:row>18</xdr:row>
      <xdr:rowOff>85161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9129985" y="2005052"/>
          <a:ext cx="7373951" cy="2665716"/>
          <a:chOff x="14130618" y="2107949"/>
          <a:chExt cx="4415118" cy="2452841"/>
        </a:xfrm>
      </xdr:grpSpPr>
      <xdr:graphicFrame macro="">
        <xdr:nvGraphicFramePr>
          <xdr:cNvPr id="32" name="Gráfico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GraphicFramePr/>
        </xdr:nvGraphicFramePr>
        <xdr:xfrm>
          <a:off x="14130618" y="2107949"/>
          <a:ext cx="4415118" cy="24528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16125116" y="3448896"/>
            <a:ext cx="74866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/>
              <a:t>Economia</a:t>
            </a:r>
          </a:p>
        </xdr:txBody>
      </xdr:sp>
    </xdr:grpSp>
    <xdr:clientData/>
  </xdr:twoCellAnchor>
  <xdr:twoCellAnchor>
    <xdr:from>
      <xdr:col>13</xdr:col>
      <xdr:colOff>49787</xdr:colOff>
      <xdr:row>60</xdr:row>
      <xdr:rowOff>123264</xdr:rowOff>
    </xdr:from>
    <xdr:to>
      <xdr:col>13</xdr:col>
      <xdr:colOff>526677</xdr:colOff>
      <xdr:row>60</xdr:row>
      <xdr:rowOff>123264</xdr:rowOff>
    </xdr:to>
    <xdr:cxnSp macro="">
      <xdr:nvCxnSpPr>
        <xdr:cNvPr id="34" name="Conector de Seta Reta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/>
      </xdr:nvCxnSpPr>
      <xdr:spPr>
        <a:xfrm flipV="1">
          <a:off x="12508487" y="14763189"/>
          <a:ext cx="47689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56031</xdr:colOff>
      <xdr:row>60</xdr:row>
      <xdr:rowOff>117071</xdr:rowOff>
    </xdr:from>
    <xdr:to>
      <xdr:col>15</xdr:col>
      <xdr:colOff>696829</xdr:colOff>
      <xdr:row>60</xdr:row>
      <xdr:rowOff>117071</xdr:rowOff>
    </xdr:to>
    <xdr:cxnSp macro="">
      <xdr:nvCxnSpPr>
        <xdr:cNvPr id="35" name="Conector de Seta Reta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 flipH="1" flipV="1">
          <a:off x="14791206" y="14756996"/>
          <a:ext cx="640798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59909</xdr:colOff>
      <xdr:row>52</xdr:row>
      <xdr:rowOff>112059</xdr:rowOff>
    </xdr:from>
    <xdr:to>
      <xdr:col>15</xdr:col>
      <xdr:colOff>709850</xdr:colOff>
      <xdr:row>52</xdr:row>
      <xdr:rowOff>112059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/>
      </xdr:nvCxnSpPr>
      <xdr:spPr>
        <a:xfrm>
          <a:off x="14795084" y="12742209"/>
          <a:ext cx="649941" cy="0"/>
        </a:xfrm>
        <a:prstGeom prst="line">
          <a:avLst/>
        </a:prstGeom>
        <a:ln w="38100"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696829</xdr:colOff>
      <xdr:row>52</xdr:row>
      <xdr:rowOff>115303</xdr:rowOff>
    </xdr:from>
    <xdr:to>
      <xdr:col>15</xdr:col>
      <xdr:colOff>696829</xdr:colOff>
      <xdr:row>60</xdr:row>
      <xdr:rowOff>115302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/>
      </xdr:nvCxnSpPr>
      <xdr:spPr>
        <a:xfrm>
          <a:off x="15432004" y="12745453"/>
          <a:ext cx="0" cy="2009774"/>
        </a:xfrm>
        <a:prstGeom prst="line">
          <a:avLst/>
        </a:prstGeom>
        <a:ln w="38100" cap="sq">
          <a:bevel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2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C51E-B046-41BD-B8A4-8406AC00EAC3}">
  <dimension ref="B2:J47"/>
  <sheetViews>
    <sheetView tabSelected="1" workbookViewId="0">
      <selection activeCell="J9" sqref="J9"/>
    </sheetView>
  </sheetViews>
  <sheetFormatPr defaultRowHeight="15" x14ac:dyDescent="0.25"/>
  <cols>
    <col min="2" max="2" width="14.42578125" style="1" customWidth="1"/>
    <col min="3" max="3" width="17.5703125" style="1" bestFit="1" customWidth="1"/>
    <col min="4" max="4" width="39.140625" style="1" bestFit="1" customWidth="1"/>
    <col min="5" max="5" width="48.85546875" style="1" bestFit="1" customWidth="1"/>
    <col min="6" max="6" width="20" style="1" customWidth="1"/>
    <col min="7" max="7" width="22.5703125" style="1" bestFit="1" customWidth="1"/>
    <col min="8" max="8" width="20.5703125" style="1" bestFit="1" customWidth="1"/>
    <col min="9" max="9" width="20.5703125" style="1" customWidth="1"/>
    <col min="10" max="10" width="12.7109375" customWidth="1"/>
  </cols>
  <sheetData>
    <row r="2" spans="2:9" x14ac:dyDescent="0.25">
      <c r="B2" s="1" t="s">
        <v>107</v>
      </c>
    </row>
    <row r="3" spans="2:9" x14ac:dyDescent="0.25">
      <c r="B3" s="175" t="s">
        <v>0</v>
      </c>
      <c r="C3" s="172" t="s">
        <v>1</v>
      </c>
      <c r="D3" s="172" t="s">
        <v>4</v>
      </c>
      <c r="E3" s="172" t="s">
        <v>2</v>
      </c>
      <c r="F3" s="172" t="s">
        <v>5</v>
      </c>
      <c r="G3" s="172" t="s">
        <v>24</v>
      </c>
      <c r="H3" s="172" t="s">
        <v>106</v>
      </c>
      <c r="I3" s="172" t="s">
        <v>192</v>
      </c>
    </row>
    <row r="4" spans="2:9" x14ac:dyDescent="0.25">
      <c r="B4" s="172">
        <v>45841</v>
      </c>
      <c r="C4" s="172">
        <v>0</v>
      </c>
      <c r="D4" s="172" t="s">
        <v>3</v>
      </c>
      <c r="E4" s="172" t="str">
        <f>D4&amp;" "&amp;B4</f>
        <v>Adilson 45841</v>
      </c>
      <c r="F4" s="172"/>
      <c r="G4" s="172"/>
      <c r="H4" s="172"/>
      <c r="I4" s="172"/>
    </row>
    <row r="5" spans="2:9" x14ac:dyDescent="0.25">
      <c r="B5" s="172">
        <v>1793752</v>
      </c>
      <c r="C5" s="172">
        <v>0</v>
      </c>
      <c r="D5" s="172" t="s">
        <v>3</v>
      </c>
      <c r="E5" s="172" t="str">
        <f t="shared" ref="E5:E20" si="0">D5&amp;" "&amp;B5</f>
        <v>Adilson 1793752</v>
      </c>
      <c r="F5" s="172"/>
      <c r="G5" s="172"/>
      <c r="H5" s="172"/>
      <c r="I5" s="172"/>
    </row>
    <row r="6" spans="2:9" x14ac:dyDescent="0.25">
      <c r="B6" s="172">
        <v>160508005</v>
      </c>
      <c r="C6" s="172">
        <v>0</v>
      </c>
      <c r="D6" s="172" t="s">
        <v>3</v>
      </c>
      <c r="E6" s="172" t="str">
        <f t="shared" si="0"/>
        <v>Adilson 160508005</v>
      </c>
      <c r="F6" s="172"/>
      <c r="G6" s="172"/>
      <c r="H6" s="172"/>
      <c r="I6" s="172"/>
    </row>
    <row r="7" spans="2:9" x14ac:dyDescent="0.25">
      <c r="B7" s="172">
        <v>160400900</v>
      </c>
      <c r="C7" s="172">
        <v>0</v>
      </c>
      <c r="D7" s="172" t="s">
        <v>23</v>
      </c>
      <c r="E7" s="172" t="str">
        <f t="shared" si="0"/>
        <v>KUBINHOS 160400900</v>
      </c>
      <c r="F7" s="172"/>
      <c r="G7" s="172"/>
      <c r="H7" s="172"/>
      <c r="I7" s="172"/>
    </row>
    <row r="8" spans="2:9" x14ac:dyDescent="0.25">
      <c r="B8" s="172">
        <v>161115578</v>
      </c>
      <c r="C8" s="172">
        <v>0</v>
      </c>
      <c r="D8" s="172" t="s">
        <v>109</v>
      </c>
      <c r="E8" s="172" t="str">
        <f t="shared" si="0"/>
        <v>E Fernandes 161115578</v>
      </c>
      <c r="F8" s="172"/>
      <c r="G8" s="172"/>
      <c r="H8" s="172"/>
      <c r="I8" s="172"/>
    </row>
    <row r="9" spans="2:9" x14ac:dyDescent="0.25">
      <c r="B9" s="172">
        <v>318923</v>
      </c>
      <c r="C9" s="172">
        <v>0</v>
      </c>
      <c r="D9" s="172" t="s">
        <v>110</v>
      </c>
      <c r="E9" s="172" t="str">
        <f t="shared" si="0"/>
        <v>LUPE 318923</v>
      </c>
      <c r="F9" s="172"/>
      <c r="G9" s="172"/>
      <c r="H9" s="172"/>
      <c r="I9" s="172"/>
    </row>
    <row r="10" spans="2:9" x14ac:dyDescent="0.25">
      <c r="B10" s="172">
        <v>160703715</v>
      </c>
      <c r="C10" s="172">
        <v>0</v>
      </c>
      <c r="D10" s="172" t="s">
        <v>111</v>
      </c>
      <c r="E10" s="172" t="str">
        <f t="shared" si="0"/>
        <v>AUTO POSTO PEDRA AZUL LTDA AZUL LTDA 160703715</v>
      </c>
      <c r="F10" s="172"/>
      <c r="G10" s="172"/>
      <c r="H10" s="172"/>
      <c r="I10" s="172"/>
    </row>
    <row r="11" spans="2:9" x14ac:dyDescent="0.25">
      <c r="B11" s="172">
        <v>1577188</v>
      </c>
      <c r="C11" s="172">
        <v>0</v>
      </c>
      <c r="D11" s="172" t="s">
        <v>111</v>
      </c>
      <c r="E11" s="172" t="str">
        <f t="shared" si="0"/>
        <v>AUTO POSTO PEDRA AZUL LTDA AZUL LTDA 1577188</v>
      </c>
      <c r="F11" s="172"/>
      <c r="G11" s="172"/>
      <c r="H11" s="172"/>
      <c r="I11" s="172"/>
    </row>
    <row r="12" spans="2:9" x14ac:dyDescent="0.25">
      <c r="B12" s="172">
        <v>161086526</v>
      </c>
      <c r="C12" s="172">
        <v>0</v>
      </c>
      <c r="D12" s="172" t="s">
        <v>112</v>
      </c>
      <c r="E12" s="172" t="str">
        <f t="shared" si="0"/>
        <v>TERRAZZO DEI NONNI LTDA 161086526</v>
      </c>
      <c r="F12" s="172"/>
      <c r="G12" s="172"/>
      <c r="H12" s="172"/>
      <c r="I12" s="172"/>
    </row>
    <row r="13" spans="2:9" x14ac:dyDescent="0.25">
      <c r="B13" s="172">
        <v>161086525</v>
      </c>
      <c r="C13" s="172">
        <v>0</v>
      </c>
      <c r="D13" s="172" t="s">
        <v>113</v>
      </c>
      <c r="E13" s="172" t="str">
        <f t="shared" si="0"/>
        <v>EMPORIO DEI NONNI LTDA 161086525</v>
      </c>
      <c r="F13" s="172"/>
      <c r="G13" s="172"/>
      <c r="H13" s="172"/>
      <c r="I13" s="172"/>
    </row>
    <row r="14" spans="2:9" x14ac:dyDescent="0.25">
      <c r="B14" s="172">
        <v>160523291</v>
      </c>
      <c r="C14" s="172">
        <v>0</v>
      </c>
      <c r="D14" s="172" t="s">
        <v>114</v>
      </c>
      <c r="E14" s="172" t="str">
        <f t="shared" si="0"/>
        <v>CURBANI &amp; CIA LTDA 160523291</v>
      </c>
      <c r="F14" s="172"/>
      <c r="G14" s="172"/>
      <c r="H14" s="172"/>
      <c r="I14" s="172"/>
    </row>
    <row r="15" spans="2:9" x14ac:dyDescent="0.25">
      <c r="B15" s="172">
        <v>1989890</v>
      </c>
      <c r="C15" s="172">
        <v>0</v>
      </c>
      <c r="D15" s="172" t="s">
        <v>114</v>
      </c>
      <c r="E15" s="172" t="str">
        <f t="shared" si="0"/>
        <v>CURBANI &amp; CIA LTDA 1989890</v>
      </c>
      <c r="F15" s="172"/>
      <c r="G15" s="172"/>
      <c r="H15" s="172"/>
      <c r="I15" s="172"/>
    </row>
    <row r="16" spans="2:9" x14ac:dyDescent="0.25">
      <c r="B16" s="172">
        <v>1897967</v>
      </c>
      <c r="C16" s="172">
        <v>0</v>
      </c>
      <c r="D16" s="172" t="s">
        <v>114</v>
      </c>
      <c r="E16" s="172" t="str">
        <f t="shared" si="0"/>
        <v>CURBANI &amp; CIA LTDA 1897967</v>
      </c>
      <c r="F16" s="172"/>
      <c r="G16" s="172"/>
      <c r="H16" s="172"/>
      <c r="I16" s="172"/>
    </row>
    <row r="17" spans="2:9" x14ac:dyDescent="0.25">
      <c r="B17" s="172">
        <v>503047</v>
      </c>
      <c r="C17" s="172">
        <v>0</v>
      </c>
      <c r="D17" s="172" t="s">
        <v>118</v>
      </c>
      <c r="E17" s="172" t="str">
        <f t="shared" si="0"/>
        <v>MARIA DA PENHA FAZOLO CURBANI 503047</v>
      </c>
      <c r="F17" s="172"/>
      <c r="G17" s="172"/>
      <c r="H17" s="172"/>
      <c r="I17" s="172"/>
    </row>
    <row r="18" spans="2:9" x14ac:dyDescent="0.25">
      <c r="B18" s="172">
        <v>226705</v>
      </c>
      <c r="C18" s="172">
        <v>0</v>
      </c>
      <c r="D18" s="172" t="s">
        <v>115</v>
      </c>
      <c r="E18" s="172" t="str">
        <f t="shared" si="0"/>
        <v>RESTAURANTE DON DUE LTDA 226705</v>
      </c>
      <c r="F18" s="172"/>
      <c r="G18" s="172"/>
      <c r="H18" s="172"/>
      <c r="I18" s="172"/>
    </row>
    <row r="19" spans="2:9" x14ac:dyDescent="0.25">
      <c r="B19" s="172">
        <v>160800912</v>
      </c>
      <c r="C19" s="172">
        <v>0</v>
      </c>
      <c r="D19" s="172" t="s">
        <v>116</v>
      </c>
      <c r="E19" s="172" t="str">
        <f t="shared" si="0"/>
        <v>VALLINO P. NAPOLETANA LTDA 160800912</v>
      </c>
      <c r="F19" s="172"/>
      <c r="G19" s="172"/>
      <c r="H19" s="172"/>
      <c r="I19" s="172"/>
    </row>
    <row r="20" spans="2:9" x14ac:dyDescent="0.25">
      <c r="B20" s="172">
        <v>1043813</v>
      </c>
      <c r="C20" s="172">
        <v>0</v>
      </c>
      <c r="D20" s="172" t="s">
        <v>117</v>
      </c>
      <c r="E20" s="172" t="str">
        <f t="shared" si="0"/>
        <v>FREDELINO 1043813</v>
      </c>
      <c r="F20" s="172"/>
      <c r="G20" s="172"/>
      <c r="H20" s="172"/>
      <c r="I20" s="172"/>
    </row>
    <row r="21" spans="2:9" x14ac:dyDescent="0.25">
      <c r="B21" s="172">
        <v>160993441</v>
      </c>
      <c r="C21" s="172">
        <v>1</v>
      </c>
      <c r="D21" s="172" t="s">
        <v>6</v>
      </c>
      <c r="E21" s="172" t="s">
        <v>7</v>
      </c>
      <c r="F21" s="172"/>
      <c r="G21" s="172"/>
      <c r="H21" s="172"/>
      <c r="I21" s="172"/>
    </row>
    <row r="22" spans="2:9" x14ac:dyDescent="0.25">
      <c r="B22" s="172">
        <v>161084053</v>
      </c>
      <c r="C22" s="172">
        <v>1</v>
      </c>
      <c r="D22" s="172" t="s">
        <v>6</v>
      </c>
      <c r="E22" s="172" t="s">
        <v>119</v>
      </c>
      <c r="F22" s="172"/>
      <c r="G22" s="172"/>
      <c r="H22" s="172"/>
      <c r="I22" s="172"/>
    </row>
    <row r="23" spans="2:9" x14ac:dyDescent="0.25">
      <c r="B23" s="172">
        <v>161041889</v>
      </c>
      <c r="C23" s="172">
        <v>1</v>
      </c>
      <c r="D23" s="172" t="s">
        <v>6</v>
      </c>
      <c r="E23" s="172" t="s">
        <v>120</v>
      </c>
      <c r="F23" s="172"/>
      <c r="G23" s="172"/>
      <c r="H23" s="172"/>
      <c r="I23" s="172"/>
    </row>
    <row r="24" spans="2:9" x14ac:dyDescent="0.25">
      <c r="B24" s="172">
        <v>161041895</v>
      </c>
      <c r="C24" s="172">
        <v>1</v>
      </c>
      <c r="D24" s="172" t="s">
        <v>6</v>
      </c>
      <c r="E24" s="172" t="s">
        <v>121</v>
      </c>
      <c r="F24" s="172"/>
      <c r="G24" s="172"/>
      <c r="H24" s="172"/>
      <c r="I24" s="172"/>
    </row>
    <row r="25" spans="2:9" x14ac:dyDescent="0.25">
      <c r="B25" s="172">
        <v>161099718</v>
      </c>
      <c r="C25" s="172">
        <v>1</v>
      </c>
      <c r="D25" s="172" t="s">
        <v>122</v>
      </c>
      <c r="E25" s="172" t="s">
        <v>128</v>
      </c>
      <c r="F25" s="172"/>
      <c r="G25" s="172"/>
      <c r="H25" s="172"/>
      <c r="I25" s="172"/>
    </row>
    <row r="26" spans="2:9" x14ac:dyDescent="0.25">
      <c r="B26" s="172">
        <v>161147185</v>
      </c>
      <c r="C26" s="172">
        <v>1</v>
      </c>
      <c r="D26" s="172" t="s">
        <v>124</v>
      </c>
      <c r="E26" s="172" t="s">
        <v>127</v>
      </c>
      <c r="F26" s="172"/>
      <c r="G26" s="172"/>
      <c r="H26" s="172"/>
      <c r="I26" s="172"/>
    </row>
    <row r="27" spans="2:9" x14ac:dyDescent="0.25">
      <c r="B27" s="172">
        <v>161127416</v>
      </c>
      <c r="C27" s="172">
        <v>1</v>
      </c>
      <c r="D27" s="172" t="s">
        <v>8</v>
      </c>
      <c r="E27" s="172" t="s">
        <v>125</v>
      </c>
      <c r="F27" s="172"/>
      <c r="G27" s="172"/>
      <c r="H27" s="172"/>
      <c r="I27" s="172"/>
    </row>
    <row r="28" spans="2:9" x14ac:dyDescent="0.25">
      <c r="B28" s="172">
        <v>161171784</v>
      </c>
      <c r="C28" s="172">
        <v>1</v>
      </c>
      <c r="D28" s="172" t="s">
        <v>123</v>
      </c>
      <c r="E28" s="172" t="s">
        <v>126</v>
      </c>
      <c r="F28" s="172"/>
      <c r="G28" s="172"/>
      <c r="H28" s="172"/>
      <c r="I28" s="172"/>
    </row>
    <row r="31" spans="2:9" x14ac:dyDescent="0.25">
      <c r="B31" s="1" t="s">
        <v>108</v>
      </c>
    </row>
    <row r="32" spans="2:9" x14ac:dyDescent="0.25">
      <c r="B32" s="175" t="s">
        <v>0</v>
      </c>
      <c r="C32" s="172" t="s">
        <v>9</v>
      </c>
      <c r="D32" s="172" t="s">
        <v>10</v>
      </c>
      <c r="E32" s="172" t="s">
        <v>11</v>
      </c>
      <c r="F32" s="172" t="s">
        <v>12</v>
      </c>
      <c r="G32" s="172" t="s">
        <v>13</v>
      </c>
      <c r="H32" s="172" t="s">
        <v>20</v>
      </c>
      <c r="I32" s="172" t="s">
        <v>190</v>
      </c>
    </row>
    <row r="33" spans="2:10" x14ac:dyDescent="0.25">
      <c r="B33" s="172">
        <v>161041889</v>
      </c>
      <c r="C33" s="173">
        <v>45323</v>
      </c>
      <c r="D33" s="172" t="s">
        <v>14</v>
      </c>
      <c r="E33" s="172">
        <v>14006</v>
      </c>
      <c r="F33" s="172">
        <v>0</v>
      </c>
      <c r="G33" s="172"/>
      <c r="H33" s="172"/>
      <c r="I33" s="172"/>
      <c r="J33" s="1" t="s">
        <v>158</v>
      </c>
    </row>
    <row r="34" spans="2:10" x14ac:dyDescent="0.25">
      <c r="B34" s="172">
        <v>161041889</v>
      </c>
      <c r="C34" s="173">
        <v>45323</v>
      </c>
      <c r="D34" s="172"/>
      <c r="E34" s="172"/>
      <c r="F34" s="172">
        <v>13360</v>
      </c>
      <c r="G34" s="173">
        <v>45352</v>
      </c>
      <c r="H34" s="172">
        <v>160400900</v>
      </c>
      <c r="I34" s="172"/>
      <c r="J34" s="1" t="s">
        <v>159</v>
      </c>
    </row>
    <row r="35" spans="2:10" x14ac:dyDescent="0.25">
      <c r="B35" s="172">
        <v>161041889</v>
      </c>
      <c r="C35" s="173">
        <v>45323</v>
      </c>
      <c r="D35" s="172"/>
      <c r="E35" s="172"/>
      <c r="F35" s="172">
        <v>646</v>
      </c>
      <c r="G35" s="173">
        <v>45383</v>
      </c>
      <c r="H35" s="172">
        <v>160400900</v>
      </c>
      <c r="I35" s="172"/>
      <c r="J35" s="1"/>
    </row>
    <row r="36" spans="2:10" x14ac:dyDescent="0.25">
      <c r="B36" s="172">
        <v>161041889</v>
      </c>
      <c r="C36" s="173">
        <v>45352</v>
      </c>
      <c r="D36" s="172" t="s">
        <v>14</v>
      </c>
      <c r="E36" s="172">
        <v>11955</v>
      </c>
      <c r="F36" s="172">
        <v>0</v>
      </c>
      <c r="G36" s="172"/>
      <c r="H36" s="172"/>
      <c r="I36" s="172"/>
      <c r="J36" s="1"/>
    </row>
    <row r="37" spans="2:10" x14ac:dyDescent="0.25">
      <c r="B37" s="172">
        <v>160400900</v>
      </c>
      <c r="C37" s="173">
        <v>45383</v>
      </c>
      <c r="D37" s="172"/>
      <c r="E37" s="172">
        <v>8737</v>
      </c>
      <c r="F37" s="172">
        <v>8737</v>
      </c>
      <c r="G37" s="173">
        <v>45383</v>
      </c>
      <c r="H37" s="172">
        <v>160400900</v>
      </c>
      <c r="I37" s="172"/>
      <c r="J37" s="1" t="s">
        <v>157</v>
      </c>
    </row>
    <row r="39" spans="2:10" x14ac:dyDescent="0.25">
      <c r="B39" s="1" t="s">
        <v>28</v>
      </c>
    </row>
    <row r="40" spans="2:10" x14ac:dyDescent="0.25">
      <c r="B40" s="175" t="s">
        <v>0</v>
      </c>
      <c r="C40" s="172" t="s">
        <v>15</v>
      </c>
      <c r="D40" s="172" t="s">
        <v>16</v>
      </c>
      <c r="E40" s="172" t="s">
        <v>21</v>
      </c>
      <c r="F40" s="172" t="s">
        <v>25</v>
      </c>
      <c r="G40" s="172" t="s">
        <v>161</v>
      </c>
    </row>
    <row r="41" spans="2:10" x14ac:dyDescent="0.25">
      <c r="B41" s="172">
        <v>160400900</v>
      </c>
      <c r="C41" s="173">
        <v>45352</v>
      </c>
      <c r="D41" s="172">
        <v>17313</v>
      </c>
      <c r="E41" s="172" t="s">
        <v>22</v>
      </c>
      <c r="F41" s="172"/>
      <c r="G41" s="172"/>
    </row>
    <row r="42" spans="2:10" x14ac:dyDescent="0.25">
      <c r="B42" s="172">
        <v>160400900</v>
      </c>
      <c r="C42" s="173">
        <v>45352</v>
      </c>
      <c r="D42" s="172">
        <v>7502.3</v>
      </c>
      <c r="E42" s="172"/>
      <c r="F42" s="172" t="s">
        <v>26</v>
      </c>
      <c r="G42" s="172"/>
      <c r="H42" s="2"/>
    </row>
    <row r="43" spans="2:10" x14ac:dyDescent="0.25">
      <c r="B43" s="172">
        <v>160400900</v>
      </c>
      <c r="C43" s="173">
        <v>45352</v>
      </c>
      <c r="D43" s="172">
        <v>9810.7000000000007</v>
      </c>
      <c r="E43" s="172"/>
      <c r="F43" s="172" t="s">
        <v>27</v>
      </c>
      <c r="G43" s="172"/>
      <c r="H43" s="2"/>
    </row>
    <row r="44" spans="2:10" x14ac:dyDescent="0.25">
      <c r="C44" s="2"/>
    </row>
    <row r="45" spans="2:10" x14ac:dyDescent="0.25">
      <c r="B45" s="1" t="s">
        <v>29</v>
      </c>
    </row>
    <row r="46" spans="2:10" x14ac:dyDescent="0.25">
      <c r="B46" s="175" t="s">
        <v>0</v>
      </c>
      <c r="C46" s="172" t="s">
        <v>15</v>
      </c>
      <c r="D46" s="172" t="s">
        <v>16</v>
      </c>
      <c r="E46" s="172" t="s">
        <v>21</v>
      </c>
      <c r="F46" s="172" t="s">
        <v>30</v>
      </c>
      <c r="G46" s="172" t="s">
        <v>32</v>
      </c>
      <c r="H46" s="172" t="s">
        <v>31</v>
      </c>
      <c r="I46" s="172" t="s">
        <v>191</v>
      </c>
    </row>
    <row r="47" spans="2:10" x14ac:dyDescent="0.25">
      <c r="B47" s="172">
        <v>160400900</v>
      </c>
      <c r="C47" s="173">
        <v>45352</v>
      </c>
      <c r="D47" s="172">
        <v>17313</v>
      </c>
      <c r="E47" s="174">
        <v>8886.7792659221377</v>
      </c>
      <c r="F47" s="174">
        <v>4178.8121528927004</v>
      </c>
      <c r="G47" s="172">
        <v>8731</v>
      </c>
      <c r="H47" s="176">
        <v>1309.6500000000005</v>
      </c>
      <c r="I47" s="172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3032-C133-4545-B27B-E674A881A452}">
  <dimension ref="A1:U23"/>
  <sheetViews>
    <sheetView workbookViewId="0">
      <selection activeCell="D28" sqref="D28"/>
    </sheetView>
  </sheetViews>
  <sheetFormatPr defaultRowHeight="15" x14ac:dyDescent="0.25"/>
  <cols>
    <col min="1" max="1" width="10.42578125" style="195" bestFit="1" customWidth="1"/>
    <col min="2" max="3" width="10.7109375" style="195" bestFit="1" customWidth="1"/>
    <col min="4" max="4" width="13.140625" style="195" bestFit="1" customWidth="1"/>
    <col min="5" max="5" width="9.85546875" style="195" bestFit="1" customWidth="1"/>
    <col min="6" max="6" width="7.7109375" style="195" bestFit="1" customWidth="1"/>
    <col min="7" max="8" width="10.7109375" style="195" bestFit="1" customWidth="1"/>
    <col min="9" max="9" width="13.140625" style="195" bestFit="1" customWidth="1"/>
    <col min="10" max="10" width="9.85546875" style="195" bestFit="1" customWidth="1"/>
    <col min="11" max="11" width="7.7109375" style="195" bestFit="1" customWidth="1"/>
    <col min="12" max="13" width="10.7109375" style="195" bestFit="1" customWidth="1"/>
    <col min="14" max="14" width="13.140625" style="195" bestFit="1" customWidth="1"/>
    <col min="15" max="15" width="9.85546875" style="195" bestFit="1" customWidth="1"/>
    <col min="16" max="16" width="7.7109375" style="195" bestFit="1" customWidth="1"/>
    <col min="17" max="18" width="10.7109375" style="195" bestFit="1" customWidth="1"/>
    <col min="19" max="19" width="13.140625" style="195" bestFit="1" customWidth="1"/>
    <col min="20" max="20" width="9.85546875" style="195" bestFit="1" customWidth="1"/>
    <col min="21" max="21" width="7.7109375" style="195" bestFit="1" customWidth="1"/>
    <col min="22" max="16384" width="9.140625" style="195"/>
  </cols>
  <sheetData>
    <row r="1" spans="1:21" ht="15.75" thickBot="1" x14ac:dyDescent="0.3"/>
    <row r="2" spans="1:21" ht="15.75" thickBot="1" x14ac:dyDescent="0.3">
      <c r="A2" s="196" t="s">
        <v>171</v>
      </c>
      <c r="B2" s="197"/>
      <c r="C2" s="197"/>
      <c r="D2" s="197"/>
      <c r="E2" s="197"/>
      <c r="F2" s="198"/>
      <c r="G2" s="196" t="s">
        <v>172</v>
      </c>
      <c r="H2" s="197"/>
      <c r="I2" s="197"/>
      <c r="J2" s="197"/>
      <c r="K2" s="198"/>
      <c r="L2" s="196" t="s">
        <v>173</v>
      </c>
      <c r="M2" s="197"/>
      <c r="N2" s="197"/>
      <c r="O2" s="197"/>
      <c r="P2" s="198"/>
      <c r="Q2" s="196" t="s">
        <v>174</v>
      </c>
      <c r="R2" s="197"/>
      <c r="S2" s="197"/>
      <c r="T2" s="197"/>
      <c r="U2" s="198"/>
    </row>
    <row r="3" spans="1:21" x14ac:dyDescent="0.25">
      <c r="A3" s="199" t="s">
        <v>184</v>
      </c>
      <c r="B3" s="200" t="s">
        <v>169</v>
      </c>
      <c r="C3" s="200" t="s">
        <v>170</v>
      </c>
      <c r="D3" s="200" t="s">
        <v>175</v>
      </c>
      <c r="E3" s="200" t="s">
        <v>176</v>
      </c>
      <c r="F3" s="201"/>
      <c r="G3" s="199" t="s">
        <v>169</v>
      </c>
      <c r="H3" s="200" t="s">
        <v>170</v>
      </c>
      <c r="I3" s="200" t="s">
        <v>175</v>
      </c>
      <c r="J3" s="200" t="s">
        <v>176</v>
      </c>
      <c r="K3" s="201"/>
      <c r="L3" s="199" t="s">
        <v>169</v>
      </c>
      <c r="M3" s="200" t="s">
        <v>170</v>
      </c>
      <c r="N3" s="200" t="s">
        <v>175</v>
      </c>
      <c r="O3" s="200" t="s">
        <v>176</v>
      </c>
      <c r="P3" s="201"/>
      <c r="Q3" s="199" t="s">
        <v>169</v>
      </c>
      <c r="R3" s="200" t="s">
        <v>170</v>
      </c>
      <c r="S3" s="200" t="s">
        <v>175</v>
      </c>
      <c r="T3" s="200" t="s">
        <v>176</v>
      </c>
      <c r="U3" s="201"/>
    </row>
    <row r="4" spans="1:21" x14ac:dyDescent="0.25">
      <c r="A4" s="202" t="s">
        <v>177</v>
      </c>
      <c r="B4" s="204">
        <v>45278</v>
      </c>
      <c r="C4" s="204">
        <v>45307</v>
      </c>
      <c r="D4" s="205">
        <v>11621.4</v>
      </c>
      <c r="E4" s="205">
        <v>11840</v>
      </c>
      <c r="F4" s="206">
        <f t="shared" ref="F4:F14" si="0">(1-(E4/D4))</f>
        <v>-1.881012614659161E-2</v>
      </c>
      <c r="G4" s="217"/>
      <c r="H4" s="205"/>
      <c r="I4" s="205"/>
      <c r="J4" s="205"/>
      <c r="K4" s="206" t="e">
        <f t="shared" ref="K4:K14" si="1">(1-(J4/I4))</f>
        <v>#DIV/0!</v>
      </c>
      <c r="L4" s="207">
        <v>45275</v>
      </c>
      <c r="M4" s="204">
        <v>45306</v>
      </c>
      <c r="N4" s="205"/>
      <c r="O4" s="205">
        <v>12681</v>
      </c>
      <c r="P4" s="206" t="e">
        <f t="shared" ref="P4:P14" si="2">(1-(O4/N4))</f>
        <v>#DIV/0!</v>
      </c>
      <c r="Q4" s="207">
        <v>45275</v>
      </c>
      <c r="R4" s="204">
        <v>45306</v>
      </c>
      <c r="S4" s="205"/>
      <c r="T4" s="205">
        <v>12270</v>
      </c>
      <c r="U4" s="206" t="e">
        <f t="shared" ref="U4:U14" si="3">(1-(T4/S4))</f>
        <v>#DIV/0!</v>
      </c>
    </row>
    <row r="5" spans="1:21" x14ac:dyDescent="0.25">
      <c r="A5" s="202" t="s">
        <v>178</v>
      </c>
      <c r="B5" s="204">
        <v>45307</v>
      </c>
      <c r="C5" s="204">
        <v>45338</v>
      </c>
      <c r="D5" s="205">
        <v>11566.6</v>
      </c>
      <c r="E5" s="205">
        <v>14497</v>
      </c>
      <c r="F5" s="206">
        <f t="shared" si="0"/>
        <v>-0.25335016340151806</v>
      </c>
      <c r="G5" s="217"/>
      <c r="H5" s="205"/>
      <c r="I5" s="205"/>
      <c r="J5" s="205"/>
      <c r="K5" s="206" t="e">
        <f t="shared" si="1"/>
        <v>#DIV/0!</v>
      </c>
      <c r="L5" s="207">
        <v>45306</v>
      </c>
      <c r="M5" s="204">
        <v>45337</v>
      </c>
      <c r="N5" s="205"/>
      <c r="O5" s="205">
        <v>14006</v>
      </c>
      <c r="P5" s="206" t="e">
        <f t="shared" si="2"/>
        <v>#DIV/0!</v>
      </c>
      <c r="Q5" s="207">
        <v>45306</v>
      </c>
      <c r="R5" s="204">
        <v>45337</v>
      </c>
      <c r="S5" s="205"/>
      <c r="T5" s="205">
        <v>13837</v>
      </c>
      <c r="U5" s="206" t="e">
        <f t="shared" si="3"/>
        <v>#DIV/0!</v>
      </c>
    </row>
    <row r="6" spans="1:21" x14ac:dyDescent="0.25">
      <c r="A6" s="202" t="s">
        <v>179</v>
      </c>
      <c r="B6" s="204">
        <v>45338</v>
      </c>
      <c r="C6" s="204">
        <v>45366</v>
      </c>
      <c r="D6" s="205">
        <v>1622.2</v>
      </c>
      <c r="E6" s="205">
        <v>12225</v>
      </c>
      <c r="F6" s="206">
        <f t="shared" si="0"/>
        <v>-6.5360621378375043</v>
      </c>
      <c r="G6" s="217"/>
      <c r="H6" s="205"/>
      <c r="I6" s="205"/>
      <c r="J6" s="205"/>
      <c r="K6" s="206" t="e">
        <f t="shared" si="1"/>
        <v>#DIV/0!</v>
      </c>
      <c r="L6" s="207">
        <v>45337</v>
      </c>
      <c r="M6" s="204">
        <v>45365</v>
      </c>
      <c r="N6" s="205"/>
      <c r="O6" s="205">
        <v>11955</v>
      </c>
      <c r="P6" s="206" t="e">
        <f t="shared" si="2"/>
        <v>#DIV/0!</v>
      </c>
      <c r="Q6" s="207">
        <v>45337</v>
      </c>
      <c r="R6" s="204">
        <v>45365</v>
      </c>
      <c r="S6" s="205"/>
      <c r="T6" s="205">
        <v>12279</v>
      </c>
      <c r="U6" s="206" t="e">
        <f t="shared" si="3"/>
        <v>#DIV/0!</v>
      </c>
    </row>
    <row r="7" spans="1:21" x14ac:dyDescent="0.25">
      <c r="A7" s="202" t="s">
        <v>180</v>
      </c>
      <c r="B7" s="204">
        <v>45366</v>
      </c>
      <c r="C7" s="204">
        <v>45398</v>
      </c>
      <c r="D7" s="205">
        <v>10033.1</v>
      </c>
      <c r="E7" s="205">
        <v>12231</v>
      </c>
      <c r="F7" s="206">
        <f t="shared" si="0"/>
        <v>-0.21906489519689831</v>
      </c>
      <c r="G7" s="217"/>
      <c r="H7" s="205"/>
      <c r="I7" s="205"/>
      <c r="J7" s="205"/>
      <c r="K7" s="206" t="e">
        <f t="shared" si="1"/>
        <v>#DIV/0!</v>
      </c>
      <c r="L7" s="207">
        <v>45365</v>
      </c>
      <c r="M7" s="204">
        <v>45397</v>
      </c>
      <c r="N7" s="205"/>
      <c r="O7" s="205">
        <v>14447</v>
      </c>
      <c r="P7" s="206" t="e">
        <f t="shared" si="2"/>
        <v>#DIV/0!</v>
      </c>
      <c r="Q7" s="207">
        <v>45365</v>
      </c>
      <c r="R7" s="204">
        <v>45397</v>
      </c>
      <c r="S7" s="205"/>
      <c r="T7" s="205">
        <v>14686</v>
      </c>
      <c r="U7" s="206" t="e">
        <f t="shared" si="3"/>
        <v>#DIV/0!</v>
      </c>
    </row>
    <row r="8" spans="1:21" x14ac:dyDescent="0.25">
      <c r="A8" s="202" t="s">
        <v>181</v>
      </c>
      <c r="B8" s="204">
        <v>45398</v>
      </c>
      <c r="C8" s="204">
        <v>45428</v>
      </c>
      <c r="D8" s="205">
        <v>13900</v>
      </c>
      <c r="E8" s="205">
        <v>8767</v>
      </c>
      <c r="F8" s="206">
        <f t="shared" si="0"/>
        <v>0.36928057553956839</v>
      </c>
      <c r="G8" s="217"/>
      <c r="H8" s="205"/>
      <c r="I8" s="205"/>
      <c r="J8" s="205"/>
      <c r="K8" s="206" t="e">
        <f t="shared" si="1"/>
        <v>#DIV/0!</v>
      </c>
      <c r="L8" s="207">
        <v>45397</v>
      </c>
      <c r="M8" s="204">
        <v>45427</v>
      </c>
      <c r="N8" s="205"/>
      <c r="O8" s="205">
        <v>11414</v>
      </c>
      <c r="P8" s="206" t="e">
        <f t="shared" si="2"/>
        <v>#DIV/0!</v>
      </c>
      <c r="Q8" s="207">
        <v>45397</v>
      </c>
      <c r="R8" s="204">
        <v>45427</v>
      </c>
      <c r="S8" s="205"/>
      <c r="T8" s="205">
        <v>11935</v>
      </c>
      <c r="U8" s="206" t="e">
        <f t="shared" si="3"/>
        <v>#DIV/0!</v>
      </c>
    </row>
    <row r="9" spans="1:21" x14ac:dyDescent="0.25">
      <c r="A9" s="202" t="s">
        <v>182</v>
      </c>
      <c r="B9" s="204">
        <v>45428</v>
      </c>
      <c r="C9" s="204">
        <v>45460</v>
      </c>
      <c r="D9" s="205">
        <v>14471.1</v>
      </c>
      <c r="E9" s="205">
        <v>9318</v>
      </c>
      <c r="F9" s="206">
        <f t="shared" si="0"/>
        <v>0.35609594294835911</v>
      </c>
      <c r="G9" s="207">
        <v>45426</v>
      </c>
      <c r="H9" s="204">
        <v>45460</v>
      </c>
      <c r="I9" s="205">
        <v>14346.3</v>
      </c>
      <c r="J9" s="205">
        <v>14082</v>
      </c>
      <c r="K9" s="206">
        <f t="shared" si="1"/>
        <v>1.8422868614207055E-2</v>
      </c>
      <c r="L9" s="207">
        <v>45427</v>
      </c>
      <c r="M9" s="204">
        <v>45457</v>
      </c>
      <c r="N9" s="205"/>
      <c r="O9" s="205">
        <v>11211</v>
      </c>
      <c r="P9" s="206" t="e">
        <f t="shared" si="2"/>
        <v>#DIV/0!</v>
      </c>
      <c r="Q9" s="207">
        <v>45427</v>
      </c>
      <c r="R9" s="204">
        <v>45457</v>
      </c>
      <c r="S9" s="205"/>
      <c r="T9" s="205">
        <v>12147</v>
      </c>
      <c r="U9" s="206" t="e">
        <f t="shared" si="3"/>
        <v>#DIV/0!</v>
      </c>
    </row>
    <row r="10" spans="1:21" x14ac:dyDescent="0.25">
      <c r="A10" s="202" t="s">
        <v>183</v>
      </c>
      <c r="B10" s="204">
        <v>45460</v>
      </c>
      <c r="C10" s="204">
        <v>45489</v>
      </c>
      <c r="D10" s="205">
        <v>12276.5</v>
      </c>
      <c r="E10" s="205">
        <v>7628</v>
      </c>
      <c r="F10" s="206">
        <f t="shared" si="0"/>
        <v>0.37865026676984481</v>
      </c>
      <c r="G10" s="207">
        <v>45460</v>
      </c>
      <c r="H10" s="204">
        <v>45489</v>
      </c>
      <c r="I10" s="205">
        <v>11657.5</v>
      </c>
      <c r="J10" s="205">
        <v>10726</v>
      </c>
      <c r="K10" s="206">
        <f t="shared" si="1"/>
        <v>7.9905640145828905E-2</v>
      </c>
      <c r="L10" s="207">
        <v>45457</v>
      </c>
      <c r="M10" s="204">
        <v>45488</v>
      </c>
      <c r="N10" s="205"/>
      <c r="O10" s="205">
        <v>10033</v>
      </c>
      <c r="P10" s="206" t="e">
        <f t="shared" si="2"/>
        <v>#DIV/0!</v>
      </c>
      <c r="Q10" s="207">
        <v>45457</v>
      </c>
      <c r="R10" s="204">
        <v>45488</v>
      </c>
      <c r="S10" s="205"/>
      <c r="T10" s="205">
        <v>8203</v>
      </c>
      <c r="U10" s="206" t="e">
        <f t="shared" si="3"/>
        <v>#DIV/0!</v>
      </c>
    </row>
    <row r="11" spans="1:21" x14ac:dyDescent="0.25">
      <c r="A11" s="202" t="s">
        <v>168</v>
      </c>
      <c r="B11" s="204">
        <v>45489</v>
      </c>
      <c r="C11" s="204">
        <v>45520</v>
      </c>
      <c r="D11" s="205">
        <v>14320</v>
      </c>
      <c r="E11" s="205">
        <v>9053</v>
      </c>
      <c r="F11" s="206">
        <f t="shared" si="0"/>
        <v>0.36780726256983243</v>
      </c>
      <c r="G11" s="207">
        <v>45489</v>
      </c>
      <c r="H11" s="204">
        <v>45520</v>
      </c>
      <c r="I11" s="205">
        <v>13605.5</v>
      </c>
      <c r="J11" s="205">
        <v>12880</v>
      </c>
      <c r="K11" s="206">
        <f t="shared" si="1"/>
        <v>5.3324023372900653E-2</v>
      </c>
      <c r="L11" s="207">
        <v>45488</v>
      </c>
      <c r="M11" s="204">
        <v>45519</v>
      </c>
      <c r="N11" s="205"/>
      <c r="O11" s="205">
        <v>12133</v>
      </c>
      <c r="P11" s="206" t="e">
        <f t="shared" si="2"/>
        <v>#DIV/0!</v>
      </c>
      <c r="Q11" s="207">
        <v>45488</v>
      </c>
      <c r="R11" s="204">
        <v>45519</v>
      </c>
      <c r="S11" s="205"/>
      <c r="T11" s="205">
        <v>8450</v>
      </c>
      <c r="U11" s="206" t="e">
        <f t="shared" si="3"/>
        <v>#DIV/0!</v>
      </c>
    </row>
    <row r="12" spans="1:21" x14ac:dyDescent="0.25">
      <c r="A12" s="202" t="s">
        <v>165</v>
      </c>
      <c r="B12" s="204">
        <v>45520</v>
      </c>
      <c r="C12" s="204">
        <v>45545</v>
      </c>
      <c r="D12" s="205">
        <v>12278.1</v>
      </c>
      <c r="E12" s="205">
        <v>9323</v>
      </c>
      <c r="F12" s="206">
        <f t="shared" si="0"/>
        <v>0.24068056132463489</v>
      </c>
      <c r="G12" s="207">
        <v>45520</v>
      </c>
      <c r="H12" s="204">
        <v>45545</v>
      </c>
      <c r="I12" s="205">
        <v>12139.7</v>
      </c>
      <c r="J12" s="205">
        <v>10469</v>
      </c>
      <c r="K12" s="206">
        <f t="shared" si="1"/>
        <v>0.13762284076212761</v>
      </c>
      <c r="L12" s="207">
        <v>45521</v>
      </c>
      <c r="M12" s="204">
        <v>45548</v>
      </c>
      <c r="N12" s="205"/>
      <c r="O12" s="205">
        <v>12940</v>
      </c>
      <c r="P12" s="206" t="e">
        <f t="shared" si="2"/>
        <v>#DIV/0!</v>
      </c>
      <c r="Q12" s="207">
        <v>45519</v>
      </c>
      <c r="R12" s="204">
        <v>45545</v>
      </c>
      <c r="S12" s="205"/>
      <c r="T12" s="205">
        <v>10129</v>
      </c>
      <c r="U12" s="206" t="e">
        <f t="shared" si="3"/>
        <v>#DIV/0!</v>
      </c>
    </row>
    <row r="13" spans="1:21" x14ac:dyDescent="0.25">
      <c r="A13" s="202" t="s">
        <v>166</v>
      </c>
      <c r="B13" s="204">
        <v>45546</v>
      </c>
      <c r="C13" s="204">
        <v>45581</v>
      </c>
      <c r="D13" s="205">
        <v>14500.5</v>
      </c>
      <c r="E13" s="205">
        <v>11146</v>
      </c>
      <c r="F13" s="206">
        <f t="shared" si="0"/>
        <v>0.23133685045343266</v>
      </c>
      <c r="G13" s="207">
        <v>45546</v>
      </c>
      <c r="H13" s="204">
        <v>45581</v>
      </c>
      <c r="I13" s="205">
        <v>14551.3</v>
      </c>
      <c r="J13" s="205">
        <v>15354</v>
      </c>
      <c r="K13" s="206">
        <f t="shared" si="1"/>
        <v>-5.5163456186045234E-2</v>
      </c>
      <c r="L13" s="207">
        <v>45548</v>
      </c>
      <c r="M13" s="204">
        <v>45581</v>
      </c>
      <c r="N13" s="205"/>
      <c r="O13" s="205">
        <v>12767</v>
      </c>
      <c r="P13" s="206" t="e">
        <f t="shared" si="2"/>
        <v>#DIV/0!</v>
      </c>
      <c r="Q13" s="207">
        <v>45546</v>
      </c>
      <c r="R13" s="204">
        <v>45580</v>
      </c>
      <c r="S13" s="205"/>
      <c r="T13" s="205">
        <v>13231</v>
      </c>
      <c r="U13" s="206" t="e">
        <f t="shared" si="3"/>
        <v>#DIV/0!</v>
      </c>
    </row>
    <row r="14" spans="1:21" ht="15.75" thickBot="1" x14ac:dyDescent="0.3">
      <c r="A14" s="208" t="s">
        <v>167</v>
      </c>
      <c r="B14" s="209">
        <v>45581</v>
      </c>
      <c r="C14" s="209">
        <v>45614</v>
      </c>
      <c r="D14" s="210">
        <v>12460.3</v>
      </c>
      <c r="E14" s="210">
        <v>11877</v>
      </c>
      <c r="F14" s="206">
        <f t="shared" si="0"/>
        <v>4.6812677062349928E-2</v>
      </c>
      <c r="G14" s="212">
        <v>45581</v>
      </c>
      <c r="H14" s="209">
        <v>45614</v>
      </c>
      <c r="I14" s="210">
        <v>13165</v>
      </c>
      <c r="J14" s="210">
        <v>12650</v>
      </c>
      <c r="K14" s="206">
        <f t="shared" si="1"/>
        <v>3.9118875807064191E-2</v>
      </c>
      <c r="L14" s="212">
        <v>45581</v>
      </c>
      <c r="M14" s="209">
        <v>45614</v>
      </c>
      <c r="N14" s="210"/>
      <c r="O14" s="210">
        <v>12283</v>
      </c>
      <c r="P14" s="206" t="e">
        <f t="shared" si="2"/>
        <v>#DIV/0!</v>
      </c>
      <c r="Q14" s="212">
        <v>45580</v>
      </c>
      <c r="R14" s="209">
        <v>45610</v>
      </c>
      <c r="S14" s="210"/>
      <c r="T14" s="210">
        <v>11740</v>
      </c>
      <c r="U14" s="211" t="e">
        <f t="shared" si="3"/>
        <v>#DIV/0!</v>
      </c>
    </row>
    <row r="19" spans="2:6" x14ac:dyDescent="0.25">
      <c r="B19" s="203"/>
      <c r="C19" s="214" t="s">
        <v>185</v>
      </c>
      <c r="D19" s="214"/>
      <c r="E19" s="215" t="s">
        <v>186</v>
      </c>
      <c r="F19" s="216"/>
    </row>
    <row r="20" spans="2:6" x14ac:dyDescent="0.25">
      <c r="B20" s="203" t="s">
        <v>171</v>
      </c>
      <c r="C20" s="213">
        <v>160993441</v>
      </c>
      <c r="D20" s="213"/>
      <c r="E20" s="218" t="s">
        <v>187</v>
      </c>
      <c r="F20" s="218"/>
    </row>
    <row r="21" spans="2:6" x14ac:dyDescent="0.25">
      <c r="B21" s="203" t="s">
        <v>172</v>
      </c>
      <c r="C21" s="213">
        <v>161084053</v>
      </c>
      <c r="D21" s="213"/>
      <c r="E21" s="218" t="s">
        <v>188</v>
      </c>
      <c r="F21" s="218"/>
    </row>
    <row r="22" spans="2:6" x14ac:dyDescent="0.25">
      <c r="B22" s="203" t="s">
        <v>173</v>
      </c>
      <c r="C22" s="213">
        <v>161041889</v>
      </c>
      <c r="D22" s="213"/>
      <c r="E22" s="218" t="s">
        <v>189</v>
      </c>
      <c r="F22" s="218"/>
    </row>
    <row r="23" spans="2:6" x14ac:dyDescent="0.25">
      <c r="B23" s="203" t="s">
        <v>174</v>
      </c>
      <c r="C23" s="213">
        <v>161041895</v>
      </c>
      <c r="D23" s="213"/>
      <c r="E23" s="218" t="s">
        <v>187</v>
      </c>
      <c r="F23" s="218"/>
    </row>
  </sheetData>
  <mergeCells count="14">
    <mergeCell ref="C22:D22"/>
    <mergeCell ref="C23:D23"/>
    <mergeCell ref="C19:D19"/>
    <mergeCell ref="E20:F20"/>
    <mergeCell ref="E21:F21"/>
    <mergeCell ref="E22:F22"/>
    <mergeCell ref="E23:F23"/>
    <mergeCell ref="E19:F19"/>
    <mergeCell ref="A2:F2"/>
    <mergeCell ref="G2:K2"/>
    <mergeCell ref="L2:P2"/>
    <mergeCell ref="Q2:U2"/>
    <mergeCell ref="C20:D20"/>
    <mergeCell ref="C21:D2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0292A-B5A3-4EAE-8B25-AE1A04CAC642}">
  <dimension ref="A1:G26"/>
  <sheetViews>
    <sheetView workbookViewId="0">
      <selection activeCell="D21" sqref="D21"/>
    </sheetView>
  </sheetViews>
  <sheetFormatPr defaultColWidth="63.85546875" defaultRowHeight="15" x14ac:dyDescent="0.25"/>
  <cols>
    <col min="1" max="1" width="11.28515625" bestFit="1" customWidth="1"/>
    <col min="2" max="2" width="2.140625" bestFit="1" customWidth="1"/>
    <col min="3" max="3" width="43.28515625" bestFit="1" customWidth="1"/>
    <col min="4" max="4" width="55.140625" bestFit="1" customWidth="1"/>
  </cols>
  <sheetData>
    <row r="1" spans="1:7" x14ac:dyDescent="0.25">
      <c r="A1" t="s">
        <v>163</v>
      </c>
      <c r="B1" t="s">
        <v>1</v>
      </c>
      <c r="C1" t="s">
        <v>4</v>
      </c>
      <c r="D1" t="s">
        <v>2</v>
      </c>
      <c r="E1" t="s">
        <v>5</v>
      </c>
      <c r="F1" t="s">
        <v>24</v>
      </c>
      <c r="G1" t="s">
        <v>164</v>
      </c>
    </row>
    <row r="2" spans="1:7" x14ac:dyDescent="0.25">
      <c r="A2" s="182">
        <v>45841</v>
      </c>
      <c r="B2" s="182">
        <v>0</v>
      </c>
      <c r="C2" s="182" t="s">
        <v>3</v>
      </c>
      <c r="D2" s="182" t="s">
        <v>129</v>
      </c>
      <c r="E2" s="183"/>
      <c r="F2" s="183"/>
      <c r="G2" s="183"/>
    </row>
    <row r="3" spans="1:7" x14ac:dyDescent="0.25">
      <c r="A3" s="182">
        <v>1793752</v>
      </c>
      <c r="B3" s="182">
        <v>0</v>
      </c>
      <c r="C3" s="182" t="s">
        <v>3</v>
      </c>
      <c r="D3" s="182" t="s">
        <v>130</v>
      </c>
      <c r="E3" s="183"/>
      <c r="F3" s="183"/>
      <c r="G3" s="183"/>
    </row>
    <row r="4" spans="1:7" x14ac:dyDescent="0.25">
      <c r="A4" s="182">
        <v>160508005</v>
      </c>
      <c r="B4" s="182">
        <v>0</v>
      </c>
      <c r="C4" s="182" t="s">
        <v>3</v>
      </c>
      <c r="D4" s="182" t="s">
        <v>131</v>
      </c>
      <c r="E4" s="183"/>
      <c r="F4" s="183"/>
      <c r="G4" s="183"/>
    </row>
    <row r="5" spans="1:7" x14ac:dyDescent="0.25">
      <c r="A5" s="182">
        <v>160400900</v>
      </c>
      <c r="B5" s="182">
        <v>0</v>
      </c>
      <c r="C5" s="182" t="s">
        <v>23</v>
      </c>
      <c r="D5" s="182" t="s">
        <v>132</v>
      </c>
      <c r="E5" s="183"/>
      <c r="F5" s="183"/>
      <c r="G5" s="183"/>
    </row>
    <row r="6" spans="1:7" x14ac:dyDescent="0.25">
      <c r="A6" s="182">
        <v>161115578</v>
      </c>
      <c r="B6" s="182">
        <v>0</v>
      </c>
      <c r="C6" s="182" t="s">
        <v>109</v>
      </c>
      <c r="D6" s="182" t="s">
        <v>133</v>
      </c>
      <c r="E6" s="183"/>
      <c r="F6" s="183"/>
      <c r="G6" s="183"/>
    </row>
    <row r="7" spans="1:7" x14ac:dyDescent="0.25">
      <c r="A7" s="182">
        <v>318923</v>
      </c>
      <c r="B7" s="182">
        <v>0</v>
      </c>
      <c r="C7" s="182" t="s">
        <v>110</v>
      </c>
      <c r="D7" s="182" t="s">
        <v>134</v>
      </c>
      <c r="E7" s="183"/>
      <c r="F7" s="183"/>
      <c r="G7" s="183"/>
    </row>
    <row r="8" spans="1:7" x14ac:dyDescent="0.25">
      <c r="A8" s="182">
        <v>160703715</v>
      </c>
      <c r="B8" s="182">
        <v>0</v>
      </c>
      <c r="C8" s="182" t="s">
        <v>111</v>
      </c>
      <c r="D8" s="182" t="s">
        <v>135</v>
      </c>
      <c r="E8" s="183"/>
      <c r="F8" s="183"/>
      <c r="G8" s="183"/>
    </row>
    <row r="9" spans="1:7" x14ac:dyDescent="0.25">
      <c r="A9" s="182">
        <v>1577188</v>
      </c>
      <c r="B9" s="182">
        <v>0</v>
      </c>
      <c r="C9" s="182" t="s">
        <v>111</v>
      </c>
      <c r="D9" s="182" t="s">
        <v>136</v>
      </c>
      <c r="E9" s="183"/>
      <c r="F9" s="183"/>
      <c r="G9" s="183"/>
    </row>
    <row r="10" spans="1:7" x14ac:dyDescent="0.25">
      <c r="A10" s="182">
        <v>161086526</v>
      </c>
      <c r="B10" s="182">
        <v>0</v>
      </c>
      <c r="C10" s="182" t="s">
        <v>112</v>
      </c>
      <c r="D10" s="182" t="s">
        <v>137</v>
      </c>
      <c r="E10" s="183"/>
      <c r="F10" s="183"/>
      <c r="G10" s="183"/>
    </row>
    <row r="11" spans="1:7" x14ac:dyDescent="0.25">
      <c r="A11" s="182">
        <v>161086525</v>
      </c>
      <c r="B11" s="182">
        <v>0</v>
      </c>
      <c r="C11" s="182" t="s">
        <v>113</v>
      </c>
      <c r="D11" s="182" t="s">
        <v>138</v>
      </c>
      <c r="E11" s="183"/>
      <c r="F11" s="183"/>
      <c r="G11" s="183"/>
    </row>
    <row r="12" spans="1:7" x14ac:dyDescent="0.25">
      <c r="A12" s="182">
        <v>160523291</v>
      </c>
      <c r="B12" s="182">
        <v>0</v>
      </c>
      <c r="C12" s="182" t="s">
        <v>114</v>
      </c>
      <c r="D12" s="182" t="s">
        <v>139</v>
      </c>
      <c r="E12" s="183"/>
      <c r="F12" s="183"/>
      <c r="G12" s="183"/>
    </row>
    <row r="13" spans="1:7" x14ac:dyDescent="0.25">
      <c r="A13" s="182">
        <v>1989890</v>
      </c>
      <c r="B13" s="182">
        <v>0</v>
      </c>
      <c r="C13" s="182" t="s">
        <v>114</v>
      </c>
      <c r="D13" s="182" t="s">
        <v>140</v>
      </c>
      <c r="E13" s="183"/>
      <c r="F13" s="183"/>
      <c r="G13" s="183"/>
    </row>
    <row r="14" spans="1:7" x14ac:dyDescent="0.25">
      <c r="A14" s="182">
        <v>1897967</v>
      </c>
      <c r="B14" s="182">
        <v>0</v>
      </c>
      <c r="C14" s="182" t="s">
        <v>114</v>
      </c>
      <c r="D14" s="182" t="s">
        <v>141</v>
      </c>
      <c r="E14" s="183"/>
      <c r="F14" s="183"/>
      <c r="G14" s="183"/>
    </row>
    <row r="15" spans="1:7" x14ac:dyDescent="0.25">
      <c r="A15" s="182">
        <v>503047</v>
      </c>
      <c r="B15" s="182">
        <v>0</v>
      </c>
      <c r="C15" s="182" t="s">
        <v>118</v>
      </c>
      <c r="D15" s="182" t="s">
        <v>142</v>
      </c>
      <c r="E15" s="183"/>
      <c r="F15" s="183"/>
      <c r="G15" s="183"/>
    </row>
    <row r="16" spans="1:7" x14ac:dyDescent="0.25">
      <c r="A16" s="182">
        <v>226705</v>
      </c>
      <c r="B16" s="182">
        <v>0</v>
      </c>
      <c r="C16" s="182" t="s">
        <v>115</v>
      </c>
      <c r="D16" s="182" t="s">
        <v>143</v>
      </c>
      <c r="E16" s="183"/>
      <c r="F16" s="183"/>
      <c r="G16" s="183"/>
    </row>
    <row r="17" spans="1:7" x14ac:dyDescent="0.25">
      <c r="A17" s="182">
        <v>160800912</v>
      </c>
      <c r="B17" s="182">
        <v>0</v>
      </c>
      <c r="C17" s="182" t="s">
        <v>116</v>
      </c>
      <c r="D17" s="182" t="s">
        <v>144</v>
      </c>
      <c r="E17" s="183"/>
      <c r="F17" s="183"/>
      <c r="G17" s="183"/>
    </row>
    <row r="18" spans="1:7" x14ac:dyDescent="0.25">
      <c r="A18" s="182">
        <v>1043813</v>
      </c>
      <c r="B18" s="182">
        <v>0</v>
      </c>
      <c r="C18" s="182" t="s">
        <v>117</v>
      </c>
      <c r="D18" s="182" t="s">
        <v>145</v>
      </c>
      <c r="E18" s="183"/>
      <c r="F18" s="183"/>
      <c r="G18" s="183"/>
    </row>
    <row r="19" spans="1:7" x14ac:dyDescent="0.25">
      <c r="A19" s="182">
        <v>160993441</v>
      </c>
      <c r="B19" s="182">
        <v>1</v>
      </c>
      <c r="C19" s="182" t="s">
        <v>6</v>
      </c>
      <c r="D19" s="182" t="s">
        <v>7</v>
      </c>
      <c r="E19" s="183"/>
      <c r="F19" s="183"/>
      <c r="G19" s="183"/>
    </row>
    <row r="20" spans="1:7" x14ac:dyDescent="0.25">
      <c r="A20" s="182">
        <v>161084053</v>
      </c>
      <c r="B20" s="182">
        <v>1</v>
      </c>
      <c r="C20" s="182" t="s">
        <v>6</v>
      </c>
      <c r="D20" s="182" t="s">
        <v>119</v>
      </c>
      <c r="E20" s="183"/>
      <c r="F20" s="183"/>
      <c r="G20" s="183"/>
    </row>
    <row r="21" spans="1:7" x14ac:dyDescent="0.25">
      <c r="A21" s="182">
        <v>161041889</v>
      </c>
      <c r="B21" s="182">
        <v>1</v>
      </c>
      <c r="C21" s="182" t="s">
        <v>6</v>
      </c>
      <c r="D21" s="182" t="s">
        <v>120</v>
      </c>
      <c r="E21" s="183"/>
      <c r="F21" s="183"/>
      <c r="G21" s="183"/>
    </row>
    <row r="22" spans="1:7" x14ac:dyDescent="0.25">
      <c r="A22" s="182">
        <v>161041895</v>
      </c>
      <c r="B22" s="182">
        <v>1</v>
      </c>
      <c r="C22" s="182" t="s">
        <v>6</v>
      </c>
      <c r="D22" s="182" t="s">
        <v>121</v>
      </c>
      <c r="E22" s="183"/>
      <c r="F22" s="183"/>
      <c r="G22" s="183"/>
    </row>
    <row r="23" spans="1:7" x14ac:dyDescent="0.25">
      <c r="A23" s="182">
        <v>161099718</v>
      </c>
      <c r="B23" s="182">
        <v>1</v>
      </c>
      <c r="C23" s="182" t="s">
        <v>122</v>
      </c>
      <c r="D23" s="182" t="s">
        <v>128</v>
      </c>
      <c r="E23" s="183"/>
      <c r="F23" s="183"/>
      <c r="G23" s="183"/>
    </row>
    <row r="24" spans="1:7" x14ac:dyDescent="0.25">
      <c r="A24" s="182">
        <v>161147185</v>
      </c>
      <c r="B24" s="182">
        <v>1</v>
      </c>
      <c r="C24" s="182" t="s">
        <v>124</v>
      </c>
      <c r="D24" s="182" t="s">
        <v>127</v>
      </c>
      <c r="E24" s="183"/>
      <c r="F24" s="183"/>
      <c r="G24" s="183"/>
    </row>
    <row r="25" spans="1:7" x14ac:dyDescent="0.25">
      <c r="A25" s="182">
        <v>161127416</v>
      </c>
      <c r="B25" s="182">
        <v>1</v>
      </c>
      <c r="C25" s="182" t="s">
        <v>8</v>
      </c>
      <c r="D25" s="182" t="s">
        <v>125</v>
      </c>
      <c r="E25" s="183"/>
      <c r="F25" s="183"/>
      <c r="G25" s="183"/>
    </row>
    <row r="26" spans="1:7" x14ac:dyDescent="0.25">
      <c r="A26" s="182">
        <v>161171784</v>
      </c>
      <c r="B26" s="182">
        <v>1</v>
      </c>
      <c r="C26" s="182" t="s">
        <v>123</v>
      </c>
      <c r="D26" s="182" t="s">
        <v>126</v>
      </c>
      <c r="E26" s="183"/>
      <c r="F26" s="183"/>
      <c r="G26" s="18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A87EE-AB6C-469E-8A9E-F60D3CF32B07}">
  <dimension ref="B2:F27"/>
  <sheetViews>
    <sheetView workbookViewId="0">
      <selection activeCell="F15" sqref="F15"/>
    </sheetView>
  </sheetViews>
  <sheetFormatPr defaultRowHeight="15" x14ac:dyDescent="0.25"/>
  <cols>
    <col min="1" max="1" width="9.140625" style="177"/>
    <col min="2" max="2" width="3" style="177" hidden="1" customWidth="1"/>
    <col min="3" max="3" width="55.140625" style="177" bestFit="1" customWidth="1"/>
    <col min="4" max="4" width="13.7109375" style="177" customWidth="1"/>
    <col min="5" max="5" width="9.140625" style="177"/>
    <col min="6" max="6" width="164.140625" style="181" bestFit="1" customWidth="1"/>
    <col min="7" max="16384" width="9.140625" style="177"/>
  </cols>
  <sheetData>
    <row r="2" spans="2:6" x14ac:dyDescent="0.25">
      <c r="B2" s="180" t="s">
        <v>147</v>
      </c>
      <c r="C2" s="180" t="s">
        <v>2</v>
      </c>
      <c r="D2" s="180" t="s">
        <v>146</v>
      </c>
      <c r="F2" s="181" t="s">
        <v>160</v>
      </c>
    </row>
    <row r="3" spans="2:6" x14ac:dyDescent="0.25">
      <c r="B3" s="179">
        <v>0</v>
      </c>
      <c r="C3" s="179" t="s">
        <v>129</v>
      </c>
      <c r="D3" s="178" t="str">
        <f>IF(B3=0,"UC","GERADORA")</f>
        <v>UC</v>
      </c>
    </row>
    <row r="4" spans="2:6" x14ac:dyDescent="0.25">
      <c r="B4" s="179">
        <v>0</v>
      </c>
      <c r="C4" s="179" t="s">
        <v>130</v>
      </c>
      <c r="D4" s="178" t="str">
        <f t="shared" ref="D4:D27" si="0">IF(B4=0,"UC","GERADORA")</f>
        <v>UC</v>
      </c>
    </row>
    <row r="5" spans="2:6" x14ac:dyDescent="0.25">
      <c r="B5" s="179">
        <v>0</v>
      </c>
      <c r="C5" s="179" t="s">
        <v>131</v>
      </c>
      <c r="D5" s="178" t="str">
        <f t="shared" si="0"/>
        <v>UC</v>
      </c>
    </row>
    <row r="6" spans="2:6" x14ac:dyDescent="0.25">
      <c r="B6" s="179">
        <v>0</v>
      </c>
      <c r="C6" s="179" t="s">
        <v>132</v>
      </c>
      <c r="D6" s="178" t="str">
        <f t="shared" si="0"/>
        <v>UC</v>
      </c>
      <c r="F6" s="181" t="s">
        <v>162</v>
      </c>
    </row>
    <row r="7" spans="2:6" x14ac:dyDescent="0.25">
      <c r="B7" s="179">
        <v>0</v>
      </c>
      <c r="C7" s="179" t="s">
        <v>133</v>
      </c>
      <c r="D7" s="178" t="str">
        <f t="shared" si="0"/>
        <v>UC</v>
      </c>
      <c r="F7" s="181" t="s">
        <v>148</v>
      </c>
    </row>
    <row r="8" spans="2:6" x14ac:dyDescent="0.25">
      <c r="B8" s="179">
        <v>0</v>
      </c>
      <c r="C8" s="179" t="s">
        <v>134</v>
      </c>
      <c r="D8" s="178" t="str">
        <f t="shared" si="0"/>
        <v>UC</v>
      </c>
      <c r="F8" s="181" t="s">
        <v>149</v>
      </c>
    </row>
    <row r="9" spans="2:6" ht="27" x14ac:dyDescent="0.25">
      <c r="B9" s="179">
        <v>0</v>
      </c>
      <c r="C9" s="179" t="s">
        <v>135</v>
      </c>
      <c r="D9" s="178" t="str">
        <f t="shared" si="0"/>
        <v>UC</v>
      </c>
      <c r="F9" s="181" t="s">
        <v>150</v>
      </c>
    </row>
    <row r="10" spans="2:6" x14ac:dyDescent="0.25">
      <c r="B10" s="179">
        <v>0</v>
      </c>
      <c r="C10" s="179" t="s">
        <v>136</v>
      </c>
      <c r="D10" s="178" t="str">
        <f t="shared" si="0"/>
        <v>UC</v>
      </c>
      <c r="F10" s="181" t="s">
        <v>152</v>
      </c>
    </row>
    <row r="11" spans="2:6" x14ac:dyDescent="0.25">
      <c r="B11" s="179">
        <v>0</v>
      </c>
      <c r="C11" s="179" t="s">
        <v>137</v>
      </c>
      <c r="D11" s="178" t="str">
        <f t="shared" si="0"/>
        <v>UC</v>
      </c>
      <c r="F11" s="181" t="s">
        <v>153</v>
      </c>
    </row>
    <row r="12" spans="2:6" x14ac:dyDescent="0.25">
      <c r="B12" s="179">
        <v>0</v>
      </c>
      <c r="C12" s="179" t="s">
        <v>138</v>
      </c>
      <c r="D12" s="178" t="str">
        <f t="shared" si="0"/>
        <v>UC</v>
      </c>
      <c r="F12" s="181" t="s">
        <v>154</v>
      </c>
    </row>
    <row r="13" spans="2:6" x14ac:dyDescent="0.25">
      <c r="B13" s="179">
        <v>0</v>
      </c>
      <c r="C13" s="179" t="s">
        <v>139</v>
      </c>
      <c r="D13" s="178" t="str">
        <f t="shared" si="0"/>
        <v>UC</v>
      </c>
      <c r="F13" s="181" t="s">
        <v>155</v>
      </c>
    </row>
    <row r="14" spans="2:6" x14ac:dyDescent="0.25">
      <c r="B14" s="179">
        <v>0</v>
      </c>
      <c r="C14" s="179" t="s">
        <v>140</v>
      </c>
      <c r="D14" s="178" t="str">
        <f t="shared" si="0"/>
        <v>UC</v>
      </c>
    </row>
    <row r="15" spans="2:6" x14ac:dyDescent="0.25">
      <c r="B15" s="179">
        <v>0</v>
      </c>
      <c r="C15" s="179" t="s">
        <v>141</v>
      </c>
      <c r="D15" s="178" t="str">
        <f t="shared" si="0"/>
        <v>UC</v>
      </c>
      <c r="F15" s="181" t="s">
        <v>151</v>
      </c>
    </row>
    <row r="16" spans="2:6" x14ac:dyDescent="0.25">
      <c r="B16" s="179">
        <v>0</v>
      </c>
      <c r="C16" s="179" t="s">
        <v>142</v>
      </c>
      <c r="D16" s="178" t="str">
        <f t="shared" si="0"/>
        <v>UC</v>
      </c>
    </row>
    <row r="17" spans="2:6" x14ac:dyDescent="0.25">
      <c r="B17" s="179">
        <v>0</v>
      </c>
      <c r="C17" s="179" t="s">
        <v>143</v>
      </c>
      <c r="D17" s="178" t="str">
        <f t="shared" si="0"/>
        <v>UC</v>
      </c>
      <c r="F17" s="181" t="s">
        <v>156</v>
      </c>
    </row>
    <row r="18" spans="2:6" x14ac:dyDescent="0.25">
      <c r="B18" s="179">
        <v>0</v>
      </c>
      <c r="C18" s="179" t="s">
        <v>144</v>
      </c>
      <c r="D18" s="178" t="str">
        <f t="shared" si="0"/>
        <v>UC</v>
      </c>
    </row>
    <row r="19" spans="2:6" x14ac:dyDescent="0.25">
      <c r="B19" s="179">
        <v>0</v>
      </c>
      <c r="C19" s="179" t="s">
        <v>145</v>
      </c>
      <c r="D19" s="178" t="str">
        <f t="shared" si="0"/>
        <v>UC</v>
      </c>
    </row>
    <row r="20" spans="2:6" x14ac:dyDescent="0.25">
      <c r="B20" s="179">
        <v>1</v>
      </c>
      <c r="C20" s="179" t="s">
        <v>7</v>
      </c>
      <c r="D20" s="178" t="str">
        <f t="shared" si="0"/>
        <v>GERADORA</v>
      </c>
    </row>
    <row r="21" spans="2:6" x14ac:dyDescent="0.25">
      <c r="B21" s="179">
        <v>1</v>
      </c>
      <c r="C21" s="179" t="s">
        <v>119</v>
      </c>
      <c r="D21" s="178" t="str">
        <f t="shared" si="0"/>
        <v>GERADORA</v>
      </c>
    </row>
    <row r="22" spans="2:6" x14ac:dyDescent="0.25">
      <c r="B22" s="179">
        <v>1</v>
      </c>
      <c r="C22" s="179" t="s">
        <v>120</v>
      </c>
      <c r="D22" s="178" t="str">
        <f t="shared" si="0"/>
        <v>GERADORA</v>
      </c>
    </row>
    <row r="23" spans="2:6" x14ac:dyDescent="0.25">
      <c r="B23" s="179">
        <v>1</v>
      </c>
      <c r="C23" s="179" t="s">
        <v>121</v>
      </c>
      <c r="D23" s="178" t="str">
        <f t="shared" si="0"/>
        <v>GERADORA</v>
      </c>
    </row>
    <row r="24" spans="2:6" x14ac:dyDescent="0.25">
      <c r="B24" s="179">
        <v>1</v>
      </c>
      <c r="C24" s="179" t="s">
        <v>128</v>
      </c>
      <c r="D24" s="178" t="str">
        <f t="shared" si="0"/>
        <v>GERADORA</v>
      </c>
    </row>
    <row r="25" spans="2:6" x14ac:dyDescent="0.25">
      <c r="B25" s="179">
        <v>1</v>
      </c>
      <c r="C25" s="179" t="s">
        <v>127</v>
      </c>
      <c r="D25" s="178" t="str">
        <f t="shared" si="0"/>
        <v>GERADORA</v>
      </c>
    </row>
    <row r="26" spans="2:6" x14ac:dyDescent="0.25">
      <c r="B26" s="179">
        <v>1</v>
      </c>
      <c r="C26" s="179" t="s">
        <v>125</v>
      </c>
      <c r="D26" s="178" t="str">
        <f t="shared" si="0"/>
        <v>GERADORA</v>
      </c>
    </row>
    <row r="27" spans="2:6" x14ac:dyDescent="0.25">
      <c r="B27" s="179">
        <v>1</v>
      </c>
      <c r="C27" s="179" t="s">
        <v>126</v>
      </c>
      <c r="D27" s="178" t="str">
        <f t="shared" si="0"/>
        <v>GERADORA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6ABC-7395-43DC-B921-9150097E408D}">
  <sheetPr>
    <tabColor rgb="FF00B050"/>
    <pageSetUpPr fitToPage="1"/>
  </sheetPr>
  <dimension ref="A1:AF88"/>
  <sheetViews>
    <sheetView view="pageBreakPreview" topLeftCell="A4" zoomScale="70" zoomScaleNormal="40" zoomScaleSheetLayoutView="70" workbookViewId="0">
      <selection activeCell="S10" sqref="S10"/>
    </sheetView>
  </sheetViews>
  <sheetFormatPr defaultRowHeight="15" x14ac:dyDescent="0.25"/>
  <cols>
    <col min="1" max="1" width="7.7109375" customWidth="1"/>
    <col min="2" max="2" width="9.140625" customWidth="1"/>
    <col min="5" max="5" width="5.28515625" customWidth="1"/>
    <col min="6" max="6" width="2.85546875" customWidth="1"/>
    <col min="7" max="7" width="3.5703125" customWidth="1"/>
    <col min="8" max="8" width="31.5703125" customWidth="1"/>
    <col min="9" max="9" width="22.140625" bestFit="1" customWidth="1"/>
    <col min="10" max="10" width="21.7109375" bestFit="1" customWidth="1"/>
    <col min="11" max="12" width="20.140625" customWidth="1"/>
    <col min="13" max="13" width="24.28515625" bestFit="1" customWidth="1"/>
    <col min="14" max="14" width="9.28515625" customWidth="1"/>
    <col min="15" max="15" width="24.85546875" bestFit="1" customWidth="1"/>
    <col min="16" max="16" width="21.7109375" bestFit="1" customWidth="1"/>
    <col min="17" max="18" width="20.140625" customWidth="1"/>
    <col min="19" max="19" width="22.42578125" bestFit="1" customWidth="1"/>
    <col min="20" max="20" width="8.28515625" style="10" customWidth="1"/>
    <col min="21" max="21" width="10.7109375" bestFit="1" customWidth="1"/>
    <col min="22" max="22" width="18.85546875" bestFit="1" customWidth="1"/>
    <col min="23" max="23" width="46.28515625" customWidth="1"/>
    <col min="24" max="24" width="22.140625" customWidth="1"/>
    <col min="25" max="25" width="33.85546875" customWidth="1"/>
    <col min="26" max="26" width="15.5703125" bestFit="1" customWidth="1"/>
    <col min="28" max="28" width="15" bestFit="1" customWidth="1"/>
    <col min="29" max="29" width="14.28515625" bestFit="1" customWidth="1"/>
    <col min="30" max="30" width="14.42578125" bestFit="1" customWidth="1"/>
    <col min="31" max="31" width="13.85546875" customWidth="1"/>
    <col min="32" max="32" width="13.28515625" bestFit="1" customWidth="1"/>
  </cols>
  <sheetData>
    <row r="1" spans="1:32" ht="47.25" x14ac:dyDescent="0.25">
      <c r="H1" s="4" t="s">
        <v>33</v>
      </c>
      <c r="I1" s="5"/>
      <c r="J1" s="6" t="s">
        <v>34</v>
      </c>
      <c r="K1" s="7"/>
      <c r="L1" s="7"/>
      <c r="M1" s="8"/>
      <c r="N1" s="9"/>
    </row>
    <row r="2" spans="1:32" ht="33.75" customHeight="1" thickBot="1" x14ac:dyDescent="0.3">
      <c r="H2" s="11" t="s">
        <v>18</v>
      </c>
      <c r="I2" s="12">
        <v>6.4999999999999997E-3</v>
      </c>
      <c r="J2" s="13" t="s">
        <v>35</v>
      </c>
      <c r="K2" s="14">
        <v>40.61</v>
      </c>
      <c r="L2" s="15" t="s">
        <v>36</v>
      </c>
      <c r="M2" s="16">
        <v>1.0772200000000001</v>
      </c>
      <c r="N2" s="17"/>
      <c r="P2" s="18" t="s">
        <v>25</v>
      </c>
      <c r="Q2" s="18" t="s">
        <v>37</v>
      </c>
      <c r="R2" s="18" t="s">
        <v>25</v>
      </c>
      <c r="S2" s="18" t="s">
        <v>37</v>
      </c>
      <c r="V2" s="9" t="s">
        <v>38</v>
      </c>
    </row>
    <row r="3" spans="1:32" ht="15.75" thickBot="1" x14ac:dyDescent="0.3">
      <c r="H3" s="11" t="s">
        <v>19</v>
      </c>
      <c r="I3" s="12">
        <v>2.9899999999999999E-2</v>
      </c>
      <c r="J3" s="19" t="s">
        <v>39</v>
      </c>
      <c r="K3" s="20">
        <v>26.95</v>
      </c>
      <c r="L3" s="21" t="s">
        <v>40</v>
      </c>
      <c r="M3" s="22">
        <v>0.40694999999999998</v>
      </c>
      <c r="N3" s="23"/>
      <c r="P3" s="24" t="s">
        <v>41</v>
      </c>
      <c r="Q3" s="25">
        <v>30</v>
      </c>
      <c r="R3" s="24" t="s">
        <v>41</v>
      </c>
      <c r="S3" s="25">
        <v>0</v>
      </c>
      <c r="V3" t="s">
        <v>42</v>
      </c>
      <c r="W3">
        <f>1/(1-I2-I3)</f>
        <v>1.0377750103777501</v>
      </c>
    </row>
    <row r="4" spans="1:32" ht="15.75" thickBot="1" x14ac:dyDescent="0.3">
      <c r="H4" s="26" t="s">
        <v>17</v>
      </c>
      <c r="I4" s="27">
        <v>0.17</v>
      </c>
      <c r="L4" s="28" t="s">
        <v>43</v>
      </c>
      <c r="M4" s="29">
        <v>9.0679999999999997E-2</v>
      </c>
      <c r="N4" s="30"/>
      <c r="P4" s="31">
        <f>VLOOKUP(P3,W15:X18,2,FALSE)</f>
        <v>0</v>
      </c>
      <c r="R4" s="31">
        <f>VLOOKUP(R3,W15:X18,2,FALSE)</f>
        <v>0</v>
      </c>
      <c r="V4" t="s">
        <v>44</v>
      </c>
      <c r="W4">
        <f>W3/(1-I4)</f>
        <v>1.2503313378045182</v>
      </c>
    </row>
    <row r="5" spans="1:32" ht="15.75" thickBot="1" x14ac:dyDescent="0.3">
      <c r="H5" s="32" t="s">
        <v>45</v>
      </c>
      <c r="I5" s="33">
        <v>0.17</v>
      </c>
      <c r="L5" s="34" t="s">
        <v>46</v>
      </c>
      <c r="M5" s="35">
        <v>0.24983</v>
      </c>
      <c r="N5" s="30"/>
      <c r="T5" s="36"/>
      <c r="V5" t="s">
        <v>47</v>
      </c>
      <c r="W5">
        <f>1/(1-I2-I3-I4)</f>
        <v>1.2600806451612903</v>
      </c>
    </row>
    <row r="6" spans="1:32" x14ac:dyDescent="0.25">
      <c r="H6" s="10"/>
      <c r="I6" s="10" t="s">
        <v>48</v>
      </c>
      <c r="J6" s="10">
        <v>0.27926000000000001</v>
      </c>
      <c r="K6" s="10">
        <v>0.26292000000000004</v>
      </c>
      <c r="L6" t="s">
        <v>49</v>
      </c>
      <c r="M6">
        <v>0.33124999999999999</v>
      </c>
      <c r="O6" t="s">
        <v>50</v>
      </c>
      <c r="AF6" s="3"/>
    </row>
    <row r="7" spans="1:32" x14ac:dyDescent="0.25">
      <c r="A7" s="10"/>
      <c r="B7" s="10"/>
      <c r="C7" s="10"/>
      <c r="D7" s="10"/>
      <c r="E7" s="10"/>
      <c r="F7" s="10"/>
      <c r="G7" s="10"/>
      <c r="H7" s="10"/>
      <c r="I7" s="10" t="s">
        <v>51</v>
      </c>
      <c r="J7" s="10">
        <v>0.30096000000000001</v>
      </c>
      <c r="K7" s="10"/>
      <c r="L7" s="10"/>
      <c r="M7" s="10">
        <v>0.38351000000000002</v>
      </c>
      <c r="N7" s="10"/>
      <c r="O7" s="10"/>
      <c r="P7" s="10"/>
      <c r="Q7" s="10"/>
      <c r="R7" s="10"/>
      <c r="S7" s="10"/>
      <c r="U7" s="10"/>
      <c r="V7" s="10"/>
      <c r="AF7" s="3"/>
    </row>
    <row r="8" spans="1:32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U8" s="10"/>
      <c r="V8" s="10"/>
      <c r="AF8" s="3"/>
    </row>
    <row r="9" spans="1:3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U9" s="10"/>
      <c r="V9" s="10"/>
      <c r="AF9" s="3"/>
    </row>
    <row r="10" spans="1:32" ht="29.25" customHeight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U10" s="10"/>
      <c r="V10" s="10"/>
      <c r="AF10" s="3"/>
    </row>
    <row r="11" spans="1:32" ht="29.25" customHeight="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U11" s="10"/>
      <c r="V11" s="10"/>
      <c r="AF11" s="3"/>
    </row>
    <row r="12" spans="1:3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37"/>
      <c r="L12" s="10"/>
      <c r="M12" s="10"/>
      <c r="N12" s="10"/>
      <c r="O12" s="10"/>
      <c r="P12" s="10"/>
      <c r="Q12" s="10"/>
      <c r="R12" s="10"/>
      <c r="S12" s="10"/>
      <c r="U12" s="10"/>
      <c r="V12" s="10"/>
      <c r="W12" s="13" t="s">
        <v>52</v>
      </c>
      <c r="X12" s="13"/>
      <c r="AF12" s="3"/>
    </row>
    <row r="13" spans="1:3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37"/>
      <c r="L13" s="10"/>
      <c r="M13" s="10"/>
      <c r="N13" s="10"/>
      <c r="O13" s="10"/>
      <c r="P13" s="10"/>
      <c r="Q13" s="10"/>
      <c r="R13" s="10"/>
      <c r="S13" s="10"/>
      <c r="U13" s="10"/>
      <c r="V13" s="10"/>
      <c r="W13" s="15"/>
      <c r="X13" s="38"/>
      <c r="AF13" s="3"/>
    </row>
    <row r="14" spans="1:3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37"/>
      <c r="L14" s="10"/>
      <c r="M14" s="10"/>
      <c r="N14" s="10"/>
      <c r="O14" s="10"/>
      <c r="P14" s="10"/>
      <c r="Q14" s="10"/>
      <c r="R14" s="10"/>
      <c r="S14" s="10"/>
      <c r="U14" s="10"/>
      <c r="V14" s="10"/>
      <c r="W14" s="15"/>
      <c r="X14" s="38"/>
      <c r="AF14" s="3"/>
    </row>
    <row r="15" spans="1:3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U15" s="10"/>
      <c r="V15" s="10"/>
      <c r="W15" s="39" t="s">
        <v>41</v>
      </c>
      <c r="X15" s="31">
        <v>0</v>
      </c>
      <c r="AF15" s="3"/>
    </row>
    <row r="16" spans="1:32" ht="18.75" x14ac:dyDescent="0.3">
      <c r="A16" s="10"/>
      <c r="B16" s="10"/>
      <c r="C16" s="40"/>
      <c r="D16" s="10"/>
      <c r="E16" s="10"/>
      <c r="F16" s="10"/>
      <c r="G16" s="10"/>
      <c r="H16" s="10"/>
      <c r="I16" s="10"/>
      <c r="K16" s="10"/>
      <c r="L16" s="10"/>
      <c r="M16" s="10"/>
      <c r="N16" s="10"/>
      <c r="O16" s="10"/>
      <c r="P16" s="41"/>
      <c r="Q16" s="10"/>
      <c r="R16" s="10"/>
      <c r="S16" s="10"/>
      <c r="T16" s="42" t="s">
        <v>53</v>
      </c>
      <c r="U16" s="10"/>
      <c r="V16" s="10"/>
      <c r="W16" s="43" t="s">
        <v>54</v>
      </c>
      <c r="X16" s="31">
        <v>13.429914792852795</v>
      </c>
      <c r="AF16" s="3"/>
    </row>
    <row r="17" spans="1:32" ht="18.75" x14ac:dyDescent="0.3">
      <c r="A17" s="10"/>
      <c r="B17" s="10"/>
      <c r="C17" s="40"/>
      <c r="D17" s="10"/>
      <c r="E17" s="10"/>
      <c r="F17" s="10"/>
      <c r="G17" s="10"/>
      <c r="I17" s="10"/>
      <c r="J17" s="10"/>
      <c r="K17" s="10"/>
      <c r="L17" s="10"/>
      <c r="M17" s="10"/>
      <c r="N17" s="10"/>
      <c r="O17" s="10"/>
      <c r="P17" s="41"/>
      <c r="Q17" s="10"/>
      <c r="R17" s="10"/>
      <c r="S17" s="10"/>
      <c r="U17" s="10"/>
      <c r="V17" s="10"/>
      <c r="W17" s="44" t="s">
        <v>55</v>
      </c>
      <c r="X17" s="31">
        <v>40</v>
      </c>
      <c r="AF17" s="3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U18" s="10"/>
      <c r="V18" s="10"/>
      <c r="W18" s="45" t="s">
        <v>56</v>
      </c>
      <c r="X18" s="31">
        <v>50</v>
      </c>
      <c r="AF18" s="3"/>
    </row>
    <row r="19" spans="1:32" x14ac:dyDescent="0.25">
      <c r="A19" s="10"/>
      <c r="B19" s="10"/>
      <c r="C19" s="46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U19" s="10"/>
      <c r="V19" s="10"/>
      <c r="AF19" s="3"/>
    </row>
    <row r="20" spans="1:32" ht="18.75" x14ac:dyDescent="0.3">
      <c r="A20" s="10"/>
      <c r="B20" s="10"/>
      <c r="C20" s="47"/>
      <c r="D20" s="48"/>
      <c r="E20" s="10"/>
      <c r="F20" s="10"/>
      <c r="G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U20" s="10"/>
      <c r="V20" s="10"/>
      <c r="AF20" s="3"/>
    </row>
    <row r="21" spans="1:32" x14ac:dyDescent="0.25">
      <c r="A21" s="10"/>
      <c r="B21" s="10"/>
      <c r="C21" s="49"/>
      <c r="D21" s="4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U21" s="10"/>
      <c r="V21" s="10"/>
      <c r="W21" s="13" t="s">
        <v>57</v>
      </c>
      <c r="X21" s="39" t="b">
        <v>0</v>
      </c>
    </row>
    <row r="22" spans="1:32" ht="43.5" customHeight="1" thickBot="1" x14ac:dyDescent="0.3">
      <c r="A22" s="10"/>
      <c r="B22" s="10"/>
      <c r="C22" s="10"/>
      <c r="D22" s="10"/>
      <c r="E22" s="10"/>
      <c r="F22" s="10"/>
      <c r="G22" s="10"/>
      <c r="I22" s="50" t="s">
        <v>58</v>
      </c>
      <c r="J22" s="50" t="s">
        <v>59</v>
      </c>
      <c r="K22" s="50" t="s">
        <v>60</v>
      </c>
      <c r="L22" s="50" t="s">
        <v>61</v>
      </c>
      <c r="M22" s="50" t="s">
        <v>62</v>
      </c>
      <c r="N22" s="51"/>
      <c r="O22" s="50" t="s">
        <v>58</v>
      </c>
      <c r="P22" s="50" t="s">
        <v>63</v>
      </c>
      <c r="Q22" s="50" t="s">
        <v>60</v>
      </c>
      <c r="R22" s="50" t="s">
        <v>61</v>
      </c>
      <c r="S22" s="50" t="s">
        <v>62</v>
      </c>
      <c r="U22" s="10"/>
      <c r="V22" s="52"/>
      <c r="W22" s="53" t="s">
        <v>64</v>
      </c>
      <c r="X22" s="54">
        <f>S42</f>
        <v>-1294.3301290425297</v>
      </c>
    </row>
    <row r="23" spans="1:32" ht="10.5" customHeight="1" thickBot="1" x14ac:dyDescent="0.3">
      <c r="A23" s="10"/>
      <c r="B23" s="10"/>
      <c r="C23" s="10"/>
      <c r="D23" s="10"/>
      <c r="E23" s="10"/>
      <c r="F23" s="10"/>
      <c r="G23" s="10"/>
      <c r="H23" s="55"/>
      <c r="I23" s="56"/>
      <c r="J23" s="57"/>
      <c r="K23" s="58"/>
      <c r="L23" s="59"/>
      <c r="M23" s="58"/>
      <c r="N23" s="60"/>
      <c r="O23" s="56"/>
      <c r="P23" s="57"/>
      <c r="Q23" s="59"/>
      <c r="R23" s="59"/>
      <c r="S23" s="59"/>
      <c r="U23" s="10"/>
      <c r="V23" s="10"/>
      <c r="W23" s="53" t="s">
        <v>65</v>
      </c>
      <c r="X23" s="61">
        <f>-((((S35+S36+S37)/(1-$I$2-$I$3))/(1-$I$4))*$I$4)+((((S35)/(1-$I$2-$I$3))/(1-$I$4))*$I$4)</f>
        <v>1403.1603338634741</v>
      </c>
    </row>
    <row r="24" spans="1:32" ht="18.75" thickBot="1" x14ac:dyDescent="0.3">
      <c r="A24" s="10"/>
      <c r="B24" s="10"/>
      <c r="C24" s="10"/>
      <c r="D24" s="10"/>
      <c r="E24" s="10"/>
      <c r="F24" s="10"/>
      <c r="G24" s="10"/>
      <c r="H24" s="62" t="s">
        <v>66</v>
      </c>
      <c r="I24" s="63">
        <v>17313</v>
      </c>
      <c r="J24" s="64">
        <f>M7</f>
        <v>0.38351000000000002</v>
      </c>
      <c r="K24" s="65">
        <f>I24*J24</f>
        <v>6639.7086300000001</v>
      </c>
      <c r="L24" s="66">
        <f>K24*$W$3</f>
        <v>6890.5236924034871</v>
      </c>
      <c r="M24" s="67">
        <f>K24*$W$4</f>
        <v>8301.8357739801049</v>
      </c>
      <c r="N24" s="60"/>
      <c r="O24" s="68">
        <f>I24</f>
        <v>17313</v>
      </c>
      <c r="P24" s="64">
        <f>J24</f>
        <v>0.38351000000000002</v>
      </c>
      <c r="Q24" s="66">
        <f>O24*P24</f>
        <v>6639.7086300000001</v>
      </c>
      <c r="R24" s="66">
        <f>Q24*$W$3</f>
        <v>6890.5236924034871</v>
      </c>
      <c r="S24" s="67">
        <f>Q24*$W$4</f>
        <v>8301.8357739801049</v>
      </c>
      <c r="U24" s="10"/>
      <c r="V24" s="10"/>
      <c r="W24" s="3"/>
    </row>
    <row r="25" spans="1:32" ht="19.5" thickBot="1" x14ac:dyDescent="0.35">
      <c r="A25" s="10"/>
      <c r="B25" s="10"/>
      <c r="C25" s="10"/>
      <c r="D25" s="10"/>
      <c r="E25" s="10"/>
      <c r="F25" s="10"/>
      <c r="G25" s="10"/>
      <c r="H25" s="69" t="s">
        <v>67</v>
      </c>
      <c r="I25" s="70"/>
      <c r="J25" s="71"/>
      <c r="K25" s="72">
        <f>SUM(K24:K24)</f>
        <v>6639.7086300000001</v>
      </c>
      <c r="L25" s="73">
        <f>SUM(L24:L24)</f>
        <v>6890.5236924034871</v>
      </c>
      <c r="M25" s="74">
        <f>SUM(M24:M24)</f>
        <v>8301.8357739801049</v>
      </c>
      <c r="N25" s="75"/>
      <c r="O25" s="76"/>
      <c r="P25" s="71"/>
      <c r="Q25" s="72">
        <f>SUM(Q24:Q24)</f>
        <v>6639.7086300000001</v>
      </c>
      <c r="R25" s="73">
        <f>SUM(R24:R24)</f>
        <v>6890.5236924034871</v>
      </c>
      <c r="S25" s="77">
        <f>SUM(S24:S24)</f>
        <v>8301.8357739801049</v>
      </c>
      <c r="U25" s="10"/>
      <c r="V25" s="10"/>
    </row>
    <row r="26" spans="1:32" ht="18.75" thickBot="1" x14ac:dyDescent="0.3">
      <c r="A26" s="10"/>
      <c r="B26" s="10"/>
      <c r="C26" s="10"/>
      <c r="D26" s="10"/>
      <c r="E26" s="10"/>
      <c r="F26" s="10"/>
      <c r="G26" s="10"/>
      <c r="H26" s="55"/>
      <c r="I26" s="56"/>
      <c r="J26" s="57"/>
      <c r="K26" s="59"/>
      <c r="L26" s="59"/>
      <c r="M26" s="58"/>
      <c r="N26" s="60"/>
      <c r="O26" s="76"/>
      <c r="P26" s="71"/>
      <c r="Q26" s="78"/>
      <c r="R26" s="78"/>
      <c r="S26" s="78"/>
      <c r="U26" s="10"/>
      <c r="V26" s="10"/>
    </row>
    <row r="27" spans="1:32" ht="18" x14ac:dyDescent="0.25">
      <c r="A27" s="10"/>
      <c r="B27" s="10"/>
      <c r="C27" s="10"/>
      <c r="D27" s="10"/>
      <c r="E27" s="10"/>
      <c r="F27" s="10"/>
      <c r="G27" s="10"/>
      <c r="H27" s="62" t="s">
        <v>68</v>
      </c>
      <c r="I27" s="79">
        <f>I24</f>
        <v>17313</v>
      </c>
      <c r="J27" s="80">
        <f>J7</f>
        <v>0.30096000000000001</v>
      </c>
      <c r="K27" s="66">
        <f>I27*J27</f>
        <v>5210.5204800000001</v>
      </c>
      <c r="L27" s="66">
        <f>K27*$W$3</f>
        <v>5407.3479452054798</v>
      </c>
      <c r="M27" s="67">
        <f>K27*$W$4</f>
        <v>6514.8770424162403</v>
      </c>
      <c r="N27" s="60"/>
      <c r="O27" s="81">
        <f>I27</f>
        <v>17313</v>
      </c>
      <c r="P27" s="82">
        <f>J27</f>
        <v>0.30096000000000001</v>
      </c>
      <c r="Q27" s="83">
        <f>O27*P27</f>
        <v>5210.5204800000001</v>
      </c>
      <c r="R27" s="83">
        <f>Q27*(1/(1-$I$2-$I$3))</f>
        <v>5407.3479452054798</v>
      </c>
      <c r="S27" s="84">
        <f>Q27*$W$4</f>
        <v>6514.8770424162403</v>
      </c>
      <c r="U27" s="10"/>
      <c r="V27" s="85">
        <f>(M24+M27+M28+M29)/I27</f>
        <v>0.92183762030271355</v>
      </c>
      <c r="W27" s="86"/>
    </row>
    <row r="28" spans="1:32" ht="18" x14ac:dyDescent="0.25">
      <c r="A28" s="10"/>
      <c r="B28" s="10"/>
      <c r="C28" s="10"/>
      <c r="D28" s="10"/>
      <c r="E28" s="10"/>
      <c r="F28" s="10"/>
      <c r="G28" s="10"/>
      <c r="H28" s="62" t="s">
        <v>69</v>
      </c>
      <c r="I28" s="79">
        <v>7502.3</v>
      </c>
      <c r="J28" s="80">
        <v>1.8849999999999999E-2</v>
      </c>
      <c r="K28" s="66">
        <f>I28*J28</f>
        <v>141.41835499999999</v>
      </c>
      <c r="L28" s="66">
        <f>K28*$W$3</f>
        <v>146.76043482772934</v>
      </c>
      <c r="M28" s="67">
        <f>K28*$W$4</f>
        <v>176.81980099726428</v>
      </c>
      <c r="N28" s="60"/>
      <c r="O28" s="87">
        <f>I28</f>
        <v>7502.3</v>
      </c>
      <c r="P28" s="80">
        <f>J28</f>
        <v>1.8849999999999999E-2</v>
      </c>
      <c r="Q28" s="65">
        <f>O28*P28</f>
        <v>141.41835499999999</v>
      </c>
      <c r="R28" s="65">
        <f>Q28*$W$3</f>
        <v>146.76043482772934</v>
      </c>
      <c r="S28" s="88">
        <f>Q28*$W$4</f>
        <v>176.81980099726428</v>
      </c>
      <c r="U28" s="10"/>
      <c r="V28" s="85">
        <f>V27-0.15</f>
        <v>0.77183762030271352</v>
      </c>
      <c r="W28" s="86"/>
    </row>
    <row r="29" spans="1:32" ht="18.75" thickBot="1" x14ac:dyDescent="0.3">
      <c r="A29" s="10"/>
      <c r="B29" s="10"/>
      <c r="C29" s="10"/>
      <c r="D29" s="10"/>
      <c r="E29" s="10"/>
      <c r="F29" s="10"/>
      <c r="G29" s="10"/>
      <c r="H29" s="62" t="s">
        <v>70</v>
      </c>
      <c r="I29" s="79">
        <v>9810.7000000000007</v>
      </c>
      <c r="J29" s="89">
        <v>7.8770000000000007E-2</v>
      </c>
      <c r="K29" s="66">
        <f>I29*J29</f>
        <v>772.78883900000017</v>
      </c>
      <c r="L29" s="66">
        <f>K29*$W$3</f>
        <v>801.98094541303465</v>
      </c>
      <c r="M29" s="67">
        <f>K29*$W$4</f>
        <v>966.24210290727069</v>
      </c>
      <c r="N29" s="60"/>
      <c r="O29" s="90">
        <f>I29</f>
        <v>9810.7000000000007</v>
      </c>
      <c r="P29" s="91">
        <v>7.8770000000000007E-2</v>
      </c>
      <c r="Q29" s="65">
        <f>O29*P29</f>
        <v>772.78883900000017</v>
      </c>
      <c r="R29" s="65">
        <f>Q29*$W$3</f>
        <v>801.98094541303465</v>
      </c>
      <c r="S29" s="88">
        <f>Q29*$W$4</f>
        <v>966.24210290727069</v>
      </c>
      <c r="U29" s="10"/>
      <c r="V29" s="10"/>
    </row>
    <row r="30" spans="1:32" ht="19.5" thickBot="1" x14ac:dyDescent="0.35">
      <c r="A30" s="10"/>
      <c r="B30" s="10"/>
      <c r="C30" s="10"/>
      <c r="D30" s="10"/>
      <c r="E30" s="10"/>
      <c r="F30" s="10"/>
      <c r="G30" s="10"/>
      <c r="H30" s="69" t="s">
        <v>67</v>
      </c>
      <c r="I30" s="92"/>
      <c r="J30" s="71"/>
      <c r="K30" s="72">
        <f>SUM(K27:K29)</f>
        <v>6124.7276739999998</v>
      </c>
      <c r="L30" s="73">
        <f>SUM(L27:L29)</f>
        <v>6356.0893254462435</v>
      </c>
      <c r="M30" s="77">
        <f>SUM(M27:M29)</f>
        <v>7657.9389463207754</v>
      </c>
      <c r="N30" s="75"/>
      <c r="O30" s="76"/>
      <c r="P30" s="71"/>
      <c r="Q30" s="93">
        <f>SUM(Q27:Q29)</f>
        <v>6124.7276739999998</v>
      </c>
      <c r="R30" s="94">
        <f>SUM(R27:R29)</f>
        <v>6356.0893254462435</v>
      </c>
      <c r="S30" s="95">
        <f>SUM(S27:S29)</f>
        <v>7657.9389463207754</v>
      </c>
      <c r="U30" s="10"/>
      <c r="V30" s="41">
        <f>S42/O37</f>
        <v>-7.5194918320021481E-2</v>
      </c>
      <c r="W30" s="96"/>
    </row>
    <row r="31" spans="1:32" ht="18.75" thickBot="1" x14ac:dyDescent="0.3">
      <c r="A31" s="10"/>
      <c r="B31" s="10"/>
      <c r="C31" s="10"/>
      <c r="D31" s="10"/>
      <c r="E31" s="10"/>
      <c r="F31" s="10"/>
      <c r="G31" s="10"/>
      <c r="H31" s="55"/>
      <c r="I31" s="97"/>
      <c r="J31" s="97"/>
      <c r="K31" s="97"/>
      <c r="L31" s="97"/>
      <c r="M31" s="98"/>
      <c r="N31" s="99"/>
      <c r="O31" s="76"/>
      <c r="P31" s="71"/>
      <c r="Q31" s="78"/>
      <c r="R31" s="78"/>
      <c r="S31" s="78"/>
      <c r="U31" s="10"/>
      <c r="V31" s="100">
        <f>V28+V30</f>
        <v>0.69664270198269207</v>
      </c>
      <c r="W31" s="96"/>
    </row>
    <row r="32" spans="1:32" ht="18" x14ac:dyDescent="0.25">
      <c r="A32" s="10"/>
      <c r="B32" s="10"/>
      <c r="C32" s="10"/>
      <c r="D32" s="10"/>
      <c r="E32" s="10"/>
      <c r="F32" s="10"/>
      <c r="G32" s="10"/>
      <c r="H32" s="101" t="s">
        <v>71</v>
      </c>
      <c r="I32" s="102">
        <f>599+1681+4739+1463</f>
        <v>8482</v>
      </c>
      <c r="J32" s="103">
        <v>0</v>
      </c>
      <c r="K32" s="66">
        <v>0</v>
      </c>
      <c r="L32" s="66">
        <f>K32*$W$3</f>
        <v>0</v>
      </c>
      <c r="M32" s="67">
        <f>L32</f>
        <v>0</v>
      </c>
      <c r="N32" s="104"/>
      <c r="O32" s="105">
        <f>I32</f>
        <v>8482</v>
      </c>
      <c r="P32" s="106">
        <v>0</v>
      </c>
      <c r="Q32" s="83">
        <v>0</v>
      </c>
      <c r="R32" s="83">
        <v>0</v>
      </c>
      <c r="S32" s="84">
        <v>0</v>
      </c>
      <c r="U32" s="10"/>
      <c r="V32" s="100">
        <f>V31*O38</f>
        <v>5196.2346926655009</v>
      </c>
    </row>
    <row r="33" spans="1:28" ht="18" x14ac:dyDescent="0.25">
      <c r="A33" s="10"/>
      <c r="B33" s="10"/>
      <c r="C33" s="10"/>
      <c r="D33" s="10"/>
      <c r="E33" s="10"/>
      <c r="F33" s="10"/>
      <c r="G33" s="10"/>
      <c r="H33" s="101" t="s">
        <v>72</v>
      </c>
      <c r="I33" s="102"/>
      <c r="J33" s="103">
        <v>0</v>
      </c>
      <c r="K33" s="66">
        <v>0</v>
      </c>
      <c r="L33" s="66">
        <v>0</v>
      </c>
      <c r="M33" s="67">
        <v>0</v>
      </c>
      <c r="N33" s="60"/>
      <c r="O33" s="107">
        <f>8731</f>
        <v>8731</v>
      </c>
      <c r="P33" s="103">
        <v>0</v>
      </c>
      <c r="Q33" s="65">
        <v>0</v>
      </c>
      <c r="R33" s="65">
        <v>0</v>
      </c>
      <c r="S33" s="88">
        <v>0</v>
      </c>
      <c r="U33" s="10"/>
      <c r="V33" s="100"/>
      <c r="AB33" s="96"/>
    </row>
    <row r="34" spans="1:28" ht="18" x14ac:dyDescent="0.25">
      <c r="A34" s="10"/>
      <c r="B34" s="10"/>
      <c r="C34" s="10"/>
      <c r="D34" s="10"/>
      <c r="E34" s="10"/>
      <c r="F34" s="10"/>
      <c r="G34" s="10"/>
      <c r="H34" s="101" t="s">
        <v>73</v>
      </c>
      <c r="I34" s="102"/>
      <c r="J34" s="103">
        <v>0</v>
      </c>
      <c r="K34" s="66">
        <v>0</v>
      </c>
      <c r="L34" s="66">
        <v>0</v>
      </c>
      <c r="M34" s="67">
        <v>0</v>
      </c>
      <c r="N34" s="60"/>
      <c r="O34" s="107"/>
      <c r="P34" s="103">
        <v>0</v>
      </c>
      <c r="Q34" s="65">
        <v>0</v>
      </c>
      <c r="R34" s="65">
        <v>0</v>
      </c>
      <c r="S34" s="88">
        <v>0</v>
      </c>
      <c r="U34" s="10"/>
      <c r="V34" s="100"/>
      <c r="W34" s="96"/>
      <c r="X34" s="96"/>
      <c r="AB34" s="96"/>
    </row>
    <row r="35" spans="1:28" ht="18" x14ac:dyDescent="0.25">
      <c r="A35" s="10"/>
      <c r="B35" s="10"/>
      <c r="C35" s="10"/>
      <c r="D35" s="10"/>
      <c r="E35" s="10"/>
      <c r="F35" s="10"/>
      <c r="G35" s="10"/>
      <c r="H35" s="62" t="s">
        <v>74</v>
      </c>
      <c r="I35" s="102">
        <f>I32</f>
        <v>8482</v>
      </c>
      <c r="J35" s="103">
        <f>J27*-1</f>
        <v>-0.30096000000000001</v>
      </c>
      <c r="K35" s="66">
        <f>I35*J35</f>
        <v>-2552.7427200000002</v>
      </c>
      <c r="L35" s="66">
        <f>K35*$W$3</f>
        <v>-2649.1726027397262</v>
      </c>
      <c r="M35" s="67">
        <f>K35</f>
        <v>-2552.7427200000002</v>
      </c>
      <c r="N35" s="60"/>
      <c r="O35" s="107">
        <f>O33+O34+O32</f>
        <v>17213</v>
      </c>
      <c r="P35" s="103">
        <f>P27*-1</f>
        <v>-0.30096000000000001</v>
      </c>
      <c r="Q35" s="65">
        <f>O35*P35</f>
        <v>-5180.4244799999997</v>
      </c>
      <c r="R35" s="65">
        <f>Q35*$W$3</f>
        <v>-5376.1150684931499</v>
      </c>
      <c r="S35" s="88">
        <f>Q35</f>
        <v>-5180.4244799999997</v>
      </c>
      <c r="T35" s="41"/>
      <c r="U35" s="41"/>
      <c r="V35" s="108"/>
      <c r="W35" s="96"/>
      <c r="X35" s="96"/>
    </row>
    <row r="36" spans="1:28" ht="18" x14ac:dyDescent="0.25">
      <c r="A36" s="10"/>
      <c r="B36" s="10"/>
      <c r="C36" s="10"/>
      <c r="D36" s="10"/>
      <c r="E36" s="10"/>
      <c r="F36" s="10"/>
      <c r="G36" s="10"/>
      <c r="H36" s="62" t="s">
        <v>75</v>
      </c>
      <c r="I36" s="102"/>
      <c r="J36" s="103">
        <v>0</v>
      </c>
      <c r="K36" s="66">
        <v>0</v>
      </c>
      <c r="L36" s="66">
        <v>0</v>
      </c>
      <c r="M36" s="67">
        <v>0</v>
      </c>
      <c r="N36" s="60"/>
      <c r="O36" s="107"/>
      <c r="P36" s="103">
        <f>J32</f>
        <v>0</v>
      </c>
      <c r="Q36" s="65">
        <f>O36*P36</f>
        <v>0</v>
      </c>
      <c r="R36" s="65">
        <f>Q36*$W$3</f>
        <v>0</v>
      </c>
      <c r="S36" s="88">
        <f>Q36</f>
        <v>0</v>
      </c>
      <c r="T36" s="41"/>
      <c r="U36" s="41"/>
      <c r="V36" s="108"/>
      <c r="W36" s="96"/>
      <c r="X36" s="96"/>
    </row>
    <row r="37" spans="1:28" ht="18" x14ac:dyDescent="0.25">
      <c r="A37" s="10"/>
      <c r="B37" s="10"/>
      <c r="C37" s="10"/>
      <c r="D37" s="10"/>
      <c r="E37" s="10"/>
      <c r="F37" s="10"/>
      <c r="G37" s="10"/>
      <c r="H37" s="62" t="s">
        <v>76</v>
      </c>
      <c r="I37" s="102">
        <f>I35</f>
        <v>8482</v>
      </c>
      <c r="J37" s="103">
        <f>-J24</f>
        <v>-0.38351000000000002</v>
      </c>
      <c r="K37" s="66">
        <f>I37*J37</f>
        <v>-3252.9318200000002</v>
      </c>
      <c r="L37" s="66">
        <f>K37*$W$3</f>
        <v>-3375.811353258614</v>
      </c>
      <c r="M37" s="67">
        <f>K37</f>
        <v>-3252.9318200000002</v>
      </c>
      <c r="N37" s="60"/>
      <c r="O37" s="107">
        <f>O33+O32</f>
        <v>17213</v>
      </c>
      <c r="P37" s="103">
        <f>P24*-1</f>
        <v>-0.38351000000000002</v>
      </c>
      <c r="Q37" s="65">
        <f>O37*P37</f>
        <v>-6601.3576300000004</v>
      </c>
      <c r="R37" s="65">
        <f>Q37*$W$3</f>
        <v>-6850.7239829804903</v>
      </c>
      <c r="S37" s="88">
        <f>Q37</f>
        <v>-6601.3576300000004</v>
      </c>
      <c r="T37" s="41"/>
      <c r="U37" s="10"/>
      <c r="V37" s="108"/>
      <c r="W37" s="96"/>
      <c r="X37" s="96"/>
      <c r="Y37" s="96"/>
      <c r="AB37" s="96"/>
    </row>
    <row r="38" spans="1:28" ht="18" x14ac:dyDescent="0.25">
      <c r="A38" s="10"/>
      <c r="B38" s="10"/>
      <c r="C38" s="10"/>
      <c r="D38" s="10"/>
      <c r="E38" s="10"/>
      <c r="F38" s="10"/>
      <c r="G38" s="10"/>
      <c r="H38" s="62" t="s">
        <v>77</v>
      </c>
      <c r="I38" s="102">
        <f>SUM(I32:I34)*(I28/I27)</f>
        <v>3675.5333333333333</v>
      </c>
      <c r="J38" s="103">
        <f>-J28</f>
        <v>-1.8849999999999999E-2</v>
      </c>
      <c r="K38" s="66">
        <f>I38*J38</f>
        <v>-69.283803333333324</v>
      </c>
      <c r="L38" s="66">
        <f>K38*$W$3</f>
        <v>-71.900999723259986</v>
      </c>
      <c r="M38" s="67">
        <f>K38</f>
        <v>-69.283803333333324</v>
      </c>
      <c r="N38" s="60"/>
      <c r="O38" s="107">
        <f>SUM(O32:O34)*(O28/O27)</f>
        <v>7458.9666666666672</v>
      </c>
      <c r="P38" s="103">
        <f>-P28</f>
        <v>-1.8849999999999999E-2</v>
      </c>
      <c r="Q38" s="65">
        <f>O38*P38</f>
        <v>-140.60152166666666</v>
      </c>
      <c r="R38" s="65">
        <f>Q38*$W$3</f>
        <v>-145.91274560675245</v>
      </c>
      <c r="S38" s="88">
        <f>Q38</f>
        <v>-140.60152166666666</v>
      </c>
      <c r="T38" s="41"/>
      <c r="U38" s="10"/>
      <c r="V38" s="108"/>
      <c r="W38" s="96"/>
      <c r="X38" s="96"/>
      <c r="Y38" s="96"/>
      <c r="AB38" s="96"/>
    </row>
    <row r="39" spans="1:28" ht="18" x14ac:dyDescent="0.25">
      <c r="A39" s="10"/>
      <c r="B39" s="10"/>
      <c r="C39" s="10"/>
      <c r="D39" s="10"/>
      <c r="E39" s="10"/>
      <c r="F39" s="10"/>
      <c r="G39" s="10"/>
      <c r="H39" s="62" t="s">
        <v>78</v>
      </c>
      <c r="I39" s="102">
        <f>SUM(I32:I34)*(I29/I27)</f>
        <v>4806.4666666666672</v>
      </c>
      <c r="J39" s="103">
        <f>-0.07877</f>
        <v>-7.8770000000000007E-2</v>
      </c>
      <c r="K39" s="66">
        <f>I39*J39</f>
        <v>-378.60537933333342</v>
      </c>
      <c r="L39" s="66">
        <f>K39*$W$3</f>
        <v>-392.90720146672209</v>
      </c>
      <c r="M39" s="67">
        <f>K39</f>
        <v>-378.60537933333342</v>
      </c>
      <c r="N39" s="60"/>
      <c r="O39" s="107">
        <f>SUM(O32:O34)*(O29/O27)</f>
        <v>9754.0333333333347</v>
      </c>
      <c r="P39" s="103">
        <f>-0.07877</f>
        <v>-7.8770000000000007E-2</v>
      </c>
      <c r="Q39" s="65">
        <f>O39*P39</f>
        <v>-768.32520566666688</v>
      </c>
      <c r="R39" s="65">
        <f>Q39*$W$3</f>
        <v>-797.34869828421222</v>
      </c>
      <c r="S39" s="88">
        <f>Q39</f>
        <v>-768.32520566666688</v>
      </c>
      <c r="T39" s="41"/>
      <c r="U39" s="10"/>
      <c r="V39" s="108">
        <f>SUM(S38:S42,S37,S34,S35)</f>
        <v>-14464.430624407136</v>
      </c>
      <c r="W39" s="96"/>
      <c r="X39" s="96"/>
      <c r="AB39" s="96"/>
    </row>
    <row r="40" spans="1:28" ht="18" x14ac:dyDescent="0.25">
      <c r="A40" s="10"/>
      <c r="B40" s="10"/>
      <c r="C40" s="10"/>
      <c r="D40" s="10"/>
      <c r="E40" s="10"/>
      <c r="F40" s="10"/>
      <c r="G40" s="10"/>
      <c r="H40" s="62" t="s">
        <v>18</v>
      </c>
      <c r="I40" s="109">
        <v>0</v>
      </c>
      <c r="J40" s="103">
        <v>0</v>
      </c>
      <c r="K40" s="66">
        <v>0</v>
      </c>
      <c r="L40" s="66">
        <f t="shared" ref="L40:L42" si="0">K40*$W$3</f>
        <v>0</v>
      </c>
      <c r="M40" s="67">
        <f>(M35/(1-$I$2-$I$3))*$I$2+(M37/(1-$I$2-$I$3))*$I$2+(M36/(1-$I$2-$I$3))*$I$2+(M38/(1-$I$2-$I$3))*$I$2+(M39/(1-$I$2-$I$3))*$I$2</f>
        <v>-42.183649021724094</v>
      </c>
      <c r="N40" s="60"/>
      <c r="O40" s="110">
        <v>0</v>
      </c>
      <c r="P40" s="103">
        <v>0</v>
      </c>
      <c r="Q40" s="65">
        <v>0</v>
      </c>
      <c r="R40" s="65">
        <f t="shared" ref="R40:R42" si="1">Q40*$W$3</f>
        <v>0</v>
      </c>
      <c r="S40" s="88">
        <f>(S35/(1-$I$2-$I$3))*$I$2+(S37/(1-$I$2-$I$3))*$I$2+(S36/(1-$I$2-$I$3))*$I$2+(S38/(1-$I$2-$I$3))*$I$2+(S39/(1-$I$2-$I$3))*$I$2</f>
        <v>-85.605653219869922</v>
      </c>
      <c r="T40" s="41"/>
      <c r="U40" s="10"/>
      <c r="V40" s="85">
        <f>V39/O35</f>
        <v>-0.84032014317127379</v>
      </c>
      <c r="W40" s="96"/>
      <c r="X40" s="96"/>
    </row>
    <row r="41" spans="1:28" ht="18" x14ac:dyDescent="0.25">
      <c r="A41" s="10"/>
      <c r="B41" s="10"/>
      <c r="C41" s="10"/>
      <c r="D41" s="10"/>
      <c r="E41" s="10"/>
      <c r="F41" s="10"/>
      <c r="G41" s="10"/>
      <c r="H41" s="62" t="s">
        <v>19</v>
      </c>
      <c r="I41" s="109">
        <v>0</v>
      </c>
      <c r="J41" s="103">
        <v>0</v>
      </c>
      <c r="K41" s="66">
        <v>0</v>
      </c>
      <c r="L41" s="66">
        <f t="shared" si="0"/>
        <v>0</v>
      </c>
      <c r="M41" s="67">
        <f>(M35/(1-$I$2-$I$3))*$I$3+(M37/(1-$I$2-$I$3))*$I$3+(M36/(1-$I$2-$I$3))*$I$3+(M38/(1-$I$2-$I$3))*$I$3+(M39/(1-$I$2-$I$3))*$I$3</f>
        <v>-194.04478549993084</v>
      </c>
      <c r="N41" s="60"/>
      <c r="O41" s="110">
        <v>0</v>
      </c>
      <c r="P41" s="103">
        <v>0</v>
      </c>
      <c r="Q41" s="65">
        <v>0</v>
      </c>
      <c r="R41" s="65">
        <f t="shared" si="1"/>
        <v>0</v>
      </c>
      <c r="S41" s="88">
        <f>(S35/(1-$I$2-$I$3))*$I$3+(S37/(1-$I$2-$I$3))*$I$3+(S36/(1-$I$2-$I$3))*$I$3+(S38/(1-$I$2-$I$3))*$I$3+(S39/(1-$I$2-$I$3))*$I$3</f>
        <v>-393.78600481140165</v>
      </c>
      <c r="T41" s="41"/>
      <c r="U41" s="41"/>
      <c r="V41" s="111">
        <f>V40*-1-0.15</f>
        <v>0.69032014317127377</v>
      </c>
      <c r="W41" s="96"/>
      <c r="X41" s="96"/>
      <c r="Y41" s="96"/>
      <c r="AB41" s="96"/>
    </row>
    <row r="42" spans="1:28" ht="18.75" thickBot="1" x14ac:dyDescent="0.3">
      <c r="A42" s="10"/>
      <c r="B42" s="10"/>
      <c r="C42" s="10"/>
      <c r="D42" s="10"/>
      <c r="E42" s="10"/>
      <c r="F42" s="10"/>
      <c r="G42" s="10"/>
      <c r="H42" s="62" t="s">
        <v>17</v>
      </c>
      <c r="I42" s="112">
        <v>0</v>
      </c>
      <c r="J42" s="113">
        <v>0</v>
      </c>
      <c r="K42" s="66">
        <v>0</v>
      </c>
      <c r="L42" s="66">
        <f t="shared" si="0"/>
        <v>0</v>
      </c>
      <c r="M42" s="67">
        <f>IF(X21=TRUE,(((M35+M36+M37+M38+M39)/(1-$I$2-$I$3))/(1-$I$4))*$I$4,(((M35+M38+M39)/(1-$I$2-$I$3))/(1-$I$4))*$I$4)</f>
        <v>-637.8032971904222</v>
      </c>
      <c r="N42" s="60"/>
      <c r="O42" s="114">
        <v>0</v>
      </c>
      <c r="P42" s="115">
        <v>0</v>
      </c>
      <c r="Q42" s="65">
        <v>0</v>
      </c>
      <c r="R42" s="65">
        <f t="shared" si="1"/>
        <v>0</v>
      </c>
      <c r="S42" s="88">
        <f>IF(X21=TRUE,(((S35+S36+S37+S38+S39)/(1-$I$2-$I$3))/(1-$I$4))*$I$4,(((S35+S38+S39)/(1-$I$2-$I$3))/(1-$I$4))*$I$4)</f>
        <v>-1294.3301290425297</v>
      </c>
      <c r="T42" s="41"/>
      <c r="U42" s="41"/>
      <c r="V42" s="10"/>
      <c r="Y42" s="96"/>
    </row>
    <row r="43" spans="1:28" ht="19.5" thickBot="1" x14ac:dyDescent="0.35">
      <c r="A43" s="10"/>
      <c r="B43" s="10"/>
      <c r="C43" s="10"/>
      <c r="D43" s="10"/>
      <c r="E43" s="10"/>
      <c r="F43" s="10"/>
      <c r="G43" s="10"/>
      <c r="H43" s="69" t="s">
        <v>67</v>
      </c>
      <c r="I43" s="76"/>
      <c r="J43" s="116"/>
      <c r="K43" s="72">
        <f>SUM(K35:K40)</f>
        <v>-6253.5637226666668</v>
      </c>
      <c r="L43" s="73">
        <f>SUM(L35:L42)</f>
        <v>-6489.7921571883217</v>
      </c>
      <c r="M43" s="77">
        <f>SUM(M32:M42)</f>
        <v>-7127.5954543787439</v>
      </c>
      <c r="N43" s="76"/>
      <c r="O43" s="76"/>
      <c r="P43" s="117"/>
      <c r="Q43" s="93">
        <f>SUM(Q35:Q40)</f>
        <v>-12690.708837333334</v>
      </c>
      <c r="R43" s="94">
        <f>SUM(R35:R42)</f>
        <v>-13170.100495364604</v>
      </c>
      <c r="S43" s="95">
        <f>SUM(S32:S42)</f>
        <v>-14464.430624407134</v>
      </c>
      <c r="T43" s="41"/>
      <c r="U43" s="41"/>
      <c r="V43" s="10"/>
    </row>
    <row r="44" spans="1:28" ht="18.75" thickBot="1" x14ac:dyDescent="0.3">
      <c r="A44" s="10"/>
      <c r="B44" s="10"/>
      <c r="C44" s="10"/>
      <c r="D44" s="10"/>
      <c r="E44" s="10"/>
      <c r="F44" s="10"/>
      <c r="G44" s="10"/>
      <c r="H44" s="55"/>
      <c r="I44" s="56"/>
      <c r="J44" s="57"/>
      <c r="K44" s="59"/>
      <c r="L44" s="59"/>
      <c r="M44" s="58"/>
      <c r="N44" s="60"/>
      <c r="O44" s="71"/>
      <c r="P44" s="71"/>
      <c r="Q44" s="78"/>
      <c r="R44" s="78"/>
      <c r="S44" s="78"/>
      <c r="T44" s="41"/>
      <c r="U44" s="41"/>
      <c r="V44" s="10"/>
      <c r="W44" s="96"/>
      <c r="X44" s="96"/>
      <c r="Y44" s="96"/>
    </row>
    <row r="45" spans="1:28" ht="18" x14ac:dyDescent="0.25">
      <c r="A45" s="10"/>
      <c r="B45" s="10"/>
      <c r="C45" s="10"/>
      <c r="D45" s="10"/>
      <c r="E45" s="10"/>
      <c r="F45" s="10"/>
      <c r="G45" s="10"/>
      <c r="H45" s="62" t="s">
        <v>79</v>
      </c>
      <c r="I45" s="118">
        <v>1</v>
      </c>
      <c r="J45" s="103">
        <v>54.6</v>
      </c>
      <c r="K45" s="66"/>
      <c r="L45" s="66"/>
      <c r="M45" s="67">
        <f>J45*I45</f>
        <v>54.6</v>
      </c>
      <c r="N45" s="60"/>
      <c r="O45" s="119">
        <v>1</v>
      </c>
      <c r="P45" s="106">
        <f>M45</f>
        <v>54.6</v>
      </c>
      <c r="Q45" s="83"/>
      <c r="R45" s="83"/>
      <c r="S45" s="84">
        <f>P45*O45</f>
        <v>54.6</v>
      </c>
      <c r="T45" s="41"/>
      <c r="U45" s="10"/>
      <c r="V45" s="10"/>
      <c r="W45" s="96"/>
      <c r="X45" s="96"/>
      <c r="Y45" s="96"/>
    </row>
    <row r="46" spans="1:28" ht="18" x14ac:dyDescent="0.25">
      <c r="A46" s="10"/>
      <c r="B46" s="10"/>
      <c r="C46" s="10"/>
      <c r="D46" s="10"/>
      <c r="E46" s="10"/>
      <c r="F46" s="10"/>
      <c r="G46" s="10"/>
      <c r="H46" s="62" t="s">
        <v>80</v>
      </c>
      <c r="I46" s="118">
        <v>1</v>
      </c>
      <c r="J46" s="103"/>
      <c r="K46" s="66"/>
      <c r="L46" s="66"/>
      <c r="M46" s="67">
        <f>I46*J46</f>
        <v>0</v>
      </c>
      <c r="N46" s="60"/>
      <c r="O46" s="120">
        <v>1</v>
      </c>
      <c r="P46" s="103">
        <f>J46</f>
        <v>0</v>
      </c>
      <c r="Q46" s="65"/>
      <c r="R46" s="65"/>
      <c r="S46" s="88">
        <f>O46*P46</f>
        <v>0</v>
      </c>
      <c r="U46" s="10"/>
      <c r="V46" s="10"/>
    </row>
    <row r="47" spans="1:28" ht="18" x14ac:dyDescent="0.25">
      <c r="A47" s="10"/>
      <c r="B47" s="10"/>
      <c r="C47" s="10"/>
      <c r="D47" s="10"/>
      <c r="E47" s="10"/>
      <c r="F47" s="10"/>
      <c r="G47" s="10"/>
      <c r="H47" s="62" t="s">
        <v>81</v>
      </c>
      <c r="I47" s="79">
        <v>0</v>
      </c>
      <c r="J47" s="80">
        <v>0</v>
      </c>
      <c r="K47" s="66">
        <f>I47*J47</f>
        <v>0</v>
      </c>
      <c r="L47" s="66">
        <f>K47*$W$3</f>
        <v>0</v>
      </c>
      <c r="M47" s="67">
        <f>K47*$W$4</f>
        <v>0</v>
      </c>
      <c r="N47" s="60"/>
      <c r="O47" s="87">
        <v>0</v>
      </c>
      <c r="P47" s="80"/>
      <c r="Q47" s="65">
        <f>O47*P47</f>
        <v>0</v>
      </c>
      <c r="R47" s="65">
        <f>Q47*$W$3</f>
        <v>0</v>
      </c>
      <c r="S47" s="88">
        <f>(((O47*J27)/(1-$I$2-$I$3))/(1-$I$4))*$I$4+R47</f>
        <v>0</v>
      </c>
      <c r="U47" s="41"/>
      <c r="V47" s="41"/>
      <c r="X47" s="96"/>
      <c r="AB47" s="96"/>
    </row>
    <row r="48" spans="1:28" ht="18.75" thickBot="1" x14ac:dyDescent="0.3">
      <c r="A48" s="10"/>
      <c r="B48" s="10"/>
      <c r="C48" s="10"/>
      <c r="D48" s="10"/>
      <c r="E48" s="10"/>
      <c r="F48" s="10"/>
      <c r="G48" s="10"/>
      <c r="H48" s="62" t="s">
        <v>82</v>
      </c>
      <c r="I48" s="121">
        <v>0</v>
      </c>
      <c r="J48" s="103"/>
      <c r="K48" s="66"/>
      <c r="L48" s="66"/>
      <c r="M48" s="67">
        <f t="shared" ref="M48" si="2">J48*I48</f>
        <v>0</v>
      </c>
      <c r="N48" s="60"/>
      <c r="O48" s="122">
        <v>0</v>
      </c>
      <c r="P48" s="115"/>
      <c r="Q48" s="65"/>
      <c r="R48" s="65"/>
      <c r="S48" s="88">
        <f t="shared" ref="S48" si="3">P48*O48</f>
        <v>0</v>
      </c>
      <c r="U48" s="10"/>
      <c r="V48" s="10"/>
      <c r="X48" s="96"/>
      <c r="AB48" s="96"/>
    </row>
    <row r="49" spans="1:32" ht="19.5" thickBot="1" x14ac:dyDescent="0.35">
      <c r="A49" s="10"/>
      <c r="B49" s="10"/>
      <c r="C49" s="10"/>
      <c r="D49" s="10"/>
      <c r="E49" s="10"/>
      <c r="F49" s="10"/>
      <c r="G49" s="10"/>
      <c r="H49" s="69" t="s">
        <v>67</v>
      </c>
      <c r="I49" s="76"/>
      <c r="J49" s="116"/>
      <c r="K49" s="72">
        <f>SUM(K44:K45)</f>
        <v>0</v>
      </c>
      <c r="L49" s="73"/>
      <c r="M49" s="77">
        <f>SUM(M45:M48)</f>
        <v>54.6</v>
      </c>
      <c r="N49" s="75"/>
      <c r="O49" s="76"/>
      <c r="P49" s="117"/>
      <c r="Q49" s="93">
        <f>SUM(Q44:Q45)</f>
        <v>0</v>
      </c>
      <c r="R49" s="94"/>
      <c r="S49" s="95">
        <f>SUM(S45:S48)</f>
        <v>54.6</v>
      </c>
      <c r="U49" s="10"/>
      <c r="V49" s="10"/>
    </row>
    <row r="50" spans="1:32" ht="18" x14ac:dyDescent="0.25">
      <c r="A50" s="10"/>
      <c r="B50" s="10"/>
      <c r="C50" s="10"/>
      <c r="D50" s="10"/>
      <c r="E50" s="10"/>
      <c r="F50" s="10"/>
      <c r="G50" s="10"/>
      <c r="H50" s="123"/>
      <c r="I50" s="76"/>
      <c r="J50" s="71"/>
      <c r="K50" s="124"/>
      <c r="L50" s="124"/>
      <c r="M50" s="125"/>
      <c r="N50" s="78"/>
      <c r="O50" s="76"/>
      <c r="P50" s="71"/>
      <c r="Q50" s="10"/>
      <c r="R50" s="10"/>
      <c r="S50" s="10"/>
      <c r="U50" s="10"/>
      <c r="V50" s="10"/>
      <c r="X50" s="96"/>
    </row>
    <row r="51" spans="1:32" ht="15.75" thickBot="1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86"/>
      <c r="N51" s="186"/>
      <c r="O51" s="186"/>
      <c r="P51" s="10"/>
      <c r="Q51" s="10"/>
      <c r="R51" s="10"/>
      <c r="S51" s="10"/>
      <c r="U51" s="10"/>
      <c r="V51" s="10"/>
    </row>
    <row r="52" spans="1:32" ht="19.5" thickBot="1" x14ac:dyDescent="0.3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26" t="s">
        <v>83</v>
      </c>
      <c r="M52" s="187">
        <f>I24</f>
        <v>17313</v>
      </c>
      <c r="N52" s="188"/>
      <c r="O52" s="189"/>
      <c r="P52" s="10"/>
      <c r="Q52" s="190"/>
      <c r="R52" s="190"/>
      <c r="S52" s="127"/>
      <c r="T52" s="127"/>
      <c r="U52" s="10"/>
      <c r="V52" s="10"/>
    </row>
    <row r="53" spans="1:32" ht="19.5" thickBot="1" x14ac:dyDescent="0.3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26" t="s">
        <v>84</v>
      </c>
      <c r="M53" s="191">
        <f>O33+O34</f>
        <v>8731</v>
      </c>
      <c r="N53" s="192"/>
      <c r="O53" s="193"/>
      <c r="P53" s="128"/>
      <c r="Q53" s="194"/>
      <c r="R53" s="194"/>
      <c r="S53" s="129"/>
      <c r="T53" s="130"/>
      <c r="U53" s="10"/>
      <c r="V53" s="10"/>
    </row>
    <row r="54" spans="1:32" ht="22.5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26"/>
      <c r="M54" s="131" t="s">
        <v>85</v>
      </c>
      <c r="N54" s="132"/>
      <c r="O54" s="133" t="s">
        <v>86</v>
      </c>
      <c r="P54" s="41"/>
      <c r="Q54" s="194"/>
      <c r="R54" s="194"/>
      <c r="S54" s="129"/>
      <c r="T54" s="130"/>
      <c r="U54" s="10"/>
      <c r="V54" s="10" t="s">
        <v>87</v>
      </c>
      <c r="W54">
        <v>4922.8130000000001</v>
      </c>
    </row>
    <row r="55" spans="1:32" ht="24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26" t="s">
        <v>88</v>
      </c>
      <c r="M55" s="134">
        <f>M49+M30+M25+M43</f>
        <v>8886.7792659221377</v>
      </c>
      <c r="N55" s="135"/>
      <c r="O55" s="136">
        <f>SUM(S25+S30+S43+S49)</f>
        <v>1549.9440958937462</v>
      </c>
      <c r="P55" s="41"/>
      <c r="Q55" s="137"/>
      <c r="R55" s="130"/>
      <c r="S55" s="138"/>
      <c r="T55" s="130"/>
      <c r="U55" s="10"/>
      <c r="V55" s="10" t="s">
        <v>89</v>
      </c>
      <c r="W55">
        <v>3808.1867999999999</v>
      </c>
    </row>
    <row r="56" spans="1:32" ht="19.5" customHeight="1" thickBot="1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26" t="s">
        <v>90</v>
      </c>
      <c r="M56" s="139">
        <f>M55-O55</f>
        <v>7336.8351700283911</v>
      </c>
      <c r="N56" s="140"/>
      <c r="O56" s="141">
        <f>1-(O55/M55)</f>
        <v>0.82558989601134014</v>
      </c>
      <c r="P56" s="10"/>
      <c r="Q56" s="41"/>
      <c r="R56" s="10"/>
      <c r="S56" s="10"/>
      <c r="U56" s="10"/>
      <c r="V56" s="10"/>
    </row>
    <row r="57" spans="1:32" ht="15.75" thickBo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M57" s="142"/>
      <c r="N57" s="142"/>
      <c r="O57" s="142"/>
      <c r="P57" s="10"/>
      <c r="Q57" s="41"/>
      <c r="R57" s="41"/>
      <c r="S57" s="10"/>
      <c r="U57" s="10"/>
      <c r="V57" s="10"/>
    </row>
    <row r="58" spans="1:32" ht="18.75" thickBo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43" t="s">
        <v>91</v>
      </c>
      <c r="M58" s="144">
        <f>(M55-M43-M49)/M52</f>
        <v>0.92183762030271366</v>
      </c>
      <c r="N58" s="145"/>
      <c r="O58" s="142"/>
      <c r="P58" s="10"/>
      <c r="Q58" s="41">
        <f>O61+O55</f>
        <v>4178.8121528927004</v>
      </c>
      <c r="R58" s="10"/>
      <c r="S58" s="41"/>
      <c r="U58" s="10"/>
      <c r="V58" s="10"/>
    </row>
    <row r="59" spans="1:32" ht="18.75" thickBot="1" x14ac:dyDescent="0.3">
      <c r="A59" s="10"/>
      <c r="B59" s="10"/>
      <c r="C59" s="10"/>
      <c r="D59" s="10"/>
      <c r="E59" s="10"/>
      <c r="F59" s="10"/>
      <c r="G59" s="10"/>
      <c r="H59" s="10"/>
      <c r="I59" s="41"/>
      <c r="J59" s="10"/>
      <c r="K59" s="10"/>
      <c r="L59" s="143" t="s">
        <v>92</v>
      </c>
      <c r="M59" s="146">
        <f>S43/O35*-1</f>
        <v>0.84032014317127368</v>
      </c>
      <c r="N59" s="145"/>
      <c r="O59" s="147"/>
      <c r="P59" s="10"/>
      <c r="Q59" s="10"/>
      <c r="R59" s="10"/>
      <c r="S59" s="10"/>
      <c r="U59" s="10"/>
      <c r="V59" s="10"/>
    </row>
    <row r="60" spans="1:32" ht="19.5" thickBot="1" x14ac:dyDescent="0.3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26" t="s">
        <v>93</v>
      </c>
      <c r="M60" s="148">
        <v>0.15</v>
      </c>
      <c r="N60" s="184" t="s">
        <v>94</v>
      </c>
      <c r="O60" s="185"/>
      <c r="P60" s="10"/>
      <c r="Q60" s="149"/>
      <c r="R60" s="10"/>
      <c r="S60" s="10"/>
      <c r="U60" s="10"/>
    </row>
    <row r="61" spans="1:32" ht="19.5" thickBot="1" x14ac:dyDescent="0.35">
      <c r="A61" s="10"/>
      <c r="B61" s="10"/>
      <c r="C61" s="10"/>
      <c r="D61" s="10"/>
      <c r="E61" s="10"/>
      <c r="F61" s="10"/>
      <c r="G61" s="10"/>
      <c r="H61" s="10"/>
      <c r="I61" s="149"/>
      <c r="J61" s="10"/>
      <c r="K61" s="10"/>
      <c r="L61" s="126" t="s">
        <v>95</v>
      </c>
      <c r="M61" s="148">
        <f>M59-M60</f>
        <v>0.69032014317127366</v>
      </c>
      <c r="N61" s="150"/>
      <c r="O61" s="151">
        <f>(M61*W55)</f>
        <v>2628.8680569989547</v>
      </c>
      <c r="P61" s="10"/>
      <c r="Q61" s="149"/>
      <c r="R61" s="10"/>
      <c r="S61" s="10"/>
      <c r="U61" s="10"/>
    </row>
    <row r="62" spans="1:32" ht="15.75" thickBo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M62" s="142"/>
      <c r="N62" s="142"/>
      <c r="O62" s="10"/>
      <c r="P62" s="10"/>
      <c r="Q62" s="10"/>
      <c r="R62" s="10"/>
      <c r="S62" s="10"/>
      <c r="U62" s="10"/>
      <c r="W62" s="152"/>
      <c r="X62" s="153"/>
    </row>
    <row r="63" spans="1:32" ht="18.75" thickBo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43" t="s">
        <v>96</v>
      </c>
      <c r="M63" s="154">
        <f>M55-O55-(M53*M61)</f>
        <v>1309.6500000000005</v>
      </c>
      <c r="N63" s="155"/>
      <c r="O63" s="156">
        <f>1-(O55+(M53*M61))/M55</f>
        <v>0.14737060084546905</v>
      </c>
      <c r="P63" s="10"/>
      <c r="Q63" s="10"/>
      <c r="R63" s="10"/>
      <c r="S63" s="10"/>
      <c r="U63" s="10"/>
      <c r="AB63" s="157"/>
      <c r="AC63" s="157"/>
      <c r="AD63" s="157"/>
      <c r="AE63" s="158"/>
      <c r="AF63" s="158"/>
    </row>
    <row r="64" spans="1:32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Y64" s="159"/>
      <c r="Z64" s="160"/>
      <c r="AA64" s="161"/>
      <c r="AB64" s="160"/>
      <c r="AC64" s="160"/>
      <c r="AD64" s="160"/>
      <c r="AE64" s="159"/>
      <c r="AF64" s="159"/>
    </row>
    <row r="65" spans="1:32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Y65" s="159"/>
      <c r="Z65" s="160"/>
      <c r="AA65" s="161"/>
      <c r="AB65" s="159"/>
      <c r="AC65" s="162"/>
      <c r="AD65" s="162"/>
      <c r="AE65" s="159"/>
      <c r="AF65" s="159"/>
    </row>
    <row r="66" spans="1:32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63"/>
      <c r="S66" s="142"/>
      <c r="T66" s="142"/>
      <c r="U66" s="164"/>
      <c r="W66" s="86"/>
      <c r="Y66" s="159"/>
      <c r="Z66" s="165"/>
      <c r="AA66" s="161"/>
      <c r="AB66" s="159"/>
      <c r="AC66" s="159"/>
      <c r="AD66" s="159"/>
      <c r="AE66" s="159"/>
      <c r="AF66" s="159"/>
    </row>
    <row r="67" spans="1:32" x14ac:dyDescent="0.25">
      <c r="A67" s="142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64"/>
      <c r="W67" s="86"/>
      <c r="Y67" s="159"/>
      <c r="Z67" s="165"/>
      <c r="AA67" s="161"/>
      <c r="AB67" s="162"/>
      <c r="AC67" s="162"/>
      <c r="AD67" s="162"/>
      <c r="AE67" s="159"/>
      <c r="AF67" s="159"/>
    </row>
    <row r="68" spans="1:32" x14ac:dyDescent="0.25">
      <c r="A68" s="142"/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66"/>
      <c r="N68" s="166"/>
      <c r="O68" s="142"/>
      <c r="P68" s="142"/>
      <c r="Q68" s="142"/>
      <c r="R68" s="142"/>
      <c r="S68" s="142"/>
      <c r="T68" s="142"/>
      <c r="U68" s="164"/>
      <c r="W68" s="86"/>
      <c r="Y68" s="159"/>
      <c r="Z68" s="167"/>
      <c r="AA68" s="161"/>
      <c r="AB68" s="159"/>
      <c r="AC68" s="159"/>
      <c r="AD68" s="159"/>
      <c r="AE68" s="159"/>
      <c r="AF68" s="159"/>
    </row>
    <row r="69" spans="1:32" x14ac:dyDescent="0.25">
      <c r="M69" s="3"/>
      <c r="N69" s="3"/>
      <c r="Y69" s="159"/>
      <c r="Z69" s="168"/>
      <c r="AA69" s="161"/>
      <c r="AB69" s="159"/>
      <c r="AC69" s="159"/>
      <c r="AD69" s="159"/>
      <c r="AE69" s="159"/>
      <c r="AF69" s="159"/>
    </row>
    <row r="70" spans="1:32" ht="25.5" customHeight="1" x14ac:dyDescent="0.25">
      <c r="W70" s="169"/>
      <c r="X70" s="86"/>
    </row>
    <row r="71" spans="1:32" ht="54.75" customHeight="1" x14ac:dyDescent="0.25">
      <c r="L71" s="170"/>
      <c r="P71" s="96"/>
      <c r="W71" t="str">
        <f>"☀️Valor a Pagar a ULT: *"&amp;TEXT(O61,"R$ #.##0,00")&amp;"*"&amp;CHAR(10)&amp;"🏦Chave PIX: 55.804.091/0001-00"&amp;CHAR(10)&amp;"💰 Vantagem a Cubinhos: *"&amp;TEXT(M63,"R$ #.##0,00")&amp;"*"</f>
        <v>☀️Valor a Pagar a ULT: *R$ 2.628,87*
🏦Chave PIX: 55.804.091/0001-00
💰 Vantagem a Cubinhos: *R$ 1.309,65*</v>
      </c>
      <c r="Y71" s="86"/>
      <c r="Z71" s="86"/>
    </row>
    <row r="72" spans="1:32" x14ac:dyDescent="0.25">
      <c r="K72">
        <v>160400900</v>
      </c>
      <c r="P72" s="96"/>
    </row>
    <row r="73" spans="1:32" x14ac:dyDescent="0.25">
      <c r="L73" t="s">
        <v>97</v>
      </c>
      <c r="M73" t="s">
        <v>98</v>
      </c>
      <c r="O73" s="3"/>
      <c r="R73" s="96" t="s">
        <v>99</v>
      </c>
    </row>
    <row r="74" spans="1:32" x14ac:dyDescent="0.25">
      <c r="L74" s="3">
        <f>M58</f>
        <v>0.92183762030271366</v>
      </c>
      <c r="M74" s="3">
        <f>M63</f>
        <v>1309.6500000000005</v>
      </c>
      <c r="N74" s="3"/>
      <c r="O74" s="96"/>
      <c r="Q74" t="s">
        <v>100</v>
      </c>
      <c r="R74" s="96">
        <v>6577.83</v>
      </c>
    </row>
    <row r="75" spans="1:32" x14ac:dyDescent="0.25">
      <c r="L75" s="171"/>
      <c r="M75" s="171"/>
      <c r="N75" s="171"/>
      <c r="O75" s="96"/>
      <c r="Q75" s="3"/>
      <c r="R75">
        <v>9013.27</v>
      </c>
    </row>
    <row r="76" spans="1:32" x14ac:dyDescent="0.25">
      <c r="L76" s="3"/>
      <c r="M76" s="3"/>
      <c r="N76" s="3"/>
      <c r="Q76" s="96" t="s">
        <v>89</v>
      </c>
      <c r="R76" s="96">
        <f>R75-R74</f>
        <v>2435.4400000000005</v>
      </c>
    </row>
    <row r="77" spans="1:32" x14ac:dyDescent="0.25">
      <c r="O77" s="96"/>
      <c r="Q77" s="96"/>
    </row>
    <row r="78" spans="1:32" x14ac:dyDescent="0.25">
      <c r="K78" t="s">
        <v>101</v>
      </c>
      <c r="O78" s="96"/>
    </row>
    <row r="79" spans="1:32" x14ac:dyDescent="0.25">
      <c r="H79" t="s">
        <v>102</v>
      </c>
      <c r="I79">
        <v>1</v>
      </c>
      <c r="J79" s="3">
        <f t="shared" ref="J79:J88" si="4">$L$81/10</f>
        <v>733.68351700283915</v>
      </c>
      <c r="K79" t="s">
        <v>103</v>
      </c>
      <c r="O79" s="96"/>
    </row>
    <row r="80" spans="1:32" x14ac:dyDescent="0.25">
      <c r="I80">
        <v>2</v>
      </c>
      <c r="J80" s="3">
        <f t="shared" si="4"/>
        <v>733.68351700283915</v>
      </c>
      <c r="K80" t="s">
        <v>104</v>
      </c>
      <c r="O80" s="96"/>
      <c r="W80" s="3"/>
    </row>
    <row r="81" spans="9:23" x14ac:dyDescent="0.25">
      <c r="I81">
        <v>3</v>
      </c>
      <c r="J81" s="3">
        <f t="shared" si="4"/>
        <v>733.68351700283915</v>
      </c>
      <c r="K81" t="s">
        <v>105</v>
      </c>
      <c r="L81" s="3">
        <f>M56</f>
        <v>7336.8351700283911</v>
      </c>
      <c r="O81" s="96"/>
      <c r="W81" s="3"/>
    </row>
    <row r="82" spans="9:23" x14ac:dyDescent="0.25">
      <c r="I82">
        <v>4</v>
      </c>
      <c r="J82" s="3">
        <f t="shared" si="4"/>
        <v>733.68351700283915</v>
      </c>
      <c r="L82" s="3">
        <f>O61+O55</f>
        <v>4178.8121528927004</v>
      </c>
      <c r="W82" s="3"/>
    </row>
    <row r="83" spans="9:23" x14ac:dyDescent="0.25">
      <c r="I83">
        <v>5</v>
      </c>
      <c r="J83" s="3">
        <f t="shared" si="4"/>
        <v>733.68351700283915</v>
      </c>
      <c r="L83" s="3">
        <f>M63</f>
        <v>1309.6500000000005</v>
      </c>
      <c r="M83" s="3"/>
      <c r="N83" s="3"/>
      <c r="W83" s="3"/>
    </row>
    <row r="84" spans="9:23" x14ac:dyDescent="0.25">
      <c r="I84">
        <v>6</v>
      </c>
      <c r="J84" s="3">
        <f t="shared" si="4"/>
        <v>733.68351700283915</v>
      </c>
    </row>
    <row r="85" spans="9:23" x14ac:dyDescent="0.25">
      <c r="I85">
        <v>7</v>
      </c>
      <c r="J85" s="3">
        <f t="shared" si="4"/>
        <v>733.68351700283915</v>
      </c>
    </row>
    <row r="86" spans="9:23" x14ac:dyDescent="0.25">
      <c r="I86">
        <v>8</v>
      </c>
      <c r="J86" s="3">
        <f t="shared" si="4"/>
        <v>733.68351700283915</v>
      </c>
    </row>
    <row r="87" spans="9:23" x14ac:dyDescent="0.25">
      <c r="I87">
        <v>9</v>
      </c>
      <c r="J87" s="3">
        <f t="shared" si="4"/>
        <v>733.68351700283915</v>
      </c>
    </row>
    <row r="88" spans="9:23" x14ac:dyDescent="0.25">
      <c r="I88">
        <v>10</v>
      </c>
      <c r="J88" s="3">
        <f t="shared" si="4"/>
        <v>733.68351700283915</v>
      </c>
    </row>
  </sheetData>
  <mergeCells count="7">
    <mergeCell ref="N60:O60"/>
    <mergeCell ref="M51:O51"/>
    <mergeCell ref="M52:O52"/>
    <mergeCell ref="Q52:R52"/>
    <mergeCell ref="M53:O53"/>
    <mergeCell ref="Q53:R53"/>
    <mergeCell ref="Q54:R54"/>
  </mergeCells>
  <conditionalFormatting sqref="P3 R3">
    <cfRule type="cellIs" dxfId="3" priority="3" operator="equal">
      <formula>$W$18</formula>
    </cfRule>
    <cfRule type="cellIs" dxfId="2" priority="4" operator="equal">
      <formula>$W$17</formula>
    </cfRule>
    <cfRule type="cellIs" dxfId="1" priority="5" operator="equal">
      <formula>$W$16</formula>
    </cfRule>
    <cfRule type="cellIs" dxfId="0" priority="6" operator="equal">
      <formula>$W$15</formula>
    </cfRule>
  </conditionalFormatting>
  <dataValidations count="1">
    <dataValidation type="list" allowBlank="1" showInputMessage="1" showErrorMessage="1" sqref="P3 R3" xr:uid="{F4117C54-9058-4A4B-A273-351978C358EC}">
      <formula1>$Y$23:$Y$26</formula1>
    </dataValidation>
  </dataValidations>
  <pageMargins left="0.25" right="0.25" top="0.75" bottom="0.75" header="0.3" footer="0.3"/>
  <pageSetup paperSize="9" scale="44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>
                <anchor moveWithCells="1" sizeWithCells="1">
                  <from>
                    <xdr:col>16</xdr:col>
                    <xdr:colOff>57150</xdr:colOff>
                    <xdr:row>3</xdr:row>
                    <xdr:rowOff>95250</xdr:rowOff>
                  </from>
                  <to>
                    <xdr:col>17</xdr:col>
                    <xdr:colOff>514350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locked="0" defaultSize="0" print="0" autoFill="0" autoLine="0" autoPict="0" altText="_x000a_">
                <anchor moveWithCells="1">
                  <from>
                    <xdr:col>22</xdr:col>
                    <xdr:colOff>1133475</xdr:colOff>
                    <xdr:row>19</xdr:row>
                    <xdr:rowOff>123825</xdr:rowOff>
                  </from>
                  <to>
                    <xdr:col>22</xdr:col>
                    <xdr:colOff>2724150</xdr:colOff>
                    <xdr:row>21</xdr:row>
                    <xdr:rowOff>123825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D2C25AEE-52AF-43ED-AE66-90247A38D6F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O56</xm:sqref>
        </x14:conditionalFormatting>
        <x14:conditionalFormatting xmlns:xm="http://schemas.microsoft.com/office/excel/2006/main">
          <x14:cfRule type="iconSet" priority="1" id="{25FA6C8A-1621-4EF8-8383-2D7F14C29D2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Planilha1</vt:lpstr>
      <vt:lpstr>Planilha5</vt:lpstr>
      <vt:lpstr>Planilha3</vt:lpstr>
      <vt:lpstr>Planilha2</vt:lpstr>
      <vt:lpstr>EXEMPLO</vt:lpstr>
      <vt:lpstr>EXEMPLO!Area_de_impressao</vt:lpstr>
      <vt:lpstr>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Stavrakas</dc:creator>
  <cp:lastModifiedBy>Caique Maso</cp:lastModifiedBy>
  <dcterms:created xsi:type="dcterms:W3CDTF">2024-12-10T17:48:57Z</dcterms:created>
  <dcterms:modified xsi:type="dcterms:W3CDTF">2024-12-16T20:08:27Z</dcterms:modified>
</cp:coreProperties>
</file>