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ng_Term_Data_Tall_Timbers\"/>
    </mc:Choice>
  </mc:AlternateContent>
  <bookViews>
    <workbookView xWindow="0" yWindow="0" windowWidth="28800" windowHeight="12225"/>
  </bookViews>
  <sheets>
    <sheet name="Data" sheetId="2" r:id="rId1"/>
    <sheet name="Raw Data 2000-2023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5" i="1" l="1"/>
  <c r="E389" i="1" l="1"/>
  <c r="E388" i="1"/>
  <c r="I386" i="1"/>
  <c r="K386" i="1" s="1"/>
  <c r="I385" i="1"/>
  <c r="K385" i="1" s="1"/>
  <c r="I384" i="1"/>
  <c r="K384" i="1" s="1"/>
  <c r="K383" i="1"/>
  <c r="I383" i="1"/>
  <c r="J383" i="1" s="1"/>
  <c r="L383" i="1" s="1"/>
  <c r="N383" i="1" s="1"/>
  <c r="O383" i="1" s="1"/>
  <c r="I382" i="1"/>
  <c r="K382" i="1" s="1"/>
  <c r="K381" i="1"/>
  <c r="J381" i="1"/>
  <c r="L381" i="1" s="1"/>
  <c r="N381" i="1" s="1"/>
  <c r="O381" i="1" s="1"/>
  <c r="I381" i="1"/>
  <c r="I380" i="1"/>
  <c r="K380" i="1" s="1"/>
  <c r="K379" i="1"/>
  <c r="I379" i="1"/>
  <c r="J379" i="1" s="1"/>
  <c r="L379" i="1" s="1"/>
  <c r="N379" i="1" s="1"/>
  <c r="O379" i="1" s="1"/>
  <c r="I378" i="1"/>
  <c r="K378" i="1" s="1"/>
  <c r="I377" i="1"/>
  <c r="K377" i="1" s="1"/>
  <c r="I376" i="1"/>
  <c r="K376" i="1" s="1"/>
  <c r="K375" i="1"/>
  <c r="I375" i="1"/>
  <c r="J375" i="1" s="1"/>
  <c r="L375" i="1" s="1"/>
  <c r="O375" i="1" s="1"/>
  <c r="J382" i="1" l="1"/>
  <c r="L382" i="1" s="1"/>
  <c r="N382" i="1" s="1"/>
  <c r="O382" i="1" s="1"/>
  <c r="J377" i="1"/>
  <c r="L377" i="1" s="1"/>
  <c r="N377" i="1" s="1"/>
  <c r="O377" i="1" s="1"/>
  <c r="O389" i="1" s="1"/>
  <c r="J385" i="1"/>
  <c r="L385" i="1" s="1"/>
  <c r="N385" i="1" s="1"/>
  <c r="O385" i="1" s="1"/>
  <c r="J380" i="1"/>
  <c r="L380" i="1" s="1"/>
  <c r="N380" i="1" s="1"/>
  <c r="O380" i="1" s="1"/>
  <c r="J378" i="1"/>
  <c r="L378" i="1" s="1"/>
  <c r="N378" i="1" s="1"/>
  <c r="O378" i="1" s="1"/>
  <c r="J386" i="1"/>
  <c r="L386" i="1" s="1"/>
  <c r="N386" i="1" s="1"/>
  <c r="O386" i="1" s="1"/>
  <c r="J376" i="1"/>
  <c r="L376" i="1" s="1"/>
  <c r="N376" i="1" s="1"/>
  <c r="O376" i="1" s="1"/>
  <c r="J384" i="1"/>
  <c r="L384" i="1" s="1"/>
  <c r="N384" i="1" s="1"/>
  <c r="O384" i="1" s="1"/>
  <c r="O388" i="1" l="1"/>
  <c r="E371" i="1" l="1"/>
  <c r="E370" i="1"/>
  <c r="I368" i="1"/>
  <c r="J368" i="1" s="1"/>
  <c r="K367" i="1"/>
  <c r="I367" i="1"/>
  <c r="J367" i="1" s="1"/>
  <c r="L367" i="1" s="1"/>
  <c r="N367" i="1" s="1"/>
  <c r="O367" i="1" s="1"/>
  <c r="I366" i="1"/>
  <c r="K366" i="1" s="1"/>
  <c r="I365" i="1"/>
  <c r="K365" i="1" s="1"/>
  <c r="I364" i="1"/>
  <c r="K364" i="1" s="1"/>
  <c r="K363" i="1"/>
  <c r="I363" i="1"/>
  <c r="J363" i="1" s="1"/>
  <c r="L363" i="1" s="1"/>
  <c r="N363" i="1" s="1"/>
  <c r="O363" i="1" s="1"/>
  <c r="I362" i="1"/>
  <c r="J362" i="1" s="1"/>
  <c r="I361" i="1"/>
  <c r="K361" i="1" s="1"/>
  <c r="I360" i="1"/>
  <c r="K360" i="1" s="1"/>
  <c r="K359" i="1"/>
  <c r="I359" i="1"/>
  <c r="J359" i="1" s="1"/>
  <c r="L359" i="1" s="1"/>
  <c r="N359" i="1" s="1"/>
  <c r="O359" i="1" s="1"/>
  <c r="I358" i="1"/>
  <c r="J358" i="1" s="1"/>
  <c r="I357" i="1"/>
  <c r="J357" i="1" s="1"/>
  <c r="L362" i="1" l="1"/>
  <c r="N362" i="1" s="1"/>
  <c r="O362" i="1" s="1"/>
  <c r="K358" i="1"/>
  <c r="L358" i="1" s="1"/>
  <c r="N358" i="1" s="1"/>
  <c r="O358" i="1" s="1"/>
  <c r="J364" i="1"/>
  <c r="L364" i="1" s="1"/>
  <c r="N364" i="1" s="1"/>
  <c r="O364" i="1" s="1"/>
  <c r="J366" i="1"/>
  <c r="L366" i="1" s="1"/>
  <c r="N366" i="1" s="1"/>
  <c r="O366" i="1" s="1"/>
  <c r="J361" i="1"/>
  <c r="L361" i="1" s="1"/>
  <c r="N361" i="1" s="1"/>
  <c r="O361" i="1" s="1"/>
  <c r="K362" i="1"/>
  <c r="K357" i="1"/>
  <c r="L357" i="1" s="1"/>
  <c r="N357" i="1" s="1"/>
  <c r="O357" i="1" s="1"/>
  <c r="K368" i="1"/>
  <c r="L368" i="1" s="1"/>
  <c r="N368" i="1" s="1"/>
  <c r="O368" i="1" s="1"/>
  <c r="J365" i="1"/>
  <c r="L365" i="1" s="1"/>
  <c r="N365" i="1" s="1"/>
  <c r="O365" i="1" s="1"/>
  <c r="J360" i="1"/>
  <c r="L360" i="1" s="1"/>
  <c r="N360" i="1" s="1"/>
  <c r="O360" i="1" s="1"/>
  <c r="O370" i="1" l="1"/>
  <c r="O371" i="1"/>
  <c r="U342" i="1" l="1"/>
  <c r="T342" i="1"/>
  <c r="U341" i="1"/>
  <c r="T341" i="1"/>
  <c r="U340" i="1"/>
  <c r="T340" i="1"/>
  <c r="E354" i="1"/>
  <c r="E353" i="1"/>
  <c r="J351" i="1"/>
  <c r="I351" i="1"/>
  <c r="K351" i="1" s="1"/>
  <c r="I350" i="1"/>
  <c r="J350" i="1" s="1"/>
  <c r="I349" i="1"/>
  <c r="K349" i="1" s="1"/>
  <c r="I348" i="1"/>
  <c r="K348" i="1" s="1"/>
  <c r="K347" i="1"/>
  <c r="J347" i="1"/>
  <c r="L347" i="1" s="1"/>
  <c r="N347" i="1" s="1"/>
  <c r="O347" i="1" s="1"/>
  <c r="I347" i="1"/>
  <c r="K346" i="1"/>
  <c r="I346" i="1"/>
  <c r="J346" i="1" s="1"/>
  <c r="L346" i="1" s="1"/>
  <c r="N346" i="1" s="1"/>
  <c r="O346" i="1" s="1"/>
  <c r="I345" i="1"/>
  <c r="K345" i="1" s="1"/>
  <c r="K344" i="1"/>
  <c r="J344" i="1"/>
  <c r="L344" i="1" s="1"/>
  <c r="N344" i="1" s="1"/>
  <c r="O344" i="1" s="1"/>
  <c r="I344" i="1"/>
  <c r="J343" i="1"/>
  <c r="I343" i="1"/>
  <c r="K343" i="1" s="1"/>
  <c r="I342" i="1"/>
  <c r="K342" i="1" s="1"/>
  <c r="I341" i="1"/>
  <c r="K341" i="1" s="1"/>
  <c r="I340" i="1"/>
  <c r="K340" i="1" s="1"/>
  <c r="L351" i="1" l="1"/>
  <c r="N351" i="1" s="1"/>
  <c r="O351" i="1" s="1"/>
  <c r="L350" i="1"/>
  <c r="N350" i="1" s="1"/>
  <c r="O350" i="1" s="1"/>
  <c r="L343" i="1"/>
  <c r="N343" i="1" s="1"/>
  <c r="O343" i="1" s="1"/>
  <c r="K350" i="1"/>
  <c r="J342" i="1"/>
  <c r="L342" i="1" s="1"/>
  <c r="N342" i="1" s="1"/>
  <c r="O342" i="1" s="1"/>
  <c r="J345" i="1"/>
  <c r="L345" i="1" s="1"/>
  <c r="N345" i="1" s="1"/>
  <c r="O345" i="1" s="1"/>
  <c r="J340" i="1"/>
  <c r="L340" i="1" s="1"/>
  <c r="N340" i="1" s="1"/>
  <c r="O340" i="1" s="1"/>
  <c r="J348" i="1"/>
  <c r="L348" i="1" s="1"/>
  <c r="N348" i="1" s="1"/>
  <c r="O348" i="1" s="1"/>
  <c r="J341" i="1"/>
  <c r="L341" i="1" s="1"/>
  <c r="N341" i="1" s="1"/>
  <c r="O341" i="1" s="1"/>
  <c r="J349" i="1"/>
  <c r="L349" i="1" s="1"/>
  <c r="N349" i="1" s="1"/>
  <c r="O349" i="1" s="1"/>
  <c r="AB321" i="1"/>
  <c r="AA321" i="1"/>
  <c r="AB320" i="1"/>
  <c r="AA320" i="1"/>
  <c r="AA319" i="1"/>
  <c r="F329" i="1"/>
  <c r="F328" i="1"/>
  <c r="J327" i="1"/>
  <c r="L327" i="1" s="1"/>
  <c r="L326" i="1"/>
  <c r="J326" i="1"/>
  <c r="K326" i="1" s="1"/>
  <c r="M326" i="1" s="1"/>
  <c r="O326" i="1" s="1"/>
  <c r="P326" i="1" s="1"/>
  <c r="L325" i="1"/>
  <c r="J325" i="1"/>
  <c r="K325" i="1" s="1"/>
  <c r="M325" i="1" s="1"/>
  <c r="O325" i="1" s="1"/>
  <c r="P325" i="1" s="1"/>
  <c r="J324" i="1"/>
  <c r="L324" i="1" s="1"/>
  <c r="J323" i="1"/>
  <c r="K323" i="1" s="1"/>
  <c r="J322" i="1"/>
  <c r="L322" i="1" s="1"/>
  <c r="L321" i="1"/>
  <c r="J321" i="1"/>
  <c r="K321" i="1" s="1"/>
  <c r="M321" i="1" s="1"/>
  <c r="O321" i="1" s="1"/>
  <c r="P321" i="1" s="1"/>
  <c r="J320" i="1"/>
  <c r="L320" i="1" s="1"/>
  <c r="J319" i="1"/>
  <c r="L318" i="1"/>
  <c r="J318" i="1"/>
  <c r="K318" i="1" s="1"/>
  <c r="M318" i="1" s="1"/>
  <c r="O318" i="1" s="1"/>
  <c r="P318" i="1" s="1"/>
  <c r="L317" i="1"/>
  <c r="J317" i="1"/>
  <c r="K317" i="1" s="1"/>
  <c r="M317" i="1" s="1"/>
  <c r="O317" i="1" s="1"/>
  <c r="P317" i="1" s="1"/>
  <c r="J316" i="1"/>
  <c r="L316" i="1" s="1"/>
  <c r="J315" i="1"/>
  <c r="K315" i="1" s="1"/>
  <c r="O353" i="1" l="1"/>
  <c r="O354" i="1"/>
  <c r="K316" i="1"/>
  <c r="M316" i="1" s="1"/>
  <c r="O316" i="1" s="1"/>
  <c r="P316" i="1" s="1"/>
  <c r="K319" i="1"/>
  <c r="M319" i="1" s="1"/>
  <c r="O319" i="1" s="1"/>
  <c r="P319" i="1" s="1"/>
  <c r="K327" i="1"/>
  <c r="M327" i="1" s="1"/>
  <c r="O327" i="1" s="1"/>
  <c r="P327" i="1" s="1"/>
  <c r="L319" i="1"/>
  <c r="K322" i="1"/>
  <c r="M322" i="1" s="1"/>
  <c r="O322" i="1" s="1"/>
  <c r="P322" i="1" s="1"/>
  <c r="K324" i="1"/>
  <c r="M324" i="1" s="1"/>
  <c r="O324" i="1" s="1"/>
  <c r="P324" i="1" s="1"/>
  <c r="K320" i="1"/>
  <c r="M320" i="1" s="1"/>
  <c r="O320" i="1" s="1"/>
  <c r="P320" i="1" s="1"/>
  <c r="L315" i="1"/>
  <c r="M315" i="1" s="1"/>
  <c r="O315" i="1" s="1"/>
  <c r="P315" i="1" s="1"/>
  <c r="L323" i="1"/>
  <c r="M323" i="1" s="1"/>
  <c r="O323" i="1" s="1"/>
  <c r="P323" i="1" s="1"/>
  <c r="E335" i="1" l="1"/>
  <c r="F335" i="1" s="1"/>
  <c r="D335" i="1"/>
  <c r="E337" i="1"/>
  <c r="F337" i="1" s="1"/>
  <c r="D337" i="1"/>
  <c r="D336" i="1"/>
  <c r="P329" i="1"/>
  <c r="P328" i="1"/>
  <c r="E336" i="1"/>
  <c r="F336" i="1" s="1"/>
  <c r="AC285" i="1"/>
  <c r="AB285" i="1"/>
  <c r="AC284" i="1"/>
  <c r="AB284" i="1"/>
  <c r="AB283" i="1"/>
  <c r="C258" i="1" l="1"/>
  <c r="C257" i="1"/>
  <c r="I256" i="1"/>
  <c r="H256" i="1"/>
  <c r="J256" i="1" s="1"/>
  <c r="L256" i="1" s="1"/>
  <c r="M256" i="1" s="1"/>
  <c r="I255" i="1"/>
  <c r="H255" i="1"/>
  <c r="J255" i="1" s="1"/>
  <c r="L255" i="1" s="1"/>
  <c r="M255" i="1" s="1"/>
  <c r="I254" i="1"/>
  <c r="H254" i="1"/>
  <c r="I253" i="1"/>
  <c r="J253" i="1" s="1"/>
  <c r="L253" i="1" s="1"/>
  <c r="M253" i="1" s="1"/>
  <c r="H253" i="1"/>
  <c r="I252" i="1"/>
  <c r="H252" i="1"/>
  <c r="I251" i="1"/>
  <c r="H251" i="1"/>
  <c r="I250" i="1"/>
  <c r="H250" i="1"/>
  <c r="J250" i="1" s="1"/>
  <c r="L250" i="1" s="1"/>
  <c r="M250" i="1" s="1"/>
  <c r="I249" i="1"/>
  <c r="H249" i="1"/>
  <c r="J249" i="1" s="1"/>
  <c r="L249" i="1" s="1"/>
  <c r="M249" i="1" s="1"/>
  <c r="I248" i="1"/>
  <c r="H248" i="1"/>
  <c r="J248" i="1" s="1"/>
  <c r="L248" i="1" s="1"/>
  <c r="M248" i="1" s="1"/>
  <c r="I247" i="1"/>
  <c r="H247" i="1"/>
  <c r="D225" i="1"/>
  <c r="D224" i="1"/>
  <c r="H223" i="1"/>
  <c r="I223" i="1" s="1"/>
  <c r="H222" i="1"/>
  <c r="J222" i="1" s="1"/>
  <c r="H221" i="1"/>
  <c r="I221" i="1" s="1"/>
  <c r="H220" i="1"/>
  <c r="J220" i="1" s="1"/>
  <c r="H219" i="1"/>
  <c r="I219" i="1" s="1"/>
  <c r="H218" i="1"/>
  <c r="J218" i="1" s="1"/>
  <c r="H217" i="1"/>
  <c r="J217" i="1" s="1"/>
  <c r="H216" i="1"/>
  <c r="J216" i="1" s="1"/>
  <c r="H215" i="1"/>
  <c r="I215" i="1" s="1"/>
  <c r="H214" i="1"/>
  <c r="J214" i="1" s="1"/>
  <c r="H213" i="1"/>
  <c r="I213" i="1" s="1"/>
  <c r="H212" i="1"/>
  <c r="I212" i="1" s="1"/>
  <c r="J194" i="1"/>
  <c r="L194" i="1" s="1"/>
  <c r="J193" i="1"/>
  <c r="L193" i="1" s="1"/>
  <c r="J192" i="1"/>
  <c r="K192" i="1" s="1"/>
  <c r="J191" i="1"/>
  <c r="L191" i="1" s="1"/>
  <c r="J190" i="1"/>
  <c r="L190" i="1" s="1"/>
  <c r="J189" i="1"/>
  <c r="L189" i="1" s="1"/>
  <c r="L188" i="1"/>
  <c r="K188" i="1"/>
  <c r="M188" i="1" s="1"/>
  <c r="O188" i="1" s="1"/>
  <c r="P188" i="1" s="1"/>
  <c r="J188" i="1"/>
  <c r="J187" i="1"/>
  <c r="L187" i="1" s="1"/>
  <c r="J186" i="1"/>
  <c r="L186" i="1" s="1"/>
  <c r="J185" i="1"/>
  <c r="L185" i="1" s="1"/>
  <c r="J184" i="1"/>
  <c r="L184" i="1" s="1"/>
  <c r="J183" i="1"/>
  <c r="L183" i="1" s="1"/>
  <c r="G165" i="1"/>
  <c r="H165" i="1" s="1"/>
  <c r="G164" i="1"/>
  <c r="I164" i="1" s="1"/>
  <c r="H163" i="1"/>
  <c r="G163" i="1"/>
  <c r="I163" i="1" s="1"/>
  <c r="G162" i="1"/>
  <c r="H162" i="1" s="1"/>
  <c r="G161" i="1"/>
  <c r="I161" i="1" s="1"/>
  <c r="G160" i="1"/>
  <c r="I160" i="1" s="1"/>
  <c r="G159" i="1"/>
  <c r="H159" i="1" s="1"/>
  <c r="G158" i="1"/>
  <c r="I158" i="1" s="1"/>
  <c r="G157" i="1"/>
  <c r="H157" i="1" s="1"/>
  <c r="G156" i="1"/>
  <c r="I156" i="1" s="1"/>
  <c r="G155" i="1"/>
  <c r="I155" i="1" s="1"/>
  <c r="G154" i="1"/>
  <c r="I154" i="1" s="1"/>
  <c r="I135" i="1"/>
  <c r="J135" i="1" s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J129" i="1" s="1"/>
  <c r="I128" i="1"/>
  <c r="J128" i="1" s="1"/>
  <c r="I127" i="1"/>
  <c r="J127" i="1" s="1"/>
  <c r="I126" i="1"/>
  <c r="K126" i="1" s="1"/>
  <c r="I125" i="1"/>
  <c r="K125" i="1" s="1"/>
  <c r="I124" i="1"/>
  <c r="K124" i="1" s="1"/>
  <c r="I105" i="1"/>
  <c r="K105" i="1" s="1"/>
  <c r="I104" i="1"/>
  <c r="J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I97" i="1"/>
  <c r="K97" i="1" s="1"/>
  <c r="I96" i="1"/>
  <c r="J96" i="1" s="1"/>
  <c r="I95" i="1"/>
  <c r="K95" i="1" s="1"/>
  <c r="I94" i="1"/>
  <c r="J94" i="1" s="1"/>
  <c r="I55" i="1"/>
  <c r="K55" i="1" s="1"/>
  <c r="I54" i="1"/>
  <c r="K54" i="1" s="1"/>
  <c r="I53" i="1"/>
  <c r="K53" i="1" s="1"/>
  <c r="I52" i="1"/>
  <c r="J52" i="1" s="1"/>
  <c r="I51" i="1"/>
  <c r="J51" i="1" s="1"/>
  <c r="I50" i="1"/>
  <c r="K50" i="1" s="1"/>
  <c r="I49" i="1"/>
  <c r="K49" i="1" s="1"/>
  <c r="I48" i="1"/>
  <c r="J48" i="1" s="1"/>
  <c r="I47" i="1"/>
  <c r="K47" i="1" s="1"/>
  <c r="I46" i="1"/>
  <c r="J46" i="1" s="1"/>
  <c r="I45" i="1"/>
  <c r="K45" i="1" s="1"/>
  <c r="I44" i="1"/>
  <c r="J44" i="1" s="1"/>
  <c r="I43" i="1"/>
  <c r="J43" i="1" s="1"/>
  <c r="D35" i="1"/>
  <c r="D40" i="1" s="1"/>
  <c r="K33" i="1"/>
  <c r="J33" i="1"/>
  <c r="K32" i="1"/>
  <c r="J32" i="1"/>
  <c r="K31" i="1"/>
  <c r="J31" i="1"/>
  <c r="K30" i="1"/>
  <c r="J30" i="1"/>
  <c r="K29" i="1"/>
  <c r="J29" i="1"/>
  <c r="L29" i="1" s="1"/>
  <c r="N29" i="1" s="1"/>
  <c r="O29" i="1" s="1"/>
  <c r="K28" i="1"/>
  <c r="J28" i="1"/>
  <c r="L28" i="1" s="1"/>
  <c r="N28" i="1" s="1"/>
  <c r="O28" i="1" s="1"/>
  <c r="K27" i="1"/>
  <c r="J27" i="1"/>
  <c r="L27" i="1" s="1"/>
  <c r="N27" i="1" s="1"/>
  <c r="O27" i="1" s="1"/>
  <c r="K26" i="1"/>
  <c r="J26" i="1"/>
  <c r="K25" i="1"/>
  <c r="J25" i="1"/>
  <c r="K24" i="1"/>
  <c r="J24" i="1"/>
  <c r="K23" i="1"/>
  <c r="J23" i="1"/>
  <c r="L23" i="1" s="1"/>
  <c r="N23" i="1" s="1"/>
  <c r="O23" i="1" s="1"/>
  <c r="K22" i="1"/>
  <c r="J22" i="1"/>
  <c r="L22" i="1" s="1"/>
  <c r="N22" i="1" s="1"/>
  <c r="O22" i="1" s="1"/>
  <c r="K13" i="1"/>
  <c r="J13" i="1"/>
  <c r="L13" i="1" s="1"/>
  <c r="N13" i="1" s="1"/>
  <c r="O13" i="1" s="1"/>
  <c r="K12" i="1"/>
  <c r="J12" i="1"/>
  <c r="L12" i="1" s="1"/>
  <c r="N12" i="1" s="1"/>
  <c r="O12" i="1" s="1"/>
  <c r="K11" i="1"/>
  <c r="J11" i="1"/>
  <c r="L11" i="1" s="1"/>
  <c r="N11" i="1" s="1"/>
  <c r="O11" i="1" s="1"/>
  <c r="K10" i="1"/>
  <c r="J10" i="1"/>
  <c r="K9" i="1"/>
  <c r="J9" i="1"/>
  <c r="K8" i="1"/>
  <c r="J8" i="1"/>
  <c r="K7" i="1"/>
  <c r="J7" i="1"/>
  <c r="L7" i="1" s="1"/>
  <c r="N7" i="1" s="1"/>
  <c r="O7" i="1" s="1"/>
  <c r="K6" i="1"/>
  <c r="J6" i="1"/>
  <c r="L6" i="1" s="1"/>
  <c r="N6" i="1" s="1"/>
  <c r="O6" i="1" s="1"/>
  <c r="K5" i="1"/>
  <c r="J5" i="1"/>
  <c r="L5" i="1" s="1"/>
  <c r="N5" i="1" s="1"/>
  <c r="O5" i="1" s="1"/>
  <c r="K4" i="1"/>
  <c r="J4" i="1"/>
  <c r="K3" i="1"/>
  <c r="J3" i="1"/>
  <c r="L3" i="1" s="1"/>
  <c r="N3" i="1" s="1"/>
  <c r="O3" i="1" s="1"/>
  <c r="K2" i="1"/>
  <c r="J2" i="1"/>
  <c r="J100" i="1" l="1"/>
  <c r="L100" i="1" s="1"/>
  <c r="N100" i="1" s="1"/>
  <c r="O100" i="1" s="1"/>
  <c r="K51" i="1"/>
  <c r="L51" i="1" s="1"/>
  <c r="N51" i="1" s="1"/>
  <c r="O51" i="1" s="1"/>
  <c r="K187" i="1"/>
  <c r="M187" i="1" s="1"/>
  <c r="O187" i="1" s="1"/>
  <c r="P187" i="1" s="1"/>
  <c r="L24" i="1"/>
  <c r="N24" i="1" s="1"/>
  <c r="O24" i="1" s="1"/>
  <c r="N38" i="1" s="1"/>
  <c r="J212" i="1"/>
  <c r="K212" i="1" s="1"/>
  <c r="M212" i="1" s="1"/>
  <c r="N212" i="1" s="1"/>
  <c r="L9" i="1"/>
  <c r="N9" i="1" s="1"/>
  <c r="O9" i="1" s="1"/>
  <c r="L25" i="1"/>
  <c r="N25" i="1" s="1"/>
  <c r="O25" i="1" s="1"/>
  <c r="L33" i="1"/>
  <c r="N33" i="1" s="1"/>
  <c r="O33" i="1" s="1"/>
  <c r="J251" i="1"/>
  <c r="L251" i="1" s="1"/>
  <c r="M251" i="1" s="1"/>
  <c r="J163" i="1"/>
  <c r="L163" i="1" s="1"/>
  <c r="M163" i="1" s="1"/>
  <c r="H158" i="1"/>
  <c r="J158" i="1" s="1"/>
  <c r="L158" i="1" s="1"/>
  <c r="M158" i="1" s="1"/>
  <c r="L44" i="1"/>
  <c r="N44" i="1" s="1"/>
  <c r="O44" i="1" s="1"/>
  <c r="K184" i="1"/>
  <c r="M184" i="1" s="1"/>
  <c r="O184" i="1" s="1"/>
  <c r="P184" i="1" s="1"/>
  <c r="I220" i="1"/>
  <c r="K220" i="1" s="1"/>
  <c r="M220" i="1" s="1"/>
  <c r="N220" i="1" s="1"/>
  <c r="K44" i="1"/>
  <c r="J55" i="1"/>
  <c r="K104" i="1"/>
  <c r="L104" i="1" s="1"/>
  <c r="N104" i="1" s="1"/>
  <c r="O104" i="1" s="1"/>
  <c r="I159" i="1"/>
  <c r="J159" i="1" s="1"/>
  <c r="L159" i="1" s="1"/>
  <c r="M159" i="1" s="1"/>
  <c r="K194" i="1"/>
  <c r="M194" i="1" s="1"/>
  <c r="O194" i="1" s="1"/>
  <c r="P194" i="1" s="1"/>
  <c r="J221" i="1"/>
  <c r="K221" i="1" s="1"/>
  <c r="M221" i="1" s="1"/>
  <c r="N221" i="1" s="1"/>
  <c r="J133" i="1"/>
  <c r="L133" i="1" s="1"/>
  <c r="N133" i="1" s="1"/>
  <c r="O133" i="1" s="1"/>
  <c r="K186" i="1"/>
  <c r="M186" i="1" s="1"/>
  <c r="O186" i="1" s="1"/>
  <c r="P186" i="1" s="1"/>
  <c r="J252" i="1"/>
  <c r="L252" i="1" s="1"/>
  <c r="M252" i="1" s="1"/>
  <c r="L30" i="1"/>
  <c r="N30" i="1" s="1"/>
  <c r="O30" i="1" s="1"/>
  <c r="J47" i="1"/>
  <c r="L47" i="1" s="1"/>
  <c r="N47" i="1" s="1"/>
  <c r="O47" i="1" s="1"/>
  <c r="K43" i="1"/>
  <c r="L43" i="1" s="1"/>
  <c r="N43" i="1" s="1"/>
  <c r="O43" i="1" s="1"/>
  <c r="K52" i="1"/>
  <c r="K129" i="1"/>
  <c r="L129" i="1" s="1"/>
  <c r="N129" i="1" s="1"/>
  <c r="O129" i="1" s="1"/>
  <c r="L192" i="1"/>
  <c r="M192" i="1" s="1"/>
  <c r="O192" i="1" s="1"/>
  <c r="P192" i="1" s="1"/>
  <c r="L4" i="1"/>
  <c r="N4" i="1" s="1"/>
  <c r="O4" i="1" s="1"/>
  <c r="K48" i="1"/>
  <c r="L48" i="1" s="1"/>
  <c r="N48" i="1" s="1"/>
  <c r="O48" i="1" s="1"/>
  <c r="K96" i="1"/>
  <c r="L96" i="1" s="1"/>
  <c r="N96" i="1" s="1"/>
  <c r="O96" i="1" s="1"/>
  <c r="J125" i="1"/>
  <c r="L125" i="1" s="1"/>
  <c r="N125" i="1" s="1"/>
  <c r="O125" i="1" s="1"/>
  <c r="I162" i="1"/>
  <c r="J162" i="1" s="1"/>
  <c r="L162" i="1" s="1"/>
  <c r="M162" i="1" s="1"/>
  <c r="L8" i="1"/>
  <c r="N8" i="1" s="1"/>
  <c r="O8" i="1" s="1"/>
  <c r="D18" i="1" s="1"/>
  <c r="F18" i="1" s="1"/>
  <c r="L31" i="1"/>
  <c r="N31" i="1" s="1"/>
  <c r="O31" i="1" s="1"/>
  <c r="J213" i="1"/>
  <c r="K213" i="1" s="1"/>
  <c r="M213" i="1" s="1"/>
  <c r="N213" i="1" s="1"/>
  <c r="J247" i="1"/>
  <c r="L247" i="1" s="1"/>
  <c r="M247" i="1" s="1"/>
  <c r="J254" i="1"/>
  <c r="L254" i="1" s="1"/>
  <c r="M254" i="1" s="1"/>
  <c r="L32" i="1"/>
  <c r="N32" i="1" s="1"/>
  <c r="O32" i="1" s="1"/>
  <c r="O39" i="1" s="1"/>
  <c r="O40" i="1" s="1"/>
  <c r="J50" i="1"/>
  <c r="L50" i="1" s="1"/>
  <c r="N50" i="1" s="1"/>
  <c r="O50" i="1" s="1"/>
  <c r="J98" i="1"/>
  <c r="H155" i="1"/>
  <c r="J155" i="1" s="1"/>
  <c r="L155" i="1" s="1"/>
  <c r="M155" i="1" s="1"/>
  <c r="L128" i="1"/>
  <c r="N128" i="1" s="1"/>
  <c r="O128" i="1" s="1"/>
  <c r="L26" i="1"/>
  <c r="N26" i="1" s="1"/>
  <c r="O26" i="1" s="1"/>
  <c r="K128" i="1"/>
  <c r="L52" i="1"/>
  <c r="N52" i="1" s="1"/>
  <c r="O52" i="1" s="1"/>
  <c r="B273" i="1"/>
  <c r="B274" i="1" s="1"/>
  <c r="I216" i="1"/>
  <c r="K216" i="1" s="1"/>
  <c r="M216" i="1" s="1"/>
  <c r="N216" i="1" s="1"/>
  <c r="J219" i="1"/>
  <c r="K219" i="1" s="1"/>
  <c r="M219" i="1" s="1"/>
  <c r="N219" i="1" s="1"/>
  <c r="I214" i="1"/>
  <c r="K214" i="1" s="1"/>
  <c r="M214" i="1" s="1"/>
  <c r="N214" i="1" s="1"/>
  <c r="I222" i="1"/>
  <c r="K222" i="1" s="1"/>
  <c r="M222" i="1" s="1"/>
  <c r="N222" i="1" s="1"/>
  <c r="I217" i="1"/>
  <c r="K217" i="1" s="1"/>
  <c r="M217" i="1" s="1"/>
  <c r="N217" i="1" s="1"/>
  <c r="J223" i="1"/>
  <c r="K223" i="1" s="1"/>
  <c r="M223" i="1" s="1"/>
  <c r="N223" i="1" s="1"/>
  <c r="J215" i="1"/>
  <c r="K215" i="1" s="1"/>
  <c r="M215" i="1" s="1"/>
  <c r="N215" i="1" s="1"/>
  <c r="I218" i="1"/>
  <c r="K218" i="1" s="1"/>
  <c r="M218" i="1" s="1"/>
  <c r="N218" i="1" s="1"/>
  <c r="K183" i="1"/>
  <c r="M183" i="1" s="1"/>
  <c r="O183" i="1" s="1"/>
  <c r="P183" i="1" s="1"/>
  <c r="K191" i="1"/>
  <c r="M191" i="1" s="1"/>
  <c r="O191" i="1" s="1"/>
  <c r="P191" i="1" s="1"/>
  <c r="K189" i="1"/>
  <c r="M189" i="1" s="1"/>
  <c r="O189" i="1" s="1"/>
  <c r="P189" i="1" s="1"/>
  <c r="K190" i="1"/>
  <c r="M190" i="1" s="1"/>
  <c r="O190" i="1" s="1"/>
  <c r="P190" i="1" s="1"/>
  <c r="K185" i="1"/>
  <c r="M185" i="1" s="1"/>
  <c r="O185" i="1" s="1"/>
  <c r="P185" i="1" s="1"/>
  <c r="K193" i="1"/>
  <c r="M193" i="1" s="1"/>
  <c r="O193" i="1" s="1"/>
  <c r="P193" i="1" s="1"/>
  <c r="J165" i="1"/>
  <c r="L165" i="1" s="1"/>
  <c r="M165" i="1" s="1"/>
  <c r="H154" i="1"/>
  <c r="J154" i="1" s="1"/>
  <c r="L154" i="1" s="1"/>
  <c r="M154" i="1" s="1"/>
  <c r="I157" i="1"/>
  <c r="J157" i="1" s="1"/>
  <c r="L157" i="1" s="1"/>
  <c r="M157" i="1" s="1"/>
  <c r="I165" i="1"/>
  <c r="H160" i="1"/>
  <c r="J160" i="1" s="1"/>
  <c r="L160" i="1" s="1"/>
  <c r="M160" i="1" s="1"/>
  <c r="H156" i="1"/>
  <c r="J156" i="1" s="1"/>
  <c r="L156" i="1" s="1"/>
  <c r="M156" i="1" s="1"/>
  <c r="H164" i="1"/>
  <c r="J164" i="1" s="1"/>
  <c r="L164" i="1" s="1"/>
  <c r="M164" i="1" s="1"/>
  <c r="H161" i="1"/>
  <c r="J161" i="1" s="1"/>
  <c r="L161" i="1" s="1"/>
  <c r="M161" i="1" s="1"/>
  <c r="J124" i="1"/>
  <c r="L124" i="1" s="1"/>
  <c r="N124" i="1" s="1"/>
  <c r="O124" i="1" s="1"/>
  <c r="J132" i="1"/>
  <c r="L132" i="1" s="1"/>
  <c r="N132" i="1" s="1"/>
  <c r="O132" i="1" s="1"/>
  <c r="K127" i="1"/>
  <c r="L127" i="1" s="1"/>
  <c r="N127" i="1" s="1"/>
  <c r="O127" i="1" s="1"/>
  <c r="K135" i="1"/>
  <c r="L135" i="1" s="1"/>
  <c r="N135" i="1" s="1"/>
  <c r="O135" i="1" s="1"/>
  <c r="J130" i="1"/>
  <c r="L130" i="1" s="1"/>
  <c r="N130" i="1" s="1"/>
  <c r="O130" i="1" s="1"/>
  <c r="J131" i="1"/>
  <c r="L131" i="1" s="1"/>
  <c r="N131" i="1" s="1"/>
  <c r="O131" i="1" s="1"/>
  <c r="J126" i="1"/>
  <c r="L126" i="1" s="1"/>
  <c r="N126" i="1" s="1"/>
  <c r="O126" i="1" s="1"/>
  <c r="J134" i="1"/>
  <c r="L134" i="1" s="1"/>
  <c r="N134" i="1" s="1"/>
  <c r="O134" i="1" s="1"/>
  <c r="L98" i="1"/>
  <c r="N98" i="1" s="1"/>
  <c r="O98" i="1" s="1"/>
  <c r="J102" i="1"/>
  <c r="L102" i="1" s="1"/>
  <c r="N102" i="1" s="1"/>
  <c r="O102" i="1" s="1"/>
  <c r="J97" i="1"/>
  <c r="L97" i="1" s="1"/>
  <c r="N97" i="1" s="1"/>
  <c r="O97" i="1" s="1"/>
  <c r="J105" i="1"/>
  <c r="L105" i="1" s="1"/>
  <c r="N105" i="1" s="1"/>
  <c r="O105" i="1" s="1"/>
  <c r="K94" i="1"/>
  <c r="L94" i="1" s="1"/>
  <c r="N94" i="1" s="1"/>
  <c r="O94" i="1" s="1"/>
  <c r="J95" i="1"/>
  <c r="L95" i="1" s="1"/>
  <c r="N95" i="1" s="1"/>
  <c r="O95" i="1" s="1"/>
  <c r="J103" i="1"/>
  <c r="L103" i="1" s="1"/>
  <c r="N103" i="1" s="1"/>
  <c r="O103" i="1" s="1"/>
  <c r="J99" i="1"/>
  <c r="L99" i="1" s="1"/>
  <c r="N99" i="1" s="1"/>
  <c r="O99" i="1" s="1"/>
  <c r="J101" i="1"/>
  <c r="L101" i="1" s="1"/>
  <c r="N101" i="1" s="1"/>
  <c r="O101" i="1" s="1"/>
  <c r="L55" i="1"/>
  <c r="N55" i="1" s="1"/>
  <c r="O55" i="1" s="1"/>
  <c r="J45" i="1"/>
  <c r="L45" i="1" s="1"/>
  <c r="N45" i="1" s="1"/>
  <c r="O45" i="1" s="1"/>
  <c r="J53" i="1"/>
  <c r="L53" i="1" s="1"/>
  <c r="N53" i="1" s="1"/>
  <c r="O53" i="1" s="1"/>
  <c r="J54" i="1"/>
  <c r="L54" i="1" s="1"/>
  <c r="N54" i="1" s="1"/>
  <c r="O54" i="1" s="1"/>
  <c r="K46" i="1"/>
  <c r="L46" i="1" s="1"/>
  <c r="N46" i="1" s="1"/>
  <c r="O46" i="1" s="1"/>
  <c r="J49" i="1"/>
  <c r="L49" i="1" s="1"/>
  <c r="N49" i="1" s="1"/>
  <c r="O49" i="1" s="1"/>
  <c r="N39" i="1"/>
  <c r="N40" i="1" s="1"/>
  <c r="L2" i="1"/>
  <c r="N2" i="1" s="1"/>
  <c r="O2" i="1" s="1"/>
  <c r="C17" i="1" s="1"/>
  <c r="L10" i="1"/>
  <c r="N10" i="1" s="1"/>
  <c r="O10" i="1" s="1"/>
  <c r="A271" i="1" l="1"/>
  <c r="A276" i="1" s="1"/>
  <c r="A277" i="1" s="1"/>
  <c r="C66" i="1"/>
  <c r="C19" i="1"/>
  <c r="B271" i="1"/>
  <c r="B276" i="1" s="1"/>
  <c r="B277" i="1" s="1"/>
  <c r="O38" i="1"/>
  <c r="C18" i="1"/>
  <c r="M257" i="1"/>
  <c r="M258" i="1"/>
  <c r="D17" i="1"/>
  <c r="F17" i="1" s="1"/>
  <c r="E119" i="1"/>
  <c r="E120" i="1" s="1"/>
  <c r="D19" i="1"/>
  <c r="F19" i="1" s="1"/>
  <c r="B235" i="1"/>
  <c r="D237" i="1"/>
  <c r="D238" i="1" s="1"/>
  <c r="C235" i="1"/>
  <c r="N224" i="1"/>
  <c r="C237" i="1"/>
  <c r="C238" i="1" s="1"/>
  <c r="N225" i="1"/>
  <c r="F208" i="1"/>
  <c r="F209" i="1" s="1"/>
  <c r="G205" i="1" s="1"/>
  <c r="E205" i="1"/>
  <c r="E208" i="1"/>
  <c r="E209" i="1" s="1"/>
  <c r="F205" i="1" s="1"/>
  <c r="D205" i="1"/>
  <c r="C179" i="1"/>
  <c r="C180" i="1" s="1"/>
  <c r="D175" i="1" s="1"/>
  <c r="B175" i="1"/>
  <c r="B179" i="1"/>
  <c r="B180" i="1" s="1"/>
  <c r="C175" i="1" s="1"/>
  <c r="A175" i="1"/>
  <c r="E149" i="1"/>
  <c r="E150" i="1" s="1"/>
  <c r="F144" i="1" s="1"/>
  <c r="D144" i="1"/>
  <c r="D149" i="1"/>
  <c r="D150" i="1" s="1"/>
  <c r="E144" i="1" s="1"/>
  <c r="C144" i="1"/>
  <c r="D119" i="1"/>
  <c r="D120" i="1" s="1"/>
  <c r="C113" i="1"/>
  <c r="D113" i="1"/>
  <c r="D67" i="1"/>
  <c r="E67" i="1"/>
  <c r="C68" i="1"/>
  <c r="C67" i="1"/>
  <c r="D68" i="1"/>
  <c r="F68" i="1" s="1"/>
  <c r="D66" i="1"/>
  <c r="E66" i="1"/>
  <c r="F67" i="1" l="1"/>
  <c r="F66" i="1"/>
  <c r="C273" i="1"/>
  <c r="C274" i="1" s="1"/>
  <c r="C244" i="1"/>
  <c r="C240" i="1"/>
  <c r="C241" i="1" s="1"/>
  <c r="B244" i="1"/>
  <c r="B240" i="1"/>
  <c r="B241" i="1" s="1"/>
</calcChain>
</file>

<file path=xl/sharedStrings.xml><?xml version="1.0" encoding="utf-8"?>
<sst xmlns="http://schemas.openxmlformats.org/spreadsheetml/2006/main" count="901" uniqueCount="299">
  <si>
    <t>QUADRANT</t>
  </si>
  <si>
    <t>GRID #</t>
  </si>
  <si>
    <t>DATE</t>
  </si>
  <si>
    <t>GRID-SIZE (HA)</t>
  </si>
  <si>
    <t>GRID-COUNT</t>
  </si>
  <si>
    <t>SIXBPC</t>
  </si>
  <si>
    <t>WIND</t>
  </si>
  <si>
    <t>CLOUD</t>
  </si>
  <si>
    <t>AVE-ADJCOV</t>
  </si>
  <si>
    <t>EXP TOP</t>
  </si>
  <si>
    <t>EXP BOTTOM</t>
  </si>
  <si>
    <t>CALLRATE</t>
  </si>
  <si>
    <t>COVEYSIZE</t>
  </si>
  <si>
    <t>GRIDDENSITY(HA)</t>
  </si>
  <si>
    <t>GRIDDENSITY(AC)</t>
  </si>
  <si>
    <t>NE</t>
  </si>
  <si>
    <t>NW</t>
  </si>
  <si>
    <t>SE</t>
  </si>
  <si>
    <t>SW</t>
  </si>
  <si>
    <t>YEAR</t>
  </si>
  <si>
    <t>SIDE</t>
  </si>
  <si>
    <t>AVERAGE</t>
  </si>
  <si>
    <t>VAR</t>
  </si>
  <si>
    <t>COUNT</t>
  </si>
  <si>
    <t>NORTH</t>
  </si>
  <si>
    <t>SOUTH</t>
  </si>
  <si>
    <t>OVERALL</t>
  </si>
  <si>
    <t>Covey Size</t>
  </si>
  <si>
    <t>SURVEY AREA (HA)</t>
  </si>
  <si>
    <t>TOTAL POSSIBLE area(ha)</t>
  </si>
  <si>
    <t>North density</t>
  </si>
  <si>
    <t>South</t>
  </si>
  <si>
    <t>TOTAL POSSIBLE area(AC)</t>
  </si>
  <si>
    <t>ave</t>
  </si>
  <si>
    <t>var</t>
  </si>
  <si>
    <t>AREA CORRECTION</t>
  </si>
  <si>
    <t>se</t>
  </si>
  <si>
    <t>NE-BUTLER</t>
  </si>
  <si>
    <t>NE-MAYHAW</t>
  </si>
  <si>
    <t>NW-SCRUB</t>
  </si>
  <si>
    <t>QUAD</t>
  </si>
  <si>
    <t>NORTH SE</t>
  </si>
  <si>
    <t>SOUTH SE</t>
  </si>
  <si>
    <t>North Var</t>
  </si>
  <si>
    <t>South Var</t>
  </si>
  <si>
    <t>AVE</t>
  </si>
  <si>
    <t>FED</t>
  </si>
  <si>
    <t>UNFED</t>
  </si>
  <si>
    <t>Location</t>
  </si>
  <si>
    <t>Sutty</t>
  </si>
  <si>
    <t>06-11</t>
  </si>
  <si>
    <t>Mayhaw</t>
  </si>
  <si>
    <t>06-10</t>
  </si>
  <si>
    <t>Tower</t>
  </si>
  <si>
    <t>06-08</t>
  </si>
  <si>
    <t>Charlies</t>
  </si>
  <si>
    <t>06-12</t>
  </si>
  <si>
    <t>Scrub</t>
  </si>
  <si>
    <t>06-09</t>
  </si>
  <si>
    <t>Bottom D</t>
  </si>
  <si>
    <t>06-07</t>
  </si>
  <si>
    <t>Sloans</t>
  </si>
  <si>
    <t>06-05</t>
  </si>
  <si>
    <t>Slim Pick</t>
  </si>
  <si>
    <t>06-02</t>
  </si>
  <si>
    <t xml:space="preserve">Rep II </t>
  </si>
  <si>
    <t>06-00</t>
  </si>
  <si>
    <t>Daily Doub</t>
  </si>
  <si>
    <t>06-06</t>
  </si>
  <si>
    <t>Long Fld</t>
  </si>
  <si>
    <t>06-04</t>
  </si>
  <si>
    <t>Rep III</t>
  </si>
  <si>
    <t>06-03</t>
  </si>
  <si>
    <t>07-06</t>
  </si>
  <si>
    <t>07-09</t>
  </si>
  <si>
    <t>07-08</t>
  </si>
  <si>
    <t>07-07</t>
  </si>
  <si>
    <t>07-05</t>
  </si>
  <si>
    <t>07-12</t>
  </si>
  <si>
    <t>07-10</t>
  </si>
  <si>
    <t>07-11</t>
  </si>
  <si>
    <t>07-01</t>
  </si>
  <si>
    <t>average</t>
  </si>
  <si>
    <t>Cov Count</t>
  </si>
  <si>
    <t>Flush</t>
  </si>
  <si>
    <t>Density</t>
  </si>
  <si>
    <t>Covey Count</t>
  </si>
  <si>
    <t>95%CI</t>
  </si>
  <si>
    <t>Feed Treatment</t>
  </si>
  <si>
    <t>Side</t>
  </si>
  <si>
    <t>a-CONTROL</t>
  </si>
  <si>
    <t>north</t>
  </si>
  <si>
    <t>East of Primus</t>
  </si>
  <si>
    <t>09-3</t>
  </si>
  <si>
    <t>south</t>
  </si>
  <si>
    <t>Woodyard Fields</t>
  </si>
  <si>
    <t>09-9</t>
  </si>
  <si>
    <t>SE of Anders</t>
  </si>
  <si>
    <t>09-4</t>
  </si>
  <si>
    <t>Scrub Course</t>
  </si>
  <si>
    <t>09-7</t>
  </si>
  <si>
    <t>b-0.5 bu/a</t>
  </si>
  <si>
    <t>Butler Field</t>
  </si>
  <si>
    <t>09-1</t>
  </si>
  <si>
    <t>09-2</t>
  </si>
  <si>
    <t>Dove Field</t>
  </si>
  <si>
    <t>09-10</t>
  </si>
  <si>
    <t>Big Pine Field</t>
  </si>
  <si>
    <t>c-2 bu/a</t>
  </si>
  <si>
    <t>Rep I</t>
  </si>
  <si>
    <t>09-5</t>
  </si>
  <si>
    <t>North of Rep II</t>
  </si>
  <si>
    <t>09-6</t>
  </si>
  <si>
    <t>NE of Rep III</t>
  </si>
  <si>
    <t>09-8</t>
  </si>
  <si>
    <t>Introduction Field</t>
  </si>
  <si>
    <t>09-11</t>
  </si>
  <si>
    <t>North</t>
  </si>
  <si>
    <t>East of Rep III</t>
  </si>
  <si>
    <t>10-6</t>
  </si>
  <si>
    <t>Smoking Gun</t>
  </si>
  <si>
    <t>10-7</t>
  </si>
  <si>
    <t>N. Tripsacum</t>
  </si>
  <si>
    <t>10-5</t>
  </si>
  <si>
    <t>Slim Pickens</t>
  </si>
  <si>
    <t>10-8</t>
  </si>
  <si>
    <t>S of Harvin</t>
  </si>
  <si>
    <t>10-2</t>
  </si>
  <si>
    <t>E. Sloan Course</t>
  </si>
  <si>
    <t>10-4</t>
  </si>
  <si>
    <t>Tower Course</t>
  </si>
  <si>
    <t>10-3</t>
  </si>
  <si>
    <t>Charlie's</t>
  </si>
  <si>
    <t>10-1</t>
  </si>
  <si>
    <t>Anders North</t>
  </si>
  <si>
    <t>10-12</t>
  </si>
  <si>
    <t>E. Primus fld</t>
  </si>
  <si>
    <t>10-11</t>
  </si>
  <si>
    <t>Daily Double</t>
  </si>
  <si>
    <t>10-10</t>
  </si>
  <si>
    <t>NW of Jones</t>
  </si>
  <si>
    <t>10-9</t>
  </si>
  <si>
    <t>Prac</t>
  </si>
  <si>
    <t>Control</t>
  </si>
  <si>
    <t>0.5 bu Feed Trt</t>
  </si>
  <si>
    <t>2 bu Feed Trt</t>
  </si>
  <si>
    <t>East Bottom Dollar</t>
  </si>
  <si>
    <t>11-10</t>
  </si>
  <si>
    <t>11-02</t>
  </si>
  <si>
    <t>Hooker Field</t>
  </si>
  <si>
    <t>11-03</t>
  </si>
  <si>
    <t>REP II</t>
  </si>
  <si>
    <t>11-04</t>
  </si>
  <si>
    <t>REPIII</t>
  </si>
  <si>
    <t>11-05</t>
  </si>
  <si>
    <t>REP I</t>
  </si>
  <si>
    <t>11-07</t>
  </si>
  <si>
    <t>11-08</t>
  </si>
  <si>
    <t>South of NB66</t>
  </si>
  <si>
    <t>11-12</t>
  </si>
  <si>
    <t>11-06</t>
  </si>
  <si>
    <t>Jones Field</t>
  </si>
  <si>
    <t>11-09</t>
  </si>
  <si>
    <t>11-11</t>
  </si>
  <si>
    <t>11-01</t>
  </si>
  <si>
    <t>Average</t>
  </si>
  <si>
    <t>0.5 buFEED</t>
  </si>
  <si>
    <t>1.0 buFEED</t>
  </si>
  <si>
    <t>2.0 buFEED</t>
  </si>
  <si>
    <t>year</t>
  </si>
  <si>
    <t>density</t>
  </si>
  <si>
    <t>Gay Fields / M-12</t>
  </si>
  <si>
    <t>12-1</t>
  </si>
  <si>
    <t>12-2</t>
  </si>
  <si>
    <t>Daily Dubs</t>
  </si>
  <si>
    <t>12-3</t>
  </si>
  <si>
    <t xml:space="preserve">Anders North </t>
  </si>
  <si>
    <t>12-4</t>
  </si>
  <si>
    <t>12-5</t>
  </si>
  <si>
    <t>North of Dove Field</t>
  </si>
  <si>
    <t>12-6</t>
  </si>
  <si>
    <t>12-7</t>
  </si>
  <si>
    <t>12-8</t>
  </si>
  <si>
    <t>Sloan Course</t>
  </si>
  <si>
    <t>12-9</t>
  </si>
  <si>
    <t>12-10</t>
  </si>
  <si>
    <t>Rep II</t>
  </si>
  <si>
    <t>12-11</t>
  </si>
  <si>
    <t>Bottom Dollar</t>
  </si>
  <si>
    <t>12-12</t>
  </si>
  <si>
    <t>13-1</t>
  </si>
  <si>
    <t>13-2</t>
  </si>
  <si>
    <t>13-3</t>
  </si>
  <si>
    <t>Primus</t>
  </si>
  <si>
    <t>13-4</t>
  </si>
  <si>
    <t>Dugan Field/ M-12</t>
  </si>
  <si>
    <t>13-5</t>
  </si>
  <si>
    <t>13-6</t>
  </si>
  <si>
    <t>REP III</t>
  </si>
  <si>
    <t>13-7</t>
  </si>
  <si>
    <t>13-8</t>
  </si>
  <si>
    <t>13-9</t>
  </si>
  <si>
    <t>13-10</t>
  </si>
  <si>
    <t>13-11</t>
  </si>
  <si>
    <t>13-12</t>
  </si>
  <si>
    <t>Quail/Acre</t>
  </si>
  <si>
    <t>95% CI</t>
  </si>
  <si>
    <t>Year</t>
  </si>
  <si>
    <t>Subplot</t>
  </si>
  <si>
    <t>Coveys</t>
  </si>
  <si>
    <t>NE 1</t>
  </si>
  <si>
    <t>NE 2</t>
  </si>
  <si>
    <t>NE 3</t>
  </si>
  <si>
    <t>NW 1</t>
  </si>
  <si>
    <t>NW 2</t>
  </si>
  <si>
    <t>NW 3</t>
  </si>
  <si>
    <t>SE 1</t>
  </si>
  <si>
    <t>SE 2</t>
  </si>
  <si>
    <t>SE 3</t>
  </si>
  <si>
    <t>SW 1</t>
  </si>
  <si>
    <t>SW 2</t>
  </si>
  <si>
    <t>SW 3</t>
  </si>
  <si>
    <t>NE 12</t>
  </si>
  <si>
    <t>NW 4</t>
  </si>
  <si>
    <t>NE 8</t>
  </si>
  <si>
    <t>NW 5</t>
  </si>
  <si>
    <t>SE 10</t>
  </si>
  <si>
    <t>SE 9</t>
  </si>
  <si>
    <t>SE 11</t>
  </si>
  <si>
    <t>NW 6</t>
  </si>
  <si>
    <t>SE 8</t>
  </si>
  <si>
    <t>SE 7</t>
  </si>
  <si>
    <t>SW 11</t>
  </si>
  <si>
    <t>SW 12</t>
  </si>
  <si>
    <t>SW 10</t>
  </si>
  <si>
    <t>NE 6</t>
  </si>
  <si>
    <t>NE 4</t>
  </si>
  <si>
    <t>NE 5</t>
  </si>
  <si>
    <t>SE 12</t>
  </si>
  <si>
    <t>SW 7</t>
  </si>
  <si>
    <t>SW 9</t>
  </si>
  <si>
    <t>SW 8</t>
  </si>
  <si>
    <t>NE - Sutty</t>
  </si>
  <si>
    <t>NE - Mayhaw</t>
  </si>
  <si>
    <t>NE - Tower</t>
  </si>
  <si>
    <t>NW -Charlies</t>
  </si>
  <si>
    <t>NW- Scrub</t>
  </si>
  <si>
    <t xml:space="preserve"> NW- Bottom D</t>
  </si>
  <si>
    <t>SE - Sloans</t>
  </si>
  <si>
    <t>SE - Slim Pick</t>
  </si>
  <si>
    <t xml:space="preserve">SE - Rep II </t>
  </si>
  <si>
    <t>SW - Daily Doub</t>
  </si>
  <si>
    <t>SW - Rep III</t>
  </si>
  <si>
    <t>SW  - Long Fld</t>
  </si>
  <si>
    <t>Steel Tire</t>
  </si>
  <si>
    <t>Primus East</t>
  </si>
  <si>
    <t>Sutty/Hooker</t>
  </si>
  <si>
    <t>15-1</t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</si>
  <si>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</si>
  <si>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</si>
  <si>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</si>
  <si>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</si>
  <si>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</si>
  <si>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</si>
  <si>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</si>
  <si>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</si>
  <si>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</si>
  <si>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</si>
  <si>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</si>
  <si>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</si>
  <si>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</si>
  <si>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16-1</t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</si>
  <si>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</si>
  <si>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</si>
  <si>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</si>
  <si>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</si>
  <si>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</si>
  <si>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</si>
  <si>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</si>
  <si>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</si>
  <si>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</si>
  <si>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</si>
  <si>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</si>
  <si>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</si>
  <si>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</si>
  <si>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</si>
  <si>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</si>
  <si>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</si>
  <si>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</si>
  <si>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</si>
  <si>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</si>
  <si>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</si>
  <si>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</si>
  <si>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</si>
  <si>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Smoking-Long</t>
  </si>
  <si>
    <t>Sloan-Pickens</t>
  </si>
  <si>
    <t>Reps</t>
  </si>
  <si>
    <t>Ander's</t>
  </si>
  <si>
    <t>Grid Size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</si>
</sst>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</font>
    <font>
      <sz val="10"/>
      <name val="Arial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96">
    <xf numFmtId="0" fontId="0" fillId="0" borderId="0" xfId="0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/>
    <xf numFmtId="49" fontId="1" fillId="0" borderId="0" xfId="0" applyNumberFormat="1" applyFont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0" xfId="2" applyFont="1" applyAlignment="1">
      <alignment horizontal="center"/>
    </xf>
    <xf numFmtId="2" fontId="2" fillId="0" borderId="0" xfId="2" applyNumberFormat="1" applyFont="1" applyBorder="1" applyAlignment="1">
      <alignment horizontal="center"/>
    </xf>
    <xf numFmtId="2" fontId="2" fillId="0" borderId="0" xfId="2" applyNumberFormat="1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4" fillId="0" borderId="0" xfId="2" applyAlignment="1">
      <alignment horizontal="center"/>
    </xf>
    <xf numFmtId="49" fontId="4" fillId="0" borderId="0" xfId="2" applyNumberFormat="1" applyAlignment="1">
      <alignment horizontal="center"/>
    </xf>
    <xf numFmtId="14" fontId="4" fillId="0" borderId="0" xfId="2" applyNumberFormat="1" applyAlignment="1">
      <alignment horizontal="center"/>
    </xf>
    <xf numFmtId="0" fontId="1" fillId="0" borderId="0" xfId="2" applyFont="1" applyBorder="1" applyAlignment="1">
      <alignment horizontal="center"/>
    </xf>
    <xf numFmtId="2" fontId="1" fillId="0" borderId="0" xfId="2" applyNumberFormat="1" applyFont="1" applyBorder="1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2" applyFont="1"/>
    <xf numFmtId="49" fontId="1" fillId="0" borderId="0" xfId="2" applyNumberFormat="1" applyFont="1" applyAlignment="1">
      <alignment horizontal="center"/>
    </xf>
    <xf numFmtId="0" fontId="4" fillId="0" borderId="0" xfId="2"/>
    <xf numFmtId="0" fontId="2" fillId="0" borderId="1" xfId="2" applyFont="1" applyBorder="1" applyAlignment="1">
      <alignment horizontal="center"/>
    </xf>
    <xf numFmtId="2" fontId="2" fillId="0" borderId="1" xfId="2" applyNumberFormat="1" applyFont="1" applyBorder="1" applyAlignment="1">
      <alignment horizontal="center"/>
    </xf>
    <xf numFmtId="2" fontId="2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2" fillId="0" borderId="4" xfId="2" applyFont="1" applyBorder="1"/>
    <xf numFmtId="0" fontId="2" fillId="0" borderId="4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49" fontId="1" fillId="0" borderId="6" xfId="2" applyNumberFormat="1" applyFont="1" applyBorder="1" applyAlignment="1">
      <alignment horizontal="center"/>
    </xf>
    <xf numFmtId="14" fontId="4" fillId="0" borderId="6" xfId="2" applyNumberFormat="1" applyBorder="1" applyAlignment="1">
      <alignment horizontal="center"/>
    </xf>
    <xf numFmtId="0" fontId="1" fillId="0" borderId="6" xfId="2" applyFont="1" applyBorder="1" applyAlignment="1">
      <alignment horizontal="center"/>
    </xf>
    <xf numFmtId="2" fontId="1" fillId="0" borderId="6" xfId="2" applyNumberFormat="1" applyFont="1" applyBorder="1" applyAlignment="1">
      <alignment horizontal="center"/>
    </xf>
    <xf numFmtId="0" fontId="2" fillId="0" borderId="5" xfId="2" applyFont="1" applyBorder="1"/>
    <xf numFmtId="0" fontId="1" fillId="0" borderId="4" xfId="2" applyFont="1" applyBorder="1"/>
    <xf numFmtId="0" fontId="2" fillId="0" borderId="0" xfId="2" applyFont="1"/>
    <xf numFmtId="0" fontId="4" fillId="0" borderId="1" xfId="2" applyBorder="1"/>
    <xf numFmtId="0" fontId="1" fillId="0" borderId="1" xfId="2" applyFont="1" applyBorder="1" applyAlignment="1">
      <alignment horizontal="center"/>
    </xf>
    <xf numFmtId="0" fontId="1" fillId="0" borderId="1" xfId="2" applyFont="1" applyBorder="1"/>
    <xf numFmtId="0" fontId="1" fillId="0" borderId="2" xfId="2" applyFont="1" applyBorder="1"/>
    <xf numFmtId="2" fontId="1" fillId="0" borderId="4" xfId="2" applyNumberFormat="1" applyFont="1" applyBorder="1"/>
    <xf numFmtId="0" fontId="5" fillId="0" borderId="3" xfId="2" applyFont="1" applyBorder="1" applyAlignment="1">
      <alignment horizontal="center"/>
    </xf>
    <xf numFmtId="49" fontId="6" fillId="0" borderId="0" xfId="2" applyNumberFormat="1" applyFont="1" applyAlignment="1">
      <alignment horizontal="center"/>
    </xf>
    <xf numFmtId="14" fontId="6" fillId="0" borderId="0" xfId="2" applyNumberFormat="1" applyFont="1" applyAlignment="1">
      <alignment horizontal="center"/>
    </xf>
    <xf numFmtId="0" fontId="6" fillId="0" borderId="0" xfId="2" applyFont="1" applyBorder="1" applyAlignment="1">
      <alignment horizontal="center"/>
    </xf>
    <xf numFmtId="2" fontId="6" fillId="0" borderId="0" xfId="2" applyNumberFormat="1" applyFont="1" applyBorder="1" applyAlignment="1">
      <alignment horizontal="center"/>
    </xf>
    <xf numFmtId="0" fontId="6" fillId="0" borderId="0" xfId="2" applyFont="1" applyAlignment="1">
      <alignment horizontal="center"/>
    </xf>
    <xf numFmtId="0" fontId="5" fillId="0" borderId="4" xfId="2" applyFont="1" applyBorder="1"/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6" fillId="0" borderId="6" xfId="2" applyNumberFormat="1" applyFont="1" applyBorder="1" applyAlignment="1">
      <alignment horizontal="center"/>
    </xf>
    <xf numFmtId="14" fontId="6" fillId="0" borderId="6" xfId="2" applyNumberFormat="1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2" fontId="6" fillId="0" borderId="6" xfId="2" applyNumberFormat="1" applyFont="1" applyBorder="1" applyAlignment="1">
      <alignment horizontal="center"/>
    </xf>
    <xf numFmtId="0" fontId="5" fillId="0" borderId="5" xfId="2" applyFont="1" applyBorder="1"/>
    <xf numFmtId="0" fontId="4" fillId="0" borderId="0" xfId="2" applyFill="1"/>
    <xf numFmtId="2" fontId="0" fillId="0" borderId="0" xfId="0" applyNumberFormat="1" applyFill="1"/>
    <xf numFmtId="165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right"/>
    </xf>
    <xf numFmtId="49" fontId="1" fillId="0" borderId="0" xfId="2" applyNumberFormat="1" applyFont="1" applyBorder="1" applyAlignment="1">
      <alignment horizontal="center"/>
    </xf>
  </cellXfs>
  <cellStyles count="3">
    <cellStyle name="Normal" xfId="0" builtinId="0"/>
    <cellStyle name="Normal 2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October bobwhite Density on Tall Timbers Research Station</a:t>
            </a:r>
          </a:p>
        </c:rich>
      </c:tx>
      <c:layout>
        <c:manualLayout>
          <c:xMode val="edge"/>
          <c:yMode val="edge"/>
          <c:x val="0.14723937407089818"/>
          <c:y val="3.7542662116040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90193927184629"/>
          <c:y val="0.17747440273037543"/>
          <c:w val="0.81595153130956077"/>
          <c:h val="0.65529010238907848"/>
        </c:manualLayout>
      </c:layout>
      <c:lineChart>
        <c:grouping val="standard"/>
        <c:varyColors val="0"/>
        <c:ser>
          <c:idx val="0"/>
          <c:order val="0"/>
          <c:tx>
            <c:strRef>
              <c:f>[1]GRIDSUM!$B$30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[1]GRIDSUM!$C$31:$C$33</c:f>
                <c:numCache>
                  <c:formatCode>General</c:formatCode>
                  <c:ptCount val="3"/>
                  <c:pt idx="0">
                    <c:v>0.10800583013414856</c:v>
                  </c:pt>
                  <c:pt idx="1">
                    <c:v>0.10937217586599976</c:v>
                  </c:pt>
                  <c:pt idx="2">
                    <c:v>0.12442286303153945</c:v>
                  </c:pt>
                </c:numCache>
              </c:numRef>
            </c:plus>
            <c:minus>
              <c:numRef>
                <c:f>[1]GRIDSUM!$C$31:$C$33</c:f>
                <c:numCache>
                  <c:formatCode>General</c:formatCode>
                  <c:ptCount val="3"/>
                  <c:pt idx="0">
                    <c:v>0.10800583013414856</c:v>
                  </c:pt>
                  <c:pt idx="1">
                    <c:v>0.10937217586599976</c:v>
                  </c:pt>
                  <c:pt idx="2">
                    <c:v>0.12442286303153945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[1]GRIDSUM!$A$31:$A$33</c:f>
              <c:numCache>
                <c:formatCode>General</c:formatCode>
                <c:ptCount val="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</c:numCache>
            </c:numRef>
          </c:cat>
          <c:val>
            <c:numRef>
              <c:f>[1]GRIDSUM!$B$31:$B$33</c:f>
              <c:numCache>
                <c:formatCode>General</c:formatCode>
                <c:ptCount val="3"/>
                <c:pt idx="0">
                  <c:v>1.0109835437989474</c:v>
                </c:pt>
                <c:pt idx="1">
                  <c:v>0.99779101070734655</c:v>
                </c:pt>
                <c:pt idx="2">
                  <c:v>1.6260212107743721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9-4A4D-841B-D50B4FB49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263632"/>
        <c:axId val="1"/>
      </c:lineChart>
      <c:catAx>
        <c:axId val="112226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Bobwhite/acre (SE)</a:t>
                </a:r>
              </a:p>
            </c:rich>
          </c:tx>
          <c:layout>
            <c:manualLayout>
              <c:xMode val="edge"/>
              <c:yMode val="edge"/>
              <c:x val="2.4539895678483033E-2"/>
              <c:y val="0.26621160409556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2263632"/>
        <c:crosses val="autoZero"/>
        <c:crossBetween val="between"/>
        <c:majorUnit val="0.2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68</xdr:row>
      <xdr:rowOff>76200</xdr:rowOff>
    </xdr:from>
    <xdr:to>
      <xdr:col>11</xdr:col>
      <xdr:colOff>533400</xdr:colOff>
      <xdr:row>85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44B13E7-C916-44CE-854F-8F66594D2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ron's%20Files/Theron_HD_Data/WD_Drive/GamebirdFolder_Backup_12-2-2016/QUAIL/Database/TTRS/02ttdata/02coveycallsurv/02ttcoveycall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SUM"/>
      <sheetName val="COVEYCOUNT"/>
      <sheetName val="Sheet1"/>
      <sheetName val="Sheet2"/>
    </sheetNames>
    <sheetDataSet>
      <sheetData sheetId="0">
        <row r="30">
          <cell r="B30" t="str">
            <v>AVERAGE</v>
          </cell>
        </row>
        <row r="31">
          <cell r="A31">
            <v>2000</v>
          </cell>
          <cell r="B31">
            <v>1.0109835437989474</v>
          </cell>
          <cell r="C31">
            <v>0.10800583013414856</v>
          </cell>
        </row>
        <row r="32">
          <cell r="A32">
            <v>2001</v>
          </cell>
          <cell r="B32">
            <v>0.99779101070734655</v>
          </cell>
          <cell r="C32">
            <v>0.10937217586599976</v>
          </cell>
        </row>
        <row r="33">
          <cell r="A33">
            <v>2002</v>
          </cell>
          <cell r="B33">
            <v>1.6260212107743721</v>
          </cell>
          <cell r="C33">
            <v>0.12442286303153945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sheetData>
    <row r="1" spans="1:9" x14ac:dyDescent="0.25">
      <c r="A1" t="s">
        <v>207</v>
      </c>
      <c r="B1" t="s">
        <v>208</v>
      </c>
      <c r="C1" t="s">
        <v>298</v>
      </c>
      <c r="D1" t="s">
        <v>209</v>
      </c>
      <c r="E1" t="s">
        <v>27</v>
      </c>
      <c r="F1" t="s">
        <v>13</v>
      </c>
      <c r="G1" t="s">
        <v>14</v>
      </c>
    </row>
    <row r="2" spans="1:9" x14ac:dyDescent="0.25">
      <c r="A2">
        <v>2000</v>
      </c>
      <c r="B2" s="1" t="s">
        <v>210</v>
      </c>
      <c r="C2" s="1">
        <v>25</v>
      </c>
      <c r="D2" s="94">
        <v>3</v>
      </c>
      <c r="E2" s="7">
        <v>14</v>
      </c>
      <c r="F2">
        <v>1.7907249360660793</v>
      </c>
      <c r="G2">
        <v>0.7249898526583316</v>
      </c>
    </row>
    <row r="3" spans="1:9" x14ac:dyDescent="0.25">
      <c r="A3">
        <v>2000</v>
      </c>
      <c r="B3" t="s">
        <v>211</v>
      </c>
      <c r="C3">
        <v>25</v>
      </c>
      <c r="D3">
        <v>3</v>
      </c>
      <c r="E3" s="7">
        <v>14</v>
      </c>
      <c r="F3">
        <v>1.9621528858399233</v>
      </c>
      <c r="G3">
        <v>0.79439388090685148</v>
      </c>
    </row>
    <row r="4" spans="1:9" x14ac:dyDescent="0.25">
      <c r="A4">
        <v>2000</v>
      </c>
      <c r="B4" t="s">
        <v>212</v>
      </c>
      <c r="C4">
        <v>25</v>
      </c>
      <c r="D4">
        <v>3</v>
      </c>
      <c r="E4" s="7">
        <v>14</v>
      </c>
      <c r="F4">
        <v>2.1373500504433895</v>
      </c>
      <c r="G4">
        <v>0.86532390706210094</v>
      </c>
    </row>
    <row r="5" spans="1:9" x14ac:dyDescent="0.25">
      <c r="A5">
        <v>2000</v>
      </c>
      <c r="B5" t="s">
        <v>213</v>
      </c>
      <c r="C5">
        <v>25</v>
      </c>
      <c r="D5">
        <v>4</v>
      </c>
      <c r="E5" s="7">
        <v>14</v>
      </c>
      <c r="F5">
        <v>2.5561229261822151</v>
      </c>
      <c r="G5">
        <v>1.0348675814502895</v>
      </c>
    </row>
    <row r="6" spans="1:9" x14ac:dyDescent="0.25">
      <c r="A6">
        <v>2000</v>
      </c>
      <c r="B6" t="s">
        <v>214</v>
      </c>
      <c r="C6">
        <v>25</v>
      </c>
      <c r="D6">
        <v>7</v>
      </c>
      <c r="E6" s="7">
        <v>14</v>
      </c>
      <c r="F6">
        <v>4.1594744984238625</v>
      </c>
      <c r="G6">
        <v>1.6839977726412398</v>
      </c>
    </row>
    <row r="7" spans="1:9" x14ac:dyDescent="0.25">
      <c r="A7">
        <v>2000</v>
      </c>
      <c r="B7" t="s">
        <v>215</v>
      </c>
      <c r="C7">
        <v>25</v>
      </c>
      <c r="D7">
        <v>4</v>
      </c>
      <c r="E7" s="7">
        <v>14</v>
      </c>
      <c r="F7">
        <v>2.6830271898725275</v>
      </c>
      <c r="G7">
        <v>1.0862458258593228</v>
      </c>
    </row>
    <row r="8" spans="1:9" x14ac:dyDescent="0.25">
      <c r="A8">
        <v>2000</v>
      </c>
      <c r="B8" t="s">
        <v>216</v>
      </c>
      <c r="C8">
        <v>25</v>
      </c>
      <c r="D8">
        <v>3</v>
      </c>
      <c r="E8" s="7">
        <v>14</v>
      </c>
      <c r="F8">
        <v>1.7982083886473281</v>
      </c>
      <c r="G8">
        <v>0.72801959054547694</v>
      </c>
    </row>
    <row r="9" spans="1:9" x14ac:dyDescent="0.25">
      <c r="A9">
        <v>2000</v>
      </c>
      <c r="B9" t="s">
        <v>217</v>
      </c>
      <c r="C9">
        <v>25</v>
      </c>
      <c r="D9">
        <v>7</v>
      </c>
      <c r="E9" s="7">
        <v>14</v>
      </c>
      <c r="F9">
        <v>4.2308924190197148</v>
      </c>
      <c r="G9">
        <v>1.7129119105342974</v>
      </c>
    </row>
    <row r="10" spans="1:9" x14ac:dyDescent="0.25">
      <c r="A10">
        <v>2000</v>
      </c>
      <c r="B10" t="s">
        <v>218</v>
      </c>
      <c r="C10">
        <v>25</v>
      </c>
      <c r="D10">
        <v>5</v>
      </c>
      <c r="E10" s="7">
        <v>14</v>
      </c>
      <c r="F10">
        <v>3.1784464926961049</v>
      </c>
      <c r="G10">
        <v>1.2868204423870868</v>
      </c>
    </row>
    <row r="11" spans="1:9" x14ac:dyDescent="0.25">
      <c r="A11">
        <v>2000</v>
      </c>
      <c r="B11" t="s">
        <v>219</v>
      </c>
      <c r="C11">
        <v>25</v>
      </c>
      <c r="D11">
        <v>2</v>
      </c>
      <c r="E11" s="7">
        <v>14</v>
      </c>
      <c r="F11">
        <v>1.3695312017006744</v>
      </c>
      <c r="G11">
        <v>0.55446607356302602</v>
      </c>
    </row>
    <row r="12" spans="1:9" x14ac:dyDescent="0.25">
      <c r="A12">
        <v>2000</v>
      </c>
      <c r="B12" t="s">
        <v>220</v>
      </c>
      <c r="C12">
        <v>25</v>
      </c>
      <c r="D12">
        <v>3</v>
      </c>
      <c r="E12" s="7">
        <v>14</v>
      </c>
      <c r="F12">
        <v>2.2045543643894581</v>
      </c>
      <c r="G12">
        <v>0.89253213133176434</v>
      </c>
    </row>
    <row r="13" spans="1:9" x14ac:dyDescent="0.25">
      <c r="A13">
        <v>2000</v>
      </c>
      <c r="B13" t="s">
        <v>221</v>
      </c>
      <c r="C13">
        <v>25</v>
      </c>
      <c r="D13">
        <v>3</v>
      </c>
      <c r="E13" s="7">
        <v>14</v>
      </c>
      <c r="F13">
        <v>1.8950668849195194</v>
      </c>
      <c r="G13">
        <v>0.76723355664757864</v>
      </c>
    </row>
    <row r="14" spans="1:9" x14ac:dyDescent="0.25">
      <c r="A14">
        <v>2001</v>
      </c>
      <c r="B14" s="1" t="s">
        <v>210</v>
      </c>
      <c r="C14" s="20">
        <v>21.6</v>
      </c>
      <c r="D14" s="21">
        <v>3</v>
      </c>
      <c r="E14" s="7">
        <v>13.8</v>
      </c>
      <c r="F14">
        <v>2.1015163264950383</v>
      </c>
      <c r="G14">
        <v>0.85081632651620975</v>
      </c>
    </row>
    <row r="15" spans="1:9" x14ac:dyDescent="0.25">
      <c r="A15">
        <v>2001</v>
      </c>
      <c r="B15" t="s">
        <v>211</v>
      </c>
      <c r="C15" s="20">
        <v>25</v>
      </c>
      <c r="D15" s="21">
        <v>4</v>
      </c>
      <c r="E15" s="7">
        <v>13.8</v>
      </c>
      <c r="F15">
        <v>2.6003453345246412</v>
      </c>
      <c r="G15">
        <v>1.052771390495806</v>
      </c>
      <c r="H15" s="20"/>
      <c r="I15" s="20"/>
    </row>
    <row r="16" spans="1:9" x14ac:dyDescent="0.25">
      <c r="A16">
        <v>2001</v>
      </c>
      <c r="B16" t="s">
        <v>212</v>
      </c>
      <c r="C16" s="20">
        <v>19</v>
      </c>
      <c r="D16" s="21">
        <v>4</v>
      </c>
      <c r="E16" s="7">
        <v>13.8</v>
      </c>
      <c r="F16">
        <v>3.7773414924665274</v>
      </c>
      <c r="G16">
        <v>1.5292880536301729</v>
      </c>
      <c r="H16" s="20"/>
      <c r="I16" s="20"/>
    </row>
    <row r="17" spans="1:9" x14ac:dyDescent="0.25">
      <c r="A17">
        <v>2001</v>
      </c>
      <c r="B17" t="s">
        <v>213</v>
      </c>
      <c r="C17" s="20">
        <v>25</v>
      </c>
      <c r="D17" s="21">
        <v>4</v>
      </c>
      <c r="E17" s="7">
        <v>13.8</v>
      </c>
      <c r="F17">
        <v>2.3362834677852118</v>
      </c>
      <c r="G17">
        <v>0.94586375213976182</v>
      </c>
      <c r="H17" s="20"/>
      <c r="I17" s="20"/>
    </row>
    <row r="18" spans="1:9" x14ac:dyDescent="0.25">
      <c r="A18">
        <v>2001</v>
      </c>
      <c r="B18" t="s">
        <v>214</v>
      </c>
      <c r="C18" s="20">
        <v>25</v>
      </c>
      <c r="D18" s="21">
        <v>3</v>
      </c>
      <c r="E18" s="7">
        <v>13.8</v>
      </c>
      <c r="F18">
        <v>1.8216969197505828</v>
      </c>
      <c r="G18">
        <v>0.73752911730792825</v>
      </c>
      <c r="H18" s="20"/>
      <c r="I18" s="20"/>
    </row>
    <row r="19" spans="1:9" x14ac:dyDescent="0.25">
      <c r="A19">
        <v>2001</v>
      </c>
      <c r="B19" t="s">
        <v>215</v>
      </c>
      <c r="C19" s="25">
        <v>23.9</v>
      </c>
      <c r="D19" s="21">
        <v>4</v>
      </c>
      <c r="E19" s="7">
        <v>13.8</v>
      </c>
      <c r="F19">
        <v>2.5333086459617951</v>
      </c>
      <c r="G19">
        <v>1.0256310307537631</v>
      </c>
      <c r="H19" s="20"/>
      <c r="I19" s="20"/>
    </row>
    <row r="20" spans="1:9" x14ac:dyDescent="0.25">
      <c r="A20">
        <v>2001</v>
      </c>
      <c r="B20" t="s">
        <v>216</v>
      </c>
      <c r="C20" s="27">
        <v>22.3</v>
      </c>
      <c r="D20" s="15">
        <v>4</v>
      </c>
      <c r="E20" s="19">
        <v>13.8</v>
      </c>
      <c r="F20">
        <v>2.9142626388322137</v>
      </c>
      <c r="G20">
        <v>1.1798634165312605</v>
      </c>
      <c r="H20" s="20"/>
      <c r="I20" s="20"/>
    </row>
    <row r="21" spans="1:9" x14ac:dyDescent="0.25">
      <c r="A21">
        <v>2001</v>
      </c>
      <c r="B21" t="s">
        <v>217</v>
      </c>
      <c r="C21" s="20">
        <v>18.7</v>
      </c>
      <c r="D21" s="21">
        <v>3</v>
      </c>
      <c r="E21" s="7">
        <v>13.8</v>
      </c>
      <c r="F21">
        <v>2.7122786587170302</v>
      </c>
      <c r="G21">
        <v>1.0980885257963684</v>
      </c>
      <c r="H21" s="13"/>
      <c r="I21" s="13"/>
    </row>
    <row r="22" spans="1:9" x14ac:dyDescent="0.25">
      <c r="A22">
        <v>2001</v>
      </c>
      <c r="B22" t="s">
        <v>218</v>
      </c>
      <c r="C22" s="20">
        <v>25</v>
      </c>
      <c r="D22" s="21">
        <v>4</v>
      </c>
      <c r="E22" s="7">
        <v>13.8</v>
      </c>
      <c r="F22">
        <v>2.7354965934406681</v>
      </c>
      <c r="G22">
        <v>1.1074884993686915</v>
      </c>
      <c r="H22" s="20"/>
      <c r="I22" s="20"/>
    </row>
    <row r="23" spans="1:9" x14ac:dyDescent="0.25">
      <c r="A23">
        <v>2001</v>
      </c>
      <c r="B23" t="s">
        <v>219</v>
      </c>
      <c r="C23" s="25">
        <v>22.6</v>
      </c>
      <c r="D23" s="21">
        <v>0</v>
      </c>
      <c r="E23" s="7">
        <v>13.8</v>
      </c>
      <c r="F23">
        <v>0</v>
      </c>
      <c r="G23">
        <v>0</v>
      </c>
      <c r="H23" s="20"/>
      <c r="I23" s="20"/>
    </row>
    <row r="24" spans="1:9" x14ac:dyDescent="0.25">
      <c r="A24">
        <v>2001</v>
      </c>
      <c r="B24" t="s">
        <v>220</v>
      </c>
      <c r="C24" s="20">
        <v>25</v>
      </c>
      <c r="D24" s="21">
        <v>5</v>
      </c>
      <c r="E24" s="7">
        <v>13.8</v>
      </c>
      <c r="F24">
        <v>3.4050874949693064</v>
      </c>
      <c r="G24">
        <v>1.378577933185954</v>
      </c>
      <c r="H24" s="20"/>
      <c r="I24" s="20"/>
    </row>
    <row r="25" spans="1:9" x14ac:dyDescent="0.25">
      <c r="A25">
        <v>2001</v>
      </c>
      <c r="B25" t="s">
        <v>221</v>
      </c>
      <c r="C25" s="25">
        <v>25</v>
      </c>
      <c r="D25" s="21">
        <v>4</v>
      </c>
      <c r="E25" s="7">
        <v>13.8</v>
      </c>
      <c r="F25">
        <v>2.6369079844227419</v>
      </c>
      <c r="G25">
        <v>1.0675740827622435</v>
      </c>
      <c r="H25" s="20"/>
      <c r="I25" s="20"/>
    </row>
    <row r="26" spans="1:9" x14ac:dyDescent="0.25">
      <c r="A26">
        <v>2002</v>
      </c>
      <c r="B26" t="s">
        <v>222</v>
      </c>
      <c r="C26" s="1">
        <v>25</v>
      </c>
      <c r="D26" s="3">
        <v>6</v>
      </c>
      <c r="E26" s="7">
        <v>16.5</v>
      </c>
      <c r="F26">
        <v>4.9024654909248753</v>
      </c>
      <c r="G26">
        <v>1.9848038424797065</v>
      </c>
      <c r="H26" s="20"/>
      <c r="I26" s="20"/>
    </row>
    <row r="27" spans="1:9" x14ac:dyDescent="0.25">
      <c r="A27">
        <v>2002</v>
      </c>
      <c r="B27" s="31" t="s">
        <v>37</v>
      </c>
      <c r="C27" s="31">
        <v>25</v>
      </c>
      <c r="D27" s="3">
        <v>5</v>
      </c>
      <c r="E27" s="7">
        <v>16.5</v>
      </c>
      <c r="F27">
        <v>3.9814873898573739</v>
      </c>
      <c r="G27" s="1">
        <v>1.6119382145171552</v>
      </c>
      <c r="H27" s="1"/>
    </row>
    <row r="28" spans="1:9" x14ac:dyDescent="0.25">
      <c r="A28">
        <v>2002</v>
      </c>
      <c r="B28" s="31" t="s">
        <v>38</v>
      </c>
      <c r="C28" s="31">
        <v>25</v>
      </c>
      <c r="D28" s="3">
        <v>7</v>
      </c>
      <c r="E28" s="7">
        <v>16.5</v>
      </c>
      <c r="F28">
        <v>5.2457494078930402</v>
      </c>
      <c r="G28">
        <v>2.1237851853817973</v>
      </c>
      <c r="H28" s="1"/>
    </row>
    <row r="29" spans="1:9" x14ac:dyDescent="0.25">
      <c r="A29">
        <v>2002</v>
      </c>
      <c r="B29" t="s">
        <v>223</v>
      </c>
      <c r="C29" s="31">
        <v>25</v>
      </c>
      <c r="D29" s="3">
        <v>5</v>
      </c>
      <c r="E29" s="7">
        <v>16.5</v>
      </c>
      <c r="F29">
        <v>3.5318238341012886</v>
      </c>
      <c r="G29">
        <v>1.4298881919438415</v>
      </c>
      <c r="H29" s="1"/>
    </row>
    <row r="30" spans="1:9" x14ac:dyDescent="0.25">
      <c r="A30">
        <v>2002</v>
      </c>
      <c r="B30" s="31" t="s">
        <v>39</v>
      </c>
      <c r="C30" s="31">
        <v>25</v>
      </c>
      <c r="D30" s="3">
        <v>7</v>
      </c>
      <c r="E30" s="7">
        <v>16.5</v>
      </c>
      <c r="F30">
        <v>5.0842624345656207</v>
      </c>
      <c r="G30" s="31">
        <v>2.0584058439536923</v>
      </c>
      <c r="H30" s="31"/>
    </row>
    <row r="31" spans="1:9" x14ac:dyDescent="0.25">
      <c r="A31">
        <v>2002</v>
      </c>
      <c r="B31" s="31" t="s">
        <v>224</v>
      </c>
      <c r="C31" s="31">
        <v>25</v>
      </c>
      <c r="D31" s="3">
        <v>5</v>
      </c>
      <c r="E31" s="7">
        <v>16.5</v>
      </c>
      <c r="F31" s="31">
        <v>3.8414646309239733</v>
      </c>
      <c r="G31" s="1">
        <v>1.5552488384307583</v>
      </c>
    </row>
    <row r="32" spans="1:9" x14ac:dyDescent="0.25">
      <c r="A32">
        <v>2002</v>
      </c>
      <c r="B32" s="31" t="s">
        <v>225</v>
      </c>
      <c r="C32" s="31">
        <v>25</v>
      </c>
      <c r="D32" s="2">
        <v>8</v>
      </c>
      <c r="E32" s="7">
        <v>16.5</v>
      </c>
      <c r="F32" s="31">
        <v>5.4572890367488185</v>
      </c>
      <c r="G32" s="7">
        <v>2.2094287598173352</v>
      </c>
    </row>
    <row r="33" spans="1:8" x14ac:dyDescent="0.25">
      <c r="A33">
        <v>2002</v>
      </c>
      <c r="B33" s="31" t="s">
        <v>226</v>
      </c>
      <c r="C33" s="31">
        <v>25</v>
      </c>
      <c r="D33" s="3">
        <v>5</v>
      </c>
      <c r="E33" s="7">
        <v>14</v>
      </c>
      <c r="F33" s="31">
        <v>3.4050279747168788</v>
      </c>
      <c r="G33" s="31">
        <v>1.3785538359177645</v>
      </c>
    </row>
    <row r="34" spans="1:8" x14ac:dyDescent="0.25">
      <c r="A34">
        <v>2002</v>
      </c>
      <c r="B34" s="31" t="s">
        <v>227</v>
      </c>
      <c r="C34" s="31">
        <v>25</v>
      </c>
      <c r="D34" s="3">
        <v>8</v>
      </c>
      <c r="E34" s="7">
        <v>14</v>
      </c>
      <c r="F34" s="31">
        <v>4.6304270614838465</v>
      </c>
      <c r="G34" s="31">
        <v>1.8746668265116786</v>
      </c>
    </row>
    <row r="35" spans="1:8" x14ac:dyDescent="0.25">
      <c r="A35">
        <v>2002</v>
      </c>
      <c r="B35" s="31" t="s">
        <v>221</v>
      </c>
      <c r="C35" s="1">
        <v>25</v>
      </c>
      <c r="D35" s="3">
        <v>7</v>
      </c>
      <c r="E35" s="7">
        <v>14</v>
      </c>
      <c r="F35" s="1">
        <v>4.4735471494900079</v>
      </c>
      <c r="G35" s="1">
        <v>1.8111526921012175</v>
      </c>
    </row>
    <row r="36" spans="1:8" x14ac:dyDescent="0.25">
      <c r="A36">
        <v>2002</v>
      </c>
      <c r="B36" s="31" t="s">
        <v>219</v>
      </c>
      <c r="C36" s="31">
        <v>25</v>
      </c>
      <c r="D36" s="3">
        <v>3</v>
      </c>
      <c r="E36" s="7">
        <v>14</v>
      </c>
      <c r="F36" s="1">
        <v>2.0152407975927598</v>
      </c>
      <c r="G36" s="1">
        <v>0.81588696258816173</v>
      </c>
    </row>
    <row r="37" spans="1:8" x14ac:dyDescent="0.25">
      <c r="A37">
        <v>2002</v>
      </c>
      <c r="B37" s="31" t="s">
        <v>220</v>
      </c>
      <c r="C37" s="31">
        <v>25</v>
      </c>
      <c r="D37" s="3">
        <v>5</v>
      </c>
      <c r="E37" s="7">
        <v>14</v>
      </c>
      <c r="F37" s="31">
        <v>3.5743118474773268</v>
      </c>
      <c r="G37" s="31">
        <v>1.44708981679244</v>
      </c>
    </row>
    <row r="38" spans="1:8" x14ac:dyDescent="0.25">
      <c r="A38">
        <v>2002</v>
      </c>
      <c r="B38" s="31" t="s">
        <v>228</v>
      </c>
      <c r="C38" s="31">
        <v>25</v>
      </c>
      <c r="D38" s="3">
        <v>3</v>
      </c>
      <c r="E38" s="7">
        <v>14</v>
      </c>
      <c r="F38" s="31">
        <v>2.0684440221892864</v>
      </c>
      <c r="G38" s="31">
        <v>0.83742672963128995</v>
      </c>
    </row>
    <row r="39" spans="1:8" x14ac:dyDescent="0.25">
      <c r="A39">
        <v>2003</v>
      </c>
      <c r="B39" s="31" t="s">
        <v>212</v>
      </c>
      <c r="C39" s="3">
        <v>20.6</v>
      </c>
      <c r="D39" s="3">
        <v>5</v>
      </c>
      <c r="E39" s="2">
        <v>12</v>
      </c>
      <c r="F39">
        <v>3.2061011454416612</v>
      </c>
      <c r="G39" s="3">
        <v>1.298016658073547</v>
      </c>
      <c r="H39" s="3"/>
    </row>
    <row r="40" spans="1:8" x14ac:dyDescent="0.25">
      <c r="A40">
        <v>2003</v>
      </c>
      <c r="B40" s="31" t="s">
        <v>210</v>
      </c>
      <c r="C40" s="24">
        <v>25</v>
      </c>
      <c r="D40" s="24">
        <v>8</v>
      </c>
      <c r="E40" s="2">
        <v>12</v>
      </c>
      <c r="F40">
        <v>3.9140860789018639</v>
      </c>
      <c r="G40" s="24">
        <v>1.5846502343732241</v>
      </c>
      <c r="H40" s="24"/>
    </row>
    <row r="41" spans="1:8" x14ac:dyDescent="0.25">
      <c r="A41">
        <v>2003</v>
      </c>
      <c r="B41" s="31" t="s">
        <v>211</v>
      </c>
      <c r="C41" s="24">
        <v>19</v>
      </c>
      <c r="D41" s="24">
        <v>9</v>
      </c>
      <c r="E41" s="2">
        <v>12</v>
      </c>
      <c r="F41">
        <v>5.8147202228491324</v>
      </c>
      <c r="G41" s="24">
        <v>2.3541377420441831</v>
      </c>
      <c r="H41" s="24"/>
    </row>
    <row r="42" spans="1:8" x14ac:dyDescent="0.25">
      <c r="A42">
        <v>2003</v>
      </c>
      <c r="B42" s="31" t="s">
        <v>223</v>
      </c>
      <c r="C42" s="24">
        <v>25</v>
      </c>
      <c r="D42" s="24">
        <v>5</v>
      </c>
      <c r="E42" s="2">
        <v>12</v>
      </c>
      <c r="F42">
        <v>2.5707540157261075</v>
      </c>
      <c r="G42" s="24">
        <v>1.040791099484254</v>
      </c>
      <c r="H42" s="24"/>
    </row>
    <row r="43" spans="1:8" x14ac:dyDescent="0.25">
      <c r="A43">
        <v>2003</v>
      </c>
      <c r="B43" s="31" t="s">
        <v>225</v>
      </c>
      <c r="C43" s="24">
        <v>22.6</v>
      </c>
      <c r="D43" s="24">
        <v>5</v>
      </c>
      <c r="E43" s="2">
        <v>12</v>
      </c>
      <c r="F43">
        <v>2.7882402860766571</v>
      </c>
      <c r="G43" s="24">
        <v>1.1288422210836668</v>
      </c>
      <c r="H43" s="24"/>
    </row>
    <row r="44" spans="1:8" x14ac:dyDescent="0.25">
      <c r="A44">
        <v>2003</v>
      </c>
      <c r="B44" s="31" t="s">
        <v>229</v>
      </c>
      <c r="C44" s="24">
        <v>24</v>
      </c>
      <c r="D44" s="24">
        <v>6</v>
      </c>
      <c r="E44" s="2">
        <v>12</v>
      </c>
      <c r="F44">
        <v>3.359734970636278</v>
      </c>
      <c r="G44" s="24">
        <v>1.3602165873021368</v>
      </c>
      <c r="H44" s="24"/>
    </row>
    <row r="45" spans="1:8" x14ac:dyDescent="0.25">
      <c r="A45">
        <v>2003</v>
      </c>
      <c r="B45" s="31" t="s">
        <v>230</v>
      </c>
      <c r="C45" s="24">
        <v>24.5</v>
      </c>
      <c r="D45" s="24">
        <v>2</v>
      </c>
      <c r="E45" s="2">
        <v>12</v>
      </c>
      <c r="F45">
        <v>1.236607233265103</v>
      </c>
      <c r="G45" s="24">
        <v>0.50065070172676229</v>
      </c>
      <c r="H45" s="24"/>
    </row>
    <row r="46" spans="1:8" x14ac:dyDescent="0.25">
      <c r="A46">
        <v>2003</v>
      </c>
      <c r="B46" s="31" t="s">
        <v>227</v>
      </c>
      <c r="C46" s="24">
        <v>23.5</v>
      </c>
      <c r="D46" s="24">
        <v>4</v>
      </c>
      <c r="E46" s="2">
        <v>12</v>
      </c>
      <c r="F46">
        <v>2.5338045205957629</v>
      </c>
      <c r="G46" s="24">
        <v>1.0258317897148836</v>
      </c>
      <c r="H46" s="24"/>
    </row>
    <row r="47" spans="1:8" x14ac:dyDescent="0.25">
      <c r="A47">
        <v>2003</v>
      </c>
      <c r="B47" s="31" t="s">
        <v>231</v>
      </c>
      <c r="C47" s="24">
        <v>25</v>
      </c>
      <c r="D47" s="24">
        <v>2</v>
      </c>
      <c r="E47" s="2">
        <v>12</v>
      </c>
      <c r="F47">
        <v>1.465189337354021</v>
      </c>
      <c r="G47" s="24">
        <v>0.5931940637060813</v>
      </c>
      <c r="H47" s="24"/>
    </row>
    <row r="48" spans="1:8" x14ac:dyDescent="0.25">
      <c r="A48">
        <v>2003</v>
      </c>
      <c r="B48" s="31" t="s">
        <v>232</v>
      </c>
      <c r="C48" s="24">
        <v>25</v>
      </c>
      <c r="D48" s="24">
        <v>6</v>
      </c>
      <c r="E48" s="2">
        <v>12</v>
      </c>
      <c r="F48">
        <v>3.5149495666435659</v>
      </c>
      <c r="G48" s="24">
        <v>1.4230565047139943</v>
      </c>
      <c r="H48" s="24"/>
    </row>
    <row r="49" spans="1:8" x14ac:dyDescent="0.25">
      <c r="A49">
        <v>2003</v>
      </c>
      <c r="B49" s="31" t="s">
        <v>233</v>
      </c>
      <c r="C49" s="24">
        <v>25</v>
      </c>
      <c r="D49" s="24">
        <v>5</v>
      </c>
      <c r="E49" s="2">
        <v>12</v>
      </c>
      <c r="F49">
        <v>2.5434840696773673</v>
      </c>
      <c r="G49" s="24">
        <v>1.0297506354969097</v>
      </c>
      <c r="H49" s="24"/>
    </row>
    <row r="50" spans="1:8" x14ac:dyDescent="0.25">
      <c r="A50">
        <v>2003</v>
      </c>
      <c r="B50" s="31" t="s">
        <v>234</v>
      </c>
      <c r="C50" s="24">
        <v>25</v>
      </c>
      <c r="D50" s="24">
        <v>3</v>
      </c>
      <c r="E50" s="2">
        <v>12</v>
      </c>
      <c r="F50">
        <v>1.7310218623121765</v>
      </c>
      <c r="G50" s="24">
        <v>0.70081856773772322</v>
      </c>
      <c r="H50" s="24"/>
    </row>
    <row r="51" spans="1:8" x14ac:dyDescent="0.25">
      <c r="A51">
        <v>2004</v>
      </c>
      <c r="B51" s="31" t="s">
        <v>235</v>
      </c>
      <c r="C51" s="3">
        <v>25</v>
      </c>
      <c r="D51" s="3">
        <v>4</v>
      </c>
      <c r="E51" s="2">
        <v>16</v>
      </c>
      <c r="F51" s="3">
        <v>3.1243996147942807</v>
      </c>
      <c r="G51" s="3">
        <v>1.2649391153013281</v>
      </c>
    </row>
    <row r="52" spans="1:8" x14ac:dyDescent="0.25">
      <c r="A52">
        <v>2004</v>
      </c>
      <c r="B52" s="31" t="s">
        <v>236</v>
      </c>
      <c r="C52" s="24">
        <v>24</v>
      </c>
      <c r="D52" s="24">
        <v>3</v>
      </c>
      <c r="E52" s="2">
        <v>16</v>
      </c>
      <c r="F52" s="24">
        <v>2.2030398894601819</v>
      </c>
      <c r="G52" s="24">
        <v>0.89191898358711807</v>
      </c>
    </row>
    <row r="53" spans="1:8" x14ac:dyDescent="0.25">
      <c r="A53">
        <v>2004</v>
      </c>
      <c r="B53" s="31" t="s">
        <v>237</v>
      </c>
      <c r="C53" s="24">
        <v>25</v>
      </c>
      <c r="D53" s="24">
        <v>10</v>
      </c>
      <c r="E53" s="2">
        <v>16</v>
      </c>
      <c r="F53" s="24">
        <v>6.7637814478604028</v>
      </c>
      <c r="G53" s="24">
        <v>2.7383730558139279</v>
      </c>
    </row>
    <row r="54" spans="1:8" x14ac:dyDescent="0.25">
      <c r="A54">
        <v>2004</v>
      </c>
      <c r="B54" s="31" t="s">
        <v>215</v>
      </c>
      <c r="C54" s="24">
        <v>25</v>
      </c>
      <c r="D54" s="24">
        <v>6</v>
      </c>
      <c r="E54" s="2">
        <v>16</v>
      </c>
      <c r="F54" s="24">
        <v>4.3207885870785185</v>
      </c>
      <c r="G54" s="24">
        <v>1.7493071202747037</v>
      </c>
    </row>
    <row r="55" spans="1:8" x14ac:dyDescent="0.25">
      <c r="A55">
        <v>2004</v>
      </c>
      <c r="B55" s="31" t="s">
        <v>214</v>
      </c>
      <c r="C55" s="24">
        <v>22.5</v>
      </c>
      <c r="D55" s="24">
        <v>5</v>
      </c>
      <c r="E55" s="2">
        <v>16</v>
      </c>
      <c r="F55" s="24">
        <v>3.8469175917222249</v>
      </c>
      <c r="G55" s="24">
        <v>1.5574565148672974</v>
      </c>
    </row>
    <row r="56" spans="1:8" x14ac:dyDescent="0.25">
      <c r="A56">
        <v>2004</v>
      </c>
      <c r="B56" s="31" t="s">
        <v>213</v>
      </c>
      <c r="C56" s="24">
        <v>25</v>
      </c>
      <c r="D56" s="24">
        <v>3</v>
      </c>
      <c r="E56" s="2">
        <v>16</v>
      </c>
      <c r="F56" s="24">
        <v>2.1738086064383229</v>
      </c>
      <c r="G56" s="24">
        <v>0.88008445604790397</v>
      </c>
    </row>
    <row r="57" spans="1:8" x14ac:dyDescent="0.25">
      <c r="A57">
        <v>2004</v>
      </c>
      <c r="B57" s="31" t="s">
        <v>228</v>
      </c>
      <c r="C57" s="24">
        <v>25</v>
      </c>
      <c r="D57" s="24">
        <v>1</v>
      </c>
      <c r="E57" s="2">
        <v>11</v>
      </c>
      <c r="F57" s="24">
        <v>0.67154511295392627</v>
      </c>
      <c r="G57" s="24">
        <v>0.27188061253195395</v>
      </c>
    </row>
    <row r="58" spans="1:8" x14ac:dyDescent="0.25">
      <c r="A58">
        <v>2004</v>
      </c>
      <c r="B58" s="31" t="s">
        <v>238</v>
      </c>
      <c r="C58" s="24">
        <v>25</v>
      </c>
      <c r="D58" s="24">
        <v>2</v>
      </c>
      <c r="E58" s="2">
        <v>11</v>
      </c>
      <c r="F58" s="24">
        <v>1.2908474211416974</v>
      </c>
      <c r="G58" s="24">
        <v>0.52261029196020137</v>
      </c>
    </row>
    <row r="59" spans="1:8" x14ac:dyDescent="0.25">
      <c r="A59">
        <v>2004</v>
      </c>
      <c r="B59" s="31" t="s">
        <v>226</v>
      </c>
      <c r="C59" s="24">
        <v>25</v>
      </c>
      <c r="D59" s="24">
        <v>0</v>
      </c>
      <c r="E59" s="2">
        <v>11</v>
      </c>
      <c r="F59" s="24">
        <v>0</v>
      </c>
      <c r="G59" s="24">
        <v>0</v>
      </c>
    </row>
    <row r="60" spans="1:8" x14ac:dyDescent="0.25">
      <c r="A60">
        <v>2004</v>
      </c>
      <c r="B60" s="31" t="s">
        <v>239</v>
      </c>
      <c r="C60" s="24">
        <v>25</v>
      </c>
      <c r="D60" s="24">
        <v>3</v>
      </c>
      <c r="E60" s="2">
        <v>11</v>
      </c>
      <c r="F60" s="24">
        <v>1.7696129113490073</v>
      </c>
      <c r="G60" s="24">
        <v>0.71644247423036733</v>
      </c>
    </row>
    <row r="61" spans="1:8" x14ac:dyDescent="0.25">
      <c r="A61">
        <v>2004</v>
      </c>
      <c r="B61" s="31" t="s">
        <v>240</v>
      </c>
      <c r="C61" s="24">
        <v>25</v>
      </c>
      <c r="D61" s="24">
        <v>1</v>
      </c>
      <c r="E61" s="2">
        <v>11</v>
      </c>
      <c r="F61" s="24">
        <v>0.66014242580582316</v>
      </c>
      <c r="G61" s="24">
        <v>0.26726414000235754</v>
      </c>
    </row>
    <row r="62" spans="1:8" x14ac:dyDescent="0.25">
      <c r="A62">
        <v>2004</v>
      </c>
      <c r="B62" s="31" t="s">
        <v>241</v>
      </c>
      <c r="C62" s="24">
        <v>25</v>
      </c>
      <c r="D62" s="24">
        <v>2</v>
      </c>
      <c r="E62" s="2">
        <v>11</v>
      </c>
      <c r="F62" s="24">
        <v>0.97055178594819547</v>
      </c>
      <c r="G62" s="24">
        <v>0.39293594572801432</v>
      </c>
    </row>
    <row r="63" spans="1:8" x14ac:dyDescent="0.25">
      <c r="A63">
        <v>2005</v>
      </c>
      <c r="C63" s="3">
        <v>19</v>
      </c>
      <c r="D63" s="3">
        <v>6</v>
      </c>
      <c r="E63" s="2">
        <v>16</v>
      </c>
      <c r="F63">
        <v>6.2555001888195738</v>
      </c>
      <c r="G63">
        <v>2.5325911695625805</v>
      </c>
    </row>
    <row r="64" spans="1:8" x14ac:dyDescent="0.25">
      <c r="A64">
        <v>2005</v>
      </c>
      <c r="C64" s="6">
        <v>20.399999999999999</v>
      </c>
      <c r="D64" s="37">
        <v>4</v>
      </c>
      <c r="E64" s="2">
        <v>16</v>
      </c>
      <c r="F64">
        <v>3.5371904729036832</v>
      </c>
      <c r="G64">
        <v>1.4320609202039203</v>
      </c>
    </row>
    <row r="65" spans="1:7" x14ac:dyDescent="0.25">
      <c r="A65">
        <v>2005</v>
      </c>
      <c r="C65" s="6">
        <v>25</v>
      </c>
      <c r="D65" s="37">
        <v>8</v>
      </c>
      <c r="E65" s="2">
        <v>16</v>
      </c>
      <c r="F65">
        <v>5.3582712470100367</v>
      </c>
      <c r="G65">
        <v>2.1693405858340227</v>
      </c>
    </row>
    <row r="66" spans="1:7" x14ac:dyDescent="0.25">
      <c r="A66">
        <v>2005</v>
      </c>
      <c r="C66" s="6">
        <v>25</v>
      </c>
      <c r="D66" s="37">
        <v>7</v>
      </c>
      <c r="E66" s="2">
        <v>16</v>
      </c>
      <c r="F66">
        <v>4.9724428067336071</v>
      </c>
      <c r="G66">
        <v>2.0131347395682617</v>
      </c>
    </row>
    <row r="67" spans="1:7" x14ac:dyDescent="0.25">
      <c r="A67">
        <v>2005</v>
      </c>
      <c r="C67" s="6">
        <v>25</v>
      </c>
      <c r="D67" s="37">
        <v>10</v>
      </c>
      <c r="E67" s="2">
        <v>16</v>
      </c>
      <c r="F67">
        <v>7.0284479883202629</v>
      </c>
      <c r="G67">
        <v>2.8455255013442358</v>
      </c>
    </row>
    <row r="68" spans="1:7" x14ac:dyDescent="0.25">
      <c r="A68">
        <v>2005</v>
      </c>
      <c r="C68" s="6">
        <v>25</v>
      </c>
      <c r="D68" s="37">
        <v>6</v>
      </c>
      <c r="E68" s="2">
        <v>16</v>
      </c>
      <c r="F68">
        <v>3.9762140636302337</v>
      </c>
      <c r="G68">
        <v>1.6098032646276248</v>
      </c>
    </row>
    <row r="69" spans="1:7" x14ac:dyDescent="0.25">
      <c r="A69">
        <v>2005</v>
      </c>
      <c r="C69" s="6">
        <v>25</v>
      </c>
      <c r="D69" s="37">
        <v>3</v>
      </c>
      <c r="E69" s="2">
        <v>16</v>
      </c>
      <c r="F69">
        <v>2.7129660947307168</v>
      </c>
      <c r="G69">
        <v>1.0983668399719499</v>
      </c>
    </row>
    <row r="70" spans="1:7" x14ac:dyDescent="0.25">
      <c r="A70">
        <v>2005</v>
      </c>
      <c r="C70" s="3">
        <v>25</v>
      </c>
      <c r="D70" s="24">
        <v>4</v>
      </c>
      <c r="E70" s="2">
        <v>16</v>
      </c>
      <c r="F70">
        <v>3.1694534290019174</v>
      </c>
      <c r="G70">
        <v>1.2831795259117074</v>
      </c>
    </row>
    <row r="71" spans="1:7" x14ac:dyDescent="0.25">
      <c r="A71">
        <v>2005</v>
      </c>
      <c r="C71" s="3">
        <v>25</v>
      </c>
      <c r="D71" s="24">
        <v>2</v>
      </c>
      <c r="E71" s="2">
        <v>16</v>
      </c>
      <c r="F71">
        <v>1.4457391814938321</v>
      </c>
      <c r="G71">
        <v>0.58531950667766475</v>
      </c>
    </row>
    <row r="72" spans="1:7" x14ac:dyDescent="0.25">
      <c r="A72">
        <v>2005</v>
      </c>
      <c r="C72" s="3">
        <v>25</v>
      </c>
      <c r="D72" s="37">
        <v>2</v>
      </c>
      <c r="E72" s="2">
        <v>16</v>
      </c>
      <c r="F72">
        <v>1.7856351475409715</v>
      </c>
      <c r="G72">
        <v>0.72292920953075768</v>
      </c>
    </row>
    <row r="73" spans="1:7" x14ac:dyDescent="0.25">
      <c r="A73">
        <v>2005</v>
      </c>
      <c r="C73" s="3">
        <v>25</v>
      </c>
      <c r="D73" s="24">
        <v>3</v>
      </c>
      <c r="E73" s="2">
        <v>16</v>
      </c>
      <c r="F73">
        <v>2.5808854091713327</v>
      </c>
      <c r="G73">
        <v>1.0448928782070173</v>
      </c>
    </row>
    <row r="74" spans="1:7" x14ac:dyDescent="0.25">
      <c r="A74">
        <v>2005</v>
      </c>
      <c r="C74" s="3">
        <v>25</v>
      </c>
      <c r="D74" s="24">
        <v>4</v>
      </c>
      <c r="E74" s="2">
        <v>16</v>
      </c>
      <c r="F74">
        <v>3.4231276008671569</v>
      </c>
      <c r="G74">
        <v>1.385881619784274</v>
      </c>
    </row>
    <row r="75" spans="1:7" x14ac:dyDescent="0.25">
      <c r="A75">
        <v>2006</v>
      </c>
      <c r="B75" s="3" t="s">
        <v>242</v>
      </c>
      <c r="C75" s="6">
        <v>24.1</v>
      </c>
      <c r="D75" s="3">
        <v>6</v>
      </c>
      <c r="E75" s="2">
        <v>12</v>
      </c>
      <c r="F75">
        <v>3.2405063487149777</v>
      </c>
      <c r="G75">
        <v>1.311945890168007</v>
      </c>
    </row>
    <row r="76" spans="1:7" x14ac:dyDescent="0.25">
      <c r="A76">
        <v>2006</v>
      </c>
      <c r="B76" s="24" t="s">
        <v>243</v>
      </c>
      <c r="C76" s="6">
        <v>25</v>
      </c>
      <c r="D76" s="3">
        <v>12</v>
      </c>
      <c r="E76" s="2">
        <v>12</v>
      </c>
      <c r="F76" s="3">
        <v>5.8384681455836036</v>
      </c>
      <c r="G76" s="3">
        <v>2.363752285661378</v>
      </c>
    </row>
    <row r="77" spans="1:7" x14ac:dyDescent="0.25">
      <c r="A77">
        <v>2006</v>
      </c>
      <c r="B77" s="24" t="s">
        <v>244</v>
      </c>
      <c r="C77" s="6">
        <v>25</v>
      </c>
      <c r="D77" s="3">
        <v>10</v>
      </c>
      <c r="E77" s="2">
        <v>12</v>
      </c>
      <c r="F77" s="24">
        <v>4.9311538677470041</v>
      </c>
      <c r="G77" s="24">
        <v>1.9964185699380581</v>
      </c>
    </row>
    <row r="78" spans="1:7" x14ac:dyDescent="0.25">
      <c r="A78">
        <v>2006</v>
      </c>
      <c r="B78" s="24" t="s">
        <v>245</v>
      </c>
      <c r="C78" s="6">
        <v>25</v>
      </c>
      <c r="D78" s="3">
        <v>4</v>
      </c>
      <c r="E78" s="2">
        <v>12</v>
      </c>
      <c r="F78" s="24">
        <v>2.0164553748906386</v>
      </c>
      <c r="G78" s="24">
        <v>0.81637869428770793</v>
      </c>
    </row>
    <row r="79" spans="1:7" x14ac:dyDescent="0.25">
      <c r="A79">
        <v>2006</v>
      </c>
      <c r="B79" s="24" t="s">
        <v>246</v>
      </c>
      <c r="C79" s="6">
        <v>25</v>
      </c>
      <c r="D79" s="3">
        <v>7</v>
      </c>
      <c r="E79" s="2">
        <v>12</v>
      </c>
      <c r="F79" s="24">
        <v>3.4144725144782995</v>
      </c>
      <c r="G79" s="24">
        <v>1.382377536226032</v>
      </c>
    </row>
    <row r="80" spans="1:7" x14ac:dyDescent="0.25">
      <c r="A80">
        <v>2006</v>
      </c>
      <c r="B80" s="24" t="s">
        <v>247</v>
      </c>
      <c r="C80" s="6">
        <v>25</v>
      </c>
      <c r="D80" s="3">
        <v>10</v>
      </c>
      <c r="E80" s="2">
        <v>12</v>
      </c>
      <c r="F80" s="24">
        <v>5.0411384372265964</v>
      </c>
      <c r="G80" s="24">
        <v>2.0409467357192694</v>
      </c>
    </row>
    <row r="81" spans="1:7" x14ac:dyDescent="0.25">
      <c r="A81">
        <v>2006</v>
      </c>
      <c r="B81" s="24" t="s">
        <v>248</v>
      </c>
      <c r="C81" s="6">
        <v>24.1</v>
      </c>
      <c r="D81" s="3">
        <v>5</v>
      </c>
      <c r="E81" s="2">
        <v>12</v>
      </c>
      <c r="F81" s="24">
        <v>2.7195825593356147</v>
      </c>
      <c r="G81" s="24">
        <v>1.1010455705812203</v>
      </c>
    </row>
    <row r="82" spans="1:7" x14ac:dyDescent="0.25">
      <c r="A82">
        <v>2006</v>
      </c>
      <c r="B82" s="24" t="s">
        <v>249</v>
      </c>
      <c r="C82" s="3">
        <v>25</v>
      </c>
      <c r="D82" s="3">
        <v>7</v>
      </c>
      <c r="E82" s="2">
        <v>12</v>
      </c>
      <c r="F82" s="24">
        <v>3.6223543977638748</v>
      </c>
      <c r="G82" s="24">
        <v>1.4665402420096658</v>
      </c>
    </row>
    <row r="83" spans="1:7" x14ac:dyDescent="0.25">
      <c r="A83">
        <v>2006</v>
      </c>
      <c r="B83" s="24" t="s">
        <v>250</v>
      </c>
      <c r="C83" s="3">
        <v>25</v>
      </c>
      <c r="D83" s="3">
        <v>6</v>
      </c>
      <c r="E83" s="2">
        <v>12</v>
      </c>
      <c r="F83" s="24">
        <v>3.170192812612715</v>
      </c>
      <c r="G83" s="24">
        <v>1.2834788715031233</v>
      </c>
    </row>
    <row r="84" spans="1:7" x14ac:dyDescent="0.25">
      <c r="A84">
        <v>2006</v>
      </c>
      <c r="B84" s="24" t="s">
        <v>251</v>
      </c>
      <c r="C84" s="3">
        <v>25</v>
      </c>
      <c r="D84" s="3">
        <v>8</v>
      </c>
      <c r="E84" s="2">
        <v>12</v>
      </c>
      <c r="F84" s="24">
        <v>4.2620938343430916</v>
      </c>
      <c r="G84" s="24">
        <v>1.7255440624870815</v>
      </c>
    </row>
    <row r="85" spans="1:7" x14ac:dyDescent="0.25">
      <c r="A85">
        <v>2006</v>
      </c>
      <c r="B85" s="24" t="s">
        <v>253</v>
      </c>
      <c r="C85" s="3">
        <v>25</v>
      </c>
      <c r="D85" s="3">
        <v>5</v>
      </c>
      <c r="E85" s="2">
        <v>12</v>
      </c>
      <c r="F85" s="24">
        <v>2.6216775871995326</v>
      </c>
      <c r="G85" s="24">
        <v>1.0614079300402965</v>
      </c>
    </row>
    <row r="86" spans="1:7" x14ac:dyDescent="0.25">
      <c r="A86">
        <v>2006</v>
      </c>
      <c r="B86" s="24" t="s">
        <v>252</v>
      </c>
      <c r="C86" s="3">
        <v>25</v>
      </c>
      <c r="D86" s="3">
        <v>4</v>
      </c>
      <c r="E86" s="2">
        <v>12</v>
      </c>
      <c r="F86" s="24">
        <v>2.113461875075143</v>
      </c>
      <c r="G86" s="24">
        <v>0.85565258100208219</v>
      </c>
    </row>
    <row r="87" spans="1:7" x14ac:dyDescent="0.25">
      <c r="A87">
        <v>2007</v>
      </c>
      <c r="B87" s="38" t="s">
        <v>73</v>
      </c>
      <c r="C87" s="6">
        <v>19</v>
      </c>
      <c r="D87" s="3">
        <v>8</v>
      </c>
      <c r="E87" s="2">
        <v>11.6</v>
      </c>
      <c r="F87" s="24">
        <v>5.426751136235513</v>
      </c>
      <c r="G87" s="24">
        <v>2.1970652373423127</v>
      </c>
    </row>
    <row r="88" spans="1:7" x14ac:dyDescent="0.25">
      <c r="A88">
        <v>2007</v>
      </c>
      <c r="B88" s="38" t="s">
        <v>74</v>
      </c>
      <c r="C88" s="6">
        <v>25</v>
      </c>
      <c r="D88" s="3">
        <v>2</v>
      </c>
      <c r="E88" s="2">
        <v>11.6</v>
      </c>
      <c r="F88">
        <v>1.0561666964665239</v>
      </c>
      <c r="G88">
        <v>0.42759785282045498</v>
      </c>
    </row>
    <row r="89" spans="1:7" x14ac:dyDescent="0.25">
      <c r="A89">
        <v>2007</v>
      </c>
      <c r="B89" s="38" t="s">
        <v>75</v>
      </c>
      <c r="C89" s="6">
        <v>21.9</v>
      </c>
      <c r="D89" s="3">
        <v>5</v>
      </c>
      <c r="E89" s="2">
        <v>11.6</v>
      </c>
      <c r="F89">
        <v>2.8036168885921811</v>
      </c>
      <c r="G89">
        <v>1.1350675662316521</v>
      </c>
    </row>
    <row r="90" spans="1:7" x14ac:dyDescent="0.25">
      <c r="A90">
        <v>2007</v>
      </c>
      <c r="B90" s="38" t="s">
        <v>76</v>
      </c>
      <c r="C90" s="6">
        <v>23.9</v>
      </c>
      <c r="D90" s="3">
        <v>5</v>
      </c>
      <c r="E90" s="2">
        <v>11.6</v>
      </c>
      <c r="F90">
        <v>2.5292226035656142</v>
      </c>
      <c r="G90">
        <v>1.0239767625771716</v>
      </c>
    </row>
    <row r="91" spans="1:7" x14ac:dyDescent="0.25">
      <c r="A91">
        <v>2007</v>
      </c>
      <c r="B91" s="38" t="s">
        <v>77</v>
      </c>
      <c r="C91" s="6">
        <v>25</v>
      </c>
      <c r="D91" s="3">
        <v>2</v>
      </c>
      <c r="E91" s="2">
        <v>11.6</v>
      </c>
      <c r="F91">
        <v>1.0155869253481409</v>
      </c>
      <c r="G91">
        <v>0.41116879568750642</v>
      </c>
    </row>
    <row r="92" spans="1:7" x14ac:dyDescent="0.25">
      <c r="A92">
        <v>2007</v>
      </c>
      <c r="B92" s="38"/>
      <c r="C92" s="6">
        <v>25</v>
      </c>
      <c r="D92" s="3">
        <v>5</v>
      </c>
      <c r="E92" s="2">
        <v>11.6</v>
      </c>
      <c r="F92">
        <v>5.2341179550030397</v>
      </c>
      <c r="G92">
        <v>2.119076095142931</v>
      </c>
    </row>
    <row r="93" spans="1:7" x14ac:dyDescent="0.25">
      <c r="A93">
        <v>2007</v>
      </c>
      <c r="B93" s="38" t="s">
        <v>78</v>
      </c>
      <c r="C93" s="6">
        <v>25</v>
      </c>
      <c r="D93" s="3">
        <v>1</v>
      </c>
      <c r="E93" s="2">
        <v>12.2</v>
      </c>
      <c r="F93">
        <v>0.56234492451785423</v>
      </c>
      <c r="G93">
        <v>0.22767000992625674</v>
      </c>
    </row>
    <row r="94" spans="1:7" x14ac:dyDescent="0.25">
      <c r="A94">
        <v>2007</v>
      </c>
      <c r="B94" s="38" t="s">
        <v>79</v>
      </c>
      <c r="C94" s="3">
        <v>25</v>
      </c>
      <c r="D94" s="3">
        <v>1</v>
      </c>
      <c r="E94" s="2">
        <v>12.2</v>
      </c>
      <c r="F94">
        <v>0.52975484138340956</v>
      </c>
      <c r="G94">
        <v>0.21447564428478119</v>
      </c>
    </row>
    <row r="95" spans="1:7" x14ac:dyDescent="0.25">
      <c r="A95">
        <v>2007</v>
      </c>
      <c r="B95" s="38" t="s">
        <v>80</v>
      </c>
      <c r="C95" s="3">
        <v>25</v>
      </c>
      <c r="D95" s="3">
        <v>3</v>
      </c>
      <c r="E95" s="2">
        <v>12.2</v>
      </c>
      <c r="F95">
        <v>1.5615658655980118</v>
      </c>
      <c r="G95">
        <v>0.63221290105182659</v>
      </c>
    </row>
    <row r="96" spans="1:7" x14ac:dyDescent="0.25">
      <c r="A96">
        <v>2007</v>
      </c>
      <c r="B96" s="38" t="s">
        <v>81</v>
      </c>
      <c r="C96" s="3">
        <v>25</v>
      </c>
      <c r="D96" s="3">
        <v>2</v>
      </c>
      <c r="E96" s="2">
        <v>12.2</v>
      </c>
      <c r="F96">
        <v>1.2220076385368488</v>
      </c>
      <c r="G96">
        <v>0.49473993463030314</v>
      </c>
    </row>
    <row r="97" spans="1:7" x14ac:dyDescent="0.25">
      <c r="A97">
        <v>2007</v>
      </c>
      <c r="B97" s="38"/>
      <c r="C97" s="3">
        <v>25</v>
      </c>
      <c r="D97" s="3">
        <v>4</v>
      </c>
      <c r="E97" s="2">
        <v>12.2</v>
      </c>
      <c r="F97">
        <v>2.221592016705447</v>
      </c>
      <c r="G97">
        <v>0.89942996627750882</v>
      </c>
    </row>
    <row r="98" spans="1:7" x14ac:dyDescent="0.25">
      <c r="A98">
        <v>2007</v>
      </c>
      <c r="B98" s="38"/>
      <c r="C98" s="3">
        <v>25</v>
      </c>
      <c r="D98" s="3">
        <v>3</v>
      </c>
      <c r="E98" s="2">
        <v>12.2</v>
      </c>
      <c r="F98">
        <v>1.606768965024064</v>
      </c>
      <c r="G98">
        <v>0.65051375102188824</v>
      </c>
    </row>
    <row r="99" spans="1:7" x14ac:dyDescent="0.25">
      <c r="A99">
        <v>2008</v>
      </c>
      <c r="C99" s="3">
        <v>23.053000000000001</v>
      </c>
      <c r="D99" s="3">
        <v>6</v>
      </c>
      <c r="E99" s="2">
        <v>13.75</v>
      </c>
      <c r="F99">
        <v>3.8390419084631051</v>
      </c>
      <c r="G99">
        <v>1.5542679791348601</v>
      </c>
    </row>
    <row r="100" spans="1:7" x14ac:dyDescent="0.25">
      <c r="A100">
        <v>2008</v>
      </c>
      <c r="C100" s="3">
        <v>19.195</v>
      </c>
      <c r="D100" s="3">
        <v>2</v>
      </c>
      <c r="E100" s="2">
        <v>13.75</v>
      </c>
      <c r="F100">
        <v>1.5173711814858373</v>
      </c>
      <c r="G100">
        <v>0.61432031639102713</v>
      </c>
    </row>
    <row r="101" spans="1:7" x14ac:dyDescent="0.25">
      <c r="A101">
        <v>2008</v>
      </c>
      <c r="C101" s="3">
        <v>25</v>
      </c>
      <c r="D101" s="3">
        <v>2</v>
      </c>
      <c r="E101" s="2">
        <v>13.75</v>
      </c>
      <c r="F101">
        <v>1.1709492944185584</v>
      </c>
      <c r="G101">
        <v>0.47406854025042849</v>
      </c>
    </row>
    <row r="102" spans="1:7" x14ac:dyDescent="0.25">
      <c r="A102">
        <v>2008</v>
      </c>
      <c r="C102" s="3">
        <v>25</v>
      </c>
      <c r="D102" s="3">
        <v>3</v>
      </c>
      <c r="E102" s="2">
        <v>13.75</v>
      </c>
      <c r="F102">
        <v>1.7587477050648994</v>
      </c>
      <c r="G102">
        <v>0.71204360528943289</v>
      </c>
    </row>
    <row r="103" spans="1:7" x14ac:dyDescent="0.25">
      <c r="A103">
        <v>2008</v>
      </c>
      <c r="C103" s="3">
        <v>25</v>
      </c>
      <c r="D103" s="3">
        <v>5</v>
      </c>
      <c r="E103" s="2">
        <v>13.75</v>
      </c>
      <c r="F103">
        <v>2.9634400913381156</v>
      </c>
      <c r="G103">
        <v>1.1997733163312208</v>
      </c>
    </row>
    <row r="104" spans="1:7" x14ac:dyDescent="0.25">
      <c r="A104">
        <v>2008</v>
      </c>
      <c r="C104" s="3">
        <v>23.904</v>
      </c>
      <c r="D104" s="3">
        <v>8</v>
      </c>
      <c r="E104" s="2">
        <v>15.8</v>
      </c>
      <c r="F104">
        <v>6.0845041997326605</v>
      </c>
      <c r="G104">
        <v>2.463362024183263</v>
      </c>
    </row>
    <row r="105" spans="1:7" x14ac:dyDescent="0.25">
      <c r="A105">
        <v>2008</v>
      </c>
      <c r="C105" s="3">
        <v>24.097999999999999</v>
      </c>
      <c r="D105" s="3">
        <v>7</v>
      </c>
      <c r="E105" s="2">
        <v>15.8</v>
      </c>
      <c r="F105">
        <v>4.9418796150623576</v>
      </c>
      <c r="G105">
        <v>2.0007609777580395</v>
      </c>
    </row>
    <row r="106" spans="1:7" x14ac:dyDescent="0.25">
      <c r="A106">
        <v>2008</v>
      </c>
      <c r="C106" s="3">
        <v>25</v>
      </c>
      <c r="D106" s="3">
        <v>5</v>
      </c>
      <c r="E106" s="2">
        <v>15.8</v>
      </c>
      <c r="F106">
        <v>3.3331792710109407</v>
      </c>
      <c r="G106">
        <v>1.3494652919072634</v>
      </c>
    </row>
    <row r="107" spans="1:7" x14ac:dyDescent="0.25">
      <c r="A107">
        <v>2008</v>
      </c>
      <c r="C107" s="3">
        <v>23.885000000000002</v>
      </c>
      <c r="D107" s="3">
        <v>6</v>
      </c>
      <c r="E107" s="2">
        <v>15.8</v>
      </c>
      <c r="F107">
        <v>4.382235692713996</v>
      </c>
      <c r="G107">
        <v>1.7741844909773261</v>
      </c>
    </row>
    <row r="108" spans="1:7" x14ac:dyDescent="0.25">
      <c r="A108">
        <v>2008</v>
      </c>
      <c r="C108" s="3">
        <v>25</v>
      </c>
      <c r="D108" s="3">
        <v>7</v>
      </c>
      <c r="E108" s="2">
        <v>15.8</v>
      </c>
      <c r="F108">
        <v>4.7347844369891217</v>
      </c>
      <c r="G108">
        <v>1.9169167761089561</v>
      </c>
    </row>
    <row r="109" spans="1:7" x14ac:dyDescent="0.25">
      <c r="A109">
        <v>2009</v>
      </c>
      <c r="B109" s="39" t="s">
        <v>93</v>
      </c>
      <c r="C109" s="39">
        <v>25</v>
      </c>
      <c r="D109" s="39">
        <v>9</v>
      </c>
      <c r="E109">
        <v>14.75</v>
      </c>
      <c r="F109">
        <v>5.7543653632453671</v>
      </c>
      <c r="G109">
        <v>2.3297025762126991</v>
      </c>
    </row>
    <row r="110" spans="1:7" x14ac:dyDescent="0.25">
      <c r="A110">
        <v>2009</v>
      </c>
      <c r="B110" s="39" t="s">
        <v>96</v>
      </c>
      <c r="C110" s="39">
        <v>24.19</v>
      </c>
      <c r="D110" s="39">
        <v>5</v>
      </c>
      <c r="E110">
        <v>14.75</v>
      </c>
      <c r="F110">
        <v>4.0007156728902764</v>
      </c>
      <c r="G110">
        <v>1.6197229444899903</v>
      </c>
    </row>
    <row r="111" spans="1:7" x14ac:dyDescent="0.25">
      <c r="A111">
        <v>2009</v>
      </c>
      <c r="B111" s="39" t="s">
        <v>98</v>
      </c>
      <c r="C111" s="39">
        <v>25</v>
      </c>
      <c r="D111" s="39">
        <v>9</v>
      </c>
      <c r="E111">
        <v>14.75</v>
      </c>
      <c r="F111">
        <v>6.1352176042114657</v>
      </c>
      <c r="G111">
        <v>2.483893766887233</v>
      </c>
    </row>
    <row r="112" spans="1:7" x14ac:dyDescent="0.25">
      <c r="A112">
        <v>2009</v>
      </c>
      <c r="B112" s="39" t="s">
        <v>100</v>
      </c>
      <c r="C112" s="39">
        <v>25</v>
      </c>
      <c r="D112" s="39">
        <v>5</v>
      </c>
      <c r="E112">
        <v>14.75</v>
      </c>
      <c r="F112">
        <v>5.2003936812417262</v>
      </c>
      <c r="G112">
        <v>2.1054225430128444</v>
      </c>
    </row>
    <row r="113" spans="1:7" x14ac:dyDescent="0.25">
      <c r="A113">
        <v>2009</v>
      </c>
      <c r="B113" s="39" t="s">
        <v>103</v>
      </c>
      <c r="C113" s="39">
        <v>25</v>
      </c>
      <c r="D113" s="39">
        <v>5</v>
      </c>
      <c r="E113">
        <v>14.75</v>
      </c>
      <c r="F113">
        <v>4.175936657695404</v>
      </c>
      <c r="G113">
        <v>1.6906626144515804</v>
      </c>
    </row>
    <row r="114" spans="1:7" x14ac:dyDescent="0.25">
      <c r="A114">
        <v>2009</v>
      </c>
      <c r="B114" s="39" t="s">
        <v>104</v>
      </c>
      <c r="C114" s="39">
        <v>25</v>
      </c>
      <c r="D114" s="39">
        <v>6</v>
      </c>
      <c r="E114">
        <v>14.75</v>
      </c>
      <c r="F114">
        <v>4.1120246049650531</v>
      </c>
      <c r="G114">
        <v>1.6647872894595355</v>
      </c>
    </row>
    <row r="115" spans="1:7" x14ac:dyDescent="0.25">
      <c r="A115">
        <v>2009</v>
      </c>
      <c r="B115" s="39" t="s">
        <v>106</v>
      </c>
      <c r="C115" s="39">
        <v>25</v>
      </c>
      <c r="D115" s="39">
        <v>6</v>
      </c>
      <c r="E115">
        <v>14.75</v>
      </c>
      <c r="F115">
        <v>4.2634865864750635</v>
      </c>
      <c r="G115">
        <v>1.7261079297469892</v>
      </c>
    </row>
    <row r="116" spans="1:7" x14ac:dyDescent="0.25">
      <c r="A116">
        <v>2009</v>
      </c>
      <c r="B116" s="39">
        <v>40068</v>
      </c>
      <c r="C116" s="39">
        <v>22.46</v>
      </c>
      <c r="D116" s="39">
        <v>6</v>
      </c>
      <c r="E116">
        <v>14.75</v>
      </c>
      <c r="F116">
        <v>5.0471313332233843</v>
      </c>
      <c r="G116">
        <v>2.0433730094021798</v>
      </c>
    </row>
    <row r="117" spans="1:7" x14ac:dyDescent="0.25">
      <c r="A117">
        <v>2009</v>
      </c>
      <c r="B117" s="39" t="s">
        <v>110</v>
      </c>
      <c r="C117" s="39">
        <v>24.18</v>
      </c>
      <c r="D117" s="39">
        <v>8</v>
      </c>
      <c r="E117">
        <v>14.75</v>
      </c>
      <c r="F117">
        <v>6.1718948288540219</v>
      </c>
      <c r="G117">
        <v>2.498742845689887</v>
      </c>
    </row>
    <row r="118" spans="1:7" x14ac:dyDescent="0.25">
      <c r="A118">
        <v>2009</v>
      </c>
      <c r="B118" s="39" t="s">
        <v>112</v>
      </c>
      <c r="C118" s="39">
        <v>25</v>
      </c>
      <c r="D118" s="39">
        <v>8</v>
      </c>
      <c r="E118">
        <v>14.75</v>
      </c>
      <c r="F118">
        <v>5.9771016576870908</v>
      </c>
      <c r="G118">
        <v>2.4198792136384979</v>
      </c>
    </row>
    <row r="119" spans="1:7" x14ac:dyDescent="0.25">
      <c r="A119">
        <v>2009</v>
      </c>
      <c r="B119" s="39" t="s">
        <v>114</v>
      </c>
      <c r="C119" s="39">
        <v>25</v>
      </c>
      <c r="D119" s="39">
        <v>5</v>
      </c>
      <c r="E119">
        <v>14.75</v>
      </c>
      <c r="F119">
        <v>5.2003936812417262</v>
      </c>
      <c r="G119">
        <v>2.1054225430128444</v>
      </c>
    </row>
    <row r="120" spans="1:7" x14ac:dyDescent="0.25">
      <c r="A120">
        <v>2009</v>
      </c>
      <c r="B120" s="39" t="s">
        <v>116</v>
      </c>
      <c r="C120" s="39">
        <v>24.3</v>
      </c>
      <c r="D120" s="39">
        <v>7</v>
      </c>
      <c r="E120">
        <v>14.75</v>
      </c>
      <c r="F120">
        <v>4.8607263677132266</v>
      </c>
      <c r="G120">
        <v>1.9679054120296462</v>
      </c>
    </row>
    <row r="121" spans="1:7" x14ac:dyDescent="0.25">
      <c r="A121">
        <v>2010</v>
      </c>
      <c r="B121" s="38" t="s">
        <v>119</v>
      </c>
      <c r="C121" s="3">
        <v>25</v>
      </c>
      <c r="D121" s="3">
        <v>7</v>
      </c>
      <c r="E121" s="2">
        <v>13.3</v>
      </c>
      <c r="F121">
        <v>3.9348724900817507</v>
      </c>
      <c r="G121">
        <v>1.5930657854581984</v>
      </c>
    </row>
    <row r="122" spans="1:7" x14ac:dyDescent="0.25">
      <c r="A122">
        <v>2010</v>
      </c>
      <c r="B122" s="40" t="s">
        <v>121</v>
      </c>
      <c r="C122" s="3">
        <v>25</v>
      </c>
      <c r="D122" s="3">
        <v>8</v>
      </c>
      <c r="E122" s="2">
        <v>13.3</v>
      </c>
      <c r="F122">
        <v>4.4437075245612458</v>
      </c>
      <c r="G122">
        <v>1.7990718722920023</v>
      </c>
    </row>
    <row r="123" spans="1:7" x14ac:dyDescent="0.25">
      <c r="A123">
        <v>2010</v>
      </c>
      <c r="B123" s="40" t="s">
        <v>123</v>
      </c>
      <c r="C123" s="24">
        <v>25</v>
      </c>
      <c r="D123" s="24">
        <v>4</v>
      </c>
      <c r="E123" s="2">
        <v>13.3</v>
      </c>
      <c r="F123">
        <v>2.4486139817625903</v>
      </c>
      <c r="G123">
        <v>0.99134169302129149</v>
      </c>
    </row>
    <row r="124" spans="1:7" x14ac:dyDescent="0.25">
      <c r="A124">
        <v>2010</v>
      </c>
      <c r="B124" s="40" t="s">
        <v>125</v>
      </c>
      <c r="C124" s="3">
        <v>24.4</v>
      </c>
      <c r="D124" s="3">
        <v>3</v>
      </c>
      <c r="E124" s="2">
        <v>13.3</v>
      </c>
      <c r="F124">
        <v>1.8189173345351166</v>
      </c>
      <c r="G124">
        <v>0.73640377916401478</v>
      </c>
    </row>
    <row r="125" spans="1:7" x14ac:dyDescent="0.25">
      <c r="A125">
        <v>2010</v>
      </c>
      <c r="B125" s="38" t="s">
        <v>127</v>
      </c>
      <c r="C125" s="3">
        <v>25</v>
      </c>
      <c r="D125" s="24">
        <v>8</v>
      </c>
      <c r="E125" s="2">
        <v>13.3</v>
      </c>
      <c r="F125">
        <v>5.4132432559887862</v>
      </c>
      <c r="G125">
        <v>2.1915964599144884</v>
      </c>
    </row>
    <row r="126" spans="1:7" x14ac:dyDescent="0.25">
      <c r="A126">
        <v>2010</v>
      </c>
      <c r="B126" s="38" t="s">
        <v>129</v>
      </c>
      <c r="C126" s="3">
        <v>25</v>
      </c>
      <c r="D126" s="3">
        <v>5</v>
      </c>
      <c r="E126" s="2">
        <v>13.3</v>
      </c>
      <c r="F126">
        <v>2.8279021554623642</v>
      </c>
      <c r="G126">
        <v>1.1448996580819288</v>
      </c>
    </row>
    <row r="127" spans="1:7" x14ac:dyDescent="0.25">
      <c r="A127">
        <v>2010</v>
      </c>
      <c r="B127" s="38" t="s">
        <v>131</v>
      </c>
      <c r="C127" s="3">
        <v>25</v>
      </c>
      <c r="D127" s="3">
        <v>6</v>
      </c>
      <c r="E127" s="2">
        <v>13.3</v>
      </c>
      <c r="F127">
        <v>3.3595367882628553</v>
      </c>
      <c r="G127">
        <v>1.360136351523423</v>
      </c>
    </row>
    <row r="128" spans="1:7" x14ac:dyDescent="0.25">
      <c r="A128">
        <v>2010</v>
      </c>
      <c r="B128" s="40" t="s">
        <v>133</v>
      </c>
      <c r="C128" s="3">
        <v>25</v>
      </c>
      <c r="D128" s="3">
        <v>8</v>
      </c>
      <c r="E128" s="2">
        <v>13.3</v>
      </c>
      <c r="F128">
        <v>4.6436430845238874</v>
      </c>
      <c r="G128">
        <v>1.8800174431270797</v>
      </c>
    </row>
    <row r="129" spans="1:7" x14ac:dyDescent="0.25">
      <c r="A129">
        <v>2010</v>
      </c>
      <c r="B129" s="40" t="s">
        <v>135</v>
      </c>
      <c r="C129" s="3">
        <v>25</v>
      </c>
      <c r="D129" s="3">
        <v>8</v>
      </c>
      <c r="E129" s="2">
        <v>13.3</v>
      </c>
      <c r="F129">
        <v>4.3761552949876776</v>
      </c>
      <c r="G129">
        <v>1.7717227914929867</v>
      </c>
    </row>
    <row r="130" spans="1:7" x14ac:dyDescent="0.25">
      <c r="A130">
        <v>2010</v>
      </c>
      <c r="B130" s="40" t="s">
        <v>137</v>
      </c>
      <c r="C130" s="3">
        <v>25</v>
      </c>
      <c r="D130" s="3">
        <v>13</v>
      </c>
      <c r="E130" s="2">
        <v>13.3</v>
      </c>
      <c r="F130">
        <v>6.9614627289720064</v>
      </c>
      <c r="G130">
        <v>2.818405963146561</v>
      </c>
    </row>
    <row r="131" spans="1:7" x14ac:dyDescent="0.25">
      <c r="A131">
        <v>2010</v>
      </c>
      <c r="B131" s="40" t="s">
        <v>139</v>
      </c>
      <c r="C131" s="3">
        <v>25</v>
      </c>
      <c r="D131" s="3">
        <v>6</v>
      </c>
      <c r="E131" s="2">
        <v>13.3</v>
      </c>
      <c r="F131">
        <v>3.3138027531123129</v>
      </c>
      <c r="G131">
        <v>1.34162054781875</v>
      </c>
    </row>
    <row r="132" spans="1:7" x14ac:dyDescent="0.25">
      <c r="A132">
        <v>2010</v>
      </c>
      <c r="B132" s="40" t="s">
        <v>141</v>
      </c>
      <c r="C132" s="3">
        <v>25</v>
      </c>
      <c r="D132" s="3">
        <v>11</v>
      </c>
      <c r="E132" s="2">
        <v>13.3</v>
      </c>
      <c r="F132">
        <v>5.9291567264871894</v>
      </c>
      <c r="G132">
        <v>2.4004683103187001</v>
      </c>
    </row>
    <row r="133" spans="1:7" x14ac:dyDescent="0.25">
      <c r="A133">
        <v>2011</v>
      </c>
      <c r="B133" s="47" t="s">
        <v>147</v>
      </c>
      <c r="C133" s="49">
        <v>25</v>
      </c>
      <c r="D133" s="49">
        <v>6</v>
      </c>
      <c r="E133" s="51">
        <v>12.5</v>
      </c>
      <c r="F133">
        <v>3.1076050487021094</v>
      </c>
      <c r="G133">
        <v>1.2581396958308135</v>
      </c>
    </row>
    <row r="134" spans="1:7" x14ac:dyDescent="0.25">
      <c r="A134">
        <v>2011</v>
      </c>
      <c r="B134" s="53" t="s">
        <v>148</v>
      </c>
      <c r="C134" s="49">
        <v>25</v>
      </c>
      <c r="D134" s="49">
        <v>5</v>
      </c>
      <c r="E134" s="51">
        <v>12.5</v>
      </c>
      <c r="F134">
        <v>2.6541838946090341</v>
      </c>
      <c r="G134">
        <v>1.0745683783842244</v>
      </c>
    </row>
    <row r="135" spans="1:7" x14ac:dyDescent="0.25">
      <c r="A135">
        <v>2011</v>
      </c>
      <c r="B135" s="53" t="s">
        <v>150</v>
      </c>
      <c r="C135" s="46">
        <v>25</v>
      </c>
      <c r="D135" s="46">
        <v>5</v>
      </c>
      <c r="E135" s="51">
        <v>12.5</v>
      </c>
      <c r="F135">
        <v>2.5531727480742048</v>
      </c>
      <c r="G135">
        <v>1.0336731773579775</v>
      </c>
    </row>
    <row r="136" spans="1:7" x14ac:dyDescent="0.25">
      <c r="A136">
        <v>2011</v>
      </c>
      <c r="B136" s="53" t="s">
        <v>152</v>
      </c>
      <c r="C136" s="49">
        <v>25</v>
      </c>
      <c r="D136" s="49">
        <v>6</v>
      </c>
      <c r="E136" s="51">
        <v>12.5</v>
      </c>
      <c r="F136">
        <v>3.1051794109399076</v>
      </c>
      <c r="G136">
        <v>1.2571576562509745</v>
      </c>
    </row>
    <row r="137" spans="1:7" x14ac:dyDescent="0.25">
      <c r="A137">
        <v>2011</v>
      </c>
      <c r="B137" s="47" t="s">
        <v>154</v>
      </c>
      <c r="C137" s="49">
        <v>25</v>
      </c>
      <c r="D137" s="46">
        <v>4</v>
      </c>
      <c r="E137" s="51">
        <v>12.5</v>
      </c>
      <c r="F137">
        <v>2.1391708701089138</v>
      </c>
      <c r="G137">
        <v>0.86606108101575452</v>
      </c>
    </row>
    <row r="138" spans="1:7" x14ac:dyDescent="0.25">
      <c r="A138">
        <v>2011</v>
      </c>
      <c r="B138" s="47" t="s">
        <v>156</v>
      </c>
      <c r="C138" s="49">
        <v>25</v>
      </c>
      <c r="D138" s="49">
        <v>5</v>
      </c>
      <c r="E138" s="51">
        <v>12.5</v>
      </c>
      <c r="F138">
        <v>2.6578027776901929</v>
      </c>
      <c r="G138">
        <v>1.0760335132348959</v>
      </c>
    </row>
    <row r="139" spans="1:7" x14ac:dyDescent="0.25">
      <c r="A139">
        <v>2011</v>
      </c>
      <c r="B139" s="47" t="s">
        <v>157</v>
      </c>
      <c r="C139" s="49">
        <v>25</v>
      </c>
      <c r="D139" s="49">
        <v>5</v>
      </c>
      <c r="E139" s="51">
        <v>12.5</v>
      </c>
      <c r="F139">
        <v>2.6437744871923643</v>
      </c>
      <c r="G139">
        <v>1.0703540433977183</v>
      </c>
    </row>
    <row r="140" spans="1:7" x14ac:dyDescent="0.25">
      <c r="A140">
        <v>2011</v>
      </c>
      <c r="B140" s="53" t="s">
        <v>159</v>
      </c>
      <c r="C140" s="49">
        <v>24.4</v>
      </c>
      <c r="D140" s="49">
        <v>3</v>
      </c>
      <c r="E140" s="51">
        <v>12.5</v>
      </c>
      <c r="F140">
        <v>2.1916742677231844</v>
      </c>
      <c r="G140">
        <v>0.88731751729683572</v>
      </c>
    </row>
    <row r="141" spans="1:7" x14ac:dyDescent="0.25">
      <c r="A141">
        <v>2011</v>
      </c>
      <c r="B141" s="53" t="s">
        <v>160</v>
      </c>
      <c r="C141" s="49">
        <v>25</v>
      </c>
      <c r="D141" s="49">
        <v>7</v>
      </c>
      <c r="E141" s="51">
        <v>12.5</v>
      </c>
      <c r="F141">
        <v>3.5830313500126478</v>
      </c>
      <c r="G141">
        <v>1.4506199797622055</v>
      </c>
    </row>
    <row r="142" spans="1:7" x14ac:dyDescent="0.25">
      <c r="A142">
        <v>2011</v>
      </c>
      <c r="B142" s="53" t="s">
        <v>162</v>
      </c>
      <c r="C142" s="49">
        <v>25</v>
      </c>
      <c r="D142" s="49">
        <v>7</v>
      </c>
      <c r="E142" s="51">
        <v>12.5</v>
      </c>
      <c r="F142">
        <v>3.5554964051996687</v>
      </c>
      <c r="G142">
        <v>1.4394722288257766</v>
      </c>
    </row>
    <row r="143" spans="1:7" x14ac:dyDescent="0.25">
      <c r="A143">
        <v>2011</v>
      </c>
      <c r="B143" s="53" t="s">
        <v>163</v>
      </c>
      <c r="C143" s="49">
        <v>25</v>
      </c>
      <c r="D143" s="49">
        <v>7</v>
      </c>
      <c r="E143" s="51">
        <v>12.5</v>
      </c>
      <c r="F143">
        <v>3.6701734562038215</v>
      </c>
      <c r="G143">
        <v>1.4859001846979034</v>
      </c>
    </row>
    <row r="144" spans="1:7" x14ac:dyDescent="0.25">
      <c r="A144">
        <v>2011</v>
      </c>
      <c r="B144" s="53" t="s">
        <v>164</v>
      </c>
      <c r="C144" s="49">
        <v>25</v>
      </c>
      <c r="D144" s="49">
        <v>1</v>
      </c>
      <c r="E144" s="51">
        <v>12.5</v>
      </c>
      <c r="F144">
        <v>0.57409203957712085</v>
      </c>
      <c r="G144">
        <v>0.23242592695429992</v>
      </c>
    </row>
    <row r="145" spans="1:7" x14ac:dyDescent="0.25">
      <c r="A145">
        <v>2012</v>
      </c>
      <c r="B145" s="47" t="s">
        <v>172</v>
      </c>
      <c r="C145" s="49">
        <v>25</v>
      </c>
      <c r="D145" s="49">
        <v>8</v>
      </c>
      <c r="E145" s="51">
        <v>14</v>
      </c>
      <c r="F145">
        <v>4.599531307607875</v>
      </c>
      <c r="G145">
        <v>1.8621584241327427</v>
      </c>
    </row>
    <row r="146" spans="1:7" x14ac:dyDescent="0.25">
      <c r="A146">
        <v>2012</v>
      </c>
      <c r="B146" s="53" t="s">
        <v>173</v>
      </c>
      <c r="C146" s="49">
        <v>25</v>
      </c>
      <c r="D146" s="49">
        <v>8</v>
      </c>
      <c r="E146" s="51">
        <v>14</v>
      </c>
      <c r="F146">
        <v>4.896371681044462</v>
      </c>
      <c r="G146">
        <v>1.9823367129734661</v>
      </c>
    </row>
    <row r="147" spans="1:7" x14ac:dyDescent="0.25">
      <c r="A147">
        <v>2012</v>
      </c>
      <c r="B147" s="47" t="s">
        <v>175</v>
      </c>
      <c r="C147" s="46">
        <v>24.138999999999999</v>
      </c>
      <c r="D147" s="46">
        <v>5</v>
      </c>
      <c r="E147" s="51">
        <v>14</v>
      </c>
      <c r="F147">
        <v>3.0145373680232943</v>
      </c>
      <c r="G147">
        <v>1.2204604728839248</v>
      </c>
    </row>
    <row r="148" spans="1:7" x14ac:dyDescent="0.25">
      <c r="A148">
        <v>2012</v>
      </c>
      <c r="B148" s="53" t="s">
        <v>177</v>
      </c>
      <c r="C148" s="49">
        <v>25</v>
      </c>
      <c r="D148" s="49">
        <v>4</v>
      </c>
      <c r="E148" s="51">
        <v>14</v>
      </c>
      <c r="F148">
        <v>2.3202969104283167</v>
      </c>
      <c r="G148">
        <v>0.93939146171186905</v>
      </c>
    </row>
    <row r="149" spans="1:7" x14ac:dyDescent="0.25">
      <c r="A149">
        <v>2012</v>
      </c>
      <c r="B149" s="47" t="s">
        <v>178</v>
      </c>
      <c r="C149" s="49">
        <v>25</v>
      </c>
      <c r="D149" s="46">
        <v>5</v>
      </c>
      <c r="E149" s="51">
        <v>14</v>
      </c>
      <c r="F149">
        <v>2.8650056829558137</v>
      </c>
      <c r="G149">
        <v>1.1599213291319084</v>
      </c>
    </row>
    <row r="150" spans="1:7" x14ac:dyDescent="0.25">
      <c r="A150">
        <v>2012</v>
      </c>
      <c r="B150" s="53" t="s">
        <v>180</v>
      </c>
      <c r="C150" s="49">
        <v>25</v>
      </c>
      <c r="D150" s="49">
        <v>6</v>
      </c>
      <c r="E150" s="51">
        <v>14</v>
      </c>
      <c r="F150">
        <v>3.4936916799540443</v>
      </c>
      <c r="G150">
        <v>1.4144500728558882</v>
      </c>
    </row>
    <row r="151" spans="1:7" x14ac:dyDescent="0.25">
      <c r="A151">
        <v>2012</v>
      </c>
      <c r="B151" s="47" t="s">
        <v>181</v>
      </c>
      <c r="C151" s="49">
        <v>25</v>
      </c>
      <c r="D151" s="49">
        <v>7</v>
      </c>
      <c r="E151" s="51">
        <v>14</v>
      </c>
      <c r="F151">
        <v>4.45907080870158</v>
      </c>
      <c r="G151">
        <v>1.805291825385255</v>
      </c>
    </row>
    <row r="152" spans="1:7" x14ac:dyDescent="0.25">
      <c r="A152">
        <v>2012</v>
      </c>
      <c r="B152" s="53" t="s">
        <v>182</v>
      </c>
      <c r="C152" s="49">
        <v>25</v>
      </c>
      <c r="D152" s="49">
        <v>6</v>
      </c>
      <c r="E152" s="51">
        <v>14</v>
      </c>
      <c r="F152">
        <v>3.5322929546976898</v>
      </c>
      <c r="G152">
        <v>1.4300781193108054</v>
      </c>
    </row>
    <row r="153" spans="1:7" x14ac:dyDescent="0.25">
      <c r="A153">
        <v>2012</v>
      </c>
      <c r="B153" s="47" t="s">
        <v>184</v>
      </c>
      <c r="C153" s="49">
        <v>25</v>
      </c>
      <c r="D153" s="49">
        <v>6</v>
      </c>
      <c r="E153" s="51">
        <v>14</v>
      </c>
      <c r="F153">
        <v>3.4856997658665021</v>
      </c>
      <c r="G153">
        <v>1.4112144801078954</v>
      </c>
    </row>
    <row r="154" spans="1:7" x14ac:dyDescent="0.25">
      <c r="A154">
        <v>2012</v>
      </c>
      <c r="B154" s="53" t="s">
        <v>185</v>
      </c>
      <c r="C154" s="49">
        <v>25</v>
      </c>
      <c r="D154" s="49">
        <v>3</v>
      </c>
      <c r="E154" s="51">
        <v>14</v>
      </c>
      <c r="F154">
        <v>2.5319680894215266</v>
      </c>
      <c r="G154">
        <v>1.0250882953123588</v>
      </c>
    </row>
    <row r="155" spans="1:7" x14ac:dyDescent="0.25">
      <c r="A155">
        <v>2012</v>
      </c>
      <c r="B155" s="47" t="s">
        <v>187</v>
      </c>
      <c r="C155" s="49">
        <v>25</v>
      </c>
      <c r="D155" s="49">
        <v>8</v>
      </c>
      <c r="E155" s="51">
        <v>14</v>
      </c>
      <c r="F155">
        <v>4.6150274816378376</v>
      </c>
      <c r="G155">
        <v>1.8684321788007439</v>
      </c>
    </row>
    <row r="156" spans="1:7" x14ac:dyDescent="0.25">
      <c r="A156">
        <v>2012</v>
      </c>
      <c r="B156" s="95" t="s">
        <v>189</v>
      </c>
      <c r="C156" s="49">
        <v>25</v>
      </c>
      <c r="D156" s="49">
        <v>7</v>
      </c>
      <c r="E156" s="49">
        <v>14</v>
      </c>
      <c r="F156">
        <v>4.0805245568078448</v>
      </c>
      <c r="G156">
        <v>1.652034233525443</v>
      </c>
    </row>
    <row r="157" spans="1:7" x14ac:dyDescent="0.25">
      <c r="A157">
        <v>2013</v>
      </c>
      <c r="B157" s="95" t="s">
        <v>190</v>
      </c>
      <c r="C157" s="49">
        <v>25</v>
      </c>
      <c r="D157" s="49">
        <v>8</v>
      </c>
      <c r="E157" s="49">
        <v>13.5</v>
      </c>
      <c r="F157">
        <v>4.3782014740210107</v>
      </c>
      <c r="G157">
        <v>1.7725512040570892</v>
      </c>
    </row>
    <row r="158" spans="1:7" x14ac:dyDescent="0.25">
      <c r="A158">
        <v>2013</v>
      </c>
      <c r="B158" s="95" t="s">
        <v>191</v>
      </c>
      <c r="C158" s="49">
        <v>25</v>
      </c>
      <c r="D158" s="49">
        <v>7</v>
      </c>
      <c r="E158" s="49">
        <v>13.5</v>
      </c>
      <c r="F158">
        <v>3.852123453929591</v>
      </c>
      <c r="G158">
        <v>1.5595641513884984</v>
      </c>
    </row>
    <row r="159" spans="1:7" x14ac:dyDescent="0.25">
      <c r="A159">
        <v>2013</v>
      </c>
      <c r="B159" s="95" t="s">
        <v>192</v>
      </c>
      <c r="C159" s="49">
        <v>25</v>
      </c>
      <c r="D159" s="49">
        <v>4</v>
      </c>
      <c r="E159" s="49">
        <v>13.5</v>
      </c>
      <c r="F159">
        <v>2.2573452074664933</v>
      </c>
      <c r="G159">
        <v>0.91390494229412678</v>
      </c>
    </row>
    <row r="160" spans="1:7" x14ac:dyDescent="0.25">
      <c r="A160">
        <v>2013</v>
      </c>
      <c r="B160" s="95" t="s">
        <v>194</v>
      </c>
      <c r="C160" s="49">
        <v>25</v>
      </c>
      <c r="D160" s="49">
        <v>5</v>
      </c>
      <c r="E160" s="49">
        <v>13.5</v>
      </c>
      <c r="F160">
        <v>2.8537621690723216</v>
      </c>
      <c r="G160">
        <v>1.1553692992195632</v>
      </c>
    </row>
    <row r="161" spans="1:7" x14ac:dyDescent="0.25">
      <c r="A161">
        <v>2013</v>
      </c>
      <c r="B161" s="95" t="s">
        <v>196</v>
      </c>
      <c r="C161" s="49">
        <v>25</v>
      </c>
      <c r="D161" s="49">
        <v>6</v>
      </c>
      <c r="E161" s="49">
        <v>13.5</v>
      </c>
      <c r="F161">
        <v>3.3780655550264087</v>
      </c>
      <c r="G161">
        <v>1.3676378765289103</v>
      </c>
    </row>
    <row r="162" spans="1:7" x14ac:dyDescent="0.25">
      <c r="A162">
        <v>2013</v>
      </c>
      <c r="B162" s="95" t="s">
        <v>197</v>
      </c>
      <c r="C162" s="49">
        <v>25</v>
      </c>
      <c r="D162" s="49">
        <v>4</v>
      </c>
      <c r="E162" s="49">
        <v>13.5</v>
      </c>
      <c r="F162">
        <v>2.4005344928506114</v>
      </c>
      <c r="G162">
        <v>0.97187631289498433</v>
      </c>
    </row>
    <row r="163" spans="1:7" x14ac:dyDescent="0.25">
      <c r="A163">
        <v>2013</v>
      </c>
      <c r="B163" s="95" t="s">
        <v>199</v>
      </c>
      <c r="C163" s="49">
        <v>25</v>
      </c>
      <c r="D163" s="49">
        <v>9</v>
      </c>
      <c r="E163" s="49">
        <v>13.5</v>
      </c>
      <c r="F163">
        <v>4.9409145546390532</v>
      </c>
      <c r="G163">
        <v>2.0003702650360538</v>
      </c>
    </row>
    <row r="164" spans="1:7" x14ac:dyDescent="0.25">
      <c r="A164">
        <v>2013</v>
      </c>
      <c r="B164" s="95" t="s">
        <v>200</v>
      </c>
      <c r="C164" s="49">
        <v>25</v>
      </c>
      <c r="D164" s="49">
        <v>5</v>
      </c>
      <c r="E164" s="49">
        <v>13.5</v>
      </c>
      <c r="F164">
        <v>2.8555561954696946</v>
      </c>
      <c r="G164">
        <v>1.1560956256962325</v>
      </c>
    </row>
    <row r="165" spans="1:7" x14ac:dyDescent="0.25">
      <c r="A165">
        <v>2013</v>
      </c>
      <c r="B165" s="95" t="s">
        <v>201</v>
      </c>
      <c r="C165" s="49">
        <v>25</v>
      </c>
      <c r="D165" s="49">
        <v>9</v>
      </c>
      <c r="E165" s="49">
        <v>13.5</v>
      </c>
      <c r="F165">
        <v>4.9537089513683652</v>
      </c>
      <c r="G165">
        <v>2.0055501827402287</v>
      </c>
    </row>
    <row r="166" spans="1:7" x14ac:dyDescent="0.25">
      <c r="A166">
        <v>2013</v>
      </c>
      <c r="B166" s="95" t="s">
        <v>202</v>
      </c>
      <c r="C166" s="49">
        <v>25</v>
      </c>
      <c r="D166" s="49">
        <v>6</v>
      </c>
      <c r="E166" s="49">
        <v>13.5</v>
      </c>
      <c r="F166">
        <v>3.3548616785016714</v>
      </c>
      <c r="G166">
        <v>1.3582435945350895</v>
      </c>
    </row>
    <row r="167" spans="1:7" x14ac:dyDescent="0.25">
      <c r="A167">
        <v>2013</v>
      </c>
      <c r="B167" s="95" t="s">
        <v>203</v>
      </c>
      <c r="C167" s="49">
        <v>25</v>
      </c>
      <c r="D167" s="49">
        <v>6</v>
      </c>
      <c r="E167" s="49">
        <v>13.5</v>
      </c>
      <c r="F167">
        <v>3.4412863676487317</v>
      </c>
      <c r="G167">
        <v>1.3932333472262071</v>
      </c>
    </row>
    <row r="168" spans="1:7" x14ac:dyDescent="0.25">
      <c r="A168">
        <v>2013</v>
      </c>
      <c r="B168" s="95" t="s">
        <v>204</v>
      </c>
      <c r="C168" s="49">
        <v>25</v>
      </c>
      <c r="D168" s="49">
        <v>7</v>
      </c>
      <c r="E168" s="49">
        <v>13.5</v>
      </c>
      <c r="F168">
        <v>4.0132426408187971</v>
      </c>
      <c r="G168">
        <v>1.624794591424614</v>
      </c>
    </row>
    <row r="169" spans="1:7" x14ac:dyDescent="0.25">
      <c r="A169" s="49">
        <v>2014</v>
      </c>
      <c r="B169" s="49" t="s">
        <v>254</v>
      </c>
      <c r="C169" s="49">
        <v>25</v>
      </c>
      <c r="D169" s="49">
        <v>5</v>
      </c>
      <c r="E169" s="49">
        <v>13.5</v>
      </c>
    </row>
    <row r="170" spans="1:7" x14ac:dyDescent="0.25">
      <c r="A170" s="49">
        <v>2014</v>
      </c>
      <c r="B170" s="49" t="s">
        <v>71</v>
      </c>
      <c r="C170" s="49">
        <v>25</v>
      </c>
      <c r="D170" s="49">
        <v>7</v>
      </c>
      <c r="E170" s="49">
        <v>13.5</v>
      </c>
    </row>
    <row r="171" spans="1:7" x14ac:dyDescent="0.25">
      <c r="A171" s="49">
        <v>2014</v>
      </c>
      <c r="B171" s="49" t="s">
        <v>188</v>
      </c>
      <c r="C171" s="49">
        <v>25</v>
      </c>
      <c r="D171" s="49">
        <v>8</v>
      </c>
      <c r="E171" s="49">
        <v>13.5</v>
      </c>
    </row>
    <row r="172" spans="1:7" x14ac:dyDescent="0.25">
      <c r="A172" s="49">
        <v>2014</v>
      </c>
      <c r="B172" s="49" t="s">
        <v>120</v>
      </c>
      <c r="C172" s="49">
        <v>25</v>
      </c>
      <c r="D172" s="49">
        <v>5</v>
      </c>
      <c r="E172" s="49">
        <v>13.5</v>
      </c>
    </row>
    <row r="173" spans="1:7" x14ac:dyDescent="0.25">
      <c r="A173" s="49">
        <v>2014</v>
      </c>
      <c r="B173" s="49" t="s">
        <v>174</v>
      </c>
      <c r="C173" s="49">
        <v>25</v>
      </c>
      <c r="D173" s="49">
        <v>4</v>
      </c>
      <c r="E173" s="49">
        <v>13.5</v>
      </c>
    </row>
    <row r="174" spans="1:7" x14ac:dyDescent="0.25">
      <c r="A174" s="49">
        <v>2014</v>
      </c>
      <c r="B174" s="49" t="s">
        <v>53</v>
      </c>
      <c r="C174" s="49">
        <v>25</v>
      </c>
      <c r="D174" s="49">
        <v>6</v>
      </c>
      <c r="E174" s="49">
        <v>13.5</v>
      </c>
    </row>
    <row r="175" spans="1:7" x14ac:dyDescent="0.25">
      <c r="A175" s="49">
        <v>2014</v>
      </c>
      <c r="B175" s="49" t="s">
        <v>255</v>
      </c>
      <c r="C175" s="49">
        <v>25</v>
      </c>
      <c r="D175" s="49">
        <v>3</v>
      </c>
      <c r="E175" s="49">
        <v>13.5</v>
      </c>
    </row>
    <row r="176" spans="1:7" x14ac:dyDescent="0.25">
      <c r="A176" s="49">
        <v>2014</v>
      </c>
      <c r="B176" s="49" t="s">
        <v>256</v>
      </c>
      <c r="C176" s="49">
        <v>25</v>
      </c>
      <c r="D176" s="49">
        <v>6</v>
      </c>
      <c r="E176" s="49">
        <v>13.5</v>
      </c>
    </row>
    <row r="177" spans="1:5" x14ac:dyDescent="0.25">
      <c r="A177" s="49">
        <v>2014</v>
      </c>
      <c r="B177" s="49" t="s">
        <v>57</v>
      </c>
      <c r="C177" s="49">
        <v>25</v>
      </c>
      <c r="D177" s="49">
        <v>6</v>
      </c>
      <c r="E177" s="49">
        <v>13.5</v>
      </c>
    </row>
    <row r="178" spans="1:5" x14ac:dyDescent="0.25">
      <c r="A178" s="49">
        <v>2014</v>
      </c>
      <c r="B178" s="49" t="s">
        <v>186</v>
      </c>
      <c r="C178" s="49">
        <v>25</v>
      </c>
      <c r="D178" s="49">
        <v>6</v>
      </c>
      <c r="E178" s="49">
        <v>13.5</v>
      </c>
    </row>
    <row r="179" spans="1:5" x14ac:dyDescent="0.25">
      <c r="A179" s="49">
        <v>2014</v>
      </c>
      <c r="B179" s="49" t="s">
        <v>132</v>
      </c>
      <c r="C179" s="49">
        <v>25</v>
      </c>
      <c r="D179" s="49">
        <v>5</v>
      </c>
      <c r="E179" s="49">
        <v>13.5</v>
      </c>
    </row>
    <row r="180" spans="1:5" x14ac:dyDescent="0.25">
      <c r="A180" s="49">
        <v>2014</v>
      </c>
      <c r="B180" s="49" t="s">
        <v>51</v>
      </c>
      <c r="C180" s="49">
        <v>25</v>
      </c>
      <c r="D180" s="49">
        <v>6</v>
      </c>
      <c r="E180" s="49">
        <v>13.5</v>
      </c>
    </row>
    <row r="181" spans="1:5" x14ac:dyDescent="0.25">
      <c r="A181" s="49">
        <v>2015</v>
      </c>
      <c r="B181" s="49" t="s">
        <v>257</v>
      </c>
      <c r="C181" s="49">
        <v>25</v>
      </c>
      <c r="D181" s="49">
        <v>8</v>
      </c>
      <c r="E181" s="49">
        <v>13</v>
      </c>
    </row>
    <row r="182" spans="1:5" x14ac:dyDescent="0.25">
      <c r="A182" s="49">
        <v>2015</v>
      </c>
      <c r="B182" s="49" t="s">
        <v>258</v>
      </c>
      <c r="C182" s="49">
        <v>25</v>
      </c>
      <c r="D182" s="49">
        <v>5</v>
      </c>
      <c r="E182" s="49">
        <v>13</v>
      </c>
    </row>
    <row r="183" spans="1:5" x14ac:dyDescent="0.25">
      <c r="A183" s="49">
        <v>2015</v>
      </c>
      <c r="B183" s="49" t="s">
        <v>259</v>
      </c>
      <c r="C183" s="49">
        <v>25</v>
      </c>
      <c r="D183" s="49">
        <v>5</v>
      </c>
      <c r="E183" s="49">
        <v>13</v>
      </c>
    </row>
    <row r="184" spans="1:5" x14ac:dyDescent="0.25">
      <c r="A184" s="49">
        <v>2015</v>
      </c>
      <c r="B184" s="49" t="s">
        <v>260</v>
      </c>
      <c r="C184" s="49">
        <v>25</v>
      </c>
      <c r="D184" s="49">
        <v>7</v>
      </c>
      <c r="E184" s="49">
        <v>13</v>
      </c>
    </row>
    <row r="185" spans="1:5" x14ac:dyDescent="0.25">
      <c r="A185" s="49">
        <v>2015</v>
      </c>
      <c r="B185" s="49" t="s">
        <v>261</v>
      </c>
      <c r="C185" s="49">
        <v>25</v>
      </c>
      <c r="D185" s="49">
        <v>6</v>
      </c>
      <c r="E185" s="49">
        <v>13</v>
      </c>
    </row>
    <row r="186" spans="1:5" x14ac:dyDescent="0.25">
      <c r="A186" s="49">
        <v>2015</v>
      </c>
      <c r="B186" s="49" t="s">
        <v>262</v>
      </c>
      <c r="C186" s="49">
        <v>25</v>
      </c>
      <c r="D186" s="49">
        <v>6</v>
      </c>
      <c r="E186" s="49">
        <v>13</v>
      </c>
    </row>
    <row r="187" spans="1:5" x14ac:dyDescent="0.25">
      <c r="A187" s="49">
        <v>2015</v>
      </c>
      <c r="B187" s="49" t="s">
        <v>263</v>
      </c>
      <c r="C187" s="49">
        <v>25</v>
      </c>
      <c r="D187" s="49">
        <v>5</v>
      </c>
      <c r="E187" s="49">
        <v>13</v>
      </c>
    </row>
    <row r="188" spans="1:5" x14ac:dyDescent="0.25">
      <c r="A188" s="49">
        <v>2015</v>
      </c>
      <c r="B188" s="49" t="s">
        <v>264</v>
      </c>
      <c r="C188" s="49">
        <v>25</v>
      </c>
      <c r="D188" s="49">
        <v>7</v>
      </c>
      <c r="E188" s="49">
        <v>13</v>
      </c>
    </row>
    <row r="189" spans="1:5" x14ac:dyDescent="0.25">
      <c r="A189" s="49">
        <v>2015</v>
      </c>
      <c r="B189" s="49" t="s">
        <v>265</v>
      </c>
      <c r="C189" s="49">
        <v>25</v>
      </c>
      <c r="D189" s="49">
        <v>5</v>
      </c>
      <c r="E189" s="49">
        <v>13</v>
      </c>
    </row>
    <row r="190" spans="1:5" x14ac:dyDescent="0.25">
      <c r="A190" s="49">
        <v>2015</v>
      </c>
      <c r="B190" s="49" t="s">
        <v>266</v>
      </c>
      <c r="C190" s="49">
        <v>25</v>
      </c>
      <c r="D190" s="49">
        <v>6</v>
      </c>
      <c r="E190" s="49">
        <v>13</v>
      </c>
    </row>
    <row r="191" spans="1:5" x14ac:dyDescent="0.25">
      <c r="A191" s="49">
        <v>2015</v>
      </c>
      <c r="B191" s="49" t="s">
        <v>267</v>
      </c>
      <c r="C191" s="49">
        <v>25</v>
      </c>
      <c r="D191" s="49">
        <v>6</v>
      </c>
      <c r="E191" s="49">
        <v>13</v>
      </c>
    </row>
    <row r="192" spans="1:5" x14ac:dyDescent="0.25">
      <c r="A192" s="49">
        <v>2015</v>
      </c>
      <c r="B192" s="49" t="s">
        <v>268</v>
      </c>
      <c r="C192" s="49">
        <v>25</v>
      </c>
      <c r="D192" s="49">
        <v>7</v>
      </c>
      <c r="E192" s="49">
        <v>13</v>
      </c>
    </row>
    <row r="193" spans="1:5" x14ac:dyDescent="0.25">
      <c r="A193" s="49">
        <v>2015</v>
      </c>
      <c r="B193" s="49" t="s">
        <v>269</v>
      </c>
      <c r="C193" s="49">
        <v>25</v>
      </c>
      <c r="D193" s="49">
        <v>6</v>
      </c>
      <c r="E193" s="49">
        <v>13</v>
      </c>
    </row>
    <row r="194" spans="1:5" x14ac:dyDescent="0.25">
      <c r="A194" s="49">
        <v>2015</v>
      </c>
      <c r="B194" s="49" t="s">
        <v>270</v>
      </c>
      <c r="C194" s="49">
        <v>25</v>
      </c>
      <c r="D194" s="49">
        <v>5</v>
      </c>
      <c r="E194" s="49">
        <v>13</v>
      </c>
    </row>
    <row r="195" spans="1:5" x14ac:dyDescent="0.25">
      <c r="A195" s="49">
        <v>2016</v>
      </c>
      <c r="B195" s="49" t="s">
        <v>271</v>
      </c>
      <c r="C195" s="49">
        <v>25</v>
      </c>
      <c r="D195" s="49">
        <v>4</v>
      </c>
      <c r="E195" s="49">
        <v>14</v>
      </c>
    </row>
    <row r="196" spans="1:5" x14ac:dyDescent="0.25">
      <c r="A196" s="49">
        <v>2016</v>
      </c>
      <c r="B196" s="49" t="s">
        <v>272</v>
      </c>
      <c r="C196" s="49">
        <v>25</v>
      </c>
      <c r="D196" s="49">
        <v>5</v>
      </c>
      <c r="E196" s="49">
        <v>14</v>
      </c>
    </row>
    <row r="197" spans="1:5" x14ac:dyDescent="0.25">
      <c r="A197" s="49">
        <v>2016</v>
      </c>
      <c r="B197" s="49" t="s">
        <v>273</v>
      </c>
      <c r="C197" s="49">
        <v>25</v>
      </c>
      <c r="D197" s="49">
        <v>5</v>
      </c>
      <c r="E197" s="49">
        <v>14</v>
      </c>
    </row>
    <row r="198" spans="1:5" x14ac:dyDescent="0.25">
      <c r="A198" s="49">
        <v>2016</v>
      </c>
      <c r="B198" s="49" t="s">
        <v>274</v>
      </c>
      <c r="C198" s="49">
        <v>25</v>
      </c>
      <c r="D198" s="49">
        <v>5</v>
      </c>
      <c r="E198" s="49">
        <v>14</v>
      </c>
    </row>
    <row r="199" spans="1:5" x14ac:dyDescent="0.25">
      <c r="A199" s="49">
        <v>2016</v>
      </c>
      <c r="B199" s="49" t="s">
        <v>275</v>
      </c>
      <c r="C199" s="49">
        <v>25</v>
      </c>
      <c r="D199" s="49">
        <v>5</v>
      </c>
      <c r="E199" s="49">
        <v>14</v>
      </c>
    </row>
    <row r="200" spans="1:5" x14ac:dyDescent="0.25">
      <c r="A200" s="49">
        <v>2016</v>
      </c>
      <c r="B200" s="49" t="s">
        <v>276</v>
      </c>
      <c r="C200" s="49">
        <v>25</v>
      </c>
      <c r="D200" s="49">
        <v>7</v>
      </c>
      <c r="E200" s="49">
        <v>14</v>
      </c>
    </row>
    <row r="201" spans="1:5" x14ac:dyDescent="0.25">
      <c r="A201" s="49">
        <v>2016</v>
      </c>
      <c r="B201" s="49" t="s">
        <v>277</v>
      </c>
      <c r="C201" s="49">
        <v>25</v>
      </c>
      <c r="D201" s="49">
        <v>6</v>
      </c>
      <c r="E201" s="49">
        <v>14</v>
      </c>
    </row>
    <row r="202" spans="1:5" x14ac:dyDescent="0.25">
      <c r="A202" s="49">
        <v>2016</v>
      </c>
      <c r="B202" s="49" t="s">
        <v>278</v>
      </c>
      <c r="C202" s="49">
        <v>25</v>
      </c>
      <c r="D202" s="49">
        <v>7</v>
      </c>
      <c r="E202" s="49">
        <v>14</v>
      </c>
    </row>
    <row r="203" spans="1:5" x14ac:dyDescent="0.25">
      <c r="A203" s="49">
        <v>2016</v>
      </c>
      <c r="B203" s="49" t="s">
        <v>279</v>
      </c>
      <c r="C203" s="49">
        <v>25</v>
      </c>
      <c r="D203" s="49">
        <v>6</v>
      </c>
      <c r="E203" s="49">
        <v>14</v>
      </c>
    </row>
    <row r="204" spans="1:5" x14ac:dyDescent="0.25">
      <c r="A204" s="49">
        <v>2016</v>
      </c>
      <c r="B204" s="49" t="s">
        <v>280</v>
      </c>
      <c r="C204" s="49">
        <v>25</v>
      </c>
      <c r="D204" s="49">
        <v>5</v>
      </c>
      <c r="E204" s="49">
        <v>14</v>
      </c>
    </row>
    <row r="205" spans="1:5" x14ac:dyDescent="0.25">
      <c r="A205" s="49">
        <v>2016</v>
      </c>
      <c r="B205" s="49" t="s">
        <v>281</v>
      </c>
      <c r="C205" s="49">
        <v>25</v>
      </c>
      <c r="D205" s="49">
        <v>6</v>
      </c>
      <c r="E205" s="49">
        <v>14</v>
      </c>
    </row>
    <row r="206" spans="1:5" x14ac:dyDescent="0.25">
      <c r="A206" s="49">
        <v>2016</v>
      </c>
      <c r="B206" s="49" t="s">
        <v>282</v>
      </c>
      <c r="C206" s="49">
        <v>25</v>
      </c>
      <c r="D206" s="49">
        <v>7</v>
      </c>
      <c r="E206" s="49">
        <v>14</v>
      </c>
    </row>
    <row r="207" spans="1:5" x14ac:dyDescent="0.25">
      <c r="A207" s="49">
        <v>2016</v>
      </c>
      <c r="B207" s="49" t="s">
        <v>283</v>
      </c>
      <c r="C207" s="49">
        <v>25</v>
      </c>
      <c r="D207" s="49">
        <v>7</v>
      </c>
      <c r="E207" s="49">
        <v>14</v>
      </c>
    </row>
    <row r="208" spans="1:5" x14ac:dyDescent="0.25">
      <c r="A208" s="49">
        <v>2016</v>
      </c>
      <c r="B208" s="49" t="s">
        <v>284</v>
      </c>
      <c r="C208" s="49">
        <v>25</v>
      </c>
      <c r="D208" s="49">
        <v>5</v>
      </c>
      <c r="E208" s="49">
        <v>14</v>
      </c>
    </row>
    <row r="209" spans="1:5" x14ac:dyDescent="0.25">
      <c r="A209" s="49">
        <v>2017</v>
      </c>
      <c r="B209" s="49" t="s">
        <v>285</v>
      </c>
      <c r="C209" s="49">
        <v>25</v>
      </c>
      <c r="D209" s="49">
        <v>7</v>
      </c>
      <c r="E209" s="49">
        <v>15</v>
      </c>
    </row>
    <row r="210" spans="1:5" x14ac:dyDescent="0.25">
      <c r="A210" s="49">
        <v>2017</v>
      </c>
      <c r="B210" s="49" t="s">
        <v>286</v>
      </c>
      <c r="C210" s="49">
        <v>25</v>
      </c>
      <c r="D210" s="49">
        <v>4</v>
      </c>
      <c r="E210" s="49">
        <v>15</v>
      </c>
    </row>
    <row r="211" spans="1:5" x14ac:dyDescent="0.25">
      <c r="A211" s="49">
        <v>2017</v>
      </c>
      <c r="B211" s="49" t="s">
        <v>287</v>
      </c>
      <c r="C211" s="49">
        <v>25</v>
      </c>
      <c r="D211" s="49">
        <v>2</v>
      </c>
      <c r="E211" s="49">
        <v>15</v>
      </c>
    </row>
    <row r="212" spans="1:5" x14ac:dyDescent="0.25">
      <c r="A212" s="49">
        <v>2017</v>
      </c>
      <c r="B212" s="49" t="s">
        <v>288</v>
      </c>
      <c r="C212" s="49">
        <v>25</v>
      </c>
      <c r="D212" s="49">
        <v>4</v>
      </c>
      <c r="E212" s="49">
        <v>15</v>
      </c>
    </row>
    <row r="213" spans="1:5" x14ac:dyDescent="0.25">
      <c r="A213" s="49">
        <v>2017</v>
      </c>
      <c r="B213" s="49" t="s">
        <v>289</v>
      </c>
      <c r="C213" s="49">
        <v>25</v>
      </c>
      <c r="D213" s="49">
        <v>8</v>
      </c>
      <c r="E213" s="49">
        <v>15</v>
      </c>
    </row>
    <row r="214" spans="1:5" x14ac:dyDescent="0.25">
      <c r="A214" s="49">
        <v>2017</v>
      </c>
      <c r="B214" s="49" t="s">
        <v>290</v>
      </c>
      <c r="C214" s="49">
        <v>25</v>
      </c>
      <c r="D214" s="49">
        <v>6</v>
      </c>
      <c r="E214" s="49">
        <v>15</v>
      </c>
    </row>
    <row r="215" spans="1:5" x14ac:dyDescent="0.25">
      <c r="A215" s="49">
        <v>2017</v>
      </c>
      <c r="B215" s="49" t="s">
        <v>291</v>
      </c>
      <c r="C215" s="49">
        <v>25</v>
      </c>
      <c r="D215" s="49">
        <v>7</v>
      </c>
      <c r="E215" s="49">
        <v>15</v>
      </c>
    </row>
    <row r="216" spans="1:5" x14ac:dyDescent="0.25">
      <c r="A216" s="49">
        <v>2017</v>
      </c>
      <c r="B216" s="49" t="s">
        <v>292</v>
      </c>
      <c r="C216" s="49">
        <v>25</v>
      </c>
      <c r="D216" s="49">
        <v>10</v>
      </c>
      <c r="E216" s="49">
        <v>15</v>
      </c>
    </row>
    <row r="217" spans="1:5" x14ac:dyDescent="0.25">
      <c r="A217" s="49">
        <v>2017</v>
      </c>
      <c r="B217" s="49" t="s">
        <v>293</v>
      </c>
      <c r="C217" s="49">
        <v>25</v>
      </c>
      <c r="D217" s="49">
        <v>7</v>
      </c>
      <c r="E217" s="49">
        <v>15</v>
      </c>
    </row>
    <row r="218" spans="1:5" x14ac:dyDescent="0.25">
      <c r="A218" s="49">
        <v>2017</v>
      </c>
      <c r="B218" s="49" t="s">
        <v>280</v>
      </c>
      <c r="C218" s="49">
        <v>25</v>
      </c>
      <c r="D218" s="49">
        <v>6</v>
      </c>
      <c r="E218" s="49">
        <v>15</v>
      </c>
    </row>
    <row r="219" spans="1:5" x14ac:dyDescent="0.25">
      <c r="A219" s="49">
        <v>2017</v>
      </c>
      <c r="B219" s="49" t="s">
        <v>281</v>
      </c>
      <c r="C219" s="49">
        <v>25</v>
      </c>
      <c r="D219" s="49">
        <v>6</v>
      </c>
      <c r="E219" s="49">
        <v>15</v>
      </c>
    </row>
    <row r="220" spans="1:5" x14ac:dyDescent="0.25">
      <c r="A220" s="49">
        <v>2017</v>
      </c>
      <c r="B220" s="49" t="s">
        <v>282</v>
      </c>
      <c r="C220" s="49">
        <v>25</v>
      </c>
      <c r="D220" s="49">
        <v>5</v>
      </c>
      <c r="E220" s="49">
        <v>15</v>
      </c>
    </row>
    <row r="221" spans="1:5" x14ac:dyDescent="0.25">
      <c r="A221" s="49">
        <v>2017</v>
      </c>
      <c r="B221" s="49" t="s">
        <v>283</v>
      </c>
      <c r="C221" s="49">
        <v>25</v>
      </c>
      <c r="D221" s="49">
        <v>9</v>
      </c>
      <c r="E221" s="49">
        <v>15</v>
      </c>
    </row>
    <row r="222" spans="1:5" x14ac:dyDescent="0.25">
      <c r="A222" s="49">
        <v>2017</v>
      </c>
      <c r="B222" s="49" t="s">
        <v>284</v>
      </c>
      <c r="C222" s="49">
        <v>25</v>
      </c>
      <c r="D222" s="49">
        <v>4</v>
      </c>
      <c r="E222" s="49">
        <v>15</v>
      </c>
    </row>
    <row r="223" spans="1:5" x14ac:dyDescent="0.25">
      <c r="A223" s="49">
        <v>2018</v>
      </c>
      <c r="B223" s="49" t="s">
        <v>285</v>
      </c>
      <c r="C223" s="49">
        <v>25</v>
      </c>
      <c r="D223" s="49">
        <v>7</v>
      </c>
      <c r="E223" s="49">
        <v>16.5</v>
      </c>
    </row>
    <row r="224" spans="1:5" x14ac:dyDescent="0.25">
      <c r="A224" s="49">
        <v>2018</v>
      </c>
      <c r="B224" s="49" t="s">
        <v>286</v>
      </c>
      <c r="C224" s="49">
        <v>25</v>
      </c>
      <c r="D224" s="49">
        <v>4</v>
      </c>
      <c r="E224" s="49">
        <v>16.5</v>
      </c>
    </row>
    <row r="225" spans="1:5" x14ac:dyDescent="0.25">
      <c r="A225" s="49">
        <v>2018</v>
      </c>
      <c r="B225" s="49" t="s">
        <v>287</v>
      </c>
      <c r="C225" s="49">
        <v>25</v>
      </c>
      <c r="D225" s="49">
        <v>3</v>
      </c>
      <c r="E225" s="49">
        <v>16.5</v>
      </c>
    </row>
    <row r="226" spans="1:5" x14ac:dyDescent="0.25">
      <c r="A226" s="49">
        <v>2018</v>
      </c>
      <c r="B226" s="49" t="s">
        <v>288</v>
      </c>
      <c r="C226" s="49">
        <v>25</v>
      </c>
      <c r="D226" s="49">
        <v>5</v>
      </c>
      <c r="E226" s="49">
        <v>16.5</v>
      </c>
    </row>
    <row r="227" spans="1:5" x14ac:dyDescent="0.25">
      <c r="A227" s="49">
        <v>2018</v>
      </c>
      <c r="B227" s="49" t="s">
        <v>289</v>
      </c>
      <c r="C227" s="49">
        <v>25</v>
      </c>
      <c r="D227" s="49">
        <v>5</v>
      </c>
      <c r="E227" s="49">
        <v>16.5</v>
      </c>
    </row>
    <row r="228" spans="1:5" x14ac:dyDescent="0.25">
      <c r="A228" s="49">
        <v>2018</v>
      </c>
      <c r="B228" s="49" t="s">
        <v>290</v>
      </c>
      <c r="C228" s="49">
        <v>25</v>
      </c>
      <c r="D228" s="49">
        <v>7</v>
      </c>
      <c r="E228" s="49">
        <v>16.5</v>
      </c>
    </row>
    <row r="229" spans="1:5" x14ac:dyDescent="0.25">
      <c r="A229" s="49">
        <v>2018</v>
      </c>
      <c r="B229" s="49" t="s">
        <v>291</v>
      </c>
      <c r="C229" s="49">
        <v>25</v>
      </c>
      <c r="D229" s="49">
        <v>5</v>
      </c>
      <c r="E229" s="49">
        <v>16.5</v>
      </c>
    </row>
    <row r="230" spans="1:5" x14ac:dyDescent="0.25">
      <c r="A230" s="49">
        <v>2018</v>
      </c>
      <c r="B230" s="49" t="s">
        <v>292</v>
      </c>
      <c r="C230" s="49">
        <v>25</v>
      </c>
      <c r="D230" s="49">
        <v>5</v>
      </c>
      <c r="E230" s="49">
        <v>16.5</v>
      </c>
    </row>
    <row r="231" spans="1:5" x14ac:dyDescent="0.25">
      <c r="A231" s="49">
        <v>2018</v>
      </c>
      <c r="B231" s="49" t="s">
        <v>293</v>
      </c>
      <c r="C231" s="49">
        <v>25</v>
      </c>
      <c r="D231" s="49">
        <v>6</v>
      </c>
      <c r="E231" s="49">
        <v>16.5</v>
      </c>
    </row>
    <row r="232" spans="1:5" x14ac:dyDescent="0.25">
      <c r="A232" s="49">
        <v>2018</v>
      </c>
      <c r="B232" s="49" t="s">
        <v>280</v>
      </c>
      <c r="C232" s="49">
        <v>25</v>
      </c>
      <c r="D232" s="49">
        <v>7</v>
      </c>
      <c r="E232" s="49">
        <v>16.5</v>
      </c>
    </row>
    <row r="233" spans="1:5" x14ac:dyDescent="0.25">
      <c r="A233" s="49">
        <v>2018</v>
      </c>
      <c r="B233" s="49" t="s">
        <v>281</v>
      </c>
      <c r="C233" s="49">
        <v>25</v>
      </c>
      <c r="D233" s="49">
        <v>5</v>
      </c>
      <c r="E233" s="49">
        <v>16.5</v>
      </c>
    </row>
    <row r="234" spans="1:5" x14ac:dyDescent="0.25">
      <c r="A234" s="49">
        <v>2018</v>
      </c>
      <c r="B234" s="49" t="s">
        <v>282</v>
      </c>
      <c r="C234" s="49">
        <v>25</v>
      </c>
      <c r="D234" s="49">
        <v>5</v>
      </c>
      <c r="E234" s="49">
        <v>16.5</v>
      </c>
    </row>
    <row r="235" spans="1:5" x14ac:dyDescent="0.25">
      <c r="A235" s="49">
        <v>2018</v>
      </c>
      <c r="B235" s="49" t="s">
        <v>283</v>
      </c>
      <c r="C235" s="49">
        <v>25</v>
      </c>
      <c r="D235" s="49">
        <v>5</v>
      </c>
      <c r="E235" s="49">
        <v>16.5</v>
      </c>
    </row>
    <row r="236" spans="1:5" x14ac:dyDescent="0.25">
      <c r="A236" s="49">
        <v>2018</v>
      </c>
      <c r="B236" s="49" t="s">
        <v>284</v>
      </c>
      <c r="C236" s="49">
        <v>25</v>
      </c>
      <c r="D236" s="49">
        <v>7</v>
      </c>
      <c r="E236" s="49">
        <v>16.5</v>
      </c>
    </row>
    <row r="237" spans="1:5" x14ac:dyDescent="0.25">
      <c r="A237" s="49">
        <v>2019</v>
      </c>
      <c r="B237" s="49" t="s">
        <v>285</v>
      </c>
      <c r="C237" s="49">
        <v>25</v>
      </c>
      <c r="D237" s="49">
        <v>4</v>
      </c>
      <c r="E237" s="49">
        <v>19</v>
      </c>
    </row>
    <row r="238" spans="1:5" x14ac:dyDescent="0.25">
      <c r="A238" s="49">
        <v>2019</v>
      </c>
      <c r="B238" s="49" t="s">
        <v>286</v>
      </c>
      <c r="C238" s="49">
        <v>25</v>
      </c>
      <c r="D238" s="49">
        <v>1</v>
      </c>
      <c r="E238" s="49">
        <v>19</v>
      </c>
    </row>
    <row r="239" spans="1:5" x14ac:dyDescent="0.25">
      <c r="A239" s="49">
        <v>2019</v>
      </c>
      <c r="B239" s="49" t="s">
        <v>287</v>
      </c>
      <c r="C239" s="49">
        <v>25</v>
      </c>
      <c r="D239" s="49">
        <v>5</v>
      </c>
      <c r="E239" s="49">
        <v>19</v>
      </c>
    </row>
    <row r="240" spans="1:5" x14ac:dyDescent="0.25">
      <c r="A240" s="49">
        <v>2019</v>
      </c>
      <c r="B240" s="49" t="s">
        <v>288</v>
      </c>
      <c r="C240" s="49">
        <v>25</v>
      </c>
      <c r="D240" s="49">
        <v>2</v>
      </c>
      <c r="E240" s="49">
        <v>19</v>
      </c>
    </row>
    <row r="241" spans="1:5" x14ac:dyDescent="0.25">
      <c r="A241" s="49">
        <v>2019</v>
      </c>
      <c r="B241" s="49" t="s">
        <v>289</v>
      </c>
      <c r="C241" s="49">
        <v>25</v>
      </c>
      <c r="D241" s="49">
        <v>3</v>
      </c>
      <c r="E241" s="49">
        <v>19</v>
      </c>
    </row>
    <row r="242" spans="1:5" x14ac:dyDescent="0.25">
      <c r="A242" s="49">
        <v>2019</v>
      </c>
      <c r="B242" s="49" t="s">
        <v>290</v>
      </c>
      <c r="C242" s="49">
        <v>25</v>
      </c>
      <c r="D242" s="49">
        <v>6</v>
      </c>
      <c r="E242" s="49">
        <v>19</v>
      </c>
    </row>
    <row r="243" spans="1:5" x14ac:dyDescent="0.25">
      <c r="A243" s="49">
        <v>2019</v>
      </c>
      <c r="B243" s="49" t="s">
        <v>291</v>
      </c>
      <c r="C243" s="49">
        <v>25</v>
      </c>
      <c r="D243" s="49">
        <v>7</v>
      </c>
      <c r="E243" s="49">
        <v>19</v>
      </c>
    </row>
    <row r="244" spans="1:5" x14ac:dyDescent="0.25">
      <c r="A244" s="49">
        <v>2019</v>
      </c>
      <c r="B244" s="49" t="s">
        <v>292</v>
      </c>
      <c r="C244" s="49">
        <v>25</v>
      </c>
      <c r="D244" s="49">
        <v>6</v>
      </c>
      <c r="E244" s="49">
        <v>19</v>
      </c>
    </row>
    <row r="245" spans="1:5" x14ac:dyDescent="0.25">
      <c r="A245" s="49">
        <v>2019</v>
      </c>
      <c r="B245" s="49" t="s">
        <v>293</v>
      </c>
      <c r="C245" s="49">
        <v>25</v>
      </c>
      <c r="D245" s="49">
        <v>6</v>
      </c>
      <c r="E245" s="49">
        <v>19</v>
      </c>
    </row>
    <row r="246" spans="1:5" x14ac:dyDescent="0.25">
      <c r="A246" s="49">
        <v>2019</v>
      </c>
      <c r="B246" s="49" t="s">
        <v>280</v>
      </c>
      <c r="C246" s="49">
        <v>25</v>
      </c>
      <c r="D246" s="49">
        <v>8</v>
      </c>
      <c r="E246" s="49">
        <v>19</v>
      </c>
    </row>
    <row r="247" spans="1:5" x14ac:dyDescent="0.25">
      <c r="A247" s="49">
        <v>2019</v>
      </c>
      <c r="B247" s="49" t="s">
        <v>281</v>
      </c>
      <c r="C247" s="49">
        <v>25</v>
      </c>
      <c r="D247" s="49">
        <v>7</v>
      </c>
      <c r="E247" s="49">
        <v>19</v>
      </c>
    </row>
    <row r="248" spans="1:5" x14ac:dyDescent="0.25">
      <c r="A248" s="49">
        <v>2019</v>
      </c>
      <c r="B248" s="49" t="s">
        <v>282</v>
      </c>
      <c r="C248" s="49">
        <v>25</v>
      </c>
      <c r="D248" s="49">
        <v>6</v>
      </c>
      <c r="E248" s="49">
        <v>19</v>
      </c>
    </row>
    <row r="249" spans="1:5" x14ac:dyDescent="0.25">
      <c r="A249" s="49">
        <v>2019</v>
      </c>
      <c r="B249" s="49" t="s">
        <v>283</v>
      </c>
      <c r="C249" s="49">
        <v>25</v>
      </c>
      <c r="D249" s="49">
        <v>6</v>
      </c>
      <c r="E249" s="49">
        <v>19</v>
      </c>
    </row>
    <row r="250" spans="1:5" x14ac:dyDescent="0.25">
      <c r="A250" s="49">
        <v>2019</v>
      </c>
      <c r="B250" s="49" t="s">
        <v>284</v>
      </c>
      <c r="C250" s="49">
        <v>25</v>
      </c>
      <c r="D250" s="49">
        <v>5</v>
      </c>
      <c r="E250" s="49">
        <v>19</v>
      </c>
    </row>
    <row r="251" spans="1:5" x14ac:dyDescent="0.25">
      <c r="A251" s="49">
        <v>2020</v>
      </c>
      <c r="B251" s="49" t="s">
        <v>285</v>
      </c>
      <c r="C251" s="49">
        <v>25</v>
      </c>
      <c r="D251" s="49">
        <v>7</v>
      </c>
      <c r="E251" s="49">
        <v>12</v>
      </c>
    </row>
    <row r="252" spans="1:5" x14ac:dyDescent="0.25">
      <c r="A252" s="49">
        <v>2020</v>
      </c>
      <c r="B252" s="49" t="s">
        <v>286</v>
      </c>
      <c r="C252" s="49">
        <v>25</v>
      </c>
      <c r="D252" s="49">
        <v>7</v>
      </c>
      <c r="E252" s="49">
        <v>12</v>
      </c>
    </row>
    <row r="253" spans="1:5" x14ac:dyDescent="0.25">
      <c r="A253" s="49">
        <v>2020</v>
      </c>
      <c r="B253" s="49" t="s">
        <v>287</v>
      </c>
      <c r="C253" s="49">
        <v>25</v>
      </c>
      <c r="D253" s="49">
        <v>5</v>
      </c>
      <c r="E253" s="49">
        <v>12</v>
      </c>
    </row>
    <row r="254" spans="1:5" x14ac:dyDescent="0.25">
      <c r="A254" s="49">
        <v>2020</v>
      </c>
      <c r="B254" s="49" t="s">
        <v>288</v>
      </c>
      <c r="C254" s="49">
        <v>25</v>
      </c>
      <c r="D254" s="49">
        <v>4</v>
      </c>
      <c r="E254" s="49">
        <v>12</v>
      </c>
    </row>
    <row r="255" spans="1:5" x14ac:dyDescent="0.25">
      <c r="A255" s="49">
        <v>2020</v>
      </c>
      <c r="B255" s="49" t="s">
        <v>289</v>
      </c>
      <c r="C255" s="49">
        <v>25</v>
      </c>
      <c r="D255" s="49">
        <v>4</v>
      </c>
      <c r="E255" s="49">
        <v>12</v>
      </c>
    </row>
    <row r="256" spans="1:5" x14ac:dyDescent="0.25">
      <c r="A256" s="49">
        <v>2020</v>
      </c>
      <c r="B256" s="49" t="s">
        <v>290</v>
      </c>
      <c r="C256" s="49">
        <v>25</v>
      </c>
      <c r="D256" s="49">
        <v>7</v>
      </c>
      <c r="E256" s="49">
        <v>12</v>
      </c>
    </row>
    <row r="257" spans="1:5" x14ac:dyDescent="0.25">
      <c r="A257" s="49">
        <v>2020</v>
      </c>
      <c r="B257" s="49" t="s">
        <v>291</v>
      </c>
      <c r="C257" s="49">
        <v>25</v>
      </c>
      <c r="D257" s="49">
        <v>3</v>
      </c>
      <c r="E257" s="49">
        <v>12</v>
      </c>
    </row>
    <row r="258" spans="1:5" x14ac:dyDescent="0.25">
      <c r="A258" s="49">
        <v>2020</v>
      </c>
      <c r="B258" s="49" t="s">
        <v>292</v>
      </c>
      <c r="C258" s="49">
        <v>25</v>
      </c>
      <c r="D258" s="49">
        <v>9</v>
      </c>
      <c r="E258" s="49">
        <v>12</v>
      </c>
    </row>
    <row r="259" spans="1:5" x14ac:dyDescent="0.25">
      <c r="A259" s="49">
        <v>2020</v>
      </c>
      <c r="B259" s="49" t="s">
        <v>293</v>
      </c>
      <c r="C259" s="49">
        <v>25</v>
      </c>
      <c r="D259" s="49">
        <v>5</v>
      </c>
      <c r="E259" s="49">
        <v>12</v>
      </c>
    </row>
    <row r="260" spans="1:5" x14ac:dyDescent="0.25">
      <c r="A260" s="49">
        <v>2020</v>
      </c>
      <c r="B260" s="49" t="s">
        <v>280</v>
      </c>
      <c r="C260" s="49">
        <v>25</v>
      </c>
      <c r="D260" s="49">
        <v>3</v>
      </c>
      <c r="E260" s="49">
        <v>12</v>
      </c>
    </row>
    <row r="261" spans="1:5" x14ac:dyDescent="0.25">
      <c r="A261" s="49">
        <v>2020</v>
      </c>
      <c r="B261" s="49" t="s">
        <v>281</v>
      </c>
      <c r="C261" s="49">
        <v>25</v>
      </c>
      <c r="D261" s="49">
        <v>1</v>
      </c>
      <c r="E261" s="49">
        <v>12</v>
      </c>
    </row>
    <row r="262" spans="1:5" x14ac:dyDescent="0.25">
      <c r="A262" s="49">
        <v>2020</v>
      </c>
      <c r="B262" s="49" t="s">
        <v>282</v>
      </c>
      <c r="C262" s="49">
        <v>25</v>
      </c>
      <c r="D262" s="49">
        <v>5</v>
      </c>
      <c r="E262" s="49">
        <v>12</v>
      </c>
    </row>
    <row r="263" spans="1:5" x14ac:dyDescent="0.25">
      <c r="A263" s="49">
        <v>2020</v>
      </c>
      <c r="B263" s="49" t="s">
        <v>283</v>
      </c>
      <c r="C263" s="49">
        <v>25</v>
      </c>
      <c r="D263" s="49">
        <v>6</v>
      </c>
      <c r="E263" s="49">
        <v>12</v>
      </c>
    </row>
    <row r="264" spans="1:5" x14ac:dyDescent="0.25">
      <c r="A264" s="49">
        <v>2020</v>
      </c>
      <c r="B264" s="49" t="s">
        <v>284</v>
      </c>
      <c r="C264" s="49">
        <v>25</v>
      </c>
      <c r="D264" s="49">
        <v>4</v>
      </c>
      <c r="E264" s="49">
        <v>12</v>
      </c>
    </row>
    <row r="265" spans="1:5" x14ac:dyDescent="0.25">
      <c r="A265" s="49">
        <v>2021</v>
      </c>
      <c r="B265" s="49" t="s">
        <v>294</v>
      </c>
      <c r="C265" s="49">
        <v>25</v>
      </c>
      <c r="D265" s="49">
        <v>7</v>
      </c>
      <c r="E265" s="49">
        <v>15</v>
      </c>
    </row>
    <row r="266" spans="1:5" x14ac:dyDescent="0.25">
      <c r="A266" s="49">
        <v>2021</v>
      </c>
      <c r="B266" s="49" t="s">
        <v>53</v>
      </c>
      <c r="C266" s="49">
        <v>25</v>
      </c>
      <c r="D266" s="49">
        <v>6</v>
      </c>
      <c r="E266" s="49">
        <v>15</v>
      </c>
    </row>
    <row r="267" spans="1:5" x14ac:dyDescent="0.25">
      <c r="A267" s="49">
        <v>2021</v>
      </c>
      <c r="B267" s="49" t="s">
        <v>295</v>
      </c>
      <c r="C267" s="49">
        <v>25</v>
      </c>
      <c r="D267" s="49">
        <v>6</v>
      </c>
      <c r="E267" s="49">
        <v>15</v>
      </c>
    </row>
    <row r="268" spans="1:5" x14ac:dyDescent="0.25">
      <c r="A268" s="49">
        <v>2021</v>
      </c>
      <c r="B268" s="49" t="s">
        <v>51</v>
      </c>
      <c r="C268" s="49">
        <v>25</v>
      </c>
      <c r="D268" s="49">
        <v>6</v>
      </c>
      <c r="E268" s="49">
        <v>15</v>
      </c>
    </row>
    <row r="269" spans="1:5" x14ac:dyDescent="0.25">
      <c r="A269" s="49">
        <v>2021</v>
      </c>
      <c r="B269" s="49" t="s">
        <v>132</v>
      </c>
      <c r="C269" s="49">
        <v>25</v>
      </c>
      <c r="D269" s="49">
        <v>6</v>
      </c>
      <c r="E269" s="49">
        <v>15</v>
      </c>
    </row>
    <row r="270" spans="1:5" x14ac:dyDescent="0.25">
      <c r="A270" s="49">
        <v>2021</v>
      </c>
      <c r="B270" s="49" t="s">
        <v>296</v>
      </c>
      <c r="C270" s="49">
        <v>25</v>
      </c>
      <c r="D270" s="49">
        <v>6</v>
      </c>
      <c r="E270" s="49">
        <v>15</v>
      </c>
    </row>
    <row r="271" spans="1:5" x14ac:dyDescent="0.25">
      <c r="A271" s="49">
        <v>2021</v>
      </c>
      <c r="B271" s="49" t="s">
        <v>193</v>
      </c>
      <c r="C271" s="49">
        <v>25</v>
      </c>
      <c r="D271" s="49">
        <v>7</v>
      </c>
      <c r="E271" s="49">
        <v>15</v>
      </c>
    </row>
    <row r="272" spans="1:5" x14ac:dyDescent="0.25">
      <c r="A272" s="49">
        <v>2021</v>
      </c>
      <c r="B272" s="49" t="s">
        <v>297</v>
      </c>
      <c r="C272" s="49">
        <v>25</v>
      </c>
      <c r="D272" s="49">
        <v>5</v>
      </c>
      <c r="E272" s="49">
        <v>15</v>
      </c>
    </row>
    <row r="273" spans="1:5" x14ac:dyDescent="0.25">
      <c r="A273" s="49">
        <v>2021</v>
      </c>
      <c r="B273" s="49" t="s">
        <v>138</v>
      </c>
      <c r="C273" s="49">
        <v>25</v>
      </c>
      <c r="D273" s="49">
        <v>3</v>
      </c>
      <c r="E273" s="49">
        <v>15</v>
      </c>
    </row>
    <row r="274" spans="1:5" x14ac:dyDescent="0.25">
      <c r="A274" s="49">
        <v>2021</v>
      </c>
      <c r="B274" s="49" t="s">
        <v>254</v>
      </c>
      <c r="C274" s="49">
        <v>25</v>
      </c>
      <c r="D274" s="49">
        <v>7</v>
      </c>
      <c r="E274" s="49">
        <v>15</v>
      </c>
    </row>
    <row r="275" spans="1:5" x14ac:dyDescent="0.25">
      <c r="A275" s="49">
        <v>2022</v>
      </c>
      <c r="B275" s="49" t="s">
        <v>294</v>
      </c>
      <c r="C275" s="49">
        <v>25</v>
      </c>
      <c r="D275" s="49">
        <v>7</v>
      </c>
      <c r="E275" s="49">
        <v>15</v>
      </c>
    </row>
    <row r="276" spans="1:5" x14ac:dyDescent="0.25">
      <c r="A276" s="49">
        <v>2022</v>
      </c>
      <c r="B276" s="49" t="s">
        <v>53</v>
      </c>
      <c r="C276" s="49">
        <v>25</v>
      </c>
      <c r="D276" s="49">
        <v>8</v>
      </c>
      <c r="E276" s="49">
        <v>15</v>
      </c>
    </row>
    <row r="277" spans="1:5" x14ac:dyDescent="0.25">
      <c r="A277" s="49">
        <v>2022</v>
      </c>
      <c r="B277" s="49" t="s">
        <v>295</v>
      </c>
      <c r="C277" s="49">
        <v>25</v>
      </c>
      <c r="D277" s="49">
        <v>6</v>
      </c>
      <c r="E277" s="49">
        <v>15</v>
      </c>
    </row>
    <row r="278" spans="1:5" x14ac:dyDescent="0.25">
      <c r="A278" s="49">
        <v>2022</v>
      </c>
      <c r="B278" s="49" t="s">
        <v>51</v>
      </c>
      <c r="C278" s="49">
        <v>25</v>
      </c>
      <c r="D278" s="49">
        <v>7</v>
      </c>
      <c r="E278" s="49">
        <v>15</v>
      </c>
    </row>
    <row r="279" spans="1:5" x14ac:dyDescent="0.25">
      <c r="A279" s="49">
        <v>2022</v>
      </c>
      <c r="B279" s="49" t="s">
        <v>132</v>
      </c>
      <c r="C279" s="49">
        <v>25</v>
      </c>
      <c r="D279" s="49">
        <v>7</v>
      </c>
      <c r="E279" s="49">
        <v>15</v>
      </c>
    </row>
    <row r="280" spans="1:5" x14ac:dyDescent="0.25">
      <c r="A280" s="49">
        <v>2022</v>
      </c>
      <c r="B280" s="49" t="s">
        <v>296</v>
      </c>
      <c r="C280" s="49">
        <v>25</v>
      </c>
      <c r="D280" s="49">
        <v>5</v>
      </c>
      <c r="E280" s="49">
        <v>15</v>
      </c>
    </row>
    <row r="281" spans="1:5" x14ac:dyDescent="0.25">
      <c r="A281" s="49">
        <v>2022</v>
      </c>
      <c r="B281" s="49" t="s">
        <v>193</v>
      </c>
      <c r="C281" s="49">
        <v>25</v>
      </c>
      <c r="D281" s="49">
        <v>8</v>
      </c>
      <c r="E281" s="49">
        <v>15</v>
      </c>
    </row>
    <row r="282" spans="1:5" x14ac:dyDescent="0.25">
      <c r="A282" s="49">
        <v>2022</v>
      </c>
      <c r="B282" s="49" t="s">
        <v>297</v>
      </c>
      <c r="C282" s="49">
        <v>25</v>
      </c>
      <c r="D282" s="49">
        <v>8</v>
      </c>
      <c r="E282" s="49">
        <v>15</v>
      </c>
    </row>
    <row r="283" spans="1:5" x14ac:dyDescent="0.25">
      <c r="A283" s="49">
        <v>2022</v>
      </c>
      <c r="B283" s="49" t="s">
        <v>138</v>
      </c>
      <c r="C283" s="49">
        <v>25</v>
      </c>
      <c r="D283" s="49">
        <v>7</v>
      </c>
      <c r="E283" s="49">
        <v>15</v>
      </c>
    </row>
    <row r="284" spans="1:5" x14ac:dyDescent="0.25">
      <c r="A284" s="49">
        <v>2022</v>
      </c>
      <c r="B284" s="49" t="s">
        <v>254</v>
      </c>
      <c r="C284" s="49">
        <v>25</v>
      </c>
      <c r="D284" s="49">
        <v>6</v>
      </c>
      <c r="E284" s="49">
        <v>15</v>
      </c>
    </row>
    <row r="285" spans="1:5" x14ac:dyDescent="0.25">
      <c r="A285" s="49">
        <v>2023</v>
      </c>
      <c r="B285" s="49" t="s">
        <v>294</v>
      </c>
      <c r="C285" s="49">
        <v>25</v>
      </c>
      <c r="D285" s="49">
        <v>5</v>
      </c>
      <c r="E285" s="49">
        <v>14</v>
      </c>
    </row>
    <row r="286" spans="1:5" x14ac:dyDescent="0.25">
      <c r="A286" s="49">
        <v>2023</v>
      </c>
      <c r="B286" s="49" t="s">
        <v>53</v>
      </c>
      <c r="C286" s="49">
        <v>25</v>
      </c>
      <c r="D286" s="49">
        <v>5</v>
      </c>
      <c r="E286" s="49">
        <v>14</v>
      </c>
    </row>
    <row r="287" spans="1:5" x14ac:dyDescent="0.25">
      <c r="A287" s="49">
        <v>2023</v>
      </c>
      <c r="B287" s="49" t="s">
        <v>295</v>
      </c>
      <c r="C287" s="49">
        <v>25</v>
      </c>
      <c r="D287" s="49">
        <v>7</v>
      </c>
      <c r="E287" s="49">
        <v>14</v>
      </c>
    </row>
    <row r="288" spans="1:5" x14ac:dyDescent="0.25">
      <c r="A288" s="49">
        <v>2023</v>
      </c>
      <c r="B288" s="49" t="s">
        <v>51</v>
      </c>
      <c r="C288" s="49">
        <v>25</v>
      </c>
      <c r="D288" s="49">
        <v>9</v>
      </c>
      <c r="E288" s="49">
        <v>14</v>
      </c>
    </row>
    <row r="289" spans="1:5" x14ac:dyDescent="0.25">
      <c r="A289" s="49">
        <v>2023</v>
      </c>
      <c r="B289" s="49" t="s">
        <v>132</v>
      </c>
      <c r="C289" s="49">
        <v>25</v>
      </c>
      <c r="D289" s="49">
        <v>6</v>
      </c>
      <c r="E289" s="49">
        <v>14</v>
      </c>
    </row>
    <row r="290" spans="1:5" x14ac:dyDescent="0.25">
      <c r="A290" s="49">
        <v>2023</v>
      </c>
      <c r="B290" s="49" t="s">
        <v>296</v>
      </c>
      <c r="C290" s="49">
        <v>25</v>
      </c>
      <c r="D290" s="49">
        <v>4</v>
      </c>
      <c r="E290" s="49">
        <v>14</v>
      </c>
    </row>
    <row r="291" spans="1:5" x14ac:dyDescent="0.25">
      <c r="A291" s="49">
        <v>2023</v>
      </c>
      <c r="B291" s="49" t="s">
        <v>193</v>
      </c>
      <c r="C291" s="49">
        <v>25</v>
      </c>
      <c r="D291" s="49">
        <v>5</v>
      </c>
      <c r="E291" s="49">
        <v>14</v>
      </c>
    </row>
    <row r="292" spans="1:5" x14ac:dyDescent="0.25">
      <c r="A292" s="49">
        <v>2023</v>
      </c>
      <c r="B292" s="49" t="s">
        <v>297</v>
      </c>
      <c r="C292" s="49">
        <v>25</v>
      </c>
      <c r="D292" s="49">
        <v>4</v>
      </c>
      <c r="E292" s="49">
        <v>14</v>
      </c>
    </row>
    <row r="293" spans="1:5" x14ac:dyDescent="0.25">
      <c r="A293" s="49">
        <v>2023</v>
      </c>
      <c r="B293" s="49" t="s">
        <v>138</v>
      </c>
      <c r="C293" s="49">
        <v>25</v>
      </c>
      <c r="D293" s="49">
        <v>4</v>
      </c>
      <c r="E293" s="49">
        <v>14</v>
      </c>
    </row>
    <row r="294" spans="1:5" x14ac:dyDescent="0.25">
      <c r="A294" s="49">
        <v>2023</v>
      </c>
      <c r="B294" s="49" t="s">
        <v>254</v>
      </c>
      <c r="C294" s="49">
        <v>25</v>
      </c>
      <c r="D294" s="49">
        <v>5</v>
      </c>
      <c r="E294" s="49">
        <v>14</v>
      </c>
    </row>
  </sheetData>
  <dataConsolidate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9"/>
  <sheetViews>
    <sheetView topLeftCell="A361" workbookViewId="0">
      <selection activeCell="N393" sqref="N393"/>
    </sheetView>
  </sheetViews>
  <sheetFormatPr defaultRowHeight="15" x14ac:dyDescent="0.25"/>
  <cols>
    <col min="1" max="1" width="18.7109375" bestFit="1" customWidth="1"/>
    <col min="2" max="2" width="14.5703125" bestFit="1" customWidth="1"/>
    <col min="3" max="3" width="23.7109375" bestFit="1" customWidth="1"/>
  </cols>
  <sheetData>
    <row r="1" spans="1:24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V1" s="54"/>
      <c r="W1" s="54" t="s">
        <v>205</v>
      </c>
      <c r="X1" s="54" t="s">
        <v>206</v>
      </c>
    </row>
    <row r="2" spans="1:24" x14ac:dyDescent="0.25">
      <c r="A2" s="1" t="s">
        <v>15</v>
      </c>
      <c r="B2" s="1">
        <v>1</v>
      </c>
      <c r="C2" s="8">
        <v>36818</v>
      </c>
      <c r="D2" s="1">
        <v>25</v>
      </c>
      <c r="E2" s="3">
        <v>3</v>
      </c>
      <c r="F2" s="4">
        <v>0.05</v>
      </c>
      <c r="G2" s="4">
        <v>0</v>
      </c>
      <c r="H2" s="9">
        <v>0</v>
      </c>
      <c r="I2">
        <v>8</v>
      </c>
      <c r="J2" s="1">
        <f>EXP(-0.228+(0.348*I2)+(-0.002*H2)+(-0.092*G2)+(3.27*F2))</f>
        <v>15.172733981055476</v>
      </c>
      <c r="K2" s="7">
        <f>1+EXP(-0.228+(0.348*I2)+(-0.002*H2)+(-0.092*G2)+(3.27*F2))</f>
        <v>16.172733981055476</v>
      </c>
      <c r="L2" s="7">
        <f>J2/K2</f>
        <v>0.93816753548463816</v>
      </c>
      <c r="M2" s="7">
        <v>14</v>
      </c>
      <c r="N2" s="7">
        <f>E2*M2/L2/D2</f>
        <v>1.7907249360660793</v>
      </c>
      <c r="O2" s="7">
        <f t="shared" ref="O2:O13" si="0">N2/2.47</f>
        <v>0.7249898526583316</v>
      </c>
      <c r="V2" s="54">
        <v>1997</v>
      </c>
      <c r="W2" s="54">
        <v>0.21</v>
      </c>
      <c r="X2" s="54">
        <v>0.06</v>
      </c>
    </row>
    <row r="3" spans="1:24" x14ac:dyDescent="0.25">
      <c r="A3" t="s">
        <v>15</v>
      </c>
      <c r="B3">
        <v>2</v>
      </c>
      <c r="C3" s="10">
        <v>36819</v>
      </c>
      <c r="D3">
        <v>25</v>
      </c>
      <c r="E3">
        <v>3</v>
      </c>
      <c r="F3">
        <v>0.03</v>
      </c>
      <c r="G3">
        <v>0</v>
      </c>
      <c r="H3">
        <v>0</v>
      </c>
      <c r="I3">
        <v>5.5</v>
      </c>
      <c r="J3" s="1">
        <f t="shared" ref="J3:J13" si="1">EXP(-0.228+(0.348*I3)+(-0.002*H3)+(-0.092*G3)+(3.27*F3))</f>
        <v>5.9542187385357161</v>
      </c>
      <c r="K3" s="7">
        <f t="shared" ref="K3:K13" si="2">1+EXP(-0.228+(0.348*I3)+(-0.002*H3)+(-0.092*G3)+(3.27*F3))</f>
        <v>6.9542187385357161</v>
      </c>
      <c r="L3" s="7">
        <f t="shared" ref="L3:L13" si="3">J3/K3</f>
        <v>0.8562023948918005</v>
      </c>
      <c r="M3" s="7">
        <v>14</v>
      </c>
      <c r="N3" s="7">
        <f t="shared" ref="N3:N13" si="4">E3*M3/L3/D3</f>
        <v>1.9621528858399233</v>
      </c>
      <c r="O3" s="7">
        <f t="shared" si="0"/>
        <v>0.79439388090685148</v>
      </c>
      <c r="V3" s="54">
        <v>1998</v>
      </c>
      <c r="W3" s="54">
        <v>0.37</v>
      </c>
      <c r="X3" s="54">
        <v>7.0000000000000007E-2</v>
      </c>
    </row>
    <row r="4" spans="1:24" x14ac:dyDescent="0.25">
      <c r="A4" t="s">
        <v>15</v>
      </c>
      <c r="B4">
        <v>3</v>
      </c>
      <c r="C4" s="10">
        <v>36823</v>
      </c>
      <c r="D4">
        <v>25</v>
      </c>
      <c r="E4">
        <v>3</v>
      </c>
      <c r="F4">
        <v>0.01</v>
      </c>
      <c r="G4">
        <v>0</v>
      </c>
      <c r="H4">
        <v>0</v>
      </c>
      <c r="I4">
        <v>4.3</v>
      </c>
      <c r="J4" s="1">
        <f t="shared" si="1"/>
        <v>3.6733351146923043</v>
      </c>
      <c r="K4" s="7">
        <f t="shared" si="2"/>
        <v>4.6733351146923043</v>
      </c>
      <c r="L4" s="7">
        <f t="shared" si="3"/>
        <v>0.78602005303318789</v>
      </c>
      <c r="M4" s="7">
        <v>14</v>
      </c>
      <c r="N4" s="7">
        <f t="shared" si="4"/>
        <v>2.1373500504433895</v>
      </c>
      <c r="O4" s="7">
        <f t="shared" si="0"/>
        <v>0.86532390706210094</v>
      </c>
      <c r="V4" s="54">
        <v>1999</v>
      </c>
      <c r="W4" s="54">
        <v>0.35</v>
      </c>
      <c r="X4" s="54">
        <v>0.13</v>
      </c>
    </row>
    <row r="5" spans="1:24" x14ac:dyDescent="0.25">
      <c r="A5" t="s">
        <v>16</v>
      </c>
      <c r="B5">
        <v>1</v>
      </c>
      <c r="C5" s="10">
        <v>36819</v>
      </c>
      <c r="D5">
        <v>25</v>
      </c>
      <c r="E5">
        <v>4</v>
      </c>
      <c r="F5">
        <v>0.03</v>
      </c>
      <c r="G5">
        <v>0</v>
      </c>
      <c r="H5">
        <v>0</v>
      </c>
      <c r="I5">
        <v>6</v>
      </c>
      <c r="J5" s="1">
        <f t="shared" si="1"/>
        <v>7.0858511499063281</v>
      </c>
      <c r="K5" s="7">
        <f t="shared" si="2"/>
        <v>8.085851149906329</v>
      </c>
      <c r="L5" s="7">
        <f t="shared" si="3"/>
        <v>0.87632718170781743</v>
      </c>
      <c r="M5" s="7">
        <v>14</v>
      </c>
      <c r="N5" s="7">
        <f t="shared" si="4"/>
        <v>2.5561229261822151</v>
      </c>
      <c r="O5" s="7">
        <f t="shared" si="0"/>
        <v>1.0348675814502895</v>
      </c>
      <c r="V5" s="54">
        <v>2000</v>
      </c>
      <c r="W5" s="54">
        <v>0.29699999999999999</v>
      </c>
      <c r="X5" s="54">
        <v>0.06</v>
      </c>
    </row>
    <row r="6" spans="1:24" x14ac:dyDescent="0.25">
      <c r="A6" t="s">
        <v>16</v>
      </c>
      <c r="B6">
        <v>2</v>
      </c>
      <c r="C6" s="10">
        <v>36822</v>
      </c>
      <c r="D6">
        <v>25</v>
      </c>
      <c r="E6">
        <v>7</v>
      </c>
      <c r="F6">
        <v>0.02</v>
      </c>
      <c r="G6">
        <v>0</v>
      </c>
      <c r="H6">
        <v>0</v>
      </c>
      <c r="I6">
        <v>8.5</v>
      </c>
      <c r="J6" s="1">
        <f t="shared" si="1"/>
        <v>16.369175113843319</v>
      </c>
      <c r="K6" s="7">
        <f t="shared" si="2"/>
        <v>17.369175113843319</v>
      </c>
      <c r="L6" s="7">
        <f t="shared" si="3"/>
        <v>0.94242674200440324</v>
      </c>
      <c r="M6" s="7">
        <v>14</v>
      </c>
      <c r="N6" s="7">
        <f t="shared" si="4"/>
        <v>4.1594744984238625</v>
      </c>
      <c r="O6" s="7">
        <f t="shared" si="0"/>
        <v>1.6839977726412398</v>
      </c>
      <c r="V6" s="54">
        <v>2001</v>
      </c>
      <c r="W6" s="54">
        <v>0.65</v>
      </c>
      <c r="X6" s="54">
        <v>0.14199999999999999</v>
      </c>
    </row>
    <row r="7" spans="1:24" x14ac:dyDescent="0.25">
      <c r="A7" t="s">
        <v>16</v>
      </c>
      <c r="B7">
        <v>3</v>
      </c>
      <c r="C7" s="10">
        <v>36824</v>
      </c>
      <c r="D7">
        <v>25</v>
      </c>
      <c r="E7">
        <v>4</v>
      </c>
      <c r="F7">
        <v>-0.02</v>
      </c>
      <c r="G7">
        <v>0</v>
      </c>
      <c r="H7">
        <v>0</v>
      </c>
      <c r="I7">
        <v>5.5</v>
      </c>
      <c r="J7" s="1">
        <f t="shared" si="1"/>
        <v>5.056123080492001</v>
      </c>
      <c r="K7" s="7">
        <f t="shared" si="2"/>
        <v>6.056123080492001</v>
      </c>
      <c r="L7" s="7">
        <f t="shared" si="3"/>
        <v>0.83487786052083346</v>
      </c>
      <c r="M7" s="7">
        <v>14</v>
      </c>
      <c r="N7" s="7">
        <f t="shared" si="4"/>
        <v>2.6830271898725275</v>
      </c>
      <c r="O7" s="7">
        <f t="shared" si="0"/>
        <v>1.0862458258593228</v>
      </c>
      <c r="V7" s="54">
        <v>2002</v>
      </c>
      <c r="W7" s="54">
        <v>0.91700000000000004</v>
      </c>
      <c r="X7" s="54">
        <v>0.17530000000000001</v>
      </c>
    </row>
    <row r="8" spans="1:24" x14ac:dyDescent="0.25">
      <c r="A8" t="s">
        <v>17</v>
      </c>
      <c r="B8">
        <v>1</v>
      </c>
      <c r="C8" s="10">
        <v>36819</v>
      </c>
      <c r="D8">
        <v>25</v>
      </c>
      <c r="E8">
        <v>3</v>
      </c>
      <c r="F8">
        <v>0.03</v>
      </c>
      <c r="G8">
        <v>0</v>
      </c>
      <c r="H8">
        <v>0</v>
      </c>
      <c r="I8">
        <v>8</v>
      </c>
      <c r="J8" s="1">
        <f t="shared" si="1"/>
        <v>14.212189331268522</v>
      </c>
      <c r="K8" s="7">
        <f t="shared" si="2"/>
        <v>15.212189331268522</v>
      </c>
      <c r="L8" s="7">
        <f t="shared" si="3"/>
        <v>0.93426324257321014</v>
      </c>
      <c r="M8" s="7">
        <v>14</v>
      </c>
      <c r="N8" s="7">
        <f t="shared" si="4"/>
        <v>1.7982083886473281</v>
      </c>
      <c r="O8" s="7">
        <f t="shared" si="0"/>
        <v>0.72801959054547694</v>
      </c>
      <c r="V8" s="54">
        <v>2003</v>
      </c>
      <c r="W8" s="54">
        <v>1.25</v>
      </c>
      <c r="X8" s="54">
        <v>0.11799999999999999</v>
      </c>
    </row>
    <row r="9" spans="1:24" x14ac:dyDescent="0.25">
      <c r="A9" t="s">
        <v>17</v>
      </c>
      <c r="B9">
        <v>2</v>
      </c>
      <c r="C9" s="10">
        <v>36822</v>
      </c>
      <c r="D9">
        <v>25</v>
      </c>
      <c r="E9">
        <v>7</v>
      </c>
      <c r="F9">
        <v>0.02</v>
      </c>
      <c r="G9">
        <v>0</v>
      </c>
      <c r="H9">
        <v>0</v>
      </c>
      <c r="I9">
        <v>7.75</v>
      </c>
      <c r="J9" s="1">
        <f t="shared" si="1"/>
        <v>12.608863260031498</v>
      </c>
      <c r="K9" s="7">
        <f t="shared" si="2"/>
        <v>13.608863260031498</v>
      </c>
      <c r="L9" s="7">
        <f t="shared" si="3"/>
        <v>0.92651847690049571</v>
      </c>
      <c r="M9" s="7">
        <v>14</v>
      </c>
      <c r="N9" s="7">
        <f t="shared" si="4"/>
        <v>4.2308924190197148</v>
      </c>
      <c r="O9" s="7">
        <f t="shared" si="0"/>
        <v>1.7129119105342974</v>
      </c>
      <c r="V9" s="54">
        <v>2004</v>
      </c>
      <c r="W9" s="54">
        <v>0.73399999999999999</v>
      </c>
      <c r="X9" s="54">
        <v>0.12</v>
      </c>
    </row>
    <row r="10" spans="1:24" x14ac:dyDescent="0.25">
      <c r="A10" t="s">
        <v>17</v>
      </c>
      <c r="B10">
        <v>3</v>
      </c>
      <c r="C10" s="10">
        <v>36825</v>
      </c>
      <c r="D10">
        <v>25</v>
      </c>
      <c r="E10">
        <v>5</v>
      </c>
      <c r="F10">
        <v>-0.01</v>
      </c>
      <c r="G10">
        <v>0</v>
      </c>
      <c r="H10">
        <v>0</v>
      </c>
      <c r="I10">
        <v>6.5</v>
      </c>
      <c r="J10" s="1">
        <f t="shared" si="1"/>
        <v>7.3986681183181666</v>
      </c>
      <c r="K10" s="7">
        <f t="shared" si="2"/>
        <v>8.3986681183181666</v>
      </c>
      <c r="L10" s="7">
        <f t="shared" si="3"/>
        <v>0.88093350208482224</v>
      </c>
      <c r="M10" s="7">
        <v>14</v>
      </c>
      <c r="N10" s="7">
        <f t="shared" si="4"/>
        <v>3.1784464926961049</v>
      </c>
      <c r="O10" s="7">
        <f t="shared" si="0"/>
        <v>1.2868204423870868</v>
      </c>
      <c r="V10" s="54">
        <v>2005</v>
      </c>
      <c r="W10" s="54">
        <v>0.57299999999999995</v>
      </c>
      <c r="X10" s="54">
        <v>8.6499999999999994E-2</v>
      </c>
    </row>
    <row r="11" spans="1:24" x14ac:dyDescent="0.25">
      <c r="A11" t="s">
        <v>18</v>
      </c>
      <c r="B11">
        <v>1</v>
      </c>
      <c r="C11" s="10">
        <v>36818</v>
      </c>
      <c r="D11">
        <v>25</v>
      </c>
      <c r="E11">
        <v>2</v>
      </c>
      <c r="F11">
        <v>0.05</v>
      </c>
      <c r="G11">
        <v>0</v>
      </c>
      <c r="H11">
        <v>0</v>
      </c>
      <c r="I11">
        <v>4.5</v>
      </c>
      <c r="J11" s="1">
        <f t="shared" si="1"/>
        <v>4.4884166483656713</v>
      </c>
      <c r="K11" s="7">
        <f t="shared" si="2"/>
        <v>5.4884166483656713</v>
      </c>
      <c r="L11" s="7">
        <f t="shared" si="3"/>
        <v>0.8177980893090947</v>
      </c>
      <c r="M11" s="7">
        <v>14</v>
      </c>
      <c r="N11" s="7">
        <f t="shared" si="4"/>
        <v>1.3695312017006744</v>
      </c>
      <c r="O11" s="7">
        <f t="shared" si="0"/>
        <v>0.55446607356302602</v>
      </c>
      <c r="V11" s="54">
        <v>2006</v>
      </c>
      <c r="W11" s="54">
        <v>0.83699999999999997</v>
      </c>
      <c r="X11" s="54">
        <v>0.108</v>
      </c>
    </row>
    <row r="12" spans="1:24" x14ac:dyDescent="0.25">
      <c r="A12" t="s">
        <v>18</v>
      </c>
      <c r="B12">
        <v>2</v>
      </c>
      <c r="C12" s="10">
        <v>36813</v>
      </c>
      <c r="D12">
        <v>25</v>
      </c>
      <c r="E12">
        <v>3</v>
      </c>
      <c r="F12">
        <v>0</v>
      </c>
      <c r="G12">
        <v>0</v>
      </c>
      <c r="H12">
        <v>0</v>
      </c>
      <c r="I12">
        <v>4</v>
      </c>
      <c r="J12" s="1">
        <f t="shared" si="1"/>
        <v>3.2027185627468664</v>
      </c>
      <c r="K12" s="7">
        <f t="shared" si="2"/>
        <v>4.2027185627468668</v>
      </c>
      <c r="L12" s="7">
        <f t="shared" si="3"/>
        <v>0.76205877574956915</v>
      </c>
      <c r="M12" s="7">
        <v>14</v>
      </c>
      <c r="N12" s="7">
        <f t="shared" si="4"/>
        <v>2.2045543643894581</v>
      </c>
      <c r="O12" s="7">
        <f t="shared" si="0"/>
        <v>0.89253213133176434</v>
      </c>
      <c r="V12" s="54">
        <v>2007</v>
      </c>
      <c r="W12" s="54">
        <v>1.0900000000000001</v>
      </c>
      <c r="X12" s="54">
        <v>0.11600000000000001</v>
      </c>
    </row>
    <row r="13" spans="1:24" x14ac:dyDescent="0.25">
      <c r="A13" t="s">
        <v>18</v>
      </c>
      <c r="B13">
        <v>3</v>
      </c>
      <c r="C13" s="10">
        <v>36824</v>
      </c>
      <c r="D13">
        <v>25</v>
      </c>
      <c r="E13">
        <v>3</v>
      </c>
      <c r="F13">
        <v>-0.02</v>
      </c>
      <c r="G13">
        <v>0</v>
      </c>
      <c r="H13">
        <v>0</v>
      </c>
      <c r="I13">
        <v>6.75</v>
      </c>
      <c r="J13" s="1">
        <f t="shared" si="1"/>
        <v>7.8115233808713835</v>
      </c>
      <c r="K13" s="7">
        <f t="shared" si="2"/>
        <v>8.8115233808713835</v>
      </c>
      <c r="L13" s="7">
        <f t="shared" si="3"/>
        <v>0.88651224575186804</v>
      </c>
      <c r="M13" s="7">
        <v>14</v>
      </c>
      <c r="N13" s="7">
        <f t="shared" si="4"/>
        <v>1.8950668849195194</v>
      </c>
      <c r="O13" s="7">
        <f t="shared" si="0"/>
        <v>0.76723355664757864</v>
      </c>
      <c r="V13" s="54">
        <v>2008</v>
      </c>
      <c r="W13" s="54">
        <v>0.68</v>
      </c>
      <c r="X13" s="54">
        <v>0.14000000000000001</v>
      </c>
    </row>
    <row r="14" spans="1:24" x14ac:dyDescent="0.25">
      <c r="V14" s="54">
        <v>2009</v>
      </c>
      <c r="W14" s="54">
        <v>0.85</v>
      </c>
      <c r="X14" s="54">
        <v>0.14000000000000001</v>
      </c>
    </row>
    <row r="15" spans="1:24" x14ac:dyDescent="0.25">
      <c r="A15" s="11"/>
      <c r="V15" s="54">
        <v>2010</v>
      </c>
      <c r="W15" s="54">
        <v>1.1100000000000001</v>
      </c>
      <c r="X15" s="54">
        <v>0.2</v>
      </c>
    </row>
    <row r="16" spans="1:24" x14ac:dyDescent="0.25">
      <c r="A16" s="11" t="s">
        <v>19</v>
      </c>
      <c r="B16" t="s">
        <v>20</v>
      </c>
      <c r="C16" t="s">
        <v>21</v>
      </c>
      <c r="D16" t="s">
        <v>22</v>
      </c>
      <c r="E16" t="s">
        <v>23</v>
      </c>
      <c r="F16" t="s">
        <v>17</v>
      </c>
      <c r="V16" s="54">
        <v>2011</v>
      </c>
      <c r="W16" s="54">
        <v>1.67</v>
      </c>
      <c r="X16" s="54">
        <v>0.33600000000000002</v>
      </c>
    </row>
    <row r="17" spans="1:24" x14ac:dyDescent="0.25">
      <c r="A17" s="12">
        <v>2000</v>
      </c>
      <c r="B17" s="12" t="s">
        <v>24</v>
      </c>
      <c r="C17" s="12">
        <f>AVERAGE(O2:O7)</f>
        <v>1.0316364700963561</v>
      </c>
      <c r="D17" s="12">
        <f>VAR(O2:O7)</f>
        <v>0.12130879072200589</v>
      </c>
      <c r="E17" s="12">
        <v>6</v>
      </c>
      <c r="F17" s="12">
        <f>SQRT(D17/E17)</f>
        <v>0.14219047713191268</v>
      </c>
      <c r="V17" s="90">
        <v>2012</v>
      </c>
      <c r="W17" s="91">
        <v>0.99183673469387756</v>
      </c>
      <c r="X17" s="92">
        <v>0.17911333200638074</v>
      </c>
    </row>
    <row r="18" spans="1:24" x14ac:dyDescent="0.25">
      <c r="A18" s="12">
        <v>2000</v>
      </c>
      <c r="B18" s="12" t="s">
        <v>25</v>
      </c>
      <c r="C18" s="12">
        <f>AVERAGE(O8:O13)</f>
        <v>0.99033061750153839</v>
      </c>
      <c r="D18" s="12">
        <f>VAR(O8:O13)</f>
        <v>0.18563035185716076</v>
      </c>
      <c r="E18" s="12">
        <v>6</v>
      </c>
      <c r="F18" s="12">
        <f>SQRT(D18/E18)</f>
        <v>0.17589312657461478</v>
      </c>
      <c r="V18" s="90">
        <v>2013</v>
      </c>
      <c r="W18" s="91">
        <v>1.0352598852040817</v>
      </c>
      <c r="X18" s="92">
        <v>0.18126689815795027</v>
      </c>
    </row>
    <row r="19" spans="1:24" x14ac:dyDescent="0.25">
      <c r="A19" s="12">
        <v>2000</v>
      </c>
      <c r="B19" s="12" t="s">
        <v>26</v>
      </c>
      <c r="C19" s="12">
        <f>AVERAGE(O2:O13)</f>
        <v>1.0109835437989474</v>
      </c>
      <c r="D19" s="12">
        <f>VAR(O2:O13)</f>
        <v>0.13998311211559863</v>
      </c>
      <c r="E19" s="12">
        <v>12</v>
      </c>
      <c r="F19" s="12">
        <f>SQRT(D19/E19)</f>
        <v>0.10800583013414856</v>
      </c>
      <c r="V19" s="90">
        <v>2014</v>
      </c>
      <c r="W19" s="93">
        <v>1.0477725236436037</v>
      </c>
      <c r="X19" s="92">
        <v>0.24539471324571904</v>
      </c>
    </row>
    <row r="21" spans="1:24" x14ac:dyDescent="0.25">
      <c r="A21" s="13" t="s">
        <v>0</v>
      </c>
      <c r="B21" s="13" t="s">
        <v>1</v>
      </c>
      <c r="C21" s="14" t="s">
        <v>2</v>
      </c>
      <c r="D21" s="13" t="s">
        <v>3</v>
      </c>
      <c r="E21" s="15" t="s">
        <v>4</v>
      </c>
      <c r="F21" s="15" t="s">
        <v>5</v>
      </c>
      <c r="G21" s="16" t="s">
        <v>6</v>
      </c>
      <c r="H21" s="17" t="s">
        <v>7</v>
      </c>
      <c r="I21" s="15" t="s">
        <v>8</v>
      </c>
      <c r="J21" s="18" t="s">
        <v>9</v>
      </c>
      <c r="K21" s="18" t="s">
        <v>10</v>
      </c>
      <c r="L21" s="18" t="s">
        <v>11</v>
      </c>
      <c r="M21" s="19" t="s">
        <v>12</v>
      </c>
      <c r="N21" s="18" t="s">
        <v>13</v>
      </c>
      <c r="O21" s="18" t="s">
        <v>14</v>
      </c>
    </row>
    <row r="22" spans="1:24" x14ac:dyDescent="0.25">
      <c r="A22" s="20" t="s">
        <v>15</v>
      </c>
      <c r="B22" s="20">
        <v>1</v>
      </c>
      <c r="C22" s="8">
        <v>37181</v>
      </c>
      <c r="D22" s="20">
        <v>21.6</v>
      </c>
      <c r="E22" s="21">
        <v>3</v>
      </c>
      <c r="F22" s="22">
        <v>0.04</v>
      </c>
      <c r="G22" s="22">
        <v>0</v>
      </c>
      <c r="H22" s="23">
        <v>0</v>
      </c>
      <c r="I22" s="22">
        <v>7</v>
      </c>
      <c r="J22" s="20">
        <f>EXP(-0.228+(0.348*I22)+(-0.002*H22)+(-0.092*G22)+(3.27*F22))</f>
        <v>10.368786550357987</v>
      </c>
      <c r="K22">
        <f>1+EXP(-0.228+(0.348*I22)+(-0.002*H22)+(-0.092*G22)+(3.27*F22))</f>
        <v>11.368786550357987</v>
      </c>
      <c r="L22">
        <f>J22/K22</f>
        <v>0.91203986497850897</v>
      </c>
      <c r="M22" s="7">
        <v>13.8</v>
      </c>
      <c r="N22">
        <f>E22*M22/L22/D22</f>
        <v>2.1015163264950383</v>
      </c>
      <c r="O22">
        <f>N22/2.47</f>
        <v>0.85081632651620975</v>
      </c>
      <c r="T22" s="10"/>
    </row>
    <row r="23" spans="1:24" x14ac:dyDescent="0.25">
      <c r="A23" s="20" t="s">
        <v>15</v>
      </c>
      <c r="B23" s="20">
        <v>2</v>
      </c>
      <c r="C23" s="8">
        <v>37186</v>
      </c>
      <c r="D23" s="20">
        <v>25</v>
      </c>
      <c r="E23" s="21">
        <v>4</v>
      </c>
      <c r="F23" s="22">
        <v>0.01</v>
      </c>
      <c r="G23" s="22">
        <v>1</v>
      </c>
      <c r="H23" s="23">
        <v>80</v>
      </c>
      <c r="I23" s="22">
        <v>6.25</v>
      </c>
      <c r="J23" s="20">
        <f t="shared" ref="J23:J33" si="5">EXP(-0.228+(0.348*I23)+(-0.002*H23)+(-0.092*G23)+(3.27*F23))</f>
        <v>5.6276953125367903</v>
      </c>
      <c r="K23">
        <f t="shared" ref="K23:K33" si="6">1+EXP(-0.228+(0.348*I23)+(-0.002*H23)+(-0.092*G23)+(3.27*F23))</f>
        <v>6.6276953125367903</v>
      </c>
      <c r="L23">
        <f t="shared" ref="L23:L33" si="7">J23/K23</f>
        <v>0.84911798855502241</v>
      </c>
      <c r="M23" s="7">
        <v>13.8</v>
      </c>
      <c r="N23">
        <f t="shared" ref="N23:N33" si="8">E23*M23/L23/D23</f>
        <v>2.6003453345246412</v>
      </c>
      <c r="O23">
        <f t="shared" ref="O23:O33" si="9">N23/2.47</f>
        <v>1.052771390495806</v>
      </c>
      <c r="T23" s="10"/>
    </row>
    <row r="24" spans="1:24" x14ac:dyDescent="0.25">
      <c r="A24" s="20" t="s">
        <v>15</v>
      </c>
      <c r="B24" s="20">
        <v>3</v>
      </c>
      <c r="C24" s="8">
        <v>37188</v>
      </c>
      <c r="D24" s="20">
        <v>19</v>
      </c>
      <c r="E24" s="21">
        <v>4</v>
      </c>
      <c r="F24" s="22">
        <v>0.02</v>
      </c>
      <c r="G24" s="22">
        <v>0</v>
      </c>
      <c r="H24" s="23">
        <v>100</v>
      </c>
      <c r="I24" s="24">
        <v>4.5</v>
      </c>
      <c r="J24" s="20">
        <f t="shared" si="5"/>
        <v>3.331424532317143</v>
      </c>
      <c r="K24">
        <f t="shared" si="6"/>
        <v>4.3314245323171434</v>
      </c>
      <c r="L24">
        <f t="shared" si="7"/>
        <v>0.76912907230891092</v>
      </c>
      <c r="M24" s="7">
        <v>13.8</v>
      </c>
      <c r="N24">
        <f>E24*M24/L24/D24</f>
        <v>3.7773414924665274</v>
      </c>
      <c r="O24">
        <f t="shared" si="9"/>
        <v>1.5292880536301729</v>
      </c>
      <c r="T24" s="10"/>
    </row>
    <row r="25" spans="1:24" x14ac:dyDescent="0.25">
      <c r="A25" s="20" t="s">
        <v>16</v>
      </c>
      <c r="B25" s="20">
        <v>1</v>
      </c>
      <c r="C25" s="8">
        <v>37182</v>
      </c>
      <c r="D25" s="20">
        <v>25</v>
      </c>
      <c r="E25" s="21">
        <v>4</v>
      </c>
      <c r="F25" s="22">
        <v>0.02</v>
      </c>
      <c r="G25" s="22">
        <v>0.4</v>
      </c>
      <c r="H25" s="23">
        <v>0</v>
      </c>
      <c r="I25" s="22">
        <v>8.75</v>
      </c>
      <c r="J25" s="20">
        <f t="shared" si="5"/>
        <v>17.211882701026699</v>
      </c>
      <c r="K25">
        <f t="shared" si="6"/>
        <v>18.211882701026699</v>
      </c>
      <c r="L25">
        <f t="shared" si="7"/>
        <v>0.94509079503660409</v>
      </c>
      <c r="M25" s="7">
        <v>13.8</v>
      </c>
      <c r="N25">
        <f t="shared" si="8"/>
        <v>2.3362834677852118</v>
      </c>
      <c r="O25">
        <f t="shared" si="9"/>
        <v>0.94586375213976182</v>
      </c>
      <c r="T25" s="10"/>
    </row>
    <row r="26" spans="1:24" x14ac:dyDescent="0.25">
      <c r="A26" s="20" t="s">
        <v>16</v>
      </c>
      <c r="B26" s="20">
        <v>2</v>
      </c>
      <c r="C26" s="8">
        <v>37183</v>
      </c>
      <c r="D26" s="20">
        <v>25</v>
      </c>
      <c r="E26" s="21">
        <v>3</v>
      </c>
      <c r="F26" s="22">
        <v>-0.02</v>
      </c>
      <c r="G26" s="22">
        <v>2.0499999999999998</v>
      </c>
      <c r="H26" s="23">
        <v>0</v>
      </c>
      <c r="I26" s="22">
        <v>8</v>
      </c>
      <c r="J26" s="20">
        <f t="shared" si="5"/>
        <v>9.9941507813948185</v>
      </c>
      <c r="K26">
        <f t="shared" si="6"/>
        <v>10.994150781394818</v>
      </c>
      <c r="L26">
        <f t="shared" si="7"/>
        <v>0.90904254272260121</v>
      </c>
      <c r="M26" s="7">
        <v>13.8</v>
      </c>
      <c r="N26">
        <f t="shared" si="8"/>
        <v>1.8216969197505828</v>
      </c>
      <c r="O26">
        <f t="shared" si="9"/>
        <v>0.73752911730792825</v>
      </c>
      <c r="T26" s="10"/>
    </row>
    <row r="27" spans="1:24" x14ac:dyDescent="0.25">
      <c r="A27" s="20" t="s">
        <v>16</v>
      </c>
      <c r="B27" s="20">
        <v>3</v>
      </c>
      <c r="C27" s="8">
        <v>37187</v>
      </c>
      <c r="D27" s="25">
        <v>23.9</v>
      </c>
      <c r="E27" s="21">
        <v>4</v>
      </c>
      <c r="F27" s="22">
        <v>-0.02</v>
      </c>
      <c r="G27" s="22">
        <v>0.75</v>
      </c>
      <c r="H27" s="23">
        <v>0</v>
      </c>
      <c r="I27" s="22">
        <v>7.75</v>
      </c>
      <c r="J27" s="20">
        <f t="shared" si="5"/>
        <v>10.325328971644405</v>
      </c>
      <c r="K27">
        <f t="shared" si="6"/>
        <v>11.325328971644405</v>
      </c>
      <c r="L27">
        <f t="shared" si="7"/>
        <v>0.91170234414349172</v>
      </c>
      <c r="M27" s="7">
        <v>13.8</v>
      </c>
      <c r="N27">
        <f t="shared" si="8"/>
        <v>2.5333086459617951</v>
      </c>
      <c r="O27">
        <f t="shared" si="9"/>
        <v>1.0256310307537631</v>
      </c>
      <c r="T27" s="10"/>
    </row>
    <row r="28" spans="1:24" x14ac:dyDescent="0.25">
      <c r="A28" s="13" t="s">
        <v>17</v>
      </c>
      <c r="B28" s="13">
        <v>1</v>
      </c>
      <c r="C28" s="26">
        <v>37181</v>
      </c>
      <c r="D28" s="27">
        <v>22.3</v>
      </c>
      <c r="E28" s="15">
        <v>4</v>
      </c>
      <c r="F28" s="16">
        <v>0.04</v>
      </c>
      <c r="G28" s="16">
        <v>0</v>
      </c>
      <c r="H28" s="28">
        <v>0</v>
      </c>
      <c r="I28" s="16">
        <v>5.25</v>
      </c>
      <c r="J28" s="13">
        <f t="shared" si="5"/>
        <v>5.6395258904521928</v>
      </c>
      <c r="K28" s="19">
        <f t="shared" si="6"/>
        <v>6.6395258904521928</v>
      </c>
      <c r="L28" s="19">
        <f t="shared" si="7"/>
        <v>0.84938683627425482</v>
      </c>
      <c r="M28" s="19">
        <v>13.8</v>
      </c>
      <c r="N28" s="19">
        <f t="shared" si="8"/>
        <v>2.9142626388322137</v>
      </c>
      <c r="O28" s="19">
        <f t="shared" si="9"/>
        <v>1.1798634165312605</v>
      </c>
    </row>
    <row r="29" spans="1:24" x14ac:dyDescent="0.25">
      <c r="A29" s="20" t="s">
        <v>17</v>
      </c>
      <c r="B29" s="20">
        <v>2</v>
      </c>
      <c r="C29" s="8">
        <v>37183</v>
      </c>
      <c r="D29" s="20">
        <v>18.7</v>
      </c>
      <c r="E29" s="21">
        <v>3</v>
      </c>
      <c r="F29" s="22">
        <v>-0.02</v>
      </c>
      <c r="G29" s="22">
        <v>2.0499999999999998</v>
      </c>
      <c r="H29" s="23">
        <v>0</v>
      </c>
      <c r="I29" s="22">
        <v>5.67</v>
      </c>
      <c r="J29" s="20">
        <f t="shared" si="5"/>
        <v>4.4422455362382154</v>
      </c>
      <c r="K29">
        <f t="shared" si="6"/>
        <v>5.4422455362382154</v>
      </c>
      <c r="L29">
        <f t="shared" si="7"/>
        <v>0.81625231839664125</v>
      </c>
      <c r="M29" s="7">
        <v>13.8</v>
      </c>
      <c r="N29">
        <f t="shared" si="8"/>
        <v>2.7122786587170302</v>
      </c>
      <c r="O29">
        <f t="shared" si="9"/>
        <v>1.0980885257963684</v>
      </c>
    </row>
    <row r="30" spans="1:24" x14ac:dyDescent="0.25">
      <c r="A30" s="20" t="s">
        <v>17</v>
      </c>
      <c r="B30" s="20">
        <v>3</v>
      </c>
      <c r="C30" s="8">
        <v>37186</v>
      </c>
      <c r="D30" s="20">
        <v>25</v>
      </c>
      <c r="E30" s="21">
        <v>4</v>
      </c>
      <c r="F30" s="22">
        <v>0.01</v>
      </c>
      <c r="G30" s="22">
        <v>0</v>
      </c>
      <c r="H30" s="23">
        <v>100</v>
      </c>
      <c r="I30" s="22">
        <v>5.25</v>
      </c>
      <c r="J30" s="20">
        <f t="shared" si="5"/>
        <v>4.1858090221929611</v>
      </c>
      <c r="K30">
        <f t="shared" si="6"/>
        <v>5.1858090221929611</v>
      </c>
      <c r="L30">
        <f t="shared" si="7"/>
        <v>0.80716605726889601</v>
      </c>
      <c r="M30" s="7">
        <v>13.8</v>
      </c>
      <c r="N30">
        <f t="shared" si="8"/>
        <v>2.7354965934406681</v>
      </c>
      <c r="O30">
        <f t="shared" si="9"/>
        <v>1.1074884993686915</v>
      </c>
    </row>
    <row r="31" spans="1:24" x14ac:dyDescent="0.25">
      <c r="A31" s="20" t="s">
        <v>18</v>
      </c>
      <c r="B31" s="20">
        <v>1</v>
      </c>
      <c r="C31" s="8">
        <v>37180</v>
      </c>
      <c r="D31" s="25">
        <v>22.6</v>
      </c>
      <c r="E31" s="21">
        <v>0</v>
      </c>
      <c r="F31" s="22">
        <v>-0.02</v>
      </c>
      <c r="G31" s="22">
        <v>0</v>
      </c>
      <c r="H31" s="23">
        <v>15</v>
      </c>
      <c r="I31" s="22">
        <v>4</v>
      </c>
      <c r="J31" s="20">
        <f t="shared" si="5"/>
        <v>2.9113008244161049</v>
      </c>
      <c r="K31">
        <f t="shared" si="6"/>
        <v>3.9113008244161049</v>
      </c>
      <c r="L31">
        <f t="shared" si="7"/>
        <v>0.74433058338096914</v>
      </c>
      <c r="M31" s="7">
        <v>13.8</v>
      </c>
      <c r="N31">
        <f t="shared" si="8"/>
        <v>0</v>
      </c>
      <c r="O31">
        <f t="shared" si="9"/>
        <v>0</v>
      </c>
    </row>
    <row r="32" spans="1:24" x14ac:dyDescent="0.25">
      <c r="A32" s="20" t="s">
        <v>18</v>
      </c>
      <c r="B32" s="20">
        <v>2</v>
      </c>
      <c r="C32" s="8">
        <v>37182</v>
      </c>
      <c r="D32" s="20">
        <v>25</v>
      </c>
      <c r="E32" s="21">
        <v>5</v>
      </c>
      <c r="F32" s="22">
        <v>0.02</v>
      </c>
      <c r="G32" s="22">
        <v>0.4</v>
      </c>
      <c r="H32" s="23">
        <v>0</v>
      </c>
      <c r="I32" s="22">
        <v>4.75</v>
      </c>
      <c r="J32" s="20">
        <f t="shared" si="5"/>
        <v>4.278489385585317</v>
      </c>
      <c r="K32">
        <f t="shared" si="6"/>
        <v>5.278489385585317</v>
      </c>
      <c r="L32">
        <f t="shared" si="7"/>
        <v>0.8105518592628348</v>
      </c>
      <c r="M32" s="7">
        <v>13.8</v>
      </c>
      <c r="N32">
        <f t="shared" si="8"/>
        <v>3.4050874949693064</v>
      </c>
      <c r="O32">
        <f t="shared" si="9"/>
        <v>1.378577933185954</v>
      </c>
    </row>
    <row r="33" spans="1:15" x14ac:dyDescent="0.25">
      <c r="A33" s="20" t="s">
        <v>18</v>
      </c>
      <c r="B33" s="20">
        <v>3</v>
      </c>
      <c r="C33" s="8">
        <v>37187</v>
      </c>
      <c r="D33" s="25">
        <v>25</v>
      </c>
      <c r="E33" s="21">
        <v>4</v>
      </c>
      <c r="F33" s="22">
        <v>-0.02</v>
      </c>
      <c r="G33" s="22">
        <v>0.75</v>
      </c>
      <c r="H33" s="23">
        <v>0</v>
      </c>
      <c r="I33" s="21">
        <v>5.75</v>
      </c>
      <c r="J33" s="20">
        <f t="shared" si="5"/>
        <v>5.1479573246268693</v>
      </c>
      <c r="K33">
        <f t="shared" si="6"/>
        <v>6.1479573246268693</v>
      </c>
      <c r="L33">
        <f t="shared" si="7"/>
        <v>0.83734434915572675</v>
      </c>
      <c r="M33" s="7">
        <v>13.8</v>
      </c>
      <c r="N33">
        <f t="shared" si="8"/>
        <v>2.6369079844227419</v>
      </c>
      <c r="O33">
        <f t="shared" si="9"/>
        <v>1.0675740827622435</v>
      </c>
    </row>
    <row r="34" spans="1:15" x14ac:dyDescent="0.25">
      <c r="C34" s="14"/>
      <c r="E34" s="24"/>
      <c r="F34" s="24"/>
      <c r="G34" s="23"/>
      <c r="H34" s="23"/>
      <c r="I34" s="24"/>
    </row>
    <row r="35" spans="1:15" x14ac:dyDescent="0.25">
      <c r="C35" s="29" t="s">
        <v>28</v>
      </c>
      <c r="D35">
        <f>SUM(D22:D33)</f>
        <v>278.10000000000002</v>
      </c>
      <c r="E35" s="24">
        <v>38</v>
      </c>
      <c r="F35" s="24"/>
      <c r="G35" s="23"/>
      <c r="H35" s="23"/>
      <c r="I35" s="24"/>
    </row>
    <row r="36" spans="1:15" x14ac:dyDescent="0.25">
      <c r="C36" s="14"/>
      <c r="E36" s="24"/>
      <c r="F36" s="24"/>
      <c r="G36" s="23"/>
      <c r="H36" s="23"/>
      <c r="I36" s="24"/>
    </row>
    <row r="37" spans="1:15" x14ac:dyDescent="0.25">
      <c r="C37" s="30" t="s">
        <v>29</v>
      </c>
      <c r="D37" s="24">
        <v>779.4</v>
      </c>
      <c r="E37" s="24"/>
      <c r="F37" s="24"/>
      <c r="G37" s="23"/>
      <c r="H37" s="23"/>
      <c r="I37" s="24"/>
      <c r="N37" t="s">
        <v>30</v>
      </c>
      <c r="O37" t="s">
        <v>31</v>
      </c>
    </row>
    <row r="38" spans="1:15" x14ac:dyDescent="0.25">
      <c r="C38" s="30" t="s">
        <v>32</v>
      </c>
      <c r="D38" s="24">
        <v>1925.1</v>
      </c>
      <c r="E38" s="24"/>
      <c r="F38" s="24"/>
      <c r="G38" s="23"/>
      <c r="H38" s="23"/>
      <c r="I38" s="24"/>
      <c r="M38" t="s">
        <v>33</v>
      </c>
      <c r="N38">
        <f>AVERAGE(O22:O27)</f>
        <v>1.0236499451406069</v>
      </c>
      <c r="O38">
        <f>AVERAGE(O28:O33)</f>
        <v>0.9719320762740864</v>
      </c>
    </row>
    <row r="39" spans="1:15" x14ac:dyDescent="0.25">
      <c r="C39" s="14"/>
      <c r="E39" s="24"/>
      <c r="F39" s="24"/>
      <c r="G39" s="23"/>
      <c r="H39" s="23"/>
      <c r="I39" s="24"/>
      <c r="M39" t="s">
        <v>34</v>
      </c>
      <c r="N39">
        <f>VAR(O22:O27)</f>
        <v>7.4861831940942911E-2</v>
      </c>
      <c r="O39">
        <f>VAR(O28:O33)</f>
        <v>0.23933732861970808</v>
      </c>
    </row>
    <row r="40" spans="1:15" x14ac:dyDescent="0.25">
      <c r="C40" s="29" t="s">
        <v>35</v>
      </c>
      <c r="D40">
        <f>D35/D37</f>
        <v>0.35681293302540418</v>
      </c>
      <c r="E40" s="24"/>
      <c r="F40" s="24"/>
      <c r="G40" s="23"/>
      <c r="H40" s="23"/>
      <c r="I40" s="24"/>
      <c r="M40" t="s">
        <v>36</v>
      </c>
      <c r="N40">
        <f>SQRT(N39/6)</f>
        <v>0.11170036700994833</v>
      </c>
      <c r="O40">
        <f>SQRT(O39/6)</f>
        <v>0.19972369606521742</v>
      </c>
    </row>
    <row r="42" spans="1:15" x14ac:dyDescent="0.25">
      <c r="A42" s="1" t="s">
        <v>0</v>
      </c>
      <c r="B42" s="1" t="s">
        <v>1</v>
      </c>
      <c r="C42" s="2" t="s">
        <v>2</v>
      </c>
      <c r="D42" s="1" t="s">
        <v>3</v>
      </c>
      <c r="E42" s="3" t="s">
        <v>4</v>
      </c>
      <c r="F42" s="3" t="s">
        <v>5</v>
      </c>
      <c r="G42" s="4" t="s">
        <v>6</v>
      </c>
      <c r="H42" s="5" t="s">
        <v>7</v>
      </c>
      <c r="I42" s="3" t="s">
        <v>8</v>
      </c>
      <c r="J42" s="6" t="s">
        <v>9</v>
      </c>
      <c r="K42" s="6" t="s">
        <v>10</v>
      </c>
      <c r="L42" s="6" t="s">
        <v>11</v>
      </c>
      <c r="M42" s="7" t="s">
        <v>12</v>
      </c>
      <c r="N42" s="6" t="s">
        <v>13</v>
      </c>
      <c r="O42" s="6" t="s">
        <v>14</v>
      </c>
    </row>
    <row r="43" spans="1:15" x14ac:dyDescent="0.25">
      <c r="A43" s="1" t="s">
        <v>15</v>
      </c>
      <c r="B43" s="1">
        <v>12</v>
      </c>
      <c r="C43" s="8">
        <v>37543</v>
      </c>
      <c r="D43" s="1">
        <v>25</v>
      </c>
      <c r="E43" s="3">
        <v>6</v>
      </c>
      <c r="F43" s="4">
        <v>-0.05</v>
      </c>
      <c r="G43" s="4">
        <v>0</v>
      </c>
      <c r="H43" s="9">
        <v>0</v>
      </c>
      <c r="I43" s="4">
        <f>(6+6+6+3)/4</f>
        <v>5.25</v>
      </c>
      <c r="J43" s="1">
        <f t="shared" ref="J43:J53" si="10">EXP(-0.228+(0.348*I43)+(-0.002*H43)+(-0.092*G43)+(3.27*F43))</f>
        <v>4.2017453563354472</v>
      </c>
      <c r="K43" s="7">
        <f t="shared" ref="K43:K53" si="11">1+EXP(-0.228+(0.348*I43)+(-0.002*H43)+(-0.092*G43)+(3.27*F43))</f>
        <v>5.2017453563354472</v>
      </c>
      <c r="L43" s="7">
        <f t="shared" ref="L43:L53" si="12">J43/K43</f>
        <v>0.80775683323635716</v>
      </c>
      <c r="M43" s="7">
        <v>16.5</v>
      </c>
      <c r="N43" s="7">
        <f t="shared" ref="N43:N54" si="13">E43*M43/L43/D43</f>
        <v>4.9024654909248753</v>
      </c>
      <c r="O43" s="7">
        <f t="shared" ref="O43:O55" si="14">N43/2.47</f>
        <v>1.9848038424797065</v>
      </c>
    </row>
    <row r="44" spans="1:15" x14ac:dyDescent="0.25">
      <c r="A44" s="31" t="s">
        <v>37</v>
      </c>
      <c r="B44" s="1"/>
      <c r="C44" s="8">
        <v>37538</v>
      </c>
      <c r="D44" s="31">
        <v>25</v>
      </c>
      <c r="E44" s="3">
        <v>5</v>
      </c>
      <c r="F44" s="4">
        <v>0.02</v>
      </c>
      <c r="G44" s="4">
        <v>0</v>
      </c>
      <c r="H44" s="9">
        <v>0</v>
      </c>
      <c r="I44" s="4">
        <f>(5+4+3+6+7)/5</f>
        <v>5</v>
      </c>
      <c r="J44" s="1">
        <f t="shared" si="10"/>
        <v>4.8423493216663118</v>
      </c>
      <c r="K44" s="7">
        <f t="shared" si="11"/>
        <v>5.8423493216663118</v>
      </c>
      <c r="L44" s="7">
        <f t="shared" si="12"/>
        <v>0.8288359793394231</v>
      </c>
      <c r="M44" s="7">
        <v>16.5</v>
      </c>
      <c r="N44" s="7">
        <f t="shared" si="13"/>
        <v>3.9814873898573739</v>
      </c>
      <c r="O44" s="7">
        <f t="shared" si="14"/>
        <v>1.6119382145171552</v>
      </c>
    </row>
    <row r="45" spans="1:15" x14ac:dyDescent="0.25">
      <c r="A45" s="31" t="s">
        <v>38</v>
      </c>
      <c r="B45" s="1"/>
      <c r="C45" s="8">
        <v>37537</v>
      </c>
      <c r="D45" s="31">
        <v>25</v>
      </c>
      <c r="E45" s="3">
        <v>7</v>
      </c>
      <c r="F45" s="4">
        <v>0</v>
      </c>
      <c r="G45" s="4">
        <v>0</v>
      </c>
      <c r="H45" s="9">
        <v>0</v>
      </c>
      <c r="I45" s="4">
        <f>(6+4+7+7+8)/5</f>
        <v>6.4</v>
      </c>
      <c r="J45" s="1">
        <f t="shared" si="10"/>
        <v>7.38314721791905</v>
      </c>
      <c r="K45" s="7">
        <f t="shared" si="11"/>
        <v>8.3831472179190492</v>
      </c>
      <c r="L45" s="7">
        <f t="shared" si="12"/>
        <v>0.88071305751824436</v>
      </c>
      <c r="M45" s="7">
        <v>16.5</v>
      </c>
      <c r="N45" s="7">
        <f t="shared" si="13"/>
        <v>5.2457494078930402</v>
      </c>
      <c r="O45" s="7">
        <f t="shared" si="14"/>
        <v>2.1237851853817973</v>
      </c>
    </row>
    <row r="46" spans="1:15" x14ac:dyDescent="0.25">
      <c r="A46" s="31" t="s">
        <v>16</v>
      </c>
      <c r="B46" s="31">
        <v>4</v>
      </c>
      <c r="C46" s="8">
        <v>37550</v>
      </c>
      <c r="D46" s="31">
        <v>25</v>
      </c>
      <c r="E46" s="3">
        <v>5</v>
      </c>
      <c r="F46" s="4">
        <v>0.01</v>
      </c>
      <c r="G46" s="4">
        <v>0</v>
      </c>
      <c r="H46" s="9">
        <v>10</v>
      </c>
      <c r="I46" s="4">
        <f>(9+7+10+7)/4</f>
        <v>8.25</v>
      </c>
      <c r="J46" s="1">
        <f t="shared" si="10"/>
        <v>14.23494703550697</v>
      </c>
      <c r="K46" s="7">
        <f t="shared" si="11"/>
        <v>15.23494703550697</v>
      </c>
      <c r="L46" s="7">
        <f t="shared" si="12"/>
        <v>0.93436143902112867</v>
      </c>
      <c r="M46" s="7">
        <v>16.5</v>
      </c>
      <c r="N46" s="7">
        <f t="shared" si="13"/>
        <v>3.5318238341012886</v>
      </c>
      <c r="O46" s="7">
        <f t="shared" si="14"/>
        <v>1.4298881919438415</v>
      </c>
    </row>
    <row r="47" spans="1:15" x14ac:dyDescent="0.25">
      <c r="A47" s="31" t="s">
        <v>39</v>
      </c>
      <c r="B47" s="1"/>
      <c r="C47" s="8">
        <v>37539</v>
      </c>
      <c r="D47" s="31">
        <v>25</v>
      </c>
      <c r="E47" s="3">
        <v>7</v>
      </c>
      <c r="F47" s="4">
        <v>7.0000000000000007E-2</v>
      </c>
      <c r="G47" s="4">
        <v>0</v>
      </c>
      <c r="H47" s="9">
        <v>0</v>
      </c>
      <c r="I47" s="4">
        <f>(8+5+5+6+9)/5</f>
        <v>6.6</v>
      </c>
      <c r="J47" s="1">
        <f t="shared" si="10"/>
        <v>9.951268196666879</v>
      </c>
      <c r="K47" s="7">
        <f t="shared" si="11"/>
        <v>10.951268196666879</v>
      </c>
      <c r="L47" s="7">
        <f t="shared" si="12"/>
        <v>0.90868637476120262</v>
      </c>
      <c r="M47" s="7">
        <v>16.5</v>
      </c>
      <c r="N47" s="7">
        <f t="shared" si="13"/>
        <v>5.0842624345656207</v>
      </c>
      <c r="O47" s="7">
        <f t="shared" si="14"/>
        <v>2.0584058439536923</v>
      </c>
    </row>
    <row r="48" spans="1:15" x14ac:dyDescent="0.25">
      <c r="A48" s="31" t="s">
        <v>15</v>
      </c>
      <c r="B48" s="1">
        <v>8</v>
      </c>
      <c r="C48" s="8">
        <v>37552</v>
      </c>
      <c r="D48" s="31">
        <v>25</v>
      </c>
      <c r="E48" s="3">
        <v>5</v>
      </c>
      <c r="F48" s="4">
        <v>0.02</v>
      </c>
      <c r="G48" s="4">
        <v>1</v>
      </c>
      <c r="H48" s="9">
        <v>100</v>
      </c>
      <c r="I48" s="4">
        <f>(6+6+6+8)/4</f>
        <v>6.5</v>
      </c>
      <c r="J48" s="1">
        <f>EXP(-0.228+(0.348*I48)+(-0.002*H48)+(-0.092*G48)+(3.27*F48))</f>
        <v>6.0945809043312202</v>
      </c>
      <c r="K48" s="7">
        <f>1+EXP(-0.228+(0.348*I48)+(-0.002*H48)+(-0.092*G48)+(3.27*F48))</f>
        <v>7.0945809043312202</v>
      </c>
      <c r="L48" s="7">
        <f>J48/K48</f>
        <v>0.8590473470547777</v>
      </c>
      <c r="M48" s="7">
        <v>16.5</v>
      </c>
      <c r="N48" s="7">
        <f>E48*M48/L48/D48</f>
        <v>3.8414646309239733</v>
      </c>
      <c r="O48" s="7">
        <f>N48/2.47</f>
        <v>1.5552488384307583</v>
      </c>
    </row>
    <row r="49" spans="1:15" x14ac:dyDescent="0.25">
      <c r="A49" s="31" t="s">
        <v>16</v>
      </c>
      <c r="B49" s="7">
        <v>5</v>
      </c>
      <c r="C49" s="8">
        <v>37546</v>
      </c>
      <c r="D49" s="31">
        <v>25</v>
      </c>
      <c r="E49" s="2">
        <v>8</v>
      </c>
      <c r="F49" s="2">
        <v>7.0000000000000007E-2</v>
      </c>
      <c r="G49" s="9">
        <v>0</v>
      </c>
      <c r="H49" s="9">
        <v>0</v>
      </c>
      <c r="I49" s="4">
        <f>(12+10+10+7)/4</f>
        <v>9.75</v>
      </c>
      <c r="J49" s="1">
        <f>EXP(-0.228+(0.348*I49)+(-0.002*H49)+(-0.092*G49)+(3.27*F49))</f>
        <v>29.78187538736891</v>
      </c>
      <c r="K49" s="7">
        <f>1+EXP(-0.228+(0.348*I49)+(-0.002*H49)+(-0.092*G49)+(3.27*F49))</f>
        <v>30.78187538736891</v>
      </c>
      <c r="L49" s="7">
        <f>J49/K49</f>
        <v>0.96751335039156383</v>
      </c>
      <c r="M49" s="7">
        <v>16.5</v>
      </c>
      <c r="N49" s="7">
        <f>E49*M49/L49/D49</f>
        <v>5.4572890367488185</v>
      </c>
      <c r="O49" s="7">
        <f>N49/2.47</f>
        <v>2.2094287598173352</v>
      </c>
    </row>
    <row r="50" spans="1:15" x14ac:dyDescent="0.25">
      <c r="A50" s="31" t="s">
        <v>17</v>
      </c>
      <c r="B50" s="31">
        <v>10</v>
      </c>
      <c r="C50" s="8">
        <v>37540</v>
      </c>
      <c r="D50" s="31">
        <v>25</v>
      </c>
      <c r="E50" s="3">
        <v>5</v>
      </c>
      <c r="F50" s="4">
        <v>7.0000000000000007E-2</v>
      </c>
      <c r="G50" s="4">
        <v>0</v>
      </c>
      <c r="H50" s="9">
        <v>0</v>
      </c>
      <c r="I50" s="4">
        <f>(4+4+5+4+5)/5</f>
        <v>4.4000000000000004</v>
      </c>
      <c r="J50" s="1">
        <f t="shared" si="10"/>
        <v>4.6278851838384041</v>
      </c>
      <c r="K50" s="7">
        <f t="shared" si="11"/>
        <v>5.6278851838384041</v>
      </c>
      <c r="L50" s="7">
        <f t="shared" si="12"/>
        <v>0.82231336153201928</v>
      </c>
      <c r="M50" s="7">
        <v>14</v>
      </c>
      <c r="N50" s="7">
        <f t="shared" si="13"/>
        <v>3.4050279747168788</v>
      </c>
      <c r="O50" s="7">
        <f t="shared" si="14"/>
        <v>1.3785538359177645</v>
      </c>
    </row>
    <row r="51" spans="1:15" x14ac:dyDescent="0.25">
      <c r="A51" s="31" t="s">
        <v>17</v>
      </c>
      <c r="B51" s="31">
        <v>9</v>
      </c>
      <c r="C51" s="8">
        <v>37546</v>
      </c>
      <c r="D51" s="31">
        <v>25</v>
      </c>
      <c r="E51" s="3">
        <v>8</v>
      </c>
      <c r="F51" s="4">
        <v>7.0000000000000007E-2</v>
      </c>
      <c r="G51" s="4">
        <v>0</v>
      </c>
      <c r="H51" s="9">
        <v>0</v>
      </c>
      <c r="I51" s="4">
        <f>(10+12+10+7)/4</f>
        <v>9.75</v>
      </c>
      <c r="J51" s="1">
        <f t="shared" si="10"/>
        <v>29.78187538736891</v>
      </c>
      <c r="K51" s="7">
        <f t="shared" si="11"/>
        <v>30.78187538736891</v>
      </c>
      <c r="L51" s="7">
        <f t="shared" si="12"/>
        <v>0.96751335039156383</v>
      </c>
      <c r="M51" s="7">
        <v>14</v>
      </c>
      <c r="N51" s="7">
        <f t="shared" si="13"/>
        <v>4.6304270614838465</v>
      </c>
      <c r="O51" s="7">
        <f t="shared" si="14"/>
        <v>1.8746668265116786</v>
      </c>
    </row>
    <row r="52" spans="1:15" x14ac:dyDescent="0.25">
      <c r="A52" s="1" t="s">
        <v>18</v>
      </c>
      <c r="B52" s="1">
        <v>3</v>
      </c>
      <c r="C52" s="8">
        <v>37543</v>
      </c>
      <c r="D52" s="1">
        <v>25</v>
      </c>
      <c r="E52" s="3">
        <v>7</v>
      </c>
      <c r="F52" s="4">
        <v>-0.05</v>
      </c>
      <c r="G52" s="4">
        <v>0</v>
      </c>
      <c r="H52" s="9">
        <v>0</v>
      </c>
      <c r="I52" s="4">
        <f>(7+9+5+6)/4</f>
        <v>6.75</v>
      </c>
      <c r="J52" s="1">
        <f t="shared" si="10"/>
        <v>7.0816009144145351</v>
      </c>
      <c r="K52" s="7">
        <f t="shared" si="11"/>
        <v>8.0816009144145351</v>
      </c>
      <c r="L52" s="7">
        <f t="shared" si="12"/>
        <v>0.876262140312277</v>
      </c>
      <c r="M52" s="7">
        <v>14</v>
      </c>
      <c r="N52" s="7">
        <f t="shared" si="13"/>
        <v>4.4735471494900079</v>
      </c>
      <c r="O52" s="7">
        <f t="shared" si="14"/>
        <v>1.8111526921012175</v>
      </c>
    </row>
    <row r="53" spans="1:15" x14ac:dyDescent="0.25">
      <c r="A53" s="1" t="s">
        <v>18</v>
      </c>
      <c r="B53" s="1">
        <v>1</v>
      </c>
      <c r="C53" s="8">
        <v>37550</v>
      </c>
      <c r="D53" s="31">
        <v>25</v>
      </c>
      <c r="E53" s="3">
        <v>3</v>
      </c>
      <c r="F53" s="4">
        <v>0.01</v>
      </c>
      <c r="G53" s="4">
        <v>0</v>
      </c>
      <c r="H53" s="9">
        <v>10</v>
      </c>
      <c r="I53" s="4">
        <f>(3+7+5+6)/4</f>
        <v>5.25</v>
      </c>
      <c r="J53" s="1">
        <f t="shared" si="10"/>
        <v>5.0113232400813388</v>
      </c>
      <c r="K53" s="7">
        <f t="shared" si="11"/>
        <v>6.0113232400813388</v>
      </c>
      <c r="L53" s="7">
        <f t="shared" si="12"/>
        <v>0.83364727530664795</v>
      </c>
      <c r="M53" s="7">
        <v>14</v>
      </c>
      <c r="N53" s="7">
        <f t="shared" si="13"/>
        <v>2.0152407975927598</v>
      </c>
      <c r="O53" s="7">
        <f t="shared" si="14"/>
        <v>0.81588696258816173</v>
      </c>
    </row>
    <row r="54" spans="1:15" x14ac:dyDescent="0.25">
      <c r="A54" s="31" t="s">
        <v>18</v>
      </c>
      <c r="B54" s="31">
        <v>2</v>
      </c>
      <c r="C54" s="8">
        <v>37552</v>
      </c>
      <c r="D54" s="31">
        <v>25</v>
      </c>
      <c r="E54" s="3">
        <v>5</v>
      </c>
      <c r="F54" s="4">
        <v>0.02</v>
      </c>
      <c r="G54" s="4">
        <v>1</v>
      </c>
      <c r="H54" s="9">
        <v>100</v>
      </c>
      <c r="I54" s="4">
        <f>(4+4+5+7)/4</f>
        <v>5</v>
      </c>
      <c r="J54" s="1">
        <f>EXP(-0.228+(0.348*I54)+(-0.002*H54)+(-0.092*G54)+(3.27*F54))</f>
        <v>3.6161141136123307</v>
      </c>
      <c r="K54" s="7">
        <f>1+EXP(-0.228+(0.348*I54)+(-0.002*H54)+(-0.092*G54)+(3.27*F54))</f>
        <v>4.6161141136123307</v>
      </c>
      <c r="L54" s="7">
        <f>J54/K54</f>
        <v>0.78336757381037703</v>
      </c>
      <c r="M54" s="7">
        <v>14</v>
      </c>
      <c r="N54" s="7">
        <f t="shared" si="13"/>
        <v>3.5743118474773268</v>
      </c>
      <c r="O54" s="7">
        <f t="shared" si="14"/>
        <v>1.44708981679244</v>
      </c>
    </row>
    <row r="55" spans="1:15" x14ac:dyDescent="0.25">
      <c r="A55" s="31" t="s">
        <v>17</v>
      </c>
      <c r="B55" s="31">
        <v>11</v>
      </c>
      <c r="C55" s="8">
        <v>37558</v>
      </c>
      <c r="D55" s="31">
        <v>25</v>
      </c>
      <c r="E55" s="3">
        <v>3</v>
      </c>
      <c r="F55" s="4">
        <v>0.02</v>
      </c>
      <c r="G55" s="4">
        <v>0</v>
      </c>
      <c r="H55" s="9">
        <v>100</v>
      </c>
      <c r="I55" s="4">
        <f>(10+4+2+5)/4</f>
        <v>5.25</v>
      </c>
      <c r="J55" s="1">
        <f>EXP(-0.228+(0.348*I55)+(-0.002*H55)+(-0.092*G55)+(3.27*F55))</f>
        <v>4.3249474931586072</v>
      </c>
      <c r="K55" s="7">
        <f>1+EXP(-0.228+(0.348*I55)+(-0.002*H55)+(-0.092*G55)+(3.27*F55))</f>
        <v>5.3249474931586072</v>
      </c>
      <c r="L55" s="7">
        <f>J55/K55</f>
        <v>0.81220472102592911</v>
      </c>
      <c r="M55" s="7">
        <v>14</v>
      </c>
      <c r="N55" s="7">
        <f>E55*M55/L55/D55</f>
        <v>2.0684440221892864</v>
      </c>
      <c r="O55" s="7">
        <f t="shared" si="14"/>
        <v>0.83742672963128995</v>
      </c>
    </row>
    <row r="56" spans="1:15" x14ac:dyDescent="0.25">
      <c r="A56" s="1"/>
      <c r="B56" s="1"/>
      <c r="C56" s="8"/>
      <c r="D56" s="1"/>
      <c r="E56" s="3"/>
      <c r="F56" s="4"/>
      <c r="G56" s="4"/>
      <c r="H56" s="9"/>
      <c r="I56" s="4"/>
      <c r="J56" s="1"/>
      <c r="K56" s="7"/>
      <c r="L56" s="7"/>
      <c r="M56" s="7"/>
      <c r="N56" s="7"/>
      <c r="O56" s="7"/>
    </row>
    <row r="57" spans="1:15" x14ac:dyDescent="0.25">
      <c r="A57" s="1"/>
      <c r="B57" s="1"/>
      <c r="C57" s="8"/>
      <c r="D57" s="1"/>
      <c r="E57" s="3"/>
      <c r="F57" s="4"/>
      <c r="G57" s="4"/>
      <c r="H57" s="9"/>
      <c r="I57" s="4"/>
      <c r="J57" s="1"/>
      <c r="K57" s="7"/>
      <c r="L57" s="7"/>
      <c r="M57" s="7"/>
      <c r="N57" s="7"/>
      <c r="O57" s="7"/>
    </row>
    <row r="58" spans="1:15" x14ac:dyDescent="0.25">
      <c r="A58" s="1"/>
      <c r="B58" s="1"/>
      <c r="C58" s="8"/>
      <c r="D58" s="1"/>
      <c r="E58" s="3"/>
      <c r="F58" s="4"/>
      <c r="G58" s="4"/>
      <c r="H58" s="9"/>
      <c r="I58" s="4"/>
      <c r="J58" s="1"/>
      <c r="K58" s="7"/>
      <c r="L58" s="7"/>
      <c r="M58" s="7"/>
      <c r="N58" s="7"/>
      <c r="O58" s="7"/>
    </row>
    <row r="59" spans="1:15" x14ac:dyDescent="0.25">
      <c r="A59" s="7" t="s">
        <v>19</v>
      </c>
      <c r="B59" s="1" t="s">
        <v>20</v>
      </c>
      <c r="C59" s="3" t="s">
        <v>45</v>
      </c>
      <c r="D59" s="4" t="s">
        <v>22</v>
      </c>
      <c r="E59" s="4" t="s">
        <v>23</v>
      </c>
      <c r="F59" s="9" t="s">
        <v>17</v>
      </c>
      <c r="G59" s="9"/>
      <c r="H59" s="9"/>
      <c r="I59" s="2"/>
      <c r="J59" s="1"/>
      <c r="K59" s="7"/>
      <c r="L59" s="7"/>
      <c r="M59" s="7"/>
      <c r="N59" s="7"/>
      <c r="O59" s="7"/>
    </row>
    <row r="60" spans="1:15" x14ac:dyDescent="0.25">
      <c r="A60" s="33">
        <v>2000</v>
      </c>
      <c r="B60" s="33" t="s">
        <v>24</v>
      </c>
      <c r="C60" s="33">
        <v>1.0316364700963561</v>
      </c>
      <c r="D60" s="33">
        <v>0.12130879072200589</v>
      </c>
      <c r="E60" s="33">
        <v>6</v>
      </c>
      <c r="F60" s="33">
        <v>0.14219047713191268</v>
      </c>
      <c r="G60" s="9"/>
      <c r="H60" s="9"/>
      <c r="I60" s="2"/>
      <c r="J60" s="1"/>
      <c r="K60" s="7"/>
      <c r="L60" s="7"/>
      <c r="M60" s="7"/>
      <c r="N60" s="7"/>
      <c r="O60" s="7"/>
    </row>
    <row r="61" spans="1:15" x14ac:dyDescent="0.25">
      <c r="A61" s="33">
        <v>2000</v>
      </c>
      <c r="B61" s="33" t="s">
        <v>25</v>
      </c>
      <c r="C61" s="33">
        <v>0.99033061750153839</v>
      </c>
      <c r="D61" s="33">
        <v>0.18563035185716076</v>
      </c>
      <c r="E61" s="33">
        <v>6</v>
      </c>
      <c r="F61" s="33">
        <v>0.17589312657461478</v>
      </c>
      <c r="G61" s="9"/>
      <c r="H61" s="9"/>
      <c r="I61" s="2"/>
      <c r="J61" s="1"/>
      <c r="K61" s="7"/>
      <c r="L61" s="7"/>
      <c r="M61" s="7"/>
      <c r="N61" s="7"/>
      <c r="O61" s="7"/>
    </row>
    <row r="62" spans="1:15" x14ac:dyDescent="0.25">
      <c r="A62" s="33">
        <v>2000</v>
      </c>
      <c r="B62" s="33" t="s">
        <v>26</v>
      </c>
      <c r="C62" s="33">
        <v>1.0109835437989474</v>
      </c>
      <c r="D62" s="33">
        <v>0.13998311211559863</v>
      </c>
      <c r="E62" s="33">
        <v>12</v>
      </c>
      <c r="F62" s="33">
        <v>0.10800583013414856</v>
      </c>
      <c r="G62" s="9"/>
      <c r="H62" s="9"/>
      <c r="I62" s="2"/>
      <c r="J62" s="1"/>
      <c r="K62" s="7"/>
      <c r="L62" s="7"/>
      <c r="M62" s="7"/>
      <c r="N62" s="7"/>
      <c r="O62" s="7"/>
    </row>
    <row r="63" spans="1:15" x14ac:dyDescent="0.25">
      <c r="A63" s="33">
        <v>2001</v>
      </c>
      <c r="B63" s="24" t="s">
        <v>24</v>
      </c>
      <c r="C63" s="24">
        <v>1.0236499451406069</v>
      </c>
      <c r="D63" s="24">
        <v>7.4861831940942911E-2</v>
      </c>
      <c r="E63" s="24">
        <v>6</v>
      </c>
      <c r="F63" s="24">
        <v>0.11170036700994833</v>
      </c>
      <c r="G63" s="4"/>
      <c r="H63" s="9"/>
      <c r="I63" s="4"/>
      <c r="J63" s="1"/>
      <c r="K63" s="7"/>
      <c r="L63" s="7"/>
      <c r="M63" s="7"/>
      <c r="N63" s="7"/>
      <c r="O63" s="7"/>
    </row>
    <row r="64" spans="1:15" x14ac:dyDescent="0.25">
      <c r="A64" s="33">
        <v>2001</v>
      </c>
      <c r="B64" s="24" t="s">
        <v>25</v>
      </c>
      <c r="C64" s="24">
        <v>0.9719320762740864</v>
      </c>
      <c r="D64" s="24">
        <v>0.23933732861970808</v>
      </c>
      <c r="E64" s="24">
        <v>6</v>
      </c>
      <c r="F64" s="24">
        <v>0.19972369606521742</v>
      </c>
      <c r="G64" s="4"/>
      <c r="H64" s="9"/>
      <c r="I64" s="4"/>
      <c r="J64" s="1"/>
      <c r="K64" s="7"/>
      <c r="L64" s="7"/>
      <c r="M64" s="7"/>
      <c r="N64" s="7"/>
      <c r="O64" s="7"/>
    </row>
    <row r="65" spans="1:15" x14ac:dyDescent="0.25">
      <c r="A65" s="3">
        <v>2001</v>
      </c>
      <c r="B65" s="3" t="s">
        <v>26</v>
      </c>
      <c r="C65" s="36">
        <v>0.99779101070734655</v>
      </c>
      <c r="D65" s="3">
        <v>0.14354727424395816</v>
      </c>
      <c r="E65" s="3">
        <v>12</v>
      </c>
      <c r="F65" s="4">
        <v>0.10937217586599976</v>
      </c>
      <c r="G65" s="4"/>
      <c r="H65" s="9"/>
      <c r="I65" s="4"/>
      <c r="J65" s="1"/>
      <c r="K65" s="7"/>
      <c r="L65" s="7"/>
      <c r="M65" s="7"/>
      <c r="N65" s="7"/>
      <c r="O65" s="7"/>
    </row>
    <row r="66" spans="1:15" x14ac:dyDescent="0.25">
      <c r="A66" s="2">
        <v>2002</v>
      </c>
      <c r="B66" s="3" t="s">
        <v>25</v>
      </c>
      <c r="C66" s="3">
        <f>AVERAGE(O50:O55)</f>
        <v>1.3607961439237588</v>
      </c>
      <c r="D66" s="4">
        <f>VAR(O50:O55)</f>
        <v>0.20909751844649663</v>
      </c>
      <c r="E66" s="4">
        <f>COUNT(O50:O55)</f>
        <v>6</v>
      </c>
      <c r="F66" s="9">
        <f>SQRT(D66/E66)</f>
        <v>0.18668043927457809</v>
      </c>
      <c r="G66" s="9"/>
      <c r="H66" s="9"/>
      <c r="I66" s="4"/>
      <c r="J66" s="1"/>
      <c r="K66" s="7"/>
      <c r="L66" s="7"/>
      <c r="M66" s="7"/>
      <c r="N66" s="7"/>
      <c r="O66" s="7"/>
    </row>
    <row r="67" spans="1:15" x14ac:dyDescent="0.25">
      <c r="A67" s="2">
        <v>2002</v>
      </c>
      <c r="B67" s="3" t="s">
        <v>24</v>
      </c>
      <c r="C67" s="3">
        <f>AVERAGE(O43:O49)</f>
        <v>1.8533569823606124</v>
      </c>
      <c r="D67" s="4">
        <f>VAR(O43:O49)</f>
        <v>9.7619856627940635E-2</v>
      </c>
      <c r="E67" s="4">
        <f>COUNT(O43:O49)</f>
        <v>7</v>
      </c>
      <c r="F67" s="9">
        <f>SQRT(D67/E67)</f>
        <v>0.11809188712181511</v>
      </c>
      <c r="G67" s="9"/>
      <c r="H67" s="9"/>
      <c r="I67" s="4"/>
      <c r="J67" s="1"/>
      <c r="K67" s="7"/>
      <c r="L67" s="7"/>
      <c r="M67" s="7"/>
      <c r="N67" s="7"/>
      <c r="O67" s="7"/>
    </row>
    <row r="68" spans="1:15" x14ac:dyDescent="0.25">
      <c r="A68" s="2">
        <v>2002</v>
      </c>
      <c r="B68" s="2" t="s">
        <v>26</v>
      </c>
      <c r="C68" s="2">
        <f>AVERAGE(O43:O55)</f>
        <v>1.6260212107743721</v>
      </c>
      <c r="D68" s="2">
        <f>VAR(O43:O55)</f>
        <v>0.20125363498454796</v>
      </c>
      <c r="E68" s="9">
        <v>13</v>
      </c>
      <c r="F68" s="9">
        <f>SQRT(D68/E68)</f>
        <v>0.12442286303153945</v>
      </c>
      <c r="G68" s="9"/>
      <c r="H68" s="9"/>
      <c r="I68" s="4"/>
      <c r="J68" s="1"/>
      <c r="K68" s="7"/>
      <c r="L68" s="7"/>
      <c r="M68" s="7"/>
      <c r="N68" s="7"/>
      <c r="O68" s="7"/>
    </row>
    <row r="69" spans="1:15" x14ac:dyDescent="0.25">
      <c r="A69" s="3"/>
      <c r="B69" s="3"/>
      <c r="C69" s="36"/>
      <c r="D69" s="3"/>
      <c r="E69" s="3"/>
      <c r="F69" s="4"/>
      <c r="G69" s="4"/>
      <c r="H69" s="9"/>
      <c r="I69" s="4"/>
      <c r="J69" s="1"/>
      <c r="K69" s="7"/>
      <c r="L69" s="7"/>
      <c r="M69" s="7"/>
      <c r="N69" s="7"/>
      <c r="O69" s="7"/>
    </row>
    <row r="70" spans="1:15" x14ac:dyDescent="0.25">
      <c r="A70" s="7" t="s">
        <v>26</v>
      </c>
      <c r="B70" s="7"/>
      <c r="C70" s="7"/>
      <c r="D70" s="7"/>
      <c r="E70" s="7"/>
      <c r="F70" s="7"/>
      <c r="G70" s="4"/>
      <c r="H70" s="9"/>
      <c r="I70" s="4"/>
      <c r="J70" s="1"/>
      <c r="K70" s="7"/>
      <c r="L70" s="7"/>
      <c r="M70" s="7"/>
      <c r="N70" s="7"/>
      <c r="O70" s="7"/>
    </row>
    <row r="71" spans="1:15" x14ac:dyDescent="0.25">
      <c r="A71" s="7"/>
      <c r="B71" s="6" t="s">
        <v>21</v>
      </c>
      <c r="C71" s="7" t="s">
        <v>17</v>
      </c>
      <c r="D71" s="7"/>
      <c r="E71" s="7"/>
      <c r="F71" s="7"/>
      <c r="G71" s="4"/>
      <c r="H71" s="9"/>
      <c r="I71" s="4"/>
      <c r="J71" s="1"/>
      <c r="K71" s="7"/>
      <c r="L71" s="7"/>
      <c r="M71" s="7"/>
      <c r="N71" s="7"/>
      <c r="O71" s="7"/>
    </row>
    <row r="72" spans="1:15" x14ac:dyDescent="0.25">
      <c r="A72" s="7">
        <v>2000</v>
      </c>
      <c r="B72" s="33">
        <v>1.0109835437989474</v>
      </c>
      <c r="C72" s="33">
        <v>0.10800583013414856</v>
      </c>
      <c r="D72" s="7"/>
      <c r="E72" s="7"/>
      <c r="F72" s="7"/>
      <c r="G72" s="4"/>
      <c r="H72" s="9"/>
      <c r="I72" s="4"/>
      <c r="J72" s="1"/>
      <c r="K72" s="7"/>
      <c r="L72" s="7"/>
      <c r="M72" s="7"/>
      <c r="N72" s="7"/>
      <c r="O72" s="7"/>
    </row>
    <row r="73" spans="1:15" x14ac:dyDescent="0.25">
      <c r="A73" s="3">
        <v>2001</v>
      </c>
      <c r="B73" s="36">
        <v>0.99779101070734655</v>
      </c>
      <c r="C73" s="4">
        <v>0.10937217586599976</v>
      </c>
      <c r="D73" s="3"/>
      <c r="E73" s="3"/>
      <c r="F73" s="4"/>
      <c r="G73" s="4"/>
      <c r="H73" s="9"/>
      <c r="I73" s="4"/>
      <c r="J73" s="1"/>
      <c r="K73" s="7"/>
      <c r="L73" s="7"/>
      <c r="M73" s="7"/>
      <c r="N73" s="7"/>
      <c r="O73" s="7"/>
    </row>
    <row r="74" spans="1:15" x14ac:dyDescent="0.25">
      <c r="A74" s="3">
        <v>2002</v>
      </c>
      <c r="B74" s="2">
        <v>1.6260212107743721</v>
      </c>
      <c r="C74" s="9">
        <v>0.12442286303153945</v>
      </c>
      <c r="D74" s="3"/>
      <c r="E74" s="3"/>
      <c r="F74" s="4"/>
      <c r="G74" s="4"/>
      <c r="H74" s="9"/>
      <c r="I74" s="4"/>
      <c r="J74" s="1"/>
      <c r="K74" s="7"/>
      <c r="L74" s="7"/>
      <c r="M74" s="7"/>
      <c r="N74" s="7"/>
      <c r="O74" s="7"/>
    </row>
    <row r="75" spans="1:15" x14ac:dyDescent="0.25">
      <c r="A75" s="3"/>
      <c r="B75" s="3"/>
      <c r="C75" s="36"/>
      <c r="D75" s="3"/>
      <c r="E75" s="3"/>
      <c r="F75" s="4"/>
      <c r="G75" s="4"/>
      <c r="H75" s="9"/>
      <c r="I75" s="4"/>
      <c r="J75" s="1"/>
      <c r="K75" s="7"/>
      <c r="L75" s="7"/>
      <c r="M75" s="7"/>
      <c r="N75" s="7"/>
      <c r="O75" s="7"/>
    </row>
    <row r="76" spans="1:15" x14ac:dyDescent="0.25">
      <c r="A76" s="2"/>
      <c r="B76" s="2"/>
      <c r="C76" s="36"/>
      <c r="D76" s="2"/>
      <c r="E76" s="2"/>
      <c r="F76" s="2"/>
      <c r="G76" s="9"/>
      <c r="H76" s="9"/>
      <c r="I76" s="2"/>
      <c r="J76" s="7"/>
      <c r="K76" s="7"/>
      <c r="L76" s="7"/>
      <c r="M76" s="7"/>
      <c r="N76" s="7"/>
      <c r="O76" s="7"/>
    </row>
    <row r="77" spans="1:15" x14ac:dyDescent="0.25">
      <c r="A77" s="2"/>
      <c r="B77" s="2"/>
      <c r="C77" s="36"/>
      <c r="D77" s="2"/>
      <c r="E77" s="2"/>
      <c r="F77" s="2"/>
      <c r="G77" s="9"/>
      <c r="H77" s="9"/>
      <c r="I77" s="2"/>
      <c r="J77" s="7"/>
      <c r="K77" s="7"/>
      <c r="L77" s="7"/>
      <c r="M77" s="7"/>
      <c r="N77" s="7"/>
      <c r="O77" s="7"/>
    </row>
    <row r="78" spans="1:15" x14ac:dyDescent="0.25">
      <c r="A78" s="7"/>
      <c r="B78" s="7"/>
      <c r="C78" s="36"/>
      <c r="D78" s="7"/>
      <c r="E78" s="2"/>
      <c r="F78" s="2"/>
      <c r="G78" s="9"/>
      <c r="H78" s="9"/>
      <c r="I78" s="2"/>
      <c r="J78" s="7"/>
      <c r="K78" s="7"/>
      <c r="L78" s="7"/>
      <c r="M78" s="7"/>
      <c r="N78" s="7"/>
      <c r="O78" s="7"/>
    </row>
    <row r="79" spans="1:15" x14ac:dyDescent="0.25">
      <c r="A79" s="7"/>
      <c r="B79" s="7"/>
      <c r="C79" s="36"/>
      <c r="D79" s="7"/>
      <c r="E79" s="2"/>
      <c r="F79" s="2"/>
      <c r="G79" s="9"/>
      <c r="H79" s="9"/>
      <c r="I79" s="2"/>
      <c r="J79" s="7"/>
      <c r="K79" s="7"/>
      <c r="L79" s="7"/>
      <c r="M79" s="7"/>
      <c r="N79" s="7"/>
      <c r="O79" s="7"/>
    </row>
    <row r="80" spans="1:15" x14ac:dyDescent="0.25">
      <c r="A80" s="7"/>
      <c r="B80" s="7"/>
      <c r="C80" s="36"/>
      <c r="D80" s="7"/>
      <c r="E80" s="2"/>
      <c r="F80" s="2"/>
      <c r="G80" s="9"/>
      <c r="H80" s="9"/>
      <c r="I80" s="2"/>
      <c r="J80" s="7"/>
      <c r="K80" s="7"/>
      <c r="L80" s="7"/>
      <c r="M80" s="7"/>
      <c r="N80" s="7"/>
      <c r="O80" s="7"/>
    </row>
    <row r="81" spans="1:15" x14ac:dyDescent="0.25">
      <c r="A81" s="7"/>
      <c r="B81" s="7"/>
      <c r="C81" s="36"/>
      <c r="D81" s="7"/>
      <c r="E81" s="2"/>
      <c r="F81" s="2"/>
      <c r="G81" s="9"/>
      <c r="H81" s="9"/>
      <c r="I81" s="2"/>
      <c r="J81" s="7"/>
      <c r="K81" s="7"/>
      <c r="L81" s="7"/>
      <c r="M81" s="7"/>
      <c r="N81" s="7"/>
      <c r="O81" s="7"/>
    </row>
    <row r="82" spans="1:15" x14ac:dyDescent="0.25">
      <c r="A82" s="7"/>
      <c r="B82" s="7"/>
      <c r="C82" s="36"/>
      <c r="D82" s="7"/>
      <c r="E82" s="2"/>
      <c r="F82" s="2"/>
      <c r="G82" s="9"/>
      <c r="H82" s="9"/>
      <c r="I82" s="2"/>
      <c r="J82" s="7"/>
      <c r="K82" s="7"/>
      <c r="L82" s="7"/>
      <c r="M82" s="7"/>
      <c r="N82" s="7"/>
      <c r="O82" s="7"/>
    </row>
    <row r="83" spans="1:15" x14ac:dyDescent="0.25">
      <c r="A83" s="7"/>
      <c r="B83" s="7"/>
      <c r="C83" s="36"/>
      <c r="D83" s="7"/>
      <c r="E83" s="2"/>
      <c r="F83" s="2"/>
      <c r="G83" s="9"/>
      <c r="H83" s="9"/>
      <c r="I83" s="2"/>
      <c r="J83" s="7"/>
      <c r="K83" s="7"/>
      <c r="L83" s="7"/>
      <c r="M83" s="7"/>
      <c r="N83" s="7"/>
      <c r="O83" s="7"/>
    </row>
    <row r="84" spans="1:15" x14ac:dyDescent="0.25">
      <c r="A84" s="7"/>
      <c r="B84" s="7"/>
      <c r="C84" s="36"/>
      <c r="D84" s="7"/>
      <c r="E84" s="2"/>
      <c r="F84" s="2"/>
      <c r="G84" s="9"/>
      <c r="H84" s="9"/>
      <c r="I84" s="2"/>
      <c r="J84" s="7"/>
      <c r="K84" s="7"/>
      <c r="L84" s="7"/>
      <c r="M84" s="7"/>
      <c r="N84" s="7"/>
      <c r="O84" s="7"/>
    </row>
    <row r="85" spans="1:15" x14ac:dyDescent="0.25">
      <c r="A85" s="7"/>
      <c r="B85" s="7"/>
      <c r="C85" s="36"/>
      <c r="D85" s="7"/>
      <c r="E85" s="2"/>
      <c r="F85" s="2"/>
      <c r="G85" s="9"/>
      <c r="H85" s="9"/>
      <c r="I85" s="2"/>
      <c r="J85" s="7"/>
      <c r="K85" s="7"/>
      <c r="L85" s="7"/>
      <c r="M85" s="7"/>
      <c r="N85" s="7"/>
      <c r="O85" s="7"/>
    </row>
    <row r="86" spans="1:15" x14ac:dyDescent="0.25">
      <c r="A86" s="7"/>
      <c r="B86" s="7"/>
      <c r="C86" s="36"/>
      <c r="D86" s="7"/>
      <c r="E86" s="2"/>
      <c r="F86" s="2"/>
      <c r="G86" s="9"/>
      <c r="H86" s="9"/>
      <c r="I86" s="2"/>
      <c r="J86" s="7"/>
      <c r="K86" s="7"/>
      <c r="L86" s="7"/>
      <c r="M86" s="7"/>
      <c r="N86" s="7"/>
      <c r="O86" s="7"/>
    </row>
    <row r="87" spans="1:15" x14ac:dyDescent="0.25">
      <c r="A87" s="7"/>
      <c r="B87" s="7"/>
      <c r="C87" s="7"/>
      <c r="D87" s="7"/>
      <c r="E87" s="2"/>
      <c r="F87" s="2"/>
      <c r="G87" s="9"/>
      <c r="H87" s="9"/>
      <c r="I87" s="2"/>
      <c r="J87" s="7"/>
      <c r="K87" s="7"/>
      <c r="L87" s="7"/>
      <c r="M87" s="7"/>
      <c r="N87" s="7"/>
      <c r="O87" s="7"/>
    </row>
    <row r="88" spans="1:15" x14ac:dyDescent="0.25">
      <c r="A88" s="33"/>
      <c r="B88" s="33" t="s">
        <v>24</v>
      </c>
      <c r="C88" s="33" t="s">
        <v>25</v>
      </c>
      <c r="D88" s="7" t="s">
        <v>41</v>
      </c>
      <c r="E88" s="3" t="s">
        <v>42</v>
      </c>
      <c r="F88" s="7"/>
      <c r="G88" s="9"/>
      <c r="H88" s="9"/>
      <c r="I88" s="2"/>
      <c r="J88" s="7"/>
      <c r="K88" s="7"/>
      <c r="L88" s="7"/>
      <c r="M88" s="7"/>
      <c r="N88" s="7"/>
      <c r="O88" s="7"/>
    </row>
    <row r="89" spans="1:15" x14ac:dyDescent="0.25">
      <c r="A89" s="33">
        <v>2000</v>
      </c>
      <c r="B89" s="33">
        <v>1.0316364700963561</v>
      </c>
      <c r="C89" s="33">
        <v>0.99033061750153839</v>
      </c>
      <c r="D89" s="33">
        <v>0.14219047713191268</v>
      </c>
      <c r="E89" s="33">
        <v>0.17589312657461478</v>
      </c>
      <c r="F89" s="7"/>
      <c r="G89" s="9"/>
      <c r="H89" s="9"/>
      <c r="I89" s="2"/>
      <c r="J89" s="7"/>
      <c r="K89" s="7"/>
      <c r="L89" s="7"/>
      <c r="M89" s="7"/>
      <c r="N89" s="7"/>
      <c r="O89" s="7"/>
    </row>
    <row r="90" spans="1:15" x14ac:dyDescent="0.25">
      <c r="A90" s="7">
        <v>2001</v>
      </c>
      <c r="B90" s="24">
        <v>1.0236499451406069</v>
      </c>
      <c r="C90" s="24">
        <v>0.9719320762740864</v>
      </c>
      <c r="D90" s="24">
        <v>0.11170036700994833</v>
      </c>
      <c r="E90" s="24">
        <v>0.19972369606521742</v>
      </c>
      <c r="F90" s="2"/>
      <c r="G90" s="9"/>
      <c r="H90" s="9"/>
      <c r="I90" s="2"/>
      <c r="J90" s="7"/>
      <c r="K90" s="7"/>
      <c r="L90" s="7"/>
      <c r="M90" s="7"/>
      <c r="N90" s="7"/>
      <c r="O90" s="7"/>
    </row>
    <row r="91" spans="1:15" x14ac:dyDescent="0.25">
      <c r="A91" s="7">
        <v>2002</v>
      </c>
      <c r="B91" s="3">
        <v>1.8533569823606124</v>
      </c>
      <c r="C91" s="3">
        <v>1.3607961439237588</v>
      </c>
      <c r="D91" s="4">
        <v>0.11809188712181511</v>
      </c>
      <c r="E91" s="9">
        <v>0.18668043927457809</v>
      </c>
      <c r="F91" s="2"/>
      <c r="G91" s="9"/>
      <c r="H91" s="9"/>
      <c r="I91" s="2"/>
      <c r="J91" s="7"/>
      <c r="K91" s="7"/>
      <c r="L91" s="7"/>
      <c r="M91" s="7"/>
      <c r="N91" s="7"/>
      <c r="O91" s="7"/>
    </row>
    <row r="92" spans="1:15" x14ac:dyDescent="0.25">
      <c r="A92" s="24"/>
      <c r="B92" s="30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</row>
    <row r="93" spans="1:15" x14ac:dyDescent="0.25">
      <c r="A93" s="3" t="s">
        <v>0</v>
      </c>
      <c r="B93" s="3" t="s">
        <v>1</v>
      </c>
      <c r="C93" s="2" t="s">
        <v>2</v>
      </c>
      <c r="D93" s="3" t="s">
        <v>3</v>
      </c>
      <c r="E93" s="3" t="s">
        <v>4</v>
      </c>
      <c r="F93" s="3" t="s">
        <v>5</v>
      </c>
      <c r="G93" s="4" t="s">
        <v>6</v>
      </c>
      <c r="H93" s="5" t="s">
        <v>7</v>
      </c>
      <c r="I93" s="3" t="s">
        <v>8</v>
      </c>
      <c r="J93" s="6" t="s">
        <v>9</v>
      </c>
      <c r="K93" s="6" t="s">
        <v>10</v>
      </c>
      <c r="L93" s="6" t="s">
        <v>11</v>
      </c>
      <c r="M93" s="2" t="s">
        <v>12</v>
      </c>
      <c r="N93" s="6" t="s">
        <v>13</v>
      </c>
      <c r="O93" s="6" t="s">
        <v>14</v>
      </c>
    </row>
    <row r="94" spans="1:15" x14ac:dyDescent="0.25">
      <c r="A94" s="3" t="s">
        <v>15</v>
      </c>
      <c r="B94" s="3">
        <v>3</v>
      </c>
      <c r="C94" s="8">
        <v>37918</v>
      </c>
      <c r="D94" s="3">
        <v>20.6</v>
      </c>
      <c r="E94" s="3">
        <v>5</v>
      </c>
      <c r="F94" s="4">
        <v>0</v>
      </c>
      <c r="G94" s="4">
        <v>0</v>
      </c>
      <c r="H94" s="9">
        <v>0</v>
      </c>
      <c r="I94" s="4">
        <f>(6+8+7+8)/4</f>
        <v>7.25</v>
      </c>
      <c r="J94" s="3">
        <f t="shared" ref="J94:J104" si="15">EXP(-0.228+(0.348*I94)+(-0.002*H94)+(-0.092*G94)+(3.27*F94))</f>
        <v>9.9244360122853443</v>
      </c>
      <c r="K94" s="2">
        <f t="shared" ref="K94:K104" si="16">1+EXP(-0.228+(0.348*I94)+(-0.002*H94)+(-0.092*G94)+(3.27*F94))</f>
        <v>10.924436012285344</v>
      </c>
      <c r="L94" s="2">
        <f t="shared" ref="L94:L104" si="17">J94/K94</f>
        <v>0.90846209370667508</v>
      </c>
      <c r="M94" s="2">
        <v>12</v>
      </c>
      <c r="N94" s="2">
        <f t="shared" ref="N94:N104" si="18">E94*M94/L94/D94</f>
        <v>3.2061011454416612</v>
      </c>
      <c r="O94" s="7">
        <f t="shared" ref="O94:O105" si="19">N94/2.47</f>
        <v>1.298016658073547</v>
      </c>
    </row>
    <row r="95" spans="1:15" x14ac:dyDescent="0.25">
      <c r="A95" s="24" t="s">
        <v>15</v>
      </c>
      <c r="B95" s="24">
        <v>1</v>
      </c>
      <c r="C95" s="32">
        <v>37915</v>
      </c>
      <c r="D95" s="24">
        <v>25</v>
      </c>
      <c r="E95" s="24">
        <v>8</v>
      </c>
      <c r="F95" s="4">
        <v>0</v>
      </c>
      <c r="G95" s="4">
        <v>0</v>
      </c>
      <c r="H95" s="9">
        <v>0</v>
      </c>
      <c r="I95" s="4">
        <f>(10+11+11+16)/4</f>
        <v>12</v>
      </c>
      <c r="J95" s="3">
        <f t="shared" si="15"/>
        <v>51.831599902682889</v>
      </c>
      <c r="K95" s="2">
        <f t="shared" si="16"/>
        <v>52.831599902682889</v>
      </c>
      <c r="L95" s="2">
        <f t="shared" si="17"/>
        <v>0.98107193418631988</v>
      </c>
      <c r="M95" s="2">
        <v>12</v>
      </c>
      <c r="N95" s="2">
        <f t="shared" si="18"/>
        <v>3.9140860789018639</v>
      </c>
      <c r="O95" s="7">
        <f t="shared" si="19"/>
        <v>1.5846502343732241</v>
      </c>
    </row>
    <row r="96" spans="1:15" x14ac:dyDescent="0.25">
      <c r="A96" s="24" t="s">
        <v>15</v>
      </c>
      <c r="B96" s="24">
        <v>2</v>
      </c>
      <c r="C96" s="32">
        <v>37910</v>
      </c>
      <c r="D96" s="24">
        <v>19</v>
      </c>
      <c r="E96" s="24">
        <v>9</v>
      </c>
      <c r="F96" s="4">
        <v>0</v>
      </c>
      <c r="G96" s="4">
        <v>0</v>
      </c>
      <c r="H96" s="9">
        <v>0</v>
      </c>
      <c r="I96" s="4">
        <f>(12+8+12+14)/4</f>
        <v>11.5</v>
      </c>
      <c r="J96" s="3">
        <f t="shared" si="15"/>
        <v>43.553932598897475</v>
      </c>
      <c r="K96" s="2">
        <f t="shared" si="16"/>
        <v>44.553932598897475</v>
      </c>
      <c r="L96" s="2">
        <f t="shared" si="17"/>
        <v>0.97755529216685255</v>
      </c>
      <c r="M96" s="2">
        <v>12</v>
      </c>
      <c r="N96" s="2">
        <f t="shared" si="18"/>
        <v>5.8147202228491324</v>
      </c>
      <c r="O96" s="7">
        <f t="shared" si="19"/>
        <v>2.3541377420441831</v>
      </c>
    </row>
    <row r="97" spans="1:15" x14ac:dyDescent="0.25">
      <c r="A97" s="24" t="s">
        <v>16</v>
      </c>
      <c r="B97" s="24">
        <v>4</v>
      </c>
      <c r="C97" s="32">
        <v>37918</v>
      </c>
      <c r="D97" s="24">
        <v>25</v>
      </c>
      <c r="E97" s="24">
        <v>5</v>
      </c>
      <c r="F97" s="4">
        <v>0</v>
      </c>
      <c r="G97" s="4">
        <v>0</v>
      </c>
      <c r="H97" s="9">
        <v>0</v>
      </c>
      <c r="I97" s="4">
        <f>(8+8+12+5)/4</f>
        <v>8.25</v>
      </c>
      <c r="J97" s="3">
        <f t="shared" si="15"/>
        <v>14.055306341079785</v>
      </c>
      <c r="K97" s="2">
        <f t="shared" si="16"/>
        <v>15.055306341079785</v>
      </c>
      <c r="L97" s="2">
        <f t="shared" si="17"/>
        <v>0.93357823631450076</v>
      </c>
      <c r="M97" s="2">
        <v>12</v>
      </c>
      <c r="N97" s="2">
        <f t="shared" si="18"/>
        <v>2.5707540157261075</v>
      </c>
      <c r="O97" s="7">
        <f t="shared" si="19"/>
        <v>1.040791099484254</v>
      </c>
    </row>
    <row r="98" spans="1:15" x14ac:dyDescent="0.25">
      <c r="A98" s="24" t="s">
        <v>16</v>
      </c>
      <c r="B98" s="24">
        <v>5</v>
      </c>
      <c r="C98" s="32">
        <v>37910</v>
      </c>
      <c r="D98" s="24">
        <v>22.6</v>
      </c>
      <c r="E98" s="24">
        <v>5</v>
      </c>
      <c r="F98" s="4">
        <v>0</v>
      </c>
      <c r="G98" s="4">
        <v>0</v>
      </c>
      <c r="H98" s="9">
        <v>0</v>
      </c>
      <c r="I98" s="4">
        <f>(10+12+6+9)/4</f>
        <v>9.25</v>
      </c>
      <c r="J98" s="3">
        <f t="shared" si="15"/>
        <v>19.905578120212638</v>
      </c>
      <c r="K98" s="2">
        <f t="shared" si="16"/>
        <v>20.905578120212638</v>
      </c>
      <c r="L98" s="2">
        <f t="shared" si="17"/>
        <v>0.95216587676983944</v>
      </c>
      <c r="M98" s="2">
        <v>12</v>
      </c>
      <c r="N98" s="2">
        <f t="shared" si="18"/>
        <v>2.7882402860766571</v>
      </c>
      <c r="O98" s="7">
        <f t="shared" si="19"/>
        <v>1.1288422210836668</v>
      </c>
    </row>
    <row r="99" spans="1:15" x14ac:dyDescent="0.25">
      <c r="A99" s="24" t="s">
        <v>16</v>
      </c>
      <c r="B99" s="24">
        <v>6</v>
      </c>
      <c r="C99" s="32">
        <v>37932</v>
      </c>
      <c r="D99" s="24">
        <v>24</v>
      </c>
      <c r="E99" s="24">
        <v>6</v>
      </c>
      <c r="F99" s="4">
        <v>0</v>
      </c>
      <c r="G99" s="4">
        <v>0</v>
      </c>
      <c r="H99" s="9">
        <v>0</v>
      </c>
      <c r="I99" s="4">
        <f>(8+7+6+6)/4</f>
        <v>6.75</v>
      </c>
      <c r="J99" s="3">
        <f>EXP(-0.228+(0.348*I99)+(-0.002*H99)+(-0.092*G99)+(3.27*F99))</f>
        <v>8.3394727921329892</v>
      </c>
      <c r="K99" s="2">
        <f>1+EXP(-0.228+(0.348*I99)+(-0.002*H99)+(-0.092*G99)+(3.27*F99))</f>
        <v>9.3394727921329892</v>
      </c>
      <c r="L99" s="2">
        <f>J99/K99</f>
        <v>0.89292757500805187</v>
      </c>
      <c r="M99" s="2">
        <v>12</v>
      </c>
      <c r="N99" s="2">
        <f>E99*M99/L99/D99</f>
        <v>3.359734970636278</v>
      </c>
      <c r="O99" s="7">
        <f t="shared" si="19"/>
        <v>1.3602165873021368</v>
      </c>
    </row>
    <row r="100" spans="1:15" x14ac:dyDescent="0.25">
      <c r="A100" s="24" t="s">
        <v>17</v>
      </c>
      <c r="B100" s="24">
        <v>8</v>
      </c>
      <c r="C100" s="32">
        <v>37915</v>
      </c>
      <c r="D100" s="24">
        <v>24.5</v>
      </c>
      <c r="E100" s="24">
        <v>2</v>
      </c>
      <c r="F100" s="4">
        <v>0</v>
      </c>
      <c r="G100" s="4">
        <v>0</v>
      </c>
      <c r="H100" s="9">
        <v>0</v>
      </c>
      <c r="I100" s="4">
        <f>(4+3+5+6)/4</f>
        <v>4.5</v>
      </c>
      <c r="J100" s="3">
        <f t="shared" si="15"/>
        <v>3.8114130513531004</v>
      </c>
      <c r="K100" s="2">
        <f t="shared" si="16"/>
        <v>4.8114130513531004</v>
      </c>
      <c r="L100" s="2">
        <f t="shared" si="17"/>
        <v>0.79216084976974221</v>
      </c>
      <c r="M100" s="2">
        <v>12</v>
      </c>
      <c r="N100" s="2">
        <f t="shared" si="18"/>
        <v>1.236607233265103</v>
      </c>
      <c r="O100" s="7">
        <f t="shared" si="19"/>
        <v>0.50065070172676229</v>
      </c>
    </row>
    <row r="101" spans="1:15" x14ac:dyDescent="0.25">
      <c r="A101" s="24" t="s">
        <v>17</v>
      </c>
      <c r="B101" s="24">
        <v>9</v>
      </c>
      <c r="C101" s="32">
        <v>37910</v>
      </c>
      <c r="D101" s="24">
        <v>23.5</v>
      </c>
      <c r="E101" s="24">
        <v>4</v>
      </c>
      <c r="F101" s="4">
        <v>0</v>
      </c>
      <c r="G101" s="4">
        <v>0</v>
      </c>
      <c r="H101" s="9">
        <v>0</v>
      </c>
      <c r="I101" s="4">
        <f>(4+3+5+7)/4</f>
        <v>4.75</v>
      </c>
      <c r="J101" s="3">
        <f t="shared" si="15"/>
        <v>4.1578578427560062</v>
      </c>
      <c r="K101" s="2">
        <f t="shared" si="16"/>
        <v>5.1578578427560062</v>
      </c>
      <c r="L101" s="2">
        <f t="shared" si="17"/>
        <v>0.8061210621761401</v>
      </c>
      <c r="M101" s="2">
        <v>12</v>
      </c>
      <c r="N101" s="2">
        <f t="shared" si="18"/>
        <v>2.5338045205957629</v>
      </c>
      <c r="O101" s="7">
        <f t="shared" si="19"/>
        <v>1.0258317897148836</v>
      </c>
    </row>
    <row r="102" spans="1:15" x14ac:dyDescent="0.25">
      <c r="A102" s="24" t="s">
        <v>17</v>
      </c>
      <c r="B102" s="24">
        <v>7</v>
      </c>
      <c r="C102" s="32">
        <v>37932</v>
      </c>
      <c r="D102" s="24">
        <v>25</v>
      </c>
      <c r="E102" s="24">
        <v>2</v>
      </c>
      <c r="F102" s="4">
        <v>0</v>
      </c>
      <c r="G102" s="4">
        <v>0</v>
      </c>
      <c r="H102" s="9">
        <v>0</v>
      </c>
      <c r="I102" s="4">
        <f>(0+5+4+1)/4</f>
        <v>2.5</v>
      </c>
      <c r="J102" s="3">
        <f>EXP(-0.228+(0.348*I102)+(-0.002*H102)+(-0.092*G102)+(3.27*F102))</f>
        <v>1.9002776365552256</v>
      </c>
      <c r="K102" s="2">
        <f>1+EXP(-0.228+(0.348*I102)+(-0.002*H102)+(-0.092*G102)+(3.27*F102))</f>
        <v>2.9002776365552254</v>
      </c>
      <c r="L102" s="2">
        <f>J102/K102</f>
        <v>0.65520542330294307</v>
      </c>
      <c r="M102" s="2">
        <v>12</v>
      </c>
      <c r="N102" s="2">
        <f>E102*M102/L102/D102</f>
        <v>1.465189337354021</v>
      </c>
      <c r="O102" s="7">
        <f>N102/2.47</f>
        <v>0.5931940637060813</v>
      </c>
    </row>
    <row r="103" spans="1:15" x14ac:dyDescent="0.25">
      <c r="A103" s="24" t="s">
        <v>18</v>
      </c>
      <c r="B103" s="24">
        <v>11</v>
      </c>
      <c r="C103" s="32">
        <v>37917</v>
      </c>
      <c r="D103" s="24">
        <v>25</v>
      </c>
      <c r="E103" s="24">
        <v>6</v>
      </c>
      <c r="F103" s="4">
        <v>0</v>
      </c>
      <c r="G103" s="4">
        <v>0</v>
      </c>
      <c r="H103" s="9">
        <v>0</v>
      </c>
      <c r="I103" s="4">
        <f>(4+7+3+6)/4</f>
        <v>5</v>
      </c>
      <c r="J103" s="3">
        <f t="shared" si="15"/>
        <v>4.5357933154031285</v>
      </c>
      <c r="K103" s="2">
        <f t="shared" si="16"/>
        <v>5.5357933154031285</v>
      </c>
      <c r="L103" s="2">
        <f t="shared" si="17"/>
        <v>0.81935741762295589</v>
      </c>
      <c r="M103" s="2">
        <v>12</v>
      </c>
      <c r="N103" s="2">
        <f t="shared" si="18"/>
        <v>3.5149495666435659</v>
      </c>
      <c r="O103" s="7">
        <f t="shared" si="19"/>
        <v>1.4230565047139943</v>
      </c>
    </row>
    <row r="104" spans="1:15" x14ac:dyDescent="0.25">
      <c r="A104" s="24" t="s">
        <v>18</v>
      </c>
      <c r="B104" s="24">
        <v>12</v>
      </c>
      <c r="C104" s="32">
        <v>37915</v>
      </c>
      <c r="D104" s="24">
        <v>25</v>
      </c>
      <c r="E104" s="24">
        <v>5</v>
      </c>
      <c r="F104" s="4">
        <v>0</v>
      </c>
      <c r="G104" s="4">
        <v>0</v>
      </c>
      <c r="H104" s="9">
        <v>0</v>
      </c>
      <c r="I104" s="4">
        <f>(6+7+11+11)/4</f>
        <v>8.75</v>
      </c>
      <c r="J104" s="3">
        <f t="shared" si="15"/>
        <v>16.726595540512232</v>
      </c>
      <c r="K104" s="2">
        <f t="shared" si="16"/>
        <v>17.726595540512232</v>
      </c>
      <c r="L104" s="2">
        <f t="shared" si="17"/>
        <v>0.94358758861990122</v>
      </c>
      <c r="M104" s="2">
        <v>12</v>
      </c>
      <c r="N104" s="2">
        <f t="shared" si="18"/>
        <v>2.5434840696773673</v>
      </c>
      <c r="O104" s="7">
        <f t="shared" si="19"/>
        <v>1.0297506354969097</v>
      </c>
    </row>
    <row r="105" spans="1:15" x14ac:dyDescent="0.25">
      <c r="A105" s="24" t="s">
        <v>18</v>
      </c>
      <c r="B105" s="24">
        <v>10</v>
      </c>
      <c r="C105" s="32">
        <v>37932</v>
      </c>
      <c r="D105" s="24">
        <v>25</v>
      </c>
      <c r="E105" s="24">
        <v>3</v>
      </c>
      <c r="F105" s="4">
        <v>0</v>
      </c>
      <c r="G105" s="4">
        <v>0</v>
      </c>
      <c r="H105" s="9">
        <v>0</v>
      </c>
      <c r="I105" s="4">
        <f>(6+7+3+5)/4</f>
        <v>5.25</v>
      </c>
      <c r="J105" s="3">
        <f>EXP(-0.228+(0.348*I105)+(-0.002*H105)+(-0.092*G105)+(3.27*F105))</f>
        <v>4.9480818676616325</v>
      </c>
      <c r="K105" s="2">
        <f>1+EXP(-0.228+(0.348*I105)+(-0.002*H105)+(-0.092*G105)+(3.27*F105))</f>
        <v>5.9480818676616325</v>
      </c>
      <c r="L105" s="2">
        <f>J105/K105</f>
        <v>0.83187857493408546</v>
      </c>
      <c r="M105" s="2">
        <v>12</v>
      </c>
      <c r="N105" s="2">
        <f>E105*M105/L105/D105</f>
        <v>1.7310218623121765</v>
      </c>
      <c r="O105" s="7">
        <f t="shared" si="19"/>
        <v>0.70081856773772322</v>
      </c>
    </row>
    <row r="106" spans="1:15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1:15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1:15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5" x14ac:dyDescent="0.25">
      <c r="A109" s="24"/>
      <c r="B109" s="33"/>
      <c r="C109" s="33" t="s">
        <v>24</v>
      </c>
      <c r="D109" s="33" t="s">
        <v>25</v>
      </c>
      <c r="E109" s="7" t="s">
        <v>41</v>
      </c>
      <c r="F109" s="3" t="s">
        <v>42</v>
      </c>
      <c r="G109" s="24"/>
      <c r="H109" s="24"/>
      <c r="I109" s="24"/>
      <c r="J109" s="24"/>
      <c r="K109" s="24"/>
      <c r="L109" s="24"/>
      <c r="M109" s="24"/>
      <c r="N109" s="24"/>
    </row>
    <row r="110" spans="1:15" x14ac:dyDescent="0.25">
      <c r="A110" s="24"/>
      <c r="B110" s="34">
        <v>2000</v>
      </c>
      <c r="C110" s="33">
        <v>1.0316364700963561</v>
      </c>
      <c r="D110" s="33">
        <v>0.99033061750153839</v>
      </c>
      <c r="E110" s="33">
        <v>0.14219047713191268</v>
      </c>
      <c r="F110" s="33">
        <v>0.17589312657461478</v>
      </c>
      <c r="G110" s="24"/>
      <c r="H110" s="24"/>
      <c r="I110" s="24"/>
      <c r="J110" s="24"/>
      <c r="K110" s="24"/>
      <c r="L110" s="24"/>
      <c r="M110" s="24"/>
      <c r="N110" s="24"/>
    </row>
    <row r="111" spans="1:15" x14ac:dyDescent="0.25">
      <c r="A111" s="24"/>
      <c r="B111" s="35">
        <v>2001</v>
      </c>
      <c r="C111" s="24">
        <v>1.0236499451406069</v>
      </c>
      <c r="D111" s="24">
        <v>0.9719320762740864</v>
      </c>
      <c r="E111" s="24">
        <v>0.11170036700994833</v>
      </c>
      <c r="F111" s="24">
        <v>0.19972369606521742</v>
      </c>
      <c r="G111" s="24"/>
      <c r="H111" s="24"/>
      <c r="I111" s="24"/>
      <c r="J111" s="24"/>
      <c r="K111" s="24"/>
      <c r="L111" s="24"/>
      <c r="M111" s="24"/>
      <c r="N111" s="24"/>
    </row>
    <row r="112" spans="1:15" x14ac:dyDescent="0.25">
      <c r="A112" s="24"/>
      <c r="B112" s="35">
        <v>2002</v>
      </c>
      <c r="C112" s="3">
        <v>1.8533569823606124</v>
      </c>
      <c r="D112" s="3">
        <v>1.3607961439237588</v>
      </c>
      <c r="E112" s="4">
        <v>0.11809188712181511</v>
      </c>
      <c r="F112" s="9">
        <v>0.18668043927457809</v>
      </c>
      <c r="G112" s="24"/>
      <c r="H112" s="24"/>
      <c r="I112" s="24"/>
      <c r="J112" s="24"/>
      <c r="K112" s="24"/>
      <c r="L112" s="24"/>
      <c r="M112" s="24"/>
      <c r="N112" s="24"/>
    </row>
    <row r="113" spans="1:15" x14ac:dyDescent="0.25">
      <c r="A113" s="24"/>
      <c r="B113" s="30">
        <v>2003</v>
      </c>
      <c r="C113" s="24">
        <f>AVERAGE(O94:O99)</f>
        <v>1.461109090393502</v>
      </c>
      <c r="D113" s="24">
        <f>AVERAGE(O100:O105)</f>
        <v>0.87888371051605907</v>
      </c>
      <c r="E113" s="24">
        <v>0.19464579039097998</v>
      </c>
      <c r="F113" s="24">
        <v>0.14105135888314729</v>
      </c>
      <c r="G113" s="24"/>
      <c r="H113" s="24"/>
      <c r="I113" s="24"/>
      <c r="J113" s="24"/>
      <c r="K113" s="24"/>
      <c r="L113" s="24"/>
      <c r="M113" s="24"/>
      <c r="N113" s="24"/>
    </row>
    <row r="114" spans="1:15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</row>
    <row r="115" spans="1:15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</row>
    <row r="116" spans="1:15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</row>
    <row r="117" spans="1:15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</row>
    <row r="118" spans="1:15" x14ac:dyDescent="0.25">
      <c r="A118" s="24"/>
      <c r="B118" s="24"/>
      <c r="C118" s="24"/>
      <c r="D118" s="24" t="s">
        <v>43</v>
      </c>
      <c r="E118" s="24" t="s">
        <v>44</v>
      </c>
      <c r="F118" s="24"/>
      <c r="G118" s="24"/>
      <c r="H118" s="24"/>
      <c r="I118" s="24"/>
      <c r="J118" s="24"/>
      <c r="K118" s="24"/>
      <c r="L118" s="24"/>
      <c r="M118" s="24"/>
      <c r="N118" s="24"/>
    </row>
    <row r="119" spans="1:15" x14ac:dyDescent="0.25">
      <c r="A119" s="24"/>
      <c r="B119" s="24"/>
      <c r="C119" s="24"/>
      <c r="D119" s="24">
        <f>VAR(O94:O99)</f>
        <v>0.22732190230157592</v>
      </c>
      <c r="E119" s="24">
        <f>VAR(O100:O105)</f>
        <v>0.11937291505669449</v>
      </c>
      <c r="F119" s="24"/>
      <c r="G119" s="24"/>
      <c r="H119" s="24"/>
      <c r="I119" s="24"/>
      <c r="J119" s="24"/>
      <c r="K119" s="24"/>
      <c r="L119" s="24"/>
      <c r="M119" s="24"/>
      <c r="N119" s="24"/>
    </row>
    <row r="120" spans="1:15" x14ac:dyDescent="0.25">
      <c r="A120" s="24"/>
      <c r="B120" s="24"/>
      <c r="C120" s="24"/>
      <c r="D120" s="24">
        <f>SQRT(D119/6)</f>
        <v>0.19464579039097998</v>
      </c>
      <c r="E120" s="24">
        <f>SQRT(E119/6)</f>
        <v>0.14105135888314729</v>
      </c>
      <c r="F120" s="24"/>
      <c r="G120" s="24"/>
      <c r="H120" s="24"/>
      <c r="I120" s="24"/>
      <c r="J120" s="24"/>
      <c r="K120" s="24"/>
      <c r="L120" s="24"/>
      <c r="M120" s="24"/>
      <c r="N120" s="24"/>
    </row>
    <row r="123" spans="1:15" x14ac:dyDescent="0.25">
      <c r="A123" s="3" t="s">
        <v>40</v>
      </c>
      <c r="B123" s="3" t="s">
        <v>1</v>
      </c>
      <c r="C123" s="2" t="s">
        <v>2</v>
      </c>
      <c r="D123" s="3" t="s">
        <v>3</v>
      </c>
      <c r="E123" s="3" t="s">
        <v>4</v>
      </c>
      <c r="F123" s="3" t="s">
        <v>5</v>
      </c>
      <c r="G123" s="4" t="s">
        <v>6</v>
      </c>
      <c r="H123" s="5" t="s">
        <v>7</v>
      </c>
      <c r="I123" s="3" t="s">
        <v>8</v>
      </c>
      <c r="J123" s="6" t="s">
        <v>9</v>
      </c>
      <c r="K123" s="6" t="s">
        <v>10</v>
      </c>
      <c r="L123" s="6" t="s">
        <v>11</v>
      </c>
      <c r="M123" s="2" t="s">
        <v>12</v>
      </c>
      <c r="N123" s="6" t="s">
        <v>13</v>
      </c>
      <c r="O123" s="6" t="s">
        <v>14</v>
      </c>
    </row>
    <row r="124" spans="1:15" x14ac:dyDescent="0.25">
      <c r="A124" s="3" t="s">
        <v>15</v>
      </c>
      <c r="B124" s="3">
        <v>6</v>
      </c>
      <c r="C124" s="32">
        <v>38281</v>
      </c>
      <c r="D124" s="3">
        <v>25</v>
      </c>
      <c r="E124" s="3">
        <v>4</v>
      </c>
      <c r="F124" s="4">
        <v>0</v>
      </c>
      <c r="G124" s="4">
        <v>0</v>
      </c>
      <c r="H124" s="9">
        <v>0</v>
      </c>
      <c r="I124" s="4">
        <f>(4+6+5+5)/4</f>
        <v>5</v>
      </c>
      <c r="J124" s="3">
        <f>EXP(-0.228+(0.348*I124)+(-0.002*H124)+(-0.092*G124)+(3.27*F124))</f>
        <v>4.5357933154031285</v>
      </c>
      <c r="K124" s="2">
        <f>1+EXP(-0.228+(0.348*I124)+(-0.002*H124)+(-0.092*G124)+(3.27*F124))</f>
        <v>5.5357933154031285</v>
      </c>
      <c r="L124" s="2">
        <f t="shared" ref="L124:L134" si="20">J124/K124</f>
        <v>0.81935741762295589</v>
      </c>
      <c r="M124" s="2">
        <v>16</v>
      </c>
      <c r="N124" s="2">
        <f>E124*M124/L124/D124</f>
        <v>3.1243996147942807</v>
      </c>
      <c r="O124" s="7">
        <f t="shared" ref="O124:O135" si="21">N124/2.47</f>
        <v>1.2649391153013281</v>
      </c>
    </row>
    <row r="125" spans="1:15" x14ac:dyDescent="0.25">
      <c r="A125" s="24" t="s">
        <v>15</v>
      </c>
      <c r="B125" s="24">
        <v>4</v>
      </c>
      <c r="C125" s="32">
        <v>38286</v>
      </c>
      <c r="D125" s="24">
        <v>24</v>
      </c>
      <c r="E125" s="24">
        <v>3</v>
      </c>
      <c r="F125" s="4">
        <v>0.05</v>
      </c>
      <c r="G125" s="4">
        <v>0</v>
      </c>
      <c r="H125" s="9">
        <v>100</v>
      </c>
      <c r="I125" s="4">
        <f>(8+7+7)/3</f>
        <v>7.333333333333333</v>
      </c>
      <c r="J125" s="3">
        <f t="shared" ref="J125:J134" si="22">EXP(-0.228+(0.348*I125)+(-0.002*H125)+(-0.092*G125)+(3.27*F125))</f>
        <v>9.8502811704505771</v>
      </c>
      <c r="K125" s="2">
        <f t="shared" ref="K125:K134" si="23">1+EXP(-0.228+(0.348*I125)+(-0.002*H125)+(-0.092*G125)+(3.27*F125))</f>
        <v>10.850281170450577</v>
      </c>
      <c r="L125" s="2">
        <f t="shared" si="20"/>
        <v>0.90783648973785325</v>
      </c>
      <c r="M125" s="2">
        <v>16</v>
      </c>
      <c r="N125" s="2">
        <f t="shared" ref="N125:N134" si="24">E125*M125/L125/D125</f>
        <v>2.2030398894601819</v>
      </c>
      <c r="O125" s="7">
        <f t="shared" si="21"/>
        <v>0.89191898358711807</v>
      </c>
    </row>
    <row r="126" spans="1:15" x14ac:dyDescent="0.25">
      <c r="A126" s="24" t="s">
        <v>15</v>
      </c>
      <c r="B126" s="24">
        <v>5</v>
      </c>
      <c r="C126" s="32">
        <v>38286</v>
      </c>
      <c r="D126" s="24">
        <v>25</v>
      </c>
      <c r="E126" s="24">
        <v>10</v>
      </c>
      <c r="F126" s="4">
        <v>0.05</v>
      </c>
      <c r="G126" s="4">
        <v>0</v>
      </c>
      <c r="H126" s="9">
        <v>100</v>
      </c>
      <c r="I126" s="4">
        <f>(13+10+5+8)/4</f>
        <v>9</v>
      </c>
      <c r="J126" s="3">
        <f t="shared" si="22"/>
        <v>17.592980724118547</v>
      </c>
      <c r="K126" s="2">
        <f t="shared" si="23"/>
        <v>18.592980724118547</v>
      </c>
      <c r="L126" s="2">
        <f t="shared" si="20"/>
        <v>0.94621626221002775</v>
      </c>
      <c r="M126" s="2">
        <v>16</v>
      </c>
      <c r="N126" s="2">
        <f t="shared" si="24"/>
        <v>6.7637814478604028</v>
      </c>
      <c r="O126" s="7">
        <f t="shared" si="21"/>
        <v>2.7383730558139279</v>
      </c>
    </row>
    <row r="127" spans="1:15" x14ac:dyDescent="0.25">
      <c r="A127" s="24" t="s">
        <v>16</v>
      </c>
      <c r="B127" s="24">
        <v>3</v>
      </c>
      <c r="C127" s="32">
        <v>38297</v>
      </c>
      <c r="D127" s="24">
        <v>25</v>
      </c>
      <c r="E127" s="24">
        <v>6</v>
      </c>
      <c r="F127" s="4">
        <v>0.04</v>
      </c>
      <c r="G127" s="4">
        <v>0</v>
      </c>
      <c r="H127" s="9">
        <v>0</v>
      </c>
      <c r="I127" s="4">
        <f>(7+6+5+7)/4</f>
        <v>6.25</v>
      </c>
      <c r="J127" s="3">
        <f>EXP(-0.228+(0.348*I127)+(-0.002*H127)+(-0.092*G127)+(3.27*F127))</f>
        <v>7.9868784393022176</v>
      </c>
      <c r="K127" s="2">
        <f>1+EXP(-0.228+(0.348*I127)+(-0.002*H127)+(-0.092*G127)+(3.27*F127))</f>
        <v>8.9868784393022167</v>
      </c>
      <c r="L127" s="2">
        <f t="shared" si="20"/>
        <v>0.88872665778734583</v>
      </c>
      <c r="M127" s="2">
        <v>16</v>
      </c>
      <c r="N127" s="2">
        <f>E127*M127/L127/D127</f>
        <v>4.3207885870785185</v>
      </c>
      <c r="O127" s="7">
        <f t="shared" si="21"/>
        <v>1.7493071202747037</v>
      </c>
    </row>
    <row r="128" spans="1:15" x14ac:dyDescent="0.25">
      <c r="A128" s="24" t="s">
        <v>16</v>
      </c>
      <c r="B128" s="24">
        <v>2</v>
      </c>
      <c r="C128" s="32">
        <v>38292</v>
      </c>
      <c r="D128" s="24">
        <v>22.5</v>
      </c>
      <c r="E128" s="24">
        <v>5</v>
      </c>
      <c r="F128" s="4">
        <v>0.01</v>
      </c>
      <c r="G128" s="4">
        <v>0</v>
      </c>
      <c r="H128" s="9">
        <v>0</v>
      </c>
      <c r="I128" s="4">
        <f>(6+14+4+7)/4</f>
        <v>7.75</v>
      </c>
      <c r="J128" s="3">
        <f t="shared" si="22"/>
        <v>12.203221814120111</v>
      </c>
      <c r="K128" s="2">
        <f t="shared" si="23"/>
        <v>13.203221814120111</v>
      </c>
      <c r="L128" s="2">
        <f t="shared" si="20"/>
        <v>0.92426091039911518</v>
      </c>
      <c r="M128" s="2">
        <v>16</v>
      </c>
      <c r="N128" s="2">
        <f t="shared" si="24"/>
        <v>3.8469175917222249</v>
      </c>
      <c r="O128" s="7">
        <f t="shared" si="21"/>
        <v>1.5574565148672974</v>
      </c>
    </row>
    <row r="129" spans="1:15" x14ac:dyDescent="0.25">
      <c r="A129" s="24" t="s">
        <v>16</v>
      </c>
      <c r="B129" s="24">
        <v>1</v>
      </c>
      <c r="C129" s="32">
        <v>38296</v>
      </c>
      <c r="D129" s="24">
        <v>25</v>
      </c>
      <c r="E129" s="24">
        <v>3</v>
      </c>
      <c r="F129" s="4">
        <v>0.05</v>
      </c>
      <c r="G129" s="4">
        <v>0</v>
      </c>
      <c r="H129" s="9">
        <v>0</v>
      </c>
      <c r="I129" s="4">
        <f>(6+8+3+7)/4</f>
        <v>6</v>
      </c>
      <c r="J129" s="3">
        <f>EXP(-0.228+(0.348*I129)+(-0.002*H129)+(-0.092*G129)+(3.27*F129))</f>
        <v>7.5647552970847407</v>
      </c>
      <c r="K129" s="2">
        <f>1+EXP(-0.228+(0.348*I129)+(-0.002*H129)+(-0.092*G129)+(3.27*F129))</f>
        <v>8.5647552970847407</v>
      </c>
      <c r="L129" s="2">
        <f>J129/K129</f>
        <v>0.88324243188356144</v>
      </c>
      <c r="M129" s="2">
        <v>16</v>
      </c>
      <c r="N129" s="2">
        <f>E129*M129/L129/D129</f>
        <v>2.1738086064383229</v>
      </c>
      <c r="O129" s="7">
        <f t="shared" si="21"/>
        <v>0.88008445604790397</v>
      </c>
    </row>
    <row r="130" spans="1:15" x14ac:dyDescent="0.25">
      <c r="A130" s="24" t="s">
        <v>17</v>
      </c>
      <c r="B130" s="24">
        <v>11</v>
      </c>
      <c r="C130" s="32">
        <v>38281</v>
      </c>
      <c r="D130" s="24">
        <v>25</v>
      </c>
      <c r="E130" s="24">
        <v>1</v>
      </c>
      <c r="F130" s="4">
        <v>0</v>
      </c>
      <c r="G130" s="4">
        <v>0</v>
      </c>
      <c r="H130" s="9">
        <v>0</v>
      </c>
      <c r="I130" s="4">
        <f>(0+5+2+3)/4</f>
        <v>2.5</v>
      </c>
      <c r="J130" s="3">
        <f t="shared" si="22"/>
        <v>1.9002776365552256</v>
      </c>
      <c r="K130" s="2">
        <f t="shared" si="23"/>
        <v>2.9002776365552254</v>
      </c>
      <c r="L130" s="2">
        <f t="shared" si="20"/>
        <v>0.65520542330294307</v>
      </c>
      <c r="M130" s="2">
        <v>11</v>
      </c>
      <c r="N130" s="2">
        <f t="shared" si="24"/>
        <v>0.67154511295392627</v>
      </c>
      <c r="O130" s="7">
        <f t="shared" si="21"/>
        <v>0.27188061253195395</v>
      </c>
    </row>
    <row r="131" spans="1:15" x14ac:dyDescent="0.25">
      <c r="A131" s="24" t="s">
        <v>17</v>
      </c>
      <c r="B131" s="24">
        <v>12</v>
      </c>
      <c r="C131" s="32">
        <v>38292</v>
      </c>
      <c r="D131" s="24">
        <v>25</v>
      </c>
      <c r="E131" s="24">
        <v>2</v>
      </c>
      <c r="F131" s="4">
        <v>0.01</v>
      </c>
      <c r="G131" s="4">
        <v>0</v>
      </c>
      <c r="H131" s="9">
        <v>0</v>
      </c>
      <c r="I131" s="4">
        <f>(1+3+4+3)/4</f>
        <v>2.75</v>
      </c>
      <c r="J131" s="3">
        <f t="shared" si="22"/>
        <v>2.141914381632438</v>
      </c>
      <c r="K131" s="2">
        <f t="shared" si="23"/>
        <v>3.141914381632438</v>
      </c>
      <c r="L131" s="2">
        <f t="shared" si="20"/>
        <v>0.68172270834432092</v>
      </c>
      <c r="M131" s="2">
        <v>11</v>
      </c>
      <c r="N131" s="2">
        <f t="shared" si="24"/>
        <v>1.2908474211416974</v>
      </c>
      <c r="O131" s="7">
        <f t="shared" si="21"/>
        <v>0.52261029196020137</v>
      </c>
    </row>
    <row r="132" spans="1:15" x14ac:dyDescent="0.25">
      <c r="A132" s="24" t="s">
        <v>17</v>
      </c>
      <c r="B132" s="24">
        <v>10</v>
      </c>
      <c r="C132" s="32">
        <v>38296</v>
      </c>
      <c r="D132" s="24">
        <v>25</v>
      </c>
      <c r="E132" s="24">
        <v>0</v>
      </c>
      <c r="F132" s="4">
        <v>0.05</v>
      </c>
      <c r="G132" s="4">
        <v>0</v>
      </c>
      <c r="H132" s="9">
        <v>0</v>
      </c>
      <c r="I132" s="4">
        <f>(6+0+7+6)/4</f>
        <v>4.75</v>
      </c>
      <c r="J132" s="3">
        <f>EXP(-0.228+(0.348*I132)+(-0.002*H132)+(-0.092*G132)+(3.27*F132))</f>
        <v>4.896398818894351</v>
      </c>
      <c r="K132" s="2">
        <f>1+EXP(-0.228+(0.348*I132)+(-0.002*H132)+(-0.092*G132)+(3.27*F132))</f>
        <v>5.896398818894351</v>
      </c>
      <c r="L132" s="2">
        <f>J132/K132</f>
        <v>0.83040495890549126</v>
      </c>
      <c r="M132" s="2">
        <v>11</v>
      </c>
      <c r="N132" s="2">
        <f>E132*M132/L132/D132</f>
        <v>0</v>
      </c>
      <c r="O132" s="7">
        <f>N132/2.47</f>
        <v>0</v>
      </c>
    </row>
    <row r="133" spans="1:15" x14ac:dyDescent="0.25">
      <c r="A133" s="24" t="s">
        <v>18</v>
      </c>
      <c r="B133" s="24">
        <v>7</v>
      </c>
      <c r="C133" s="32">
        <v>38281</v>
      </c>
      <c r="D133" s="24">
        <v>25</v>
      </c>
      <c r="E133" s="24">
        <v>3</v>
      </c>
      <c r="F133" s="4">
        <v>0</v>
      </c>
      <c r="G133" s="4">
        <v>0</v>
      </c>
      <c r="H133" s="9">
        <v>0</v>
      </c>
      <c r="I133" s="4">
        <f>(1+1+7+6)/4</f>
        <v>3.75</v>
      </c>
      <c r="J133" s="3">
        <f>EXP(-0.228+(0.348*I133)+(-0.002*H133)+(-0.092*G133)+(3.27*F133))</f>
        <v>2.9358587502291811</v>
      </c>
      <c r="K133" s="2">
        <f>1+EXP(-0.228+(0.348*I133)+(-0.002*H133)+(-0.092*G133)+(3.27*F133))</f>
        <v>3.9358587502291811</v>
      </c>
      <c r="L133" s="2">
        <f t="shared" si="20"/>
        <v>0.74592584148458807</v>
      </c>
      <c r="M133" s="2">
        <v>11</v>
      </c>
      <c r="N133" s="2">
        <f t="shared" si="24"/>
        <v>1.7696129113490073</v>
      </c>
      <c r="O133" s="7">
        <f t="shared" si="21"/>
        <v>0.71644247423036733</v>
      </c>
    </row>
    <row r="134" spans="1:15" x14ac:dyDescent="0.25">
      <c r="A134" s="24" t="s">
        <v>18</v>
      </c>
      <c r="B134" s="24">
        <v>9</v>
      </c>
      <c r="C134" s="32">
        <v>38286</v>
      </c>
      <c r="D134" s="24">
        <v>25</v>
      </c>
      <c r="E134" s="24">
        <v>1</v>
      </c>
      <c r="F134" s="4">
        <v>0.05</v>
      </c>
      <c r="G134" s="4">
        <v>0</v>
      </c>
      <c r="H134" s="9">
        <v>100</v>
      </c>
      <c r="I134" s="4">
        <f>(3+2+4+2)/4</f>
        <v>2.75</v>
      </c>
      <c r="J134" s="3">
        <f t="shared" si="22"/>
        <v>1.9987060576324454</v>
      </c>
      <c r="K134" s="2">
        <f t="shared" si="23"/>
        <v>2.9987060576324454</v>
      </c>
      <c r="L134" s="2">
        <f t="shared" si="20"/>
        <v>0.66652283325511219</v>
      </c>
      <c r="M134" s="2">
        <v>11</v>
      </c>
      <c r="N134" s="2">
        <f t="shared" si="24"/>
        <v>0.66014242580582316</v>
      </c>
      <c r="O134" s="7">
        <f t="shared" si="21"/>
        <v>0.26726414000235754</v>
      </c>
    </row>
    <row r="135" spans="1:15" x14ac:dyDescent="0.25">
      <c r="A135" s="24" t="s">
        <v>18</v>
      </c>
      <c r="B135" s="24">
        <v>8</v>
      </c>
      <c r="C135" s="32">
        <v>38300</v>
      </c>
      <c r="D135" s="24">
        <v>25</v>
      </c>
      <c r="E135" s="24">
        <v>2</v>
      </c>
      <c r="F135" s="4">
        <v>0.1</v>
      </c>
      <c r="G135" s="4">
        <v>0</v>
      </c>
      <c r="H135" s="9">
        <v>0</v>
      </c>
      <c r="I135" s="4">
        <f>(9+5+4+7)/4</f>
        <v>6.25</v>
      </c>
      <c r="J135" s="3">
        <f>EXP(-0.228+(0.348*I135)+(-0.002*H135)+(-0.092*G135)+(3.27*F135))</f>
        <v>9.7181959558859159</v>
      </c>
      <c r="K135" s="2">
        <f>1+EXP(-0.228+(0.348*I135)+(-0.002*H135)+(-0.092*G135)+(3.27*F135))</f>
        <v>10.718195955885916</v>
      </c>
      <c r="L135" s="2">
        <f>J135/K135</f>
        <v>0.90670071678892483</v>
      </c>
      <c r="M135" s="2">
        <v>11</v>
      </c>
      <c r="N135" s="2">
        <f>E135*M135/L135/D135</f>
        <v>0.97055178594819547</v>
      </c>
      <c r="O135" s="7">
        <f t="shared" si="21"/>
        <v>0.39293594572801432</v>
      </c>
    </row>
    <row r="136" spans="1:15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</row>
    <row r="137" spans="1:15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</row>
    <row r="138" spans="1:15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</row>
    <row r="139" spans="1:15" x14ac:dyDescent="0.25">
      <c r="A139" s="24"/>
      <c r="B139" s="33"/>
      <c r="C139" s="33" t="s">
        <v>24</v>
      </c>
      <c r="D139" s="33" t="s">
        <v>25</v>
      </c>
      <c r="E139" s="7" t="s">
        <v>41</v>
      </c>
      <c r="F139" s="3" t="s">
        <v>42</v>
      </c>
      <c r="G139" s="24"/>
      <c r="H139" s="24"/>
      <c r="I139" s="24"/>
      <c r="J139" s="24"/>
      <c r="K139" s="24"/>
      <c r="L139" s="24"/>
      <c r="M139" s="24"/>
      <c r="N139" s="24"/>
    </row>
    <row r="140" spans="1:15" x14ac:dyDescent="0.25">
      <c r="A140" s="24"/>
      <c r="B140" s="34">
        <v>2000</v>
      </c>
      <c r="C140" s="33">
        <v>1.0316364700963561</v>
      </c>
      <c r="D140" s="33">
        <v>0.99033061750153839</v>
      </c>
      <c r="E140" s="33">
        <v>0.14219047713191268</v>
      </c>
      <c r="F140" s="33">
        <v>0.17589312657461478</v>
      </c>
      <c r="G140" s="24"/>
      <c r="H140" s="24"/>
      <c r="I140" s="24"/>
      <c r="J140" s="24"/>
      <c r="K140" s="24"/>
      <c r="L140" s="24"/>
      <c r="M140" s="24"/>
      <c r="N140" s="24"/>
    </row>
    <row r="141" spans="1:15" x14ac:dyDescent="0.25">
      <c r="A141" s="24"/>
      <c r="B141" s="35">
        <v>2001</v>
      </c>
      <c r="C141" s="24">
        <v>1.0236499451406069</v>
      </c>
      <c r="D141" s="24">
        <v>0.9719320762740864</v>
      </c>
      <c r="E141" s="24">
        <v>0.11170036700994833</v>
      </c>
      <c r="F141" s="24">
        <v>0.19972369606521742</v>
      </c>
      <c r="G141" s="24"/>
      <c r="H141" s="24"/>
      <c r="I141" s="24"/>
      <c r="J141" s="24"/>
      <c r="K141" s="24"/>
      <c r="L141" s="24"/>
      <c r="M141" s="24"/>
      <c r="N141" s="24"/>
    </row>
    <row r="142" spans="1:15" x14ac:dyDescent="0.25">
      <c r="A142" s="24"/>
      <c r="B142" s="35">
        <v>2002</v>
      </c>
      <c r="C142" s="3">
        <v>1.8533569823606124</v>
      </c>
      <c r="D142" s="3">
        <v>1.3607961439237588</v>
      </c>
      <c r="E142" s="4">
        <v>0.11809188712181511</v>
      </c>
      <c r="F142" s="9">
        <v>0.18668043927457809</v>
      </c>
      <c r="G142" s="24"/>
      <c r="H142" s="24"/>
      <c r="I142" s="24"/>
      <c r="J142" s="24"/>
      <c r="K142" s="24"/>
      <c r="L142" s="24"/>
      <c r="M142" s="24"/>
      <c r="N142" s="24"/>
    </row>
    <row r="143" spans="1:15" x14ac:dyDescent="0.25">
      <c r="A143" s="24"/>
      <c r="B143" s="30">
        <v>2003</v>
      </c>
      <c r="C143" s="24">
        <v>1.4611090900000001</v>
      </c>
      <c r="D143" s="24">
        <v>0.87888371099999996</v>
      </c>
      <c r="E143" s="24">
        <v>0.19464579000000001</v>
      </c>
      <c r="F143" s="24">
        <v>0.14105135899999999</v>
      </c>
      <c r="G143" s="24"/>
      <c r="H143" s="24"/>
      <c r="I143" s="24"/>
      <c r="J143" s="24"/>
      <c r="K143" s="24"/>
      <c r="L143" s="24"/>
      <c r="M143" s="24"/>
      <c r="N143" s="24"/>
    </row>
    <row r="144" spans="1:15" x14ac:dyDescent="0.25">
      <c r="A144" s="24"/>
      <c r="B144" s="30">
        <v>2004</v>
      </c>
      <c r="C144" s="24">
        <f>AVERAGE(O124:O129)</f>
        <v>1.5136798743153799</v>
      </c>
      <c r="D144" s="24">
        <f>AVERAGE(O130:O135)</f>
        <v>0.36185557740881574</v>
      </c>
      <c r="E144" s="24">
        <f>D150</f>
        <v>0.28326734760581734</v>
      </c>
      <c r="F144" s="24">
        <f>E150</f>
        <v>0.10008703348918745</v>
      </c>
      <c r="G144" s="24"/>
      <c r="H144" s="24"/>
      <c r="I144" s="24"/>
      <c r="J144" s="24"/>
      <c r="K144" s="24"/>
      <c r="L144" s="24"/>
      <c r="M144" s="24"/>
      <c r="N144" s="24"/>
    </row>
    <row r="145" spans="1:14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</row>
    <row r="146" spans="1:14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</row>
    <row r="147" spans="1:14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</row>
    <row r="148" spans="1:14" x14ac:dyDescent="0.25">
      <c r="A148" s="24"/>
      <c r="B148" s="24"/>
      <c r="C148" s="24"/>
      <c r="D148" s="24" t="s">
        <v>43</v>
      </c>
      <c r="E148" s="24" t="s">
        <v>44</v>
      </c>
      <c r="F148" s="24"/>
      <c r="G148" s="24"/>
      <c r="H148" s="24"/>
      <c r="I148" s="24"/>
      <c r="J148" s="24"/>
      <c r="K148" s="24"/>
      <c r="L148" s="24"/>
      <c r="M148" s="24"/>
      <c r="N148" s="24"/>
    </row>
    <row r="149" spans="1:14" x14ac:dyDescent="0.25">
      <c r="A149" s="24"/>
      <c r="B149" s="24"/>
      <c r="C149" s="24"/>
      <c r="D149" s="24">
        <f>VAR(O124:O129)</f>
        <v>0.48144234131780977</v>
      </c>
      <c r="E149" s="24">
        <f>VAR(O130:O135)</f>
        <v>6.0104485635994374E-2</v>
      </c>
      <c r="F149" s="24"/>
      <c r="G149" s="24"/>
      <c r="H149" s="24"/>
      <c r="I149" s="24"/>
      <c r="J149" s="24"/>
      <c r="K149" s="24"/>
      <c r="L149" s="24"/>
      <c r="M149" s="24"/>
      <c r="N149" s="24"/>
    </row>
    <row r="150" spans="1:14" x14ac:dyDescent="0.25">
      <c r="A150" s="24"/>
      <c r="B150" s="24"/>
      <c r="C150" s="24"/>
      <c r="D150" s="24">
        <f>SQRT(D149/6)</f>
        <v>0.28326734760581734</v>
      </c>
      <c r="E150" s="24">
        <f>SQRT(E149/6)</f>
        <v>0.10008703348918745</v>
      </c>
      <c r="F150" s="24"/>
      <c r="G150" s="24"/>
      <c r="H150" s="24"/>
      <c r="I150" s="24"/>
      <c r="J150" s="24"/>
      <c r="K150" s="24"/>
      <c r="L150" s="24"/>
      <c r="M150" s="24"/>
      <c r="N150" s="24"/>
    </row>
    <row r="151" spans="1:14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</row>
    <row r="153" spans="1:14" x14ac:dyDescent="0.25">
      <c r="A153" s="2" t="s">
        <v>2</v>
      </c>
      <c r="B153" s="3" t="s">
        <v>3</v>
      </c>
      <c r="C153" s="3" t="s">
        <v>4</v>
      </c>
      <c r="D153" s="3" t="s">
        <v>5</v>
      </c>
      <c r="E153" s="4" t="s">
        <v>6</v>
      </c>
      <c r="F153" s="5" t="s">
        <v>7</v>
      </c>
      <c r="G153" s="3" t="s">
        <v>8</v>
      </c>
      <c r="H153" s="6" t="s">
        <v>9</v>
      </c>
      <c r="I153" s="6" t="s">
        <v>10</v>
      </c>
      <c r="J153" s="6" t="s">
        <v>11</v>
      </c>
      <c r="K153" s="2" t="s">
        <v>12</v>
      </c>
      <c r="L153" s="6" t="s">
        <v>13</v>
      </c>
      <c r="M153" s="6" t="s">
        <v>14</v>
      </c>
    </row>
    <row r="154" spans="1:14" x14ac:dyDescent="0.25">
      <c r="A154" s="32">
        <v>38653</v>
      </c>
      <c r="B154" s="3">
        <v>19</v>
      </c>
      <c r="C154" s="3">
        <v>6</v>
      </c>
      <c r="D154" s="4">
        <v>0</v>
      </c>
      <c r="E154" s="4">
        <v>0.4</v>
      </c>
      <c r="F154" s="4">
        <v>20</v>
      </c>
      <c r="G154" s="4">
        <f>(4+4+7+5)/4</f>
        <v>5</v>
      </c>
      <c r="H154" s="3">
        <f>EXP(-0.228+(0.348*G154)+(-0.002*F154)+(-0.092*E154)+(3.27*D154))</f>
        <v>4.2004850217881806</v>
      </c>
      <c r="I154" s="2">
        <f>1+EXP(-0.228+(0.348*G154)+(-0.002*F154)+(-0.092*E154)+(3.27*D154))</f>
        <v>5.2004850217881806</v>
      </c>
      <c r="J154" s="2">
        <f t="shared" ref="J154:J164" si="25">H154/I154</f>
        <v>0.8077102432157085</v>
      </c>
      <c r="K154" s="2">
        <v>16</v>
      </c>
      <c r="L154" s="2">
        <f>C154*K154/J154/B154</f>
        <v>6.2555001888195738</v>
      </c>
      <c r="M154" s="7">
        <f t="shared" ref="M154:M165" si="26">L154/2.47</f>
        <v>2.5325911695625805</v>
      </c>
    </row>
    <row r="155" spans="1:14" x14ac:dyDescent="0.25">
      <c r="A155" s="32">
        <v>38656</v>
      </c>
      <c r="B155" s="6">
        <v>20.399999999999999</v>
      </c>
      <c r="C155" s="37">
        <v>4</v>
      </c>
      <c r="D155" s="5">
        <v>-0.02</v>
      </c>
      <c r="E155" s="4">
        <v>0.9</v>
      </c>
      <c r="F155" s="4">
        <v>0</v>
      </c>
      <c r="G155" s="4">
        <f>(8+6+14)/4</f>
        <v>7</v>
      </c>
      <c r="H155" s="3">
        <f t="shared" ref="H155:H164" si="27">EXP(-0.228+(0.348*G155)+(-0.002*F155)+(-0.092*E155)+(3.27*D155))</f>
        <v>7.8444007732653178</v>
      </c>
      <c r="I155" s="2">
        <f t="shared" ref="I155:I164" si="28">1+EXP(-0.228+(0.348*G155)+(-0.002*F155)+(-0.092*E155)+(3.27*D155))</f>
        <v>8.8444007732653169</v>
      </c>
      <c r="J155" s="2">
        <f t="shared" si="25"/>
        <v>0.8869341150818516</v>
      </c>
      <c r="K155" s="2">
        <v>16</v>
      </c>
      <c r="L155" s="2">
        <f t="shared" ref="L155:L164" si="29">C155*K155/J155/B155</f>
        <v>3.5371904729036832</v>
      </c>
      <c r="M155" s="7">
        <f t="shared" si="26"/>
        <v>1.4320609202039203</v>
      </c>
    </row>
    <row r="156" spans="1:14" x14ac:dyDescent="0.25">
      <c r="A156" s="32">
        <v>38651</v>
      </c>
      <c r="B156" s="6">
        <v>25</v>
      </c>
      <c r="C156" s="37">
        <v>8</v>
      </c>
      <c r="D156" s="5">
        <v>0.05</v>
      </c>
      <c r="E156" s="4">
        <v>0</v>
      </c>
      <c r="F156" s="4">
        <v>0</v>
      </c>
      <c r="G156" s="4">
        <f>(13+10+5+8)/4</f>
        <v>9</v>
      </c>
      <c r="H156" s="3">
        <f t="shared" si="27"/>
        <v>21.488115180697097</v>
      </c>
      <c r="I156" s="2">
        <f t="shared" si="28"/>
        <v>22.488115180697097</v>
      </c>
      <c r="J156" s="2">
        <f t="shared" si="25"/>
        <v>0.95553206696226989</v>
      </c>
      <c r="K156" s="2">
        <v>16</v>
      </c>
      <c r="L156" s="2">
        <f t="shared" si="29"/>
        <v>5.3582712470100367</v>
      </c>
      <c r="M156" s="7">
        <f t="shared" si="26"/>
        <v>2.1693405858340227</v>
      </c>
    </row>
    <row r="157" spans="1:14" x14ac:dyDescent="0.25">
      <c r="A157" s="32">
        <v>38651</v>
      </c>
      <c r="B157" s="6">
        <v>25</v>
      </c>
      <c r="C157" s="37">
        <v>7</v>
      </c>
      <c r="D157" s="5">
        <v>0</v>
      </c>
      <c r="E157" s="4">
        <v>0</v>
      </c>
      <c r="F157" s="4">
        <v>0</v>
      </c>
      <c r="G157" s="4">
        <f>(12+5+5+6)/4</f>
        <v>7</v>
      </c>
      <c r="H157" s="3">
        <f>EXP(-0.228+(0.348*G157)+(-0.002*F157)+(-0.092*E157)+(3.27*D157))</f>
        <v>9.0975031795387959</v>
      </c>
      <c r="I157" s="2">
        <f>1+EXP(-0.228+(0.348*G157)+(-0.002*F157)+(-0.092*E157)+(3.27*D157))</f>
        <v>10.097503179538796</v>
      </c>
      <c r="J157" s="2">
        <f t="shared" si="25"/>
        <v>0.90096561672529474</v>
      </c>
      <c r="K157" s="2">
        <v>16</v>
      </c>
      <c r="L157" s="2">
        <f>C157*K157/J157/B157</f>
        <v>4.9724428067336071</v>
      </c>
      <c r="M157" s="7">
        <f t="shared" si="26"/>
        <v>2.0131347395682617</v>
      </c>
    </row>
    <row r="158" spans="1:14" x14ac:dyDescent="0.25">
      <c r="A158" s="32">
        <v>38656</v>
      </c>
      <c r="B158" s="6">
        <v>25</v>
      </c>
      <c r="C158" s="37">
        <v>10</v>
      </c>
      <c r="D158" s="5">
        <v>-0.02</v>
      </c>
      <c r="E158" s="4">
        <v>0.9</v>
      </c>
      <c r="F158" s="4">
        <v>0</v>
      </c>
      <c r="G158" s="4">
        <f>(6+14+4+7)/4</f>
        <v>7.75</v>
      </c>
      <c r="H158" s="3">
        <f t="shared" si="27"/>
        <v>10.183818102602462</v>
      </c>
      <c r="I158" s="2">
        <f t="shared" si="28"/>
        <v>11.183818102602462</v>
      </c>
      <c r="J158" s="2">
        <f t="shared" si="25"/>
        <v>0.91058509796691878</v>
      </c>
      <c r="K158" s="2">
        <v>16</v>
      </c>
      <c r="L158" s="2">
        <f t="shared" si="29"/>
        <v>7.0284479883202629</v>
      </c>
      <c r="M158" s="7">
        <f t="shared" si="26"/>
        <v>2.8455255013442358</v>
      </c>
    </row>
    <row r="159" spans="1:14" x14ac:dyDescent="0.25">
      <c r="A159" s="32">
        <v>38645</v>
      </c>
      <c r="B159" s="6">
        <v>25</v>
      </c>
      <c r="C159" s="37">
        <v>6</v>
      </c>
      <c r="D159" s="5">
        <v>0</v>
      </c>
      <c r="E159" s="4">
        <v>0</v>
      </c>
      <c r="F159" s="4">
        <v>0</v>
      </c>
      <c r="G159" s="4">
        <f>(10+9+11+11)/4</f>
        <v>10.25</v>
      </c>
      <c r="H159" s="3">
        <f>EXP(-0.228+(0.348*G159)+(-0.002*F159)+(-0.092*E159)+(3.27*D159))</f>
        <v>28.190921683564532</v>
      </c>
      <c r="I159" s="2">
        <f>1+EXP(-0.228+(0.348*G159)+(-0.002*F159)+(-0.092*E159)+(3.27*D159))</f>
        <v>29.190921683564532</v>
      </c>
      <c r="J159" s="2">
        <f>H159/I159</f>
        <v>0.96574277404323849</v>
      </c>
      <c r="K159" s="2">
        <v>16</v>
      </c>
      <c r="L159" s="2">
        <f>C159*K159/J159/B159</f>
        <v>3.9762140636302337</v>
      </c>
      <c r="M159" s="7">
        <f t="shared" si="26"/>
        <v>1.6098032646276248</v>
      </c>
    </row>
    <row r="160" spans="1:14" x14ac:dyDescent="0.25">
      <c r="A160" s="32">
        <v>38646</v>
      </c>
      <c r="B160" s="6">
        <v>25</v>
      </c>
      <c r="C160" s="37">
        <v>3</v>
      </c>
      <c r="D160" s="5">
        <v>-0.01</v>
      </c>
      <c r="E160" s="4">
        <v>0</v>
      </c>
      <c r="F160" s="4">
        <v>80</v>
      </c>
      <c r="G160" s="4">
        <f>(4+5+4+2)/4</f>
        <v>3.75</v>
      </c>
      <c r="H160" s="3">
        <f t="shared" si="27"/>
        <v>2.4212888959041963</v>
      </c>
      <c r="I160" s="2">
        <f t="shared" si="28"/>
        <v>3.4212888959041963</v>
      </c>
      <c r="J160" s="2">
        <f t="shared" si="25"/>
        <v>0.70771249361690791</v>
      </c>
      <c r="K160" s="2">
        <v>16</v>
      </c>
      <c r="L160" s="2">
        <f t="shared" si="29"/>
        <v>2.7129660947307168</v>
      </c>
      <c r="M160" s="7">
        <f t="shared" si="26"/>
        <v>1.0983668399719499</v>
      </c>
    </row>
    <row r="161" spans="1:13" x14ac:dyDescent="0.25">
      <c r="A161" s="32">
        <v>38653</v>
      </c>
      <c r="B161" s="3">
        <v>25</v>
      </c>
      <c r="C161" s="24">
        <v>4</v>
      </c>
      <c r="D161" s="4">
        <v>0</v>
      </c>
      <c r="E161" s="4">
        <v>0.4</v>
      </c>
      <c r="F161" s="4">
        <v>20</v>
      </c>
      <c r="G161" s="4">
        <f>(5+5+7+3)/4</f>
        <v>5</v>
      </c>
      <c r="H161" s="3">
        <f t="shared" si="27"/>
        <v>4.2004850217881806</v>
      </c>
      <c r="I161" s="2">
        <f t="shared" si="28"/>
        <v>5.2004850217881806</v>
      </c>
      <c r="J161" s="2">
        <f t="shared" si="25"/>
        <v>0.8077102432157085</v>
      </c>
      <c r="K161" s="2">
        <v>16</v>
      </c>
      <c r="L161" s="2">
        <f t="shared" si="29"/>
        <v>3.1694534290019174</v>
      </c>
      <c r="M161" s="7">
        <f t="shared" si="26"/>
        <v>1.2831795259117074</v>
      </c>
    </row>
    <row r="162" spans="1:13" x14ac:dyDescent="0.25">
      <c r="A162" s="32">
        <v>38653</v>
      </c>
      <c r="B162" s="3">
        <v>25</v>
      </c>
      <c r="C162" s="24">
        <v>2</v>
      </c>
      <c r="D162" s="4">
        <v>0</v>
      </c>
      <c r="E162" s="4">
        <v>0.4</v>
      </c>
      <c r="F162" s="4">
        <v>20</v>
      </c>
      <c r="G162" s="4">
        <f>(6+6+7+8)/4</f>
        <v>6.75</v>
      </c>
      <c r="H162" s="3">
        <f>EXP(-0.228+(0.348*G162)+(-0.002*F162)+(-0.092*E162)+(3.27*D162))</f>
        <v>7.7229776837508588</v>
      </c>
      <c r="I162" s="2">
        <f>1+EXP(-0.228+(0.348*G162)+(-0.002*F162)+(-0.092*E162)+(3.27*D162))</f>
        <v>8.7229776837508588</v>
      </c>
      <c r="J162" s="2">
        <f>H162/I162</f>
        <v>0.88536024781276268</v>
      </c>
      <c r="K162" s="2">
        <v>16</v>
      </c>
      <c r="L162" s="2">
        <f>C162*K162/J162/B162</f>
        <v>1.4457391814938321</v>
      </c>
      <c r="M162" s="7">
        <f>L162/2.47</f>
        <v>0.58531950667766475</v>
      </c>
    </row>
    <row r="163" spans="1:13" x14ac:dyDescent="0.25">
      <c r="A163" s="32">
        <v>38656</v>
      </c>
      <c r="B163" s="3">
        <v>25</v>
      </c>
      <c r="C163" s="37">
        <v>2</v>
      </c>
      <c r="D163" s="4">
        <v>-0.02</v>
      </c>
      <c r="E163" s="4">
        <v>0.9</v>
      </c>
      <c r="F163" s="4">
        <v>0</v>
      </c>
      <c r="G163" s="4">
        <f>(1+1+7+6)/4</f>
        <v>3.75</v>
      </c>
      <c r="H163" s="3">
        <f>EXP(-0.228+(0.348*G163)+(-0.002*F163)+(-0.092*E163)+(3.27*D163))</f>
        <v>2.5314695907216014</v>
      </c>
      <c r="I163" s="2">
        <f>1+EXP(-0.228+(0.348*G163)+(-0.002*F163)+(-0.092*E163)+(3.27*D163))</f>
        <v>3.5314695907216014</v>
      </c>
      <c r="J163" s="2">
        <f t="shared" si="25"/>
        <v>0.71683176810375271</v>
      </c>
      <c r="K163" s="2">
        <v>16</v>
      </c>
      <c r="L163" s="2">
        <f t="shared" si="29"/>
        <v>1.7856351475409715</v>
      </c>
      <c r="M163" s="7">
        <f t="shared" si="26"/>
        <v>0.72292920953075768</v>
      </c>
    </row>
    <row r="164" spans="1:13" x14ac:dyDescent="0.25">
      <c r="A164" s="32">
        <v>38651</v>
      </c>
      <c r="B164" s="3">
        <v>25</v>
      </c>
      <c r="C164" s="24">
        <v>3</v>
      </c>
      <c r="D164" s="4">
        <v>0.05</v>
      </c>
      <c r="E164" s="4">
        <v>0</v>
      </c>
      <c r="F164" s="4">
        <v>0</v>
      </c>
      <c r="G164" s="4">
        <f>(0+4+5+4)/4</f>
        <v>3.25</v>
      </c>
      <c r="H164" s="3">
        <f t="shared" si="27"/>
        <v>2.9051935076119144</v>
      </c>
      <c r="I164" s="2">
        <f t="shared" si="28"/>
        <v>3.9051935076119144</v>
      </c>
      <c r="J164" s="2">
        <f t="shared" si="25"/>
        <v>0.74393074298345963</v>
      </c>
      <c r="K164" s="2">
        <v>16</v>
      </c>
      <c r="L164" s="2">
        <f t="shared" si="29"/>
        <v>2.5808854091713327</v>
      </c>
      <c r="M164" s="7">
        <f t="shared" si="26"/>
        <v>1.0448928782070173</v>
      </c>
    </row>
    <row r="165" spans="1:13" x14ac:dyDescent="0.25">
      <c r="A165" s="32">
        <v>38653</v>
      </c>
      <c r="B165" s="3">
        <v>25</v>
      </c>
      <c r="C165" s="24">
        <v>4</v>
      </c>
      <c r="D165" s="4">
        <v>0</v>
      </c>
      <c r="E165" s="4">
        <v>0.4</v>
      </c>
      <c r="F165" s="4">
        <v>20</v>
      </c>
      <c r="G165" s="4">
        <f>(6+5+5+0)/4</f>
        <v>4</v>
      </c>
      <c r="H165" s="3">
        <f>EXP(-0.228+(0.348*G165)+(-0.002*F165)+(-0.092*E165)+(3.27*D165))</f>
        <v>2.9659577534399886</v>
      </c>
      <c r="I165" s="2">
        <f>1+EXP(-0.228+(0.348*G165)+(-0.002*F165)+(-0.092*E165)+(3.27*D165))</f>
        <v>3.9659577534399886</v>
      </c>
      <c r="J165" s="2">
        <f>H165/I165</f>
        <v>0.74785409674810055</v>
      </c>
      <c r="K165" s="2">
        <v>16</v>
      </c>
      <c r="L165" s="2">
        <f>C165*K165/J165/B165</f>
        <v>3.4231276008671569</v>
      </c>
      <c r="M165" s="7">
        <f t="shared" si="26"/>
        <v>1.385881619784274</v>
      </c>
    </row>
    <row r="166" spans="1:13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</row>
    <row r="167" spans="1:13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</row>
    <row r="168" spans="1:13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</row>
    <row r="169" spans="1:13" x14ac:dyDescent="0.25">
      <c r="A169" s="33" t="s">
        <v>46</v>
      </c>
      <c r="B169" s="33" t="s">
        <v>47</v>
      </c>
      <c r="C169" s="7" t="s">
        <v>41</v>
      </c>
      <c r="D169" s="3" t="s">
        <v>42</v>
      </c>
      <c r="E169" s="24"/>
      <c r="F169" s="24"/>
      <c r="G169" s="24"/>
      <c r="H169" s="24"/>
      <c r="I169" s="24"/>
      <c r="J169" s="24"/>
      <c r="K169" s="24"/>
      <c r="L169" s="24"/>
    </row>
    <row r="170" spans="1:13" x14ac:dyDescent="0.25">
      <c r="A170" s="33">
        <v>1.0316364700963561</v>
      </c>
      <c r="B170" s="33">
        <v>0.99033061750153839</v>
      </c>
      <c r="C170" s="33">
        <v>0.14219047713191268</v>
      </c>
      <c r="D170" s="33">
        <v>0.17589312657461478</v>
      </c>
      <c r="E170" s="24"/>
      <c r="F170" s="24"/>
      <c r="G170" s="24"/>
      <c r="H170" s="24"/>
      <c r="I170" s="24"/>
      <c r="J170" s="24"/>
      <c r="K170" s="24"/>
      <c r="L170" s="24"/>
    </row>
    <row r="171" spans="1:13" x14ac:dyDescent="0.25">
      <c r="A171" s="24">
        <v>1.0236499451406069</v>
      </c>
      <c r="B171" s="24">
        <v>0.9719320762740864</v>
      </c>
      <c r="C171" s="24">
        <v>0.11170036700994833</v>
      </c>
      <c r="D171" s="24">
        <v>0.19972369606521742</v>
      </c>
      <c r="E171" s="24"/>
      <c r="F171" s="24"/>
      <c r="G171" s="24"/>
      <c r="H171" s="24"/>
      <c r="I171" s="24"/>
      <c r="J171" s="24"/>
      <c r="K171" s="24"/>
      <c r="L171" s="24"/>
    </row>
    <row r="172" spans="1:13" x14ac:dyDescent="0.25">
      <c r="A172" s="3">
        <v>1.8533569823606124</v>
      </c>
      <c r="B172" s="3">
        <v>1.3607961439237588</v>
      </c>
      <c r="C172" s="4">
        <v>0.11809188712181511</v>
      </c>
      <c r="D172" s="9">
        <v>0.18668043927457809</v>
      </c>
      <c r="E172" s="24"/>
      <c r="F172" s="24"/>
      <c r="G172" s="24"/>
      <c r="H172" s="24"/>
      <c r="I172" s="24"/>
      <c r="J172" s="24"/>
      <c r="K172" s="24"/>
      <c r="L172" s="24"/>
    </row>
    <row r="173" spans="1:13" x14ac:dyDescent="0.25">
      <c r="A173" s="24">
        <v>1.4611090900000001</v>
      </c>
      <c r="B173" s="24">
        <v>0.87888371099999996</v>
      </c>
      <c r="C173" s="24">
        <v>0.19464579000000001</v>
      </c>
      <c r="D173" s="24">
        <v>0.14105135899999999</v>
      </c>
      <c r="E173" s="24"/>
      <c r="F173" s="24"/>
      <c r="G173" s="24"/>
      <c r="H173" s="24"/>
      <c r="I173" s="24"/>
      <c r="J173" s="24"/>
      <c r="K173" s="24"/>
      <c r="L173" s="24"/>
    </row>
    <row r="174" spans="1:13" x14ac:dyDescent="0.25">
      <c r="A174" s="24">
        <v>1.5136798743153799</v>
      </c>
      <c r="B174" s="24">
        <v>0.36185557740881574</v>
      </c>
      <c r="C174" s="24">
        <v>0.28326734760581734</v>
      </c>
      <c r="D174" s="24">
        <v>0.10008703348918745</v>
      </c>
      <c r="E174" s="24"/>
      <c r="F174" s="24"/>
      <c r="G174" s="24"/>
      <c r="H174" s="24"/>
      <c r="I174" s="24"/>
      <c r="J174" s="24"/>
      <c r="K174" s="24"/>
      <c r="L174" s="24"/>
    </row>
    <row r="175" spans="1:13" x14ac:dyDescent="0.25">
      <c r="A175" s="24">
        <f>AVERAGE(M154:M159)</f>
        <v>2.1004093635234411</v>
      </c>
      <c r="B175" s="24">
        <f>AVERAGE(M160:M165)</f>
        <v>1.0200949300138953</v>
      </c>
      <c r="C175" s="24">
        <f>B180</f>
        <v>0.21922070550546208</v>
      </c>
      <c r="D175" s="24">
        <f>C180</f>
        <v>0.12742212933165845</v>
      </c>
      <c r="E175" s="24"/>
      <c r="F175" s="24"/>
      <c r="G175" s="24"/>
      <c r="H175" s="24"/>
      <c r="I175" s="24"/>
      <c r="J175" s="24"/>
      <c r="K175" s="24"/>
      <c r="L175" s="24"/>
    </row>
    <row r="176" spans="1:13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</row>
    <row r="177" spans="1:16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</row>
    <row r="178" spans="1:16" x14ac:dyDescent="0.25">
      <c r="A178" s="24"/>
      <c r="B178" s="24" t="s">
        <v>43</v>
      </c>
      <c r="C178" s="24" t="s">
        <v>44</v>
      </c>
      <c r="D178" s="24"/>
      <c r="E178" s="24"/>
      <c r="F178" s="24"/>
      <c r="G178" s="24"/>
      <c r="H178" s="24"/>
      <c r="I178" s="24"/>
      <c r="J178" s="24"/>
      <c r="K178" s="24"/>
      <c r="L178" s="24"/>
    </row>
    <row r="179" spans="1:16" x14ac:dyDescent="0.25">
      <c r="A179" s="24"/>
      <c r="B179" s="24">
        <f>VAR(M154:M159)</f>
        <v>0.2883463063338752</v>
      </c>
      <c r="C179" s="24">
        <f>VAR(M160:M165)</f>
        <v>9.7418394260483335E-2</v>
      </c>
      <c r="D179" s="24"/>
      <c r="E179" s="24"/>
      <c r="F179" s="24"/>
      <c r="G179" s="24"/>
      <c r="H179" s="24"/>
      <c r="I179" s="24"/>
      <c r="J179" s="24"/>
      <c r="K179" s="24"/>
      <c r="L179" s="24"/>
    </row>
    <row r="180" spans="1:16" x14ac:dyDescent="0.25">
      <c r="A180" s="24"/>
      <c r="B180" s="24">
        <f>SQRT(B179/6)</f>
        <v>0.21922070550546208</v>
      </c>
      <c r="C180" s="24">
        <f>SQRT(C179/6)</f>
        <v>0.12742212933165845</v>
      </c>
      <c r="D180" s="24"/>
      <c r="E180" s="24"/>
      <c r="F180" s="24"/>
      <c r="G180" s="24"/>
      <c r="H180" s="24"/>
      <c r="I180" s="24"/>
      <c r="J180" s="24"/>
      <c r="K180" s="24"/>
      <c r="L180" s="24"/>
    </row>
    <row r="181" spans="1:16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</row>
    <row r="182" spans="1:16" x14ac:dyDescent="0.25">
      <c r="A182" s="3" t="s">
        <v>40</v>
      </c>
      <c r="B182" s="3" t="s">
        <v>48</v>
      </c>
      <c r="C182" s="3" t="s">
        <v>1</v>
      </c>
      <c r="D182" s="2" t="s">
        <v>2</v>
      </c>
      <c r="E182" s="3" t="s">
        <v>3</v>
      </c>
      <c r="F182" s="3" t="s">
        <v>4</v>
      </c>
      <c r="G182" s="3" t="s">
        <v>5</v>
      </c>
      <c r="H182" s="4" t="s">
        <v>6</v>
      </c>
      <c r="I182" s="5" t="s">
        <v>7</v>
      </c>
      <c r="J182" s="3" t="s">
        <v>8</v>
      </c>
      <c r="K182" s="6" t="s">
        <v>9</v>
      </c>
      <c r="L182" s="6" t="s">
        <v>10</v>
      </c>
      <c r="M182" s="6" t="s">
        <v>11</v>
      </c>
      <c r="N182" s="2" t="s">
        <v>12</v>
      </c>
      <c r="O182" s="6" t="s">
        <v>13</v>
      </c>
      <c r="P182" s="6" t="s">
        <v>14</v>
      </c>
    </row>
    <row r="183" spans="1:16" x14ac:dyDescent="0.25">
      <c r="A183" s="3" t="s">
        <v>15</v>
      </c>
      <c r="B183" s="3" t="s">
        <v>49</v>
      </c>
      <c r="C183" s="38" t="s">
        <v>50</v>
      </c>
      <c r="D183" s="32">
        <v>39022</v>
      </c>
      <c r="E183" s="6">
        <v>24.1</v>
      </c>
      <c r="F183" s="3">
        <v>6</v>
      </c>
      <c r="G183" s="4">
        <v>0</v>
      </c>
      <c r="H183" s="4">
        <v>0</v>
      </c>
      <c r="I183" s="4">
        <v>0</v>
      </c>
      <c r="J183" s="4">
        <f>(7+7+6+11)/4</f>
        <v>7.75</v>
      </c>
      <c r="K183" s="3">
        <f>EXP(-0.228+(0.348*J183)+(-0.002*I183)+(-0.092*H183)+(3.27*G183))</f>
        <v>11.810630314048218</v>
      </c>
      <c r="L183" s="2">
        <f>1+EXP(-0.228+(0.348*J183)+(-0.002*I183)+(-0.092*H183)+(3.27*G183))</f>
        <v>12.810630314048218</v>
      </c>
      <c r="M183" s="2">
        <f t="shared" ref="M183:M193" si="30">K183/L183</f>
        <v>0.92193982844830091</v>
      </c>
      <c r="N183" s="2">
        <v>12</v>
      </c>
      <c r="O183" s="2">
        <f>F183*N183/M183/E183</f>
        <v>3.2405063487149777</v>
      </c>
      <c r="P183" s="7">
        <f t="shared" ref="P183:P194" si="31">O183/2.47</f>
        <v>1.311945890168007</v>
      </c>
    </row>
    <row r="184" spans="1:16" x14ac:dyDescent="0.25">
      <c r="A184" s="24" t="s">
        <v>15</v>
      </c>
      <c r="B184" s="24" t="s">
        <v>51</v>
      </c>
      <c r="C184" s="38" t="s">
        <v>52</v>
      </c>
      <c r="D184" s="32">
        <v>39015</v>
      </c>
      <c r="E184" s="6">
        <v>25</v>
      </c>
      <c r="F184" s="3">
        <v>12</v>
      </c>
      <c r="G184" s="4">
        <v>0</v>
      </c>
      <c r="H184" s="4">
        <v>0</v>
      </c>
      <c r="I184" s="4">
        <v>0</v>
      </c>
      <c r="J184" s="4">
        <f>(14+17+10+11)/4</f>
        <v>13</v>
      </c>
      <c r="K184" s="3">
        <f t="shared" ref="K184:K193" si="32">EXP(-0.228+(0.348*J184)+(-0.002*I184)+(-0.092*H184)+(3.27*G184))</f>
        <v>73.405583337801403</v>
      </c>
      <c r="L184" s="2">
        <f t="shared" ref="L184:L193" si="33">1+EXP(-0.228+(0.348*J184)+(-0.002*I184)+(-0.092*H184)+(3.27*G184))</f>
        <v>74.405583337801403</v>
      </c>
      <c r="M184" s="2">
        <f t="shared" si="30"/>
        <v>0.98656014837676897</v>
      </c>
      <c r="N184" s="2">
        <v>12</v>
      </c>
      <c r="O184" s="2">
        <f t="shared" ref="O184:O193" si="34">F184*N184/M184/E184</f>
        <v>5.8384681455836036</v>
      </c>
      <c r="P184" s="7">
        <f t="shared" si="31"/>
        <v>2.363752285661378</v>
      </c>
    </row>
    <row r="185" spans="1:16" x14ac:dyDescent="0.25">
      <c r="A185" s="24" t="s">
        <v>15</v>
      </c>
      <c r="B185" s="24" t="s">
        <v>53</v>
      </c>
      <c r="C185" s="38" t="s">
        <v>54</v>
      </c>
      <c r="D185" s="32">
        <v>39024</v>
      </c>
      <c r="E185" s="6">
        <v>25</v>
      </c>
      <c r="F185" s="3">
        <v>10</v>
      </c>
      <c r="G185" s="4">
        <v>0</v>
      </c>
      <c r="H185" s="4">
        <v>0</v>
      </c>
      <c r="I185" s="4">
        <v>0</v>
      </c>
      <c r="J185" s="4">
        <f>(18+8+7+11)/4</f>
        <v>11</v>
      </c>
      <c r="K185" s="3">
        <f t="shared" si="32"/>
        <v>36.598234443677974</v>
      </c>
      <c r="L185" s="2">
        <f t="shared" si="33"/>
        <v>37.598234443677974</v>
      </c>
      <c r="M185" s="2">
        <f t="shared" si="30"/>
        <v>0.97340300642313415</v>
      </c>
      <c r="N185" s="2">
        <v>12</v>
      </c>
      <c r="O185" s="2">
        <f t="shared" si="34"/>
        <v>4.9311538677470041</v>
      </c>
      <c r="P185" s="7">
        <f t="shared" si="31"/>
        <v>1.9964185699380581</v>
      </c>
    </row>
    <row r="186" spans="1:16" x14ac:dyDescent="0.25">
      <c r="A186" s="24" t="s">
        <v>16</v>
      </c>
      <c r="B186" s="24" t="s">
        <v>55</v>
      </c>
      <c r="C186" s="38" t="s">
        <v>56</v>
      </c>
      <c r="D186" s="32">
        <v>39019</v>
      </c>
      <c r="E186" s="6">
        <v>25</v>
      </c>
      <c r="F186" s="3">
        <v>4</v>
      </c>
      <c r="G186" s="4">
        <v>0</v>
      </c>
      <c r="H186" s="4">
        <v>0</v>
      </c>
      <c r="I186" s="4">
        <v>0</v>
      </c>
      <c r="J186" s="4">
        <f>(12+6+11+8)/4</f>
        <v>9.25</v>
      </c>
      <c r="K186" s="3">
        <f>EXP(-0.228+(0.348*J186)+(-0.002*I186)+(-0.092*H186)+(3.27*G186))</f>
        <v>19.905578120212638</v>
      </c>
      <c r="L186" s="2">
        <f>1+EXP(-0.228+(0.348*J186)+(-0.002*I186)+(-0.092*H186)+(3.27*G186))</f>
        <v>20.905578120212638</v>
      </c>
      <c r="M186" s="2">
        <f t="shared" si="30"/>
        <v>0.95216587676983944</v>
      </c>
      <c r="N186" s="2">
        <v>12</v>
      </c>
      <c r="O186" s="2">
        <f>F186*N186/M186/E186</f>
        <v>2.0164553748906386</v>
      </c>
      <c r="P186" s="7">
        <f t="shared" si="31"/>
        <v>0.81637869428770793</v>
      </c>
    </row>
    <row r="187" spans="1:16" x14ac:dyDescent="0.25">
      <c r="A187" s="24" t="s">
        <v>16</v>
      </c>
      <c r="B187" s="24" t="s">
        <v>57</v>
      </c>
      <c r="C187" s="38" t="s">
        <v>58</v>
      </c>
      <c r="D187" s="32">
        <v>39022</v>
      </c>
      <c r="E187" s="6">
        <v>25</v>
      </c>
      <c r="F187" s="3">
        <v>7</v>
      </c>
      <c r="G187" s="4">
        <v>0</v>
      </c>
      <c r="H187" s="4">
        <v>0</v>
      </c>
      <c r="I187" s="4">
        <v>0</v>
      </c>
      <c r="J187" s="4">
        <f>(19+12+8+11)/4</f>
        <v>12.5</v>
      </c>
      <c r="K187" s="3">
        <f t="shared" si="32"/>
        <v>61.682483949561941</v>
      </c>
      <c r="L187" s="2">
        <f t="shared" si="33"/>
        <v>62.682483949561941</v>
      </c>
      <c r="M187" s="2">
        <f t="shared" si="30"/>
        <v>0.98404657988977173</v>
      </c>
      <c r="N187" s="2">
        <v>12</v>
      </c>
      <c r="O187" s="2">
        <f t="shared" si="34"/>
        <v>3.4144725144782995</v>
      </c>
      <c r="P187" s="7">
        <f t="shared" si="31"/>
        <v>1.382377536226032</v>
      </c>
    </row>
    <row r="188" spans="1:16" x14ac:dyDescent="0.25">
      <c r="A188" s="24" t="s">
        <v>16</v>
      </c>
      <c r="B188" s="24" t="s">
        <v>59</v>
      </c>
      <c r="C188" s="38" t="s">
        <v>60</v>
      </c>
      <c r="D188" s="32">
        <v>39015</v>
      </c>
      <c r="E188" s="6">
        <v>25</v>
      </c>
      <c r="F188" s="3">
        <v>10</v>
      </c>
      <c r="G188" s="4">
        <v>0</v>
      </c>
      <c r="H188" s="4">
        <v>0</v>
      </c>
      <c r="I188" s="4">
        <v>0</v>
      </c>
      <c r="J188" s="4">
        <f>(8+10+6+13)/4</f>
        <v>9.25</v>
      </c>
      <c r="K188" s="3">
        <f>EXP(-0.228+(0.348*J188)+(-0.002*I188)+(-0.092*H188)+(3.27*G188))</f>
        <v>19.905578120212638</v>
      </c>
      <c r="L188" s="2">
        <f>1+EXP(-0.228+(0.348*J188)+(-0.002*I188)+(-0.092*H188)+(3.27*G188))</f>
        <v>20.905578120212638</v>
      </c>
      <c r="M188" s="2">
        <f>K188/L188</f>
        <v>0.95216587676983944</v>
      </c>
      <c r="N188" s="2">
        <v>12</v>
      </c>
      <c r="O188" s="2">
        <f>F188*N188/M188/E188</f>
        <v>5.0411384372265964</v>
      </c>
      <c r="P188" s="7">
        <f t="shared" si="31"/>
        <v>2.0409467357192694</v>
      </c>
    </row>
    <row r="189" spans="1:16" x14ac:dyDescent="0.25">
      <c r="A189" s="24" t="s">
        <v>17</v>
      </c>
      <c r="B189" s="24" t="s">
        <v>61</v>
      </c>
      <c r="C189" s="38" t="s">
        <v>62</v>
      </c>
      <c r="D189" s="32">
        <v>39020</v>
      </c>
      <c r="E189" s="6">
        <v>24.1</v>
      </c>
      <c r="F189" s="3">
        <v>5</v>
      </c>
      <c r="G189" s="4">
        <v>0</v>
      </c>
      <c r="H189" s="4">
        <v>0</v>
      </c>
      <c r="I189" s="4">
        <v>0</v>
      </c>
      <c r="J189" s="4">
        <f>(8+5+5+12)/4</f>
        <v>7.5</v>
      </c>
      <c r="K189" s="3">
        <f t="shared" si="32"/>
        <v>10.82653429387859</v>
      </c>
      <c r="L189" s="2">
        <f t="shared" si="33"/>
        <v>11.82653429387859</v>
      </c>
      <c r="M189" s="2">
        <f t="shared" si="30"/>
        <v>0.91544437489877317</v>
      </c>
      <c r="N189" s="2">
        <v>12</v>
      </c>
      <c r="O189" s="2">
        <f t="shared" si="34"/>
        <v>2.7195825593356147</v>
      </c>
      <c r="P189" s="7">
        <f t="shared" si="31"/>
        <v>1.1010455705812203</v>
      </c>
    </row>
    <row r="190" spans="1:16" x14ac:dyDescent="0.25">
      <c r="A190" s="24" t="s">
        <v>17</v>
      </c>
      <c r="B190" s="24" t="s">
        <v>63</v>
      </c>
      <c r="C190" s="38" t="s">
        <v>64</v>
      </c>
      <c r="D190" s="32">
        <v>39011</v>
      </c>
      <c r="E190" s="3">
        <v>25</v>
      </c>
      <c r="F190" s="3">
        <v>7</v>
      </c>
      <c r="G190" s="4">
        <v>0</v>
      </c>
      <c r="H190" s="4">
        <v>0</v>
      </c>
      <c r="I190" s="4">
        <v>90</v>
      </c>
      <c r="J190" s="4">
        <f>(13+6+9+6)/4</f>
        <v>8.5</v>
      </c>
      <c r="K190" s="3">
        <f t="shared" si="32"/>
        <v>12.807103782663024</v>
      </c>
      <c r="L190" s="2">
        <f t="shared" si="33"/>
        <v>13.807103782663024</v>
      </c>
      <c r="M190" s="2">
        <f t="shared" si="30"/>
        <v>0.92757351463848225</v>
      </c>
      <c r="N190" s="2">
        <v>12</v>
      </c>
      <c r="O190" s="2">
        <f t="shared" si="34"/>
        <v>3.6223543977638748</v>
      </c>
      <c r="P190" s="7">
        <f t="shared" si="31"/>
        <v>1.4665402420096658</v>
      </c>
    </row>
    <row r="191" spans="1:16" x14ac:dyDescent="0.25">
      <c r="A191" s="24" t="s">
        <v>17</v>
      </c>
      <c r="B191" s="24" t="s">
        <v>65</v>
      </c>
      <c r="C191" s="38" t="s">
        <v>66</v>
      </c>
      <c r="D191" s="32">
        <v>39015</v>
      </c>
      <c r="E191" s="3">
        <v>25</v>
      </c>
      <c r="F191" s="3">
        <v>6</v>
      </c>
      <c r="G191" s="4">
        <v>0</v>
      </c>
      <c r="H191" s="4">
        <v>0</v>
      </c>
      <c r="I191" s="4">
        <v>0</v>
      </c>
      <c r="J191" s="4">
        <f>(6+8+7+8)/4</f>
        <v>7.25</v>
      </c>
      <c r="K191" s="3">
        <f>EXP(-0.228+(0.348*J191)+(-0.002*I191)+(-0.092*H191)+(3.27*G191))</f>
        <v>9.9244360122853443</v>
      </c>
      <c r="L191" s="2">
        <f>1+EXP(-0.228+(0.348*J191)+(-0.002*I191)+(-0.092*H191)+(3.27*G191))</f>
        <v>10.924436012285344</v>
      </c>
      <c r="M191" s="2">
        <f>K191/L191</f>
        <v>0.90846209370667508</v>
      </c>
      <c r="N191" s="2">
        <v>12</v>
      </c>
      <c r="O191" s="2">
        <f>F191*N191/M191/E191</f>
        <v>3.170192812612715</v>
      </c>
      <c r="P191" s="7">
        <f>O191/2.47</f>
        <v>1.2834788715031233</v>
      </c>
    </row>
    <row r="192" spans="1:16" x14ac:dyDescent="0.25">
      <c r="A192" s="24" t="s">
        <v>18</v>
      </c>
      <c r="B192" s="24" t="s">
        <v>67</v>
      </c>
      <c r="C192" s="38" t="s">
        <v>68</v>
      </c>
      <c r="D192" s="32">
        <v>39022</v>
      </c>
      <c r="E192" s="3">
        <v>25</v>
      </c>
      <c r="F192" s="3">
        <v>8</v>
      </c>
      <c r="G192" s="4">
        <v>0</v>
      </c>
      <c r="H192" s="4">
        <v>0</v>
      </c>
      <c r="I192" s="4">
        <v>0</v>
      </c>
      <c r="J192" s="4">
        <f>(10+5+8+5)/4</f>
        <v>7</v>
      </c>
      <c r="K192" s="3">
        <f>EXP(-0.228+(0.348*J192)+(-0.002*I192)+(-0.092*H192)+(3.27*G192))</f>
        <v>9.0975031795387959</v>
      </c>
      <c r="L192" s="2">
        <f>1+EXP(-0.228+(0.348*J192)+(-0.002*I192)+(-0.092*H192)+(3.27*G192))</f>
        <v>10.097503179538796</v>
      </c>
      <c r="M192" s="2">
        <f t="shared" si="30"/>
        <v>0.90096561672529474</v>
      </c>
      <c r="N192" s="2">
        <v>12</v>
      </c>
      <c r="O192" s="2">
        <f t="shared" si="34"/>
        <v>4.2620938343430916</v>
      </c>
      <c r="P192" s="7">
        <f t="shared" si="31"/>
        <v>1.7255440624870815</v>
      </c>
    </row>
    <row r="193" spans="1:16" x14ac:dyDescent="0.25">
      <c r="A193" s="24" t="s">
        <v>18</v>
      </c>
      <c r="B193" s="24" t="s">
        <v>69</v>
      </c>
      <c r="C193" s="38" t="s">
        <v>70</v>
      </c>
      <c r="D193" s="32">
        <v>39020</v>
      </c>
      <c r="E193" s="3">
        <v>25</v>
      </c>
      <c r="F193" s="3">
        <v>5</v>
      </c>
      <c r="G193" s="4">
        <v>0</v>
      </c>
      <c r="H193" s="4">
        <v>0</v>
      </c>
      <c r="I193" s="4">
        <v>0</v>
      </c>
      <c r="J193" s="4">
        <f>(9+8+5+8)/4</f>
        <v>7.5</v>
      </c>
      <c r="K193" s="3">
        <f t="shared" si="32"/>
        <v>10.82653429387859</v>
      </c>
      <c r="L193" s="2">
        <f t="shared" si="33"/>
        <v>11.82653429387859</v>
      </c>
      <c r="M193" s="2">
        <f t="shared" si="30"/>
        <v>0.91544437489877317</v>
      </c>
      <c r="N193" s="2">
        <v>12</v>
      </c>
      <c r="O193" s="2">
        <f t="shared" si="34"/>
        <v>2.6216775871995326</v>
      </c>
      <c r="P193" s="7">
        <f t="shared" si="31"/>
        <v>1.0614079300402965</v>
      </c>
    </row>
    <row r="194" spans="1:16" x14ac:dyDescent="0.25">
      <c r="A194" s="24" t="s">
        <v>18</v>
      </c>
      <c r="B194" s="24" t="s">
        <v>71</v>
      </c>
      <c r="C194" s="38" t="s">
        <v>72</v>
      </c>
      <c r="D194" s="32">
        <v>39015</v>
      </c>
      <c r="E194" s="3">
        <v>25</v>
      </c>
      <c r="F194" s="3">
        <v>4</v>
      </c>
      <c r="G194" s="4">
        <v>0</v>
      </c>
      <c r="H194" s="4">
        <v>0</v>
      </c>
      <c r="I194" s="4">
        <v>0</v>
      </c>
      <c r="J194" s="4">
        <f>(4+7+9+9)/4</f>
        <v>7.25</v>
      </c>
      <c r="K194" s="3">
        <f>EXP(-0.228+(0.348*J194)+(-0.002*I194)+(-0.092*H194)+(3.27*G194))</f>
        <v>9.9244360122853443</v>
      </c>
      <c r="L194" s="2">
        <f>1+EXP(-0.228+(0.348*J194)+(-0.002*I194)+(-0.092*H194)+(3.27*G194))</f>
        <v>10.924436012285344</v>
      </c>
      <c r="M194" s="2">
        <f>K194/L194</f>
        <v>0.90846209370667508</v>
      </c>
      <c r="N194" s="2">
        <v>12</v>
      </c>
      <c r="O194" s="2">
        <f>F194*N194/M194/E194</f>
        <v>2.113461875075143</v>
      </c>
      <c r="P194" s="7">
        <f t="shared" si="31"/>
        <v>0.85565258100208219</v>
      </c>
    </row>
    <row r="195" spans="1:16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6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6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6" x14ac:dyDescent="0.25">
      <c r="A198" s="24"/>
      <c r="B198" s="24"/>
      <c r="C198" s="33"/>
      <c r="D198" s="33" t="s">
        <v>46</v>
      </c>
      <c r="E198" s="33" t="s">
        <v>47</v>
      </c>
      <c r="F198" s="7" t="s">
        <v>41</v>
      </c>
      <c r="G198" s="3" t="s">
        <v>42</v>
      </c>
      <c r="H198" s="24"/>
      <c r="I198" s="24"/>
      <c r="J198" s="24"/>
      <c r="K198" s="24"/>
      <c r="L198" s="24"/>
      <c r="M198" s="24"/>
      <c r="N198" s="24"/>
      <c r="O198" s="24"/>
    </row>
    <row r="199" spans="1:16" x14ac:dyDescent="0.25">
      <c r="A199" s="24"/>
      <c r="B199" s="24"/>
      <c r="C199" s="34">
        <v>2000</v>
      </c>
      <c r="D199" s="33">
        <v>1.0316364700963561</v>
      </c>
      <c r="E199" s="33">
        <v>0.99033061750153839</v>
      </c>
      <c r="F199" s="33">
        <v>0.14219047713191268</v>
      </c>
      <c r="G199" s="33">
        <v>0.17589312657461478</v>
      </c>
      <c r="H199" s="24"/>
      <c r="I199" s="24"/>
      <c r="J199" s="24"/>
      <c r="K199" s="24"/>
      <c r="L199" s="24"/>
      <c r="M199" s="24"/>
      <c r="N199" s="24"/>
      <c r="O199" s="24"/>
    </row>
    <row r="200" spans="1:16" x14ac:dyDescent="0.25">
      <c r="A200" s="24"/>
      <c r="B200" s="24"/>
      <c r="C200" s="35">
        <v>2001</v>
      </c>
      <c r="D200" s="24">
        <v>1.0236499451406069</v>
      </c>
      <c r="E200" s="24">
        <v>0.9719320762740864</v>
      </c>
      <c r="F200" s="24">
        <v>0.11170036700994833</v>
      </c>
      <c r="G200" s="24">
        <v>0.19972369606521742</v>
      </c>
      <c r="H200" s="24"/>
      <c r="I200" s="24"/>
      <c r="J200" s="24"/>
      <c r="K200" s="24"/>
      <c r="L200" s="24"/>
      <c r="M200" s="24"/>
      <c r="N200" s="24"/>
      <c r="O200" s="24"/>
    </row>
    <row r="201" spans="1:16" x14ac:dyDescent="0.25">
      <c r="A201" s="24"/>
      <c r="B201" s="24"/>
      <c r="C201" s="35">
        <v>2002</v>
      </c>
      <c r="D201" s="3">
        <v>1.8533569823606124</v>
      </c>
      <c r="E201" s="3">
        <v>1.3607961439237588</v>
      </c>
      <c r="F201" s="4">
        <v>0.11809188712181511</v>
      </c>
      <c r="G201" s="9">
        <v>0.18668043927457809</v>
      </c>
      <c r="H201" s="24"/>
      <c r="I201" s="24"/>
      <c r="J201" s="24"/>
      <c r="K201" s="24"/>
      <c r="L201" s="24"/>
      <c r="M201" s="24"/>
      <c r="N201" s="24"/>
      <c r="O201" s="24"/>
    </row>
    <row r="202" spans="1:16" x14ac:dyDescent="0.25">
      <c r="A202" s="24"/>
      <c r="B202" s="24"/>
      <c r="C202" s="30">
        <v>2003</v>
      </c>
      <c r="D202" s="24">
        <v>1.4611090900000001</v>
      </c>
      <c r="E202" s="24">
        <v>0.87888371099999996</v>
      </c>
      <c r="F202" s="24">
        <v>0.19464579000000001</v>
      </c>
      <c r="G202" s="24">
        <v>0.14105135899999999</v>
      </c>
      <c r="H202" s="24"/>
      <c r="I202" s="24"/>
      <c r="J202" s="24"/>
      <c r="K202" s="24"/>
      <c r="L202" s="24"/>
      <c r="M202" s="24"/>
      <c r="N202" s="24"/>
      <c r="O202" s="24"/>
    </row>
    <row r="203" spans="1:16" x14ac:dyDescent="0.25">
      <c r="A203" s="24"/>
      <c r="B203" s="24"/>
      <c r="C203" s="30">
        <v>2004</v>
      </c>
      <c r="D203" s="24">
        <v>1.5136798743153799</v>
      </c>
      <c r="E203" s="24">
        <v>0.36185557740881574</v>
      </c>
      <c r="F203" s="24">
        <v>0.28326734760581734</v>
      </c>
      <c r="G203" s="24">
        <v>0.10008703348918745</v>
      </c>
      <c r="H203" s="24"/>
      <c r="I203" s="24"/>
      <c r="J203" s="24"/>
      <c r="K203" s="24"/>
      <c r="L203" s="24"/>
      <c r="M203" s="24"/>
      <c r="N203" s="24"/>
      <c r="O203" s="24"/>
    </row>
    <row r="204" spans="1:16" x14ac:dyDescent="0.25">
      <c r="A204" s="24"/>
      <c r="B204" s="24"/>
      <c r="C204" s="30">
        <v>2005</v>
      </c>
      <c r="D204" s="24">
        <v>2.1004093635234411</v>
      </c>
      <c r="E204" s="24">
        <v>1.0200949300138953</v>
      </c>
      <c r="F204" s="24">
        <v>0.21922070550546208</v>
      </c>
      <c r="G204" s="24">
        <v>0.12742212933165845</v>
      </c>
      <c r="H204" s="24"/>
      <c r="I204" s="24"/>
      <c r="J204" s="24"/>
      <c r="K204" s="24"/>
      <c r="L204" s="24"/>
      <c r="M204" s="24"/>
      <c r="N204" s="24"/>
      <c r="O204" s="24"/>
    </row>
    <row r="205" spans="1:16" x14ac:dyDescent="0.25">
      <c r="A205" s="24"/>
      <c r="B205" s="24"/>
      <c r="C205" s="30">
        <v>2006</v>
      </c>
      <c r="D205" s="24">
        <f>AVERAGE(P183:P188)</f>
        <v>1.6519699520000752</v>
      </c>
      <c r="E205" s="24">
        <f>AVERAGE(P189:P194)</f>
        <v>1.2489448762705784</v>
      </c>
      <c r="F205" s="24">
        <f>E209</f>
        <v>0.23544929124387187</v>
      </c>
      <c r="G205" s="24">
        <f>F209</f>
        <v>0.12746375493480736</v>
      </c>
      <c r="H205" s="24"/>
      <c r="I205" s="24"/>
      <c r="J205" s="24"/>
      <c r="K205" s="24"/>
      <c r="L205" s="24"/>
      <c r="M205" s="24"/>
      <c r="N205" s="24"/>
      <c r="O205" s="24"/>
    </row>
    <row r="206" spans="1:16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6" x14ac:dyDescent="0.25">
      <c r="A207" s="24"/>
      <c r="B207" s="24"/>
      <c r="C207" s="24"/>
      <c r="D207" s="24"/>
      <c r="E207" s="24" t="s">
        <v>43</v>
      </c>
      <c r="F207" s="24" t="s">
        <v>44</v>
      </c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6" x14ac:dyDescent="0.25">
      <c r="A208" s="24"/>
      <c r="B208" s="24"/>
      <c r="C208" s="24"/>
      <c r="D208" s="24"/>
      <c r="E208" s="24">
        <f>VAR(P183:P188)</f>
        <v>0.33261821248344958</v>
      </c>
      <c r="F208" s="24">
        <f>VAR(P189:P194)</f>
        <v>9.7482052932483756E-2</v>
      </c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24"/>
      <c r="B209" s="24"/>
      <c r="C209" s="24"/>
      <c r="D209" s="24"/>
      <c r="E209" s="24">
        <f>SQRT(E208/6)</f>
        <v>0.23544929124387187</v>
      </c>
      <c r="F209" s="24">
        <f>SQRT(F208/6)</f>
        <v>0.12746375493480736</v>
      </c>
      <c r="G209" s="24"/>
      <c r="H209" s="24"/>
      <c r="I209" s="24"/>
      <c r="J209" s="24"/>
      <c r="K209" s="24"/>
      <c r="L209" s="24"/>
      <c r="M209" s="24"/>
      <c r="N209" s="24"/>
      <c r="O209" s="24"/>
    </row>
    <row r="211" spans="1:15" x14ac:dyDescent="0.25">
      <c r="A211" s="3" t="s">
        <v>1</v>
      </c>
      <c r="B211" s="2" t="s">
        <v>2</v>
      </c>
      <c r="C211" s="3" t="s">
        <v>3</v>
      </c>
      <c r="D211" s="3" t="s">
        <v>4</v>
      </c>
      <c r="E211" s="3" t="s">
        <v>5</v>
      </c>
      <c r="F211" s="4" t="s">
        <v>6</v>
      </c>
      <c r="G211" s="5" t="s">
        <v>7</v>
      </c>
      <c r="H211" s="3" t="s">
        <v>8</v>
      </c>
      <c r="I211" s="6" t="s">
        <v>9</v>
      </c>
      <c r="J211" s="6" t="s">
        <v>10</v>
      </c>
      <c r="K211" s="6" t="s">
        <v>11</v>
      </c>
      <c r="L211" s="2" t="s">
        <v>12</v>
      </c>
      <c r="M211" s="6" t="s">
        <v>13</v>
      </c>
      <c r="N211" s="6" t="s">
        <v>14</v>
      </c>
    </row>
    <row r="212" spans="1:15" x14ac:dyDescent="0.25">
      <c r="A212" s="38" t="s">
        <v>73</v>
      </c>
      <c r="B212" s="32">
        <v>39391</v>
      </c>
      <c r="C212" s="6">
        <v>19</v>
      </c>
      <c r="D212" s="3">
        <v>8</v>
      </c>
      <c r="E212" s="4">
        <v>0.05</v>
      </c>
      <c r="F212" s="4">
        <v>0</v>
      </c>
      <c r="G212" s="4">
        <v>0</v>
      </c>
      <c r="H212" s="4">
        <f>(6+5+7+8)/4</f>
        <v>6.5</v>
      </c>
      <c r="I212" s="3">
        <f>EXP(-0.228+(0.348*H212)+(-0.002*G212)+(-0.092*F212)+(3.27*E212))</f>
        <v>9.0024791453647612</v>
      </c>
      <c r="J212" s="2">
        <f>1+EXP(-0.228+(0.348*H212)+(-0.002*G212)+(-0.092*F212)+(3.27*E212))</f>
        <v>10.002479145364761</v>
      </c>
      <c r="K212" s="2">
        <f t="shared" ref="K212:K222" si="35">I212/J212</f>
        <v>0.9000247853090092</v>
      </c>
      <c r="L212" s="2">
        <v>11.6</v>
      </c>
      <c r="M212" s="2">
        <f>D212*L212/K212/C212</f>
        <v>5.426751136235513</v>
      </c>
      <c r="N212" s="7">
        <f t="shared" ref="N212:N223" si="36">M212/2.47</f>
        <v>2.1970652373423127</v>
      </c>
    </row>
    <row r="213" spans="1:15" x14ac:dyDescent="0.25">
      <c r="A213" s="38" t="s">
        <v>74</v>
      </c>
      <c r="B213" s="32">
        <v>39394</v>
      </c>
      <c r="C213" s="6">
        <v>25</v>
      </c>
      <c r="D213" s="3">
        <v>2</v>
      </c>
      <c r="E213" s="4">
        <v>0.01</v>
      </c>
      <c r="F213" s="4">
        <v>0</v>
      </c>
      <c r="G213" s="4">
        <v>0</v>
      </c>
      <c r="H213" s="4">
        <f>(7+7+6+5)/4</f>
        <v>6.25</v>
      </c>
      <c r="I213" s="3">
        <f t="shared" ref="I213:I222" si="37">EXP(-0.228+(0.348*H213)+(-0.002*G213)+(-0.092*F213)+(3.27*E213))</f>
        <v>7.2405704881563064</v>
      </c>
      <c r="J213" s="2">
        <f t="shared" ref="J213:J222" si="38">1+EXP(-0.228+(0.348*H213)+(-0.002*G213)+(-0.092*F213)+(3.27*E213))</f>
        <v>8.2405704881563064</v>
      </c>
      <c r="K213" s="2">
        <f t="shared" si="35"/>
        <v>0.87864917830176414</v>
      </c>
      <c r="L213" s="2">
        <v>11.6</v>
      </c>
      <c r="M213" s="2">
        <f t="shared" ref="M213:M222" si="39">D213*L213/K213/C213</f>
        <v>1.0561666964665239</v>
      </c>
      <c r="N213" s="7">
        <f t="shared" si="36"/>
        <v>0.42759785282045498</v>
      </c>
    </row>
    <row r="214" spans="1:15" x14ac:dyDescent="0.25">
      <c r="A214" s="38" t="s">
        <v>75</v>
      </c>
      <c r="B214" s="32">
        <v>39385</v>
      </c>
      <c r="C214" s="6">
        <v>21.9</v>
      </c>
      <c r="D214" s="3">
        <v>5</v>
      </c>
      <c r="E214" s="4">
        <v>-0.03</v>
      </c>
      <c r="F214" s="4">
        <v>0.5</v>
      </c>
      <c r="G214" s="4">
        <v>5</v>
      </c>
      <c r="H214" s="4">
        <f>(12+7+7+11)/4</f>
        <v>9.25</v>
      </c>
      <c r="I214" s="3">
        <f t="shared" si="37"/>
        <v>17.062788820317323</v>
      </c>
      <c r="J214" s="2">
        <f t="shared" si="38"/>
        <v>18.062788820317323</v>
      </c>
      <c r="K214" s="2">
        <f t="shared" si="35"/>
        <v>0.94463756344894079</v>
      </c>
      <c r="L214" s="2">
        <v>11.6</v>
      </c>
      <c r="M214" s="2">
        <f t="shared" si="39"/>
        <v>2.8036168885921811</v>
      </c>
      <c r="N214" s="7">
        <f t="shared" si="36"/>
        <v>1.1350675662316521</v>
      </c>
    </row>
    <row r="215" spans="1:15" x14ac:dyDescent="0.25">
      <c r="A215" s="38" t="s">
        <v>76</v>
      </c>
      <c r="B215" s="32">
        <v>39395</v>
      </c>
      <c r="C215" s="6">
        <v>23.9</v>
      </c>
      <c r="D215" s="3">
        <v>5</v>
      </c>
      <c r="E215" s="4">
        <v>0</v>
      </c>
      <c r="F215" s="4">
        <v>0</v>
      </c>
      <c r="G215" s="4">
        <v>0</v>
      </c>
      <c r="H215" s="4">
        <f>(13+6+11+9)/4</f>
        <v>9.75</v>
      </c>
      <c r="I215" s="3">
        <f>EXP(-0.228+(0.348*H215)+(-0.002*G215)+(-0.092*F215)+(3.27*E215))</f>
        <v>23.688744032831082</v>
      </c>
      <c r="J215" s="2">
        <f>1+EXP(-0.228+(0.348*H215)+(-0.002*G215)+(-0.092*F215)+(3.27*E215))</f>
        <v>24.688744032831082</v>
      </c>
      <c r="K215" s="2">
        <f t="shared" si="35"/>
        <v>0.95949571194588912</v>
      </c>
      <c r="L215" s="2">
        <v>11.6</v>
      </c>
      <c r="M215" s="2">
        <f>D215*L215/K215/C215</f>
        <v>2.5292226035656142</v>
      </c>
      <c r="N215" s="7">
        <f t="shared" si="36"/>
        <v>1.0239767625771716</v>
      </c>
    </row>
    <row r="216" spans="1:15" x14ac:dyDescent="0.25">
      <c r="A216" s="38" t="s">
        <v>77</v>
      </c>
      <c r="B216" s="32">
        <v>39083</v>
      </c>
      <c r="C216" s="6">
        <v>25</v>
      </c>
      <c r="D216" s="3">
        <v>2</v>
      </c>
      <c r="E216" s="4">
        <v>0.02</v>
      </c>
      <c r="F216" s="4">
        <v>0</v>
      </c>
      <c r="G216" s="4">
        <v>0</v>
      </c>
      <c r="H216" s="4">
        <f>(5+9+7+8)/4</f>
        <v>7.25</v>
      </c>
      <c r="I216" s="3">
        <f t="shared" si="37"/>
        <v>10.595188680403846</v>
      </c>
      <c r="J216" s="2">
        <f t="shared" si="38"/>
        <v>11.595188680403846</v>
      </c>
      <c r="K216" s="2">
        <f t="shared" si="35"/>
        <v>0.91375733266936621</v>
      </c>
      <c r="L216" s="2">
        <v>11.6</v>
      </c>
      <c r="M216" s="2">
        <f t="shared" si="39"/>
        <v>1.0155869253481409</v>
      </c>
      <c r="N216" s="7">
        <f t="shared" si="36"/>
        <v>0.41116879568750642</v>
      </c>
    </row>
    <row r="217" spans="1:15" x14ac:dyDescent="0.25">
      <c r="A217" s="38"/>
      <c r="B217" s="32">
        <v>39083</v>
      </c>
      <c r="C217" s="6">
        <v>25</v>
      </c>
      <c r="D217" s="3">
        <v>5</v>
      </c>
      <c r="E217" s="4">
        <v>0</v>
      </c>
      <c r="F217" s="4">
        <v>0</v>
      </c>
      <c r="G217" s="4">
        <v>0</v>
      </c>
      <c r="H217" s="4">
        <f>(0+0+0+0)/4</f>
        <v>0</v>
      </c>
      <c r="I217" s="3">
        <f>EXP(-0.228+(0.348*H217)+(-0.002*G217)+(-0.092*F217)+(3.27*E217))</f>
        <v>0.79612425983545376</v>
      </c>
      <c r="J217" s="2">
        <f>1+EXP(-0.228+(0.348*H217)+(-0.002*G217)+(-0.092*F217)+(3.27*E217))</f>
        <v>1.7961242598354539</v>
      </c>
      <c r="K217" s="2">
        <f>I217/J217</f>
        <v>0.44324564710705933</v>
      </c>
      <c r="L217" s="2">
        <v>11.6</v>
      </c>
      <c r="M217" s="2">
        <f>D217*L217/K217/C217</f>
        <v>5.2341179550030397</v>
      </c>
      <c r="N217" s="7">
        <f t="shared" si="36"/>
        <v>2.119076095142931</v>
      </c>
    </row>
    <row r="218" spans="1:15" x14ac:dyDescent="0.25">
      <c r="A218" s="38" t="s">
        <v>78</v>
      </c>
      <c r="B218" s="32">
        <v>39392</v>
      </c>
      <c r="C218" s="6">
        <v>25</v>
      </c>
      <c r="D218" s="3">
        <v>1</v>
      </c>
      <c r="E218" s="4">
        <v>-0.02</v>
      </c>
      <c r="F218" s="4">
        <v>0</v>
      </c>
      <c r="G218" s="4">
        <v>0</v>
      </c>
      <c r="H218" s="4">
        <f>(6+9+4+6)/4</f>
        <v>6.25</v>
      </c>
      <c r="I218" s="3">
        <f t="shared" si="37"/>
        <v>6.563998862932527</v>
      </c>
      <c r="J218" s="2">
        <f t="shared" si="38"/>
        <v>7.563998862932527</v>
      </c>
      <c r="K218" s="2">
        <f t="shared" si="35"/>
        <v>0.86779479768294088</v>
      </c>
      <c r="L218" s="2">
        <v>12.2</v>
      </c>
      <c r="M218" s="2">
        <f t="shared" si="39"/>
        <v>0.56234492451785423</v>
      </c>
      <c r="N218" s="7">
        <f t="shared" si="36"/>
        <v>0.22767000992625674</v>
      </c>
    </row>
    <row r="219" spans="1:15" x14ac:dyDescent="0.25">
      <c r="A219" s="38" t="s">
        <v>79</v>
      </c>
      <c r="B219" s="32">
        <v>39391</v>
      </c>
      <c r="C219" s="3">
        <v>25</v>
      </c>
      <c r="D219" s="3">
        <v>1</v>
      </c>
      <c r="E219" s="4">
        <v>0.05</v>
      </c>
      <c r="F219" s="4">
        <v>0</v>
      </c>
      <c r="G219" s="4">
        <v>0</v>
      </c>
      <c r="H219" s="4">
        <f>(8+8+8+5)/4</f>
        <v>7.25</v>
      </c>
      <c r="I219" s="3">
        <f t="shared" si="37"/>
        <v>11.687267484002371</v>
      </c>
      <c r="J219" s="2">
        <f t="shared" si="38"/>
        <v>12.687267484002371</v>
      </c>
      <c r="K219" s="2">
        <f t="shared" si="35"/>
        <v>0.92118082153931724</v>
      </c>
      <c r="L219" s="2">
        <v>12.2</v>
      </c>
      <c r="M219" s="2">
        <f t="shared" si="39"/>
        <v>0.52975484138340956</v>
      </c>
      <c r="N219" s="7">
        <f t="shared" si="36"/>
        <v>0.21447564428478119</v>
      </c>
    </row>
    <row r="220" spans="1:15" x14ac:dyDescent="0.25">
      <c r="A220" s="38" t="s">
        <v>80</v>
      </c>
      <c r="B220" s="32">
        <v>39389</v>
      </c>
      <c r="C220" s="3">
        <v>25</v>
      </c>
      <c r="D220" s="3">
        <v>3</v>
      </c>
      <c r="E220" s="4">
        <v>0.02</v>
      </c>
      <c r="F220" s="4">
        <v>0</v>
      </c>
      <c r="G220" s="4">
        <v>0</v>
      </c>
      <c r="H220" s="4">
        <f>(6+9+8+10)/4</f>
        <v>8.25</v>
      </c>
      <c r="I220" s="3">
        <f>EXP(-0.228+(0.348*H220)+(-0.002*G220)+(-0.092*F220)+(3.27*E220))</f>
        <v>15.005247901268373</v>
      </c>
      <c r="J220" s="2">
        <f>1+EXP(-0.228+(0.348*H220)+(-0.002*G220)+(-0.092*F220)+(3.27*E220))</f>
        <v>16.005247901268373</v>
      </c>
      <c r="K220" s="2">
        <f>I220/J220</f>
        <v>0.93752049289278716</v>
      </c>
      <c r="L220" s="2">
        <v>12.2</v>
      </c>
      <c r="M220" s="2">
        <f>D220*L220/K220/C220</f>
        <v>1.5615658655980118</v>
      </c>
      <c r="N220" s="7">
        <f>M220/2.47</f>
        <v>0.63221290105182659</v>
      </c>
    </row>
    <row r="221" spans="1:15" x14ac:dyDescent="0.25">
      <c r="A221" s="38" t="s">
        <v>81</v>
      </c>
      <c r="B221" s="32">
        <v>39381</v>
      </c>
      <c r="C221" s="3">
        <v>25</v>
      </c>
      <c r="D221" s="3">
        <v>2</v>
      </c>
      <c r="E221" s="4">
        <v>0.03</v>
      </c>
      <c r="F221" s="4">
        <v>0</v>
      </c>
      <c r="G221" s="4">
        <v>0</v>
      </c>
      <c r="H221" s="4">
        <f>(5+4+4)/3</f>
        <v>4.333333333333333</v>
      </c>
      <c r="I221" s="3">
        <f>EXP(-0.228+(0.348*H221)+(-0.002*G221)+(-0.092*F221)+(3.27*E221))</f>
        <v>3.9673564845581279</v>
      </c>
      <c r="J221" s="2">
        <f>1+EXP(-0.228+(0.348*H221)+(-0.002*G221)+(-0.092*F221)+(3.27*E221))</f>
        <v>4.9673564845581275</v>
      </c>
      <c r="K221" s="2">
        <f t="shared" si="35"/>
        <v>0.79868567856793249</v>
      </c>
      <c r="L221" s="2">
        <v>12.2</v>
      </c>
      <c r="M221" s="2">
        <f t="shared" si="39"/>
        <v>1.2220076385368488</v>
      </c>
      <c r="N221" s="7">
        <f t="shared" si="36"/>
        <v>0.49473993463030314</v>
      </c>
    </row>
    <row r="222" spans="1:15" x14ac:dyDescent="0.25">
      <c r="A222" s="38"/>
      <c r="B222" s="32">
        <v>39394</v>
      </c>
      <c r="C222" s="3">
        <v>25</v>
      </c>
      <c r="D222" s="3">
        <v>4</v>
      </c>
      <c r="E222" s="4">
        <v>0.01</v>
      </c>
      <c r="F222" s="4">
        <v>0</v>
      </c>
      <c r="G222" s="4">
        <v>0</v>
      </c>
      <c r="H222" s="4">
        <f>(8+8+4+5)/4</f>
        <v>6.25</v>
      </c>
      <c r="I222" s="3">
        <f t="shared" si="37"/>
        <v>7.2405704881563064</v>
      </c>
      <c r="J222" s="2">
        <f t="shared" si="38"/>
        <v>8.2405704881563064</v>
      </c>
      <c r="K222" s="2">
        <f t="shared" si="35"/>
        <v>0.87864917830176414</v>
      </c>
      <c r="L222" s="2">
        <v>12.2</v>
      </c>
      <c r="M222" s="2">
        <f t="shared" si="39"/>
        <v>2.221592016705447</v>
      </c>
      <c r="N222" s="7">
        <f t="shared" si="36"/>
        <v>0.89942996627750882</v>
      </c>
    </row>
    <row r="223" spans="1:15" x14ac:dyDescent="0.25">
      <c r="A223" s="38"/>
      <c r="B223" s="32">
        <v>39083</v>
      </c>
      <c r="C223" s="3">
        <v>25</v>
      </c>
      <c r="D223" s="3">
        <v>3</v>
      </c>
      <c r="E223" s="4">
        <v>0.01</v>
      </c>
      <c r="F223" s="4">
        <v>0</v>
      </c>
      <c r="G223" s="4">
        <v>0</v>
      </c>
      <c r="H223" s="4">
        <f>(8+7+8+6)/4</f>
        <v>7.25</v>
      </c>
      <c r="I223" s="3">
        <f>EXP(-0.228+(0.348*H223)+(-0.002*G223)+(-0.092*F223)+(3.27*E223))</f>
        <v>10.254329431842825</v>
      </c>
      <c r="J223" s="2">
        <f>1+EXP(-0.228+(0.348*H223)+(-0.002*G223)+(-0.092*F223)+(3.27*E223))</f>
        <v>11.254329431842825</v>
      </c>
      <c r="K223" s="2">
        <f>I223/J223</f>
        <v>0.91114530580821496</v>
      </c>
      <c r="L223" s="2">
        <v>12.2</v>
      </c>
      <c r="M223" s="2">
        <f>D223*L223/K223/C223</f>
        <v>1.606768965024064</v>
      </c>
      <c r="N223" s="7">
        <f t="shared" si="36"/>
        <v>0.65051375102188824</v>
      </c>
    </row>
    <row r="224" spans="1:15" x14ac:dyDescent="0.25">
      <c r="A224" s="24"/>
      <c r="B224" s="24"/>
      <c r="C224" s="2" t="s">
        <v>82</v>
      </c>
      <c r="D224" s="7">
        <f>AVERAGE(D212:D223)</f>
        <v>3.4166666666666665</v>
      </c>
      <c r="E224" s="24"/>
      <c r="F224" s="24"/>
      <c r="G224" s="24"/>
      <c r="H224" s="24"/>
      <c r="I224" s="24"/>
      <c r="J224" s="24"/>
      <c r="K224" s="24"/>
      <c r="L224" s="24"/>
      <c r="M224" s="2" t="s">
        <v>82</v>
      </c>
      <c r="N224" s="7">
        <f>AVERAGE(N212:N223)</f>
        <v>0.86941620974954947</v>
      </c>
    </row>
    <row r="225" spans="1:14" x14ac:dyDescent="0.25">
      <c r="A225" s="24"/>
      <c r="B225" s="24"/>
      <c r="C225" s="2" t="s">
        <v>17</v>
      </c>
      <c r="D225" s="7">
        <f>SQRT(VAR(D211:D223)/COUNT(D212:D223))</f>
        <v>0.59617891016815827</v>
      </c>
      <c r="E225" s="24"/>
      <c r="F225" s="24"/>
      <c r="G225" s="24"/>
      <c r="H225" s="24"/>
      <c r="I225" s="24"/>
      <c r="J225" s="24"/>
      <c r="K225" s="24"/>
      <c r="L225" s="24"/>
      <c r="M225" s="2" t="s">
        <v>17</v>
      </c>
      <c r="N225" s="7">
        <f>SQRT(VAR(N211:N223)/COUNT(N212:N223))</f>
        <v>0.19286923840892484</v>
      </c>
    </row>
    <row r="226" spans="1:14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 spans="1:14" x14ac:dyDescent="0.25">
      <c r="A227" s="33"/>
      <c r="B227" s="33" t="s">
        <v>46</v>
      </c>
      <c r="C227" s="33" t="s">
        <v>47</v>
      </c>
      <c r="D227" s="7" t="s">
        <v>41</v>
      </c>
      <c r="E227" s="3" t="s">
        <v>42</v>
      </c>
      <c r="F227" s="24"/>
      <c r="G227" s="24"/>
      <c r="H227" s="24"/>
      <c r="I227" s="24"/>
      <c r="J227" s="24"/>
      <c r="K227" s="24"/>
      <c r="L227" s="24"/>
      <c r="M227" s="24"/>
    </row>
    <row r="228" spans="1:14" x14ac:dyDescent="0.25">
      <c r="A228" s="34">
        <v>2000</v>
      </c>
      <c r="B228" s="33">
        <v>1.0316364700963561</v>
      </c>
      <c r="C228" s="33">
        <v>0.99033061750153839</v>
      </c>
      <c r="D228" s="33">
        <v>0.14219047713191268</v>
      </c>
      <c r="E228" s="33">
        <v>0.17589312657461478</v>
      </c>
      <c r="F228" s="24"/>
      <c r="G228" s="24"/>
      <c r="H228" s="24"/>
      <c r="I228" s="24"/>
      <c r="J228" s="24"/>
      <c r="K228" s="24"/>
      <c r="L228" s="24"/>
      <c r="M228" s="24"/>
    </row>
    <row r="229" spans="1:14" x14ac:dyDescent="0.25">
      <c r="A229" s="35">
        <v>2001</v>
      </c>
      <c r="B229" s="24">
        <v>1.0236499451406069</v>
      </c>
      <c r="C229" s="24">
        <v>0.9719320762740864</v>
      </c>
      <c r="D229" s="24">
        <v>0.11170036700994833</v>
      </c>
      <c r="E229" s="24">
        <v>0.19972369606521742</v>
      </c>
      <c r="F229" s="24"/>
      <c r="G229" s="24"/>
      <c r="H229" s="24"/>
      <c r="I229" s="24"/>
      <c r="J229" s="24"/>
      <c r="K229" s="24"/>
      <c r="L229" s="24"/>
      <c r="M229" s="24"/>
    </row>
    <row r="230" spans="1:14" x14ac:dyDescent="0.25">
      <c r="A230" s="35">
        <v>2002</v>
      </c>
      <c r="B230" s="3">
        <v>1.8533569823606124</v>
      </c>
      <c r="C230" s="3">
        <v>1.3607961439237588</v>
      </c>
      <c r="D230" s="4">
        <v>0.11809188712181511</v>
      </c>
      <c r="E230" s="9">
        <v>0.18668043927457809</v>
      </c>
      <c r="F230" s="24"/>
      <c r="G230" s="24"/>
      <c r="H230" s="24"/>
      <c r="I230" s="24"/>
      <c r="J230" s="24"/>
      <c r="K230" s="24"/>
      <c r="L230" s="24"/>
      <c r="M230" s="24"/>
    </row>
    <row r="231" spans="1:14" x14ac:dyDescent="0.25">
      <c r="A231" s="30">
        <v>2003</v>
      </c>
      <c r="B231" s="24">
        <v>1.4611090900000001</v>
      </c>
      <c r="C231" s="24">
        <v>0.87888371099999996</v>
      </c>
      <c r="D231" s="24">
        <v>0.19464579000000001</v>
      </c>
      <c r="E231" s="24">
        <v>0.14105135899999999</v>
      </c>
      <c r="F231" s="24"/>
      <c r="G231" s="24"/>
      <c r="H231" s="24"/>
      <c r="I231" s="24"/>
      <c r="J231" s="24"/>
      <c r="K231" s="24"/>
      <c r="L231" s="24"/>
      <c r="M231" s="24"/>
    </row>
    <row r="232" spans="1:14" x14ac:dyDescent="0.25">
      <c r="A232" s="30">
        <v>2004</v>
      </c>
      <c r="B232" s="24">
        <v>1.5136798743153799</v>
      </c>
      <c r="C232" s="24">
        <v>0.36185557740881574</v>
      </c>
      <c r="D232" s="24">
        <v>0.28326734760581734</v>
      </c>
      <c r="E232" s="24">
        <v>0.10008703348918745</v>
      </c>
      <c r="F232" s="24"/>
      <c r="G232" s="24"/>
      <c r="H232" s="24"/>
      <c r="I232" s="24"/>
      <c r="J232" s="24"/>
      <c r="K232" s="24"/>
      <c r="L232" s="24"/>
      <c r="M232" s="24"/>
    </row>
    <row r="233" spans="1:14" x14ac:dyDescent="0.25">
      <c r="A233" s="30">
        <v>2005</v>
      </c>
      <c r="B233" s="24">
        <v>2.1004093635234402</v>
      </c>
      <c r="C233" s="24">
        <v>1.0200949300138953</v>
      </c>
      <c r="D233" s="24">
        <v>0.21922070550546208</v>
      </c>
      <c r="E233" s="24">
        <v>0.12742212933165845</v>
      </c>
      <c r="F233" s="24"/>
      <c r="G233" s="24"/>
      <c r="H233" s="24"/>
      <c r="I233" s="24"/>
      <c r="J233" s="24"/>
      <c r="K233" s="24"/>
      <c r="L233" s="24"/>
      <c r="M233" s="24"/>
    </row>
    <row r="234" spans="1:14" x14ac:dyDescent="0.25">
      <c r="A234" s="30">
        <v>2006</v>
      </c>
      <c r="B234" s="24">
        <v>1.6519699520000752</v>
      </c>
      <c r="C234" s="24">
        <v>1.2489448762705784</v>
      </c>
      <c r="D234" s="24">
        <v>0.23544929124387187</v>
      </c>
      <c r="E234" s="24">
        <v>0.12746375493480736</v>
      </c>
      <c r="F234" s="24"/>
      <c r="G234" s="24"/>
      <c r="H234" s="24"/>
      <c r="I234" s="24"/>
      <c r="J234" s="24"/>
      <c r="K234" s="24"/>
      <c r="L234" s="24"/>
      <c r="M234" s="24"/>
    </row>
    <row r="235" spans="1:14" x14ac:dyDescent="0.25">
      <c r="A235" s="24">
        <v>2007</v>
      </c>
      <c r="B235" s="24">
        <f>AVERAGE(N212:N217)</f>
        <v>1.2189920516336714</v>
      </c>
      <c r="C235" s="24">
        <f>AVERAGE(N218:N223)</f>
        <v>0.51984036786542742</v>
      </c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 spans="1:14" x14ac:dyDescent="0.25">
      <c r="A236" s="24"/>
      <c r="B236" s="24"/>
      <c r="C236" s="24" t="s">
        <v>43</v>
      </c>
      <c r="D236" s="24" t="s">
        <v>44</v>
      </c>
      <c r="E236" s="24"/>
      <c r="F236" s="24"/>
      <c r="G236" s="24"/>
      <c r="H236" s="24"/>
      <c r="I236" s="24"/>
      <c r="J236" s="24"/>
      <c r="K236" s="24"/>
      <c r="L236" s="24"/>
      <c r="M236" s="24"/>
    </row>
    <row r="237" spans="1:14" x14ac:dyDescent="0.25">
      <c r="A237" s="24"/>
      <c r="B237" s="24"/>
      <c r="C237" s="24">
        <f>VAR(N212:N217)</f>
        <v>0.61814718299213811</v>
      </c>
      <c r="D237" s="24">
        <f>VAR(N218:N223)</f>
        <v>7.0606509343461438E-2</v>
      </c>
      <c r="E237" s="24"/>
      <c r="F237" s="24"/>
      <c r="G237" s="24"/>
      <c r="H237" s="24"/>
      <c r="I237" s="24"/>
      <c r="J237" s="24"/>
      <c r="K237" s="24"/>
      <c r="L237" s="24"/>
      <c r="M237" s="24"/>
    </row>
    <row r="238" spans="1:14" x14ac:dyDescent="0.25">
      <c r="A238" s="24"/>
      <c r="B238" s="24"/>
      <c r="C238" s="24">
        <f>SQRT(C237/6)</f>
        <v>0.3209743455460104</v>
      </c>
      <c r="D238" s="24">
        <f>SQRT(D237/6)</f>
        <v>0.10847926786830547</v>
      </c>
      <c r="E238" s="24"/>
      <c r="F238" s="24"/>
      <c r="G238" s="24"/>
      <c r="H238" s="24"/>
      <c r="I238" s="24"/>
      <c r="J238" s="24"/>
      <c r="K238" s="24"/>
      <c r="L238" s="24"/>
      <c r="M238" s="24"/>
    </row>
    <row r="239" spans="1:14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</row>
    <row r="240" spans="1:14" x14ac:dyDescent="0.25">
      <c r="A240" s="24"/>
      <c r="B240" s="24">
        <f>B235-B234</f>
        <v>-0.43297790036640382</v>
      </c>
      <c r="C240" s="24">
        <f>C235-C234</f>
        <v>-0.72910450840515095</v>
      </c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1:13" x14ac:dyDescent="0.25">
      <c r="A241" s="24"/>
      <c r="B241" s="24">
        <f>B240/B234</f>
        <v>-0.26209792729110371</v>
      </c>
      <c r="C241" s="24">
        <f>C240/C234</f>
        <v>-0.58377637176614161</v>
      </c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</row>
    <row r="243" spans="1:13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 spans="1:13" x14ac:dyDescent="0.25">
      <c r="A244" s="24"/>
      <c r="B244" s="24">
        <f>AVERAGE(B229:B235)</f>
        <v>1.5461667512819695</v>
      </c>
      <c r="C244" s="24">
        <f>AVERAGE(C229:C235)</f>
        <v>0.90890681182236599</v>
      </c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6" spans="1:13" x14ac:dyDescent="0.25">
      <c r="A246" s="2" t="s">
        <v>2</v>
      </c>
      <c r="B246" s="3" t="s">
        <v>3</v>
      </c>
      <c r="C246" s="3" t="s">
        <v>4</v>
      </c>
      <c r="D246" s="3" t="s">
        <v>5</v>
      </c>
      <c r="E246" s="4" t="s">
        <v>6</v>
      </c>
      <c r="F246" s="5" t="s">
        <v>7</v>
      </c>
      <c r="G246" s="3" t="s">
        <v>8</v>
      </c>
      <c r="H246" s="6" t="s">
        <v>9</v>
      </c>
      <c r="I246" s="6" t="s">
        <v>10</v>
      </c>
      <c r="J246" s="6" t="s">
        <v>11</v>
      </c>
      <c r="K246" s="2" t="s">
        <v>12</v>
      </c>
      <c r="L246" s="6" t="s">
        <v>13</v>
      </c>
      <c r="M246" s="6" t="s">
        <v>14</v>
      </c>
    </row>
    <row r="247" spans="1:13" x14ac:dyDescent="0.25">
      <c r="A247" s="32">
        <v>39753</v>
      </c>
      <c r="B247" s="3">
        <v>23.053000000000001</v>
      </c>
      <c r="C247" s="3">
        <v>6</v>
      </c>
      <c r="D247" s="4">
        <v>-0.06</v>
      </c>
      <c r="E247" s="4">
        <v>0</v>
      </c>
      <c r="F247" s="4">
        <v>0</v>
      </c>
      <c r="G247" s="4">
        <v>8.75</v>
      </c>
      <c r="H247" s="3">
        <f t="shared" ref="H247:H256" si="40">EXP(-0.228+(0.348*G247)+(-0.002*F247)+(-0.092*E247)+(3.27*D247))</f>
        <v>13.746716560549878</v>
      </c>
      <c r="I247" s="2">
        <f t="shared" ref="I247:I256" si="41">1+EXP(-0.228+(0.348*G247)+(-0.002*F247)+(-0.092*E247)+(3.27*D247))</f>
        <v>14.746716560549878</v>
      </c>
      <c r="J247" s="2">
        <f t="shared" ref="J247:J256" si="42">H247/I247</f>
        <v>0.93218829453363339</v>
      </c>
      <c r="K247" s="2">
        <v>13.75</v>
      </c>
      <c r="L247" s="2">
        <f t="shared" ref="L247:L256" si="43">C247*K247/J247/B247</f>
        <v>3.8390419084631051</v>
      </c>
      <c r="M247" s="7">
        <f t="shared" ref="M247:M256" si="44">L247/2.47</f>
        <v>1.5542679791348601</v>
      </c>
    </row>
    <row r="248" spans="1:13" x14ac:dyDescent="0.25">
      <c r="A248" s="32">
        <v>39763</v>
      </c>
      <c r="B248" s="3">
        <v>19.195</v>
      </c>
      <c r="C248" s="3">
        <v>2</v>
      </c>
      <c r="D248" s="4">
        <v>0.03</v>
      </c>
      <c r="E248" s="4">
        <v>0</v>
      </c>
      <c r="F248" s="4">
        <v>0</v>
      </c>
      <c r="G248" s="4">
        <v>8.5</v>
      </c>
      <c r="H248" s="3">
        <f t="shared" si="40"/>
        <v>16.913295016168881</v>
      </c>
      <c r="I248" s="2">
        <f t="shared" si="41"/>
        <v>17.913295016168881</v>
      </c>
      <c r="J248" s="2">
        <f t="shared" si="42"/>
        <v>0.94417554117780222</v>
      </c>
      <c r="K248" s="2">
        <v>13.75</v>
      </c>
      <c r="L248" s="2">
        <f t="shared" si="43"/>
        <v>1.5173711814858373</v>
      </c>
      <c r="M248" s="7">
        <f t="shared" si="44"/>
        <v>0.61432031639102713</v>
      </c>
    </row>
    <row r="249" spans="1:13" x14ac:dyDescent="0.25">
      <c r="A249" s="32">
        <v>39758</v>
      </c>
      <c r="B249" s="3">
        <v>25</v>
      </c>
      <c r="C249" s="3">
        <v>2</v>
      </c>
      <c r="D249" s="4">
        <v>0.03</v>
      </c>
      <c r="E249" s="4">
        <v>0</v>
      </c>
      <c r="F249" s="4">
        <v>0</v>
      </c>
      <c r="G249" s="4">
        <v>8.25</v>
      </c>
      <c r="H249" s="3">
        <f t="shared" si="40"/>
        <v>15.504030153008365</v>
      </c>
      <c r="I249" s="2">
        <f t="shared" si="41"/>
        <v>16.504030153008365</v>
      </c>
      <c r="J249" s="2">
        <f t="shared" si="42"/>
        <v>0.93940873891231236</v>
      </c>
      <c r="K249" s="2">
        <v>13.75</v>
      </c>
      <c r="L249" s="2">
        <f t="shared" si="43"/>
        <v>1.1709492944185584</v>
      </c>
      <c r="M249" s="7">
        <f t="shared" si="44"/>
        <v>0.47406854025042849</v>
      </c>
    </row>
    <row r="250" spans="1:13" x14ac:dyDescent="0.25">
      <c r="A250" s="32">
        <v>39761</v>
      </c>
      <c r="B250" s="3">
        <v>25</v>
      </c>
      <c r="C250" s="3">
        <v>3</v>
      </c>
      <c r="D250" s="4">
        <v>0.05</v>
      </c>
      <c r="E250" s="4">
        <v>0</v>
      </c>
      <c r="F250" s="4">
        <v>0</v>
      </c>
      <c r="G250" s="4">
        <v>8</v>
      </c>
      <c r="H250" s="3">
        <f t="shared" si="40"/>
        <v>15.172733981055476</v>
      </c>
      <c r="I250" s="2">
        <f t="shared" si="41"/>
        <v>16.172733981055476</v>
      </c>
      <c r="J250" s="2">
        <f t="shared" si="42"/>
        <v>0.93816753548463816</v>
      </c>
      <c r="K250" s="2">
        <v>13.75</v>
      </c>
      <c r="L250" s="2">
        <f t="shared" si="43"/>
        <v>1.7587477050648994</v>
      </c>
      <c r="M250" s="7">
        <f t="shared" si="44"/>
        <v>0.71204360528943289</v>
      </c>
    </row>
    <row r="251" spans="1:13" x14ac:dyDescent="0.25">
      <c r="A251" s="32">
        <v>39759</v>
      </c>
      <c r="B251" s="3">
        <v>25</v>
      </c>
      <c r="C251" s="3">
        <v>5</v>
      </c>
      <c r="D251" s="4">
        <v>0</v>
      </c>
      <c r="E251" s="4">
        <v>0</v>
      </c>
      <c r="F251" s="4">
        <v>0</v>
      </c>
      <c r="G251" s="4">
        <v>8</v>
      </c>
      <c r="H251" s="3">
        <f t="shared" si="40"/>
        <v>12.884177394975243</v>
      </c>
      <c r="I251" s="2">
        <f t="shared" si="41"/>
        <v>13.884177394975243</v>
      </c>
      <c r="J251" s="2">
        <f t="shared" si="42"/>
        <v>0.92797556732731568</v>
      </c>
      <c r="K251" s="2">
        <v>13.75</v>
      </c>
      <c r="L251" s="2">
        <f t="shared" si="43"/>
        <v>2.9634400913381156</v>
      </c>
      <c r="M251" s="7">
        <f t="shared" si="44"/>
        <v>1.1997733163312208</v>
      </c>
    </row>
    <row r="252" spans="1:13" x14ac:dyDescent="0.25">
      <c r="A252" s="32">
        <v>39755</v>
      </c>
      <c r="B252" s="3">
        <v>23.904</v>
      </c>
      <c r="C252" s="3">
        <v>8</v>
      </c>
      <c r="D252" s="4">
        <v>0.01</v>
      </c>
      <c r="E252" s="4">
        <v>0</v>
      </c>
      <c r="F252" s="4">
        <v>0</v>
      </c>
      <c r="G252" s="4">
        <v>6</v>
      </c>
      <c r="H252" s="3">
        <f t="shared" si="40"/>
        <v>6.6372651258102406</v>
      </c>
      <c r="I252" s="2">
        <f t="shared" si="41"/>
        <v>7.6372651258102406</v>
      </c>
      <c r="J252" s="2">
        <f t="shared" si="42"/>
        <v>0.86906307643812353</v>
      </c>
      <c r="K252" s="2">
        <v>15.8</v>
      </c>
      <c r="L252" s="2">
        <f t="shared" si="43"/>
        <v>6.0845041997326605</v>
      </c>
      <c r="M252" s="7">
        <f t="shared" si="44"/>
        <v>2.463362024183263</v>
      </c>
    </row>
    <row r="253" spans="1:13" x14ac:dyDescent="0.25">
      <c r="A253" s="32">
        <v>39758</v>
      </c>
      <c r="B253" s="3">
        <v>24.097999999999999</v>
      </c>
      <c r="C253" s="3">
        <v>7</v>
      </c>
      <c r="D253" s="4">
        <v>0.03</v>
      </c>
      <c r="E253" s="4">
        <v>0</v>
      </c>
      <c r="F253" s="4">
        <v>0</v>
      </c>
      <c r="G253" s="4">
        <v>7.75</v>
      </c>
      <c r="H253" s="3">
        <f t="shared" si="40"/>
        <v>13.027988438775699</v>
      </c>
      <c r="I253" s="2">
        <f t="shared" si="41"/>
        <v>14.027988438775699</v>
      </c>
      <c r="J253" s="2">
        <f t="shared" si="42"/>
        <v>0.92871394181963873</v>
      </c>
      <c r="K253" s="2">
        <v>15.8</v>
      </c>
      <c r="L253" s="2">
        <f t="shared" si="43"/>
        <v>4.9418796150623576</v>
      </c>
      <c r="M253" s="7">
        <f t="shared" si="44"/>
        <v>2.0007609777580395</v>
      </c>
    </row>
    <row r="254" spans="1:13" x14ac:dyDescent="0.25">
      <c r="A254" s="32">
        <v>39759</v>
      </c>
      <c r="B254" s="3">
        <v>25</v>
      </c>
      <c r="C254" s="3">
        <v>5</v>
      </c>
      <c r="D254" s="4">
        <v>0</v>
      </c>
      <c r="E254" s="4">
        <v>0</v>
      </c>
      <c r="F254" s="4">
        <v>0</v>
      </c>
      <c r="G254" s="4">
        <v>9</v>
      </c>
      <c r="H254" s="3">
        <f t="shared" si="40"/>
        <v>18.246987538135343</v>
      </c>
      <c r="I254" s="2">
        <f t="shared" si="41"/>
        <v>19.246987538135343</v>
      </c>
      <c r="J254" s="2">
        <f t="shared" si="42"/>
        <v>0.94804381734966925</v>
      </c>
      <c r="K254" s="2">
        <v>15.8</v>
      </c>
      <c r="L254" s="2">
        <f t="shared" si="43"/>
        <v>3.3331792710109407</v>
      </c>
      <c r="M254" s="7">
        <f t="shared" si="44"/>
        <v>1.3494652919072634</v>
      </c>
    </row>
    <row r="255" spans="1:13" x14ac:dyDescent="0.25">
      <c r="A255" s="32">
        <v>39757</v>
      </c>
      <c r="B255" s="3">
        <v>23.885000000000002</v>
      </c>
      <c r="C255" s="3">
        <v>6</v>
      </c>
      <c r="D255" s="4">
        <v>-0.01</v>
      </c>
      <c r="E255" s="4">
        <v>0</v>
      </c>
      <c r="F255" s="4">
        <v>0</v>
      </c>
      <c r="G255" s="4">
        <v>7.25</v>
      </c>
      <c r="H255" s="3">
        <f t="shared" si="40"/>
        <v>9.6051556385628629</v>
      </c>
      <c r="I255" s="2">
        <f t="shared" si="41"/>
        <v>10.605155638562863</v>
      </c>
      <c r="J255" s="2">
        <f t="shared" si="42"/>
        <v>0.90570624005141775</v>
      </c>
      <c r="K255" s="2">
        <v>15.8</v>
      </c>
      <c r="L255" s="2">
        <f t="shared" si="43"/>
        <v>4.382235692713996</v>
      </c>
      <c r="M255" s="7">
        <f t="shared" si="44"/>
        <v>1.7741844909773261</v>
      </c>
    </row>
    <row r="256" spans="1:13" x14ac:dyDescent="0.25">
      <c r="A256" s="32">
        <v>39752</v>
      </c>
      <c r="B256" s="3">
        <v>25</v>
      </c>
      <c r="C256" s="3">
        <v>7</v>
      </c>
      <c r="D256" s="4">
        <v>0.01</v>
      </c>
      <c r="E256" s="4">
        <v>0</v>
      </c>
      <c r="F256" s="4">
        <v>10</v>
      </c>
      <c r="G256" s="4">
        <v>8.25</v>
      </c>
      <c r="H256" s="3">
        <f t="shared" si="40"/>
        <v>14.23494703550697</v>
      </c>
      <c r="I256" s="2">
        <f t="shared" si="41"/>
        <v>15.23494703550697</v>
      </c>
      <c r="J256" s="2">
        <f t="shared" si="42"/>
        <v>0.93436143902112867</v>
      </c>
      <c r="K256" s="2">
        <v>15.8</v>
      </c>
      <c r="L256" s="2">
        <f t="shared" si="43"/>
        <v>4.7347844369891217</v>
      </c>
      <c r="M256" s="7">
        <f t="shared" si="44"/>
        <v>1.9169167761089561</v>
      </c>
    </row>
    <row r="257" spans="1:13" x14ac:dyDescent="0.25">
      <c r="A257" s="32"/>
      <c r="B257" s="2" t="s">
        <v>82</v>
      </c>
      <c r="C257" s="7">
        <f>AVERAGE(C247:C256)</f>
        <v>5.0999999999999996</v>
      </c>
      <c r="D257" s="4"/>
      <c r="E257" s="4"/>
      <c r="F257" s="4"/>
      <c r="G257" s="4"/>
      <c r="H257" s="3"/>
      <c r="I257" s="2"/>
      <c r="J257" s="2"/>
      <c r="K257" s="2"/>
      <c r="L257" s="2" t="s">
        <v>82</v>
      </c>
      <c r="M257" s="7">
        <f>AVERAGE(M247:M256)</f>
        <v>1.4059163318331815</v>
      </c>
    </row>
    <row r="258" spans="1:13" x14ac:dyDescent="0.25">
      <c r="A258" s="32"/>
      <c r="B258" s="2" t="s">
        <v>17</v>
      </c>
      <c r="C258" s="7">
        <f>SQRT(VAR(C247:C256)/COUNT(C247:C256))</f>
        <v>0.67412494720522265</v>
      </c>
      <c r="D258" s="4"/>
      <c r="E258" s="4"/>
      <c r="F258" s="4"/>
      <c r="G258" s="4"/>
      <c r="H258" s="3"/>
      <c r="I258" s="2"/>
      <c r="J258" s="2"/>
      <c r="K258" s="2"/>
      <c r="L258" s="2" t="s">
        <v>17</v>
      </c>
      <c r="M258" s="7">
        <f>SQRT(VAR(M247:M256)/COUNT(M247:M256))</f>
        <v>0.20851027763460914</v>
      </c>
    </row>
    <row r="259" spans="1:13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</row>
    <row r="260" spans="1:13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</row>
    <row r="261" spans="1:13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</row>
    <row r="262" spans="1:13" x14ac:dyDescent="0.25">
      <c r="A262" s="33" t="s">
        <v>46</v>
      </c>
      <c r="B262" s="33" t="s">
        <v>47</v>
      </c>
      <c r="C262" s="7" t="s">
        <v>41</v>
      </c>
      <c r="D262" s="3" t="s">
        <v>42</v>
      </c>
      <c r="E262" s="24"/>
      <c r="F262" s="24"/>
      <c r="G262" s="24"/>
      <c r="H262" s="24"/>
      <c r="I262" s="24"/>
      <c r="J262" s="24"/>
      <c r="K262" s="24"/>
      <c r="L262" s="24"/>
    </row>
    <row r="263" spans="1:13" x14ac:dyDescent="0.25">
      <c r="A263" s="33">
        <v>1.0316364700963561</v>
      </c>
      <c r="B263" s="33">
        <v>0.99033061750153839</v>
      </c>
      <c r="C263" s="33">
        <v>0.14219047713191268</v>
      </c>
      <c r="D263" s="33">
        <v>0.17589312657461478</v>
      </c>
      <c r="E263" s="24"/>
      <c r="F263" s="24"/>
      <c r="G263" s="24"/>
      <c r="H263" s="24"/>
      <c r="I263" s="24"/>
      <c r="J263" s="24"/>
      <c r="K263" s="24"/>
      <c r="L263" s="24"/>
    </row>
    <row r="264" spans="1:13" x14ac:dyDescent="0.25">
      <c r="A264" s="24">
        <v>1.0236499451406069</v>
      </c>
      <c r="B264" s="24">
        <v>0.9719320762740864</v>
      </c>
      <c r="C264" s="24">
        <v>0.11170036700994833</v>
      </c>
      <c r="D264" s="24">
        <v>0.19972369606521742</v>
      </c>
      <c r="E264" s="24"/>
      <c r="F264" s="24"/>
      <c r="G264" s="24"/>
      <c r="H264" s="24"/>
      <c r="I264" s="24"/>
      <c r="J264" s="24"/>
      <c r="K264" s="24"/>
      <c r="L264" s="24"/>
    </row>
    <row r="265" spans="1:13" x14ac:dyDescent="0.25">
      <c r="A265" s="3">
        <v>1.8533569823606124</v>
      </c>
      <c r="B265" s="3">
        <v>1.3607961439237588</v>
      </c>
      <c r="C265" s="4">
        <v>0.11809188712181511</v>
      </c>
      <c r="D265" s="9">
        <v>0.18668043927457809</v>
      </c>
      <c r="E265" s="24"/>
      <c r="F265" s="24"/>
      <c r="G265" s="24"/>
      <c r="H265" s="24"/>
      <c r="I265" s="24"/>
      <c r="J265" s="24"/>
      <c r="K265" s="24"/>
      <c r="L265" s="24"/>
    </row>
    <row r="266" spans="1:13" x14ac:dyDescent="0.25">
      <c r="A266" s="24">
        <v>1.4611090900000001</v>
      </c>
      <c r="B266" s="24">
        <v>0.87888371099999996</v>
      </c>
      <c r="C266" s="24">
        <v>0.19464579000000001</v>
      </c>
      <c r="D266" s="24">
        <v>0.14105135899999999</v>
      </c>
      <c r="E266" s="24"/>
      <c r="F266" s="24"/>
      <c r="G266" s="24"/>
      <c r="H266" s="24"/>
      <c r="I266" s="24"/>
      <c r="J266" s="24"/>
      <c r="K266" s="24"/>
      <c r="L266" s="24"/>
    </row>
    <row r="267" spans="1:13" x14ac:dyDescent="0.25">
      <c r="A267" s="24">
        <v>1.5136798743153799</v>
      </c>
      <c r="B267" s="24">
        <v>0.36185557740881574</v>
      </c>
      <c r="C267" s="24">
        <v>0.28326734760581734</v>
      </c>
      <c r="D267" s="24">
        <v>0.10008703348918745</v>
      </c>
      <c r="E267" s="24"/>
      <c r="F267" s="24"/>
      <c r="G267" s="24"/>
      <c r="H267" s="24"/>
      <c r="I267" s="24"/>
      <c r="J267" s="24"/>
      <c r="K267" s="24"/>
      <c r="L267" s="24"/>
    </row>
    <row r="268" spans="1:13" x14ac:dyDescent="0.25">
      <c r="A268" s="24">
        <v>2.1004093635234411</v>
      </c>
      <c r="B268" s="24">
        <v>1.0200949300138953</v>
      </c>
      <c r="C268" s="24">
        <v>0.21922070550546208</v>
      </c>
      <c r="D268" s="24">
        <v>0.12742212933165845</v>
      </c>
      <c r="E268" s="24"/>
      <c r="F268" s="24"/>
      <c r="G268" s="24"/>
      <c r="H268" s="24"/>
      <c r="I268" s="24"/>
      <c r="J268" s="24"/>
      <c r="K268" s="24"/>
      <c r="L268" s="24"/>
    </row>
    <row r="269" spans="1:13" x14ac:dyDescent="0.25">
      <c r="A269" s="24">
        <v>1.6519699520000752</v>
      </c>
      <c r="B269" s="24">
        <v>1.2489448762705784</v>
      </c>
      <c r="C269" s="24">
        <v>0.23544929124387187</v>
      </c>
      <c r="D269" s="24">
        <v>0.12746375493480736</v>
      </c>
      <c r="E269" s="24"/>
      <c r="F269" s="24"/>
      <c r="G269" s="24"/>
      <c r="H269" s="24"/>
      <c r="I269" s="24"/>
      <c r="J269" s="24"/>
      <c r="K269" s="24"/>
      <c r="L269" s="24"/>
    </row>
    <row r="270" spans="1:13" x14ac:dyDescent="0.25">
      <c r="A270" s="24">
        <v>1.2189920516336714</v>
      </c>
      <c r="B270" s="24">
        <v>0.51984036786542742</v>
      </c>
      <c r="C270" s="24"/>
      <c r="D270" s="24"/>
      <c r="E270" s="24"/>
      <c r="F270" s="24"/>
      <c r="G270" s="24"/>
      <c r="H270" s="24"/>
      <c r="I270" s="24"/>
      <c r="J270" s="24"/>
      <c r="K270" s="24"/>
      <c r="L270" s="24"/>
    </row>
    <row r="271" spans="1:13" x14ac:dyDescent="0.25">
      <c r="A271" s="24">
        <f>AVERAGE(M247:M251)</f>
        <v>0.9108947514793938</v>
      </c>
      <c r="B271" s="24">
        <f>AVERAGE(M252:M256)</f>
        <v>1.9009379121869696</v>
      </c>
      <c r="C271" s="24"/>
      <c r="D271" s="24"/>
      <c r="E271" s="24"/>
      <c r="F271" s="24"/>
      <c r="G271" s="24"/>
      <c r="H271" s="24"/>
      <c r="I271" s="24"/>
      <c r="J271" s="24"/>
      <c r="K271" s="24"/>
      <c r="L271" s="24"/>
    </row>
    <row r="272" spans="1:13" x14ac:dyDescent="0.25">
      <c r="A272" s="24"/>
      <c r="B272" s="24" t="s">
        <v>43</v>
      </c>
      <c r="C272" s="24" t="s">
        <v>44</v>
      </c>
      <c r="D272" s="24"/>
      <c r="E272" s="24"/>
      <c r="F272" s="24"/>
      <c r="G272" s="24"/>
      <c r="H272" s="24"/>
      <c r="I272" s="24"/>
      <c r="J272" s="24"/>
      <c r="K272" s="24"/>
      <c r="L272" s="24"/>
    </row>
    <row r="273" spans="1:30" x14ac:dyDescent="0.25">
      <c r="A273" s="24"/>
      <c r="B273" s="24">
        <f>VAR(M247:M252)</f>
        <v>0.5648314884028377</v>
      </c>
      <c r="C273" s="24">
        <f>VAR(M253:M258)</f>
        <v>0.43589311201925973</v>
      </c>
      <c r="D273" s="24"/>
      <c r="E273" s="24"/>
      <c r="F273" s="24"/>
      <c r="G273" s="24"/>
      <c r="H273" s="24"/>
      <c r="I273" s="24"/>
      <c r="J273" s="24"/>
      <c r="K273" s="24"/>
      <c r="L273" s="24"/>
    </row>
    <row r="274" spans="1:30" x14ac:dyDescent="0.25">
      <c r="A274" s="24"/>
      <c r="B274" s="24">
        <f>SQRT(B273/6)</f>
        <v>0.30682011244452823</v>
      </c>
      <c r="C274" s="24">
        <f>SQRT(C273/6)</f>
        <v>0.26953450985580668</v>
      </c>
      <c r="D274" s="24"/>
      <c r="E274" s="24"/>
      <c r="F274" s="24"/>
      <c r="G274" s="24"/>
      <c r="H274" s="24"/>
      <c r="I274" s="24"/>
      <c r="J274" s="24"/>
      <c r="K274" s="24"/>
      <c r="L274" s="24"/>
    </row>
    <row r="275" spans="1:30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</row>
    <row r="276" spans="1:30" x14ac:dyDescent="0.25">
      <c r="A276" s="24">
        <f>A271-A269</f>
        <v>-0.74107520052068143</v>
      </c>
      <c r="B276" s="24">
        <f>B271-B269</f>
        <v>0.65199303591639124</v>
      </c>
      <c r="C276" s="24"/>
      <c r="D276" s="24"/>
      <c r="E276" s="24"/>
      <c r="F276" s="24"/>
      <c r="G276" s="24"/>
      <c r="H276" s="24"/>
      <c r="I276" s="24"/>
      <c r="J276" s="24"/>
      <c r="K276" s="24"/>
      <c r="L276" s="24"/>
    </row>
    <row r="277" spans="1:30" x14ac:dyDescent="0.25">
      <c r="A277" s="24">
        <f>A276/A269</f>
        <v>-0.44860089593242652</v>
      </c>
      <c r="B277" s="24">
        <f>B276/B269</f>
        <v>0.52203507801183358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</row>
    <row r="278" spans="1:30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</row>
    <row r="280" spans="1:30" x14ac:dyDescent="0.25">
      <c r="A280" s="39" t="s">
        <v>88</v>
      </c>
      <c r="B280" s="39" t="s">
        <v>89</v>
      </c>
      <c r="C280" s="39" t="s">
        <v>48</v>
      </c>
      <c r="D280" s="39" t="s">
        <v>1</v>
      </c>
      <c r="E280" s="39" t="s">
        <v>2</v>
      </c>
      <c r="F280" s="39" t="s">
        <v>3</v>
      </c>
      <c r="G280" s="39" t="s">
        <v>4</v>
      </c>
      <c r="H280" s="39" t="s">
        <v>5</v>
      </c>
      <c r="I280" s="39" t="s">
        <v>6</v>
      </c>
      <c r="J280" s="39" t="s">
        <v>7</v>
      </c>
      <c r="K280" s="39" t="s">
        <v>8</v>
      </c>
      <c r="L280" s="39" t="s">
        <v>9</v>
      </c>
      <c r="M280" s="39" t="s">
        <v>10</v>
      </c>
      <c r="N280" s="39" t="s">
        <v>11</v>
      </c>
      <c r="O280" t="s">
        <v>12</v>
      </c>
      <c r="P280" t="s">
        <v>13</v>
      </c>
      <c r="Q280" t="s">
        <v>14</v>
      </c>
    </row>
    <row r="281" spans="1:30" x14ac:dyDescent="0.25">
      <c r="A281" s="39" t="s">
        <v>90</v>
      </c>
      <c r="B281" s="39" t="s">
        <v>91</v>
      </c>
      <c r="C281" s="39" t="s">
        <v>92</v>
      </c>
      <c r="D281" s="39" t="s">
        <v>93</v>
      </c>
      <c r="E281" s="39">
        <v>40108</v>
      </c>
      <c r="F281" s="39">
        <v>25</v>
      </c>
      <c r="G281" s="39">
        <v>9</v>
      </c>
      <c r="H281" s="39">
        <v>0.11</v>
      </c>
      <c r="I281" s="39">
        <v>0</v>
      </c>
      <c r="J281" s="39">
        <v>0</v>
      </c>
      <c r="K281" s="39">
        <v>6.75</v>
      </c>
      <c r="L281" s="39">
        <v>11.949626229234138</v>
      </c>
      <c r="M281" s="39">
        <v>12.949626229234138</v>
      </c>
      <c r="N281" s="39">
        <v>0.92277769394282039</v>
      </c>
      <c r="O281">
        <v>14.75</v>
      </c>
      <c r="P281">
        <v>5.7543653632453671</v>
      </c>
      <c r="Q281">
        <v>2.3297025762126991</v>
      </c>
      <c r="U281" s="24"/>
      <c r="V281" s="24"/>
      <c r="W281" s="24"/>
      <c r="X281" s="24"/>
      <c r="Y281" s="24" t="s">
        <v>83</v>
      </c>
      <c r="Z281" s="24" t="s">
        <v>84</v>
      </c>
      <c r="AA281" s="24" t="s">
        <v>85</v>
      </c>
      <c r="AB281" s="24" t="s">
        <v>85</v>
      </c>
      <c r="AC281" s="24"/>
      <c r="AD281" s="24"/>
    </row>
    <row r="282" spans="1:30" x14ac:dyDescent="0.25">
      <c r="A282" s="39" t="s">
        <v>90</v>
      </c>
      <c r="B282" s="39" t="s">
        <v>94</v>
      </c>
      <c r="C282" s="39" t="s">
        <v>95</v>
      </c>
      <c r="D282" s="39" t="s">
        <v>96</v>
      </c>
      <c r="E282" s="39">
        <v>40107</v>
      </c>
      <c r="F282" s="39">
        <v>24.19</v>
      </c>
      <c r="G282" s="39">
        <v>5</v>
      </c>
      <c r="H282" s="39"/>
      <c r="I282" s="39">
        <v>0</v>
      </c>
      <c r="J282" s="39">
        <v>0</v>
      </c>
      <c r="K282" s="39">
        <v>4</v>
      </c>
      <c r="L282" s="39">
        <v>3.2027185627468664</v>
      </c>
      <c r="M282" s="39">
        <v>4.2027185627468668</v>
      </c>
      <c r="N282" s="39">
        <v>0.76205877574956915</v>
      </c>
      <c r="O282">
        <v>14.75</v>
      </c>
      <c r="P282">
        <v>4.0007156728902764</v>
      </c>
      <c r="Q282">
        <v>1.6197229444899903</v>
      </c>
      <c r="U282" s="24"/>
      <c r="V282" s="24" t="s">
        <v>86</v>
      </c>
      <c r="W282" s="24" t="s">
        <v>27</v>
      </c>
      <c r="X282" s="24" t="s">
        <v>85</v>
      </c>
      <c r="Y282" s="24" t="s">
        <v>17</v>
      </c>
      <c r="Z282" s="24" t="s">
        <v>17</v>
      </c>
      <c r="AA282" s="24" t="s">
        <v>17</v>
      </c>
      <c r="AB282" s="24" t="s">
        <v>87</v>
      </c>
      <c r="AC282" s="24"/>
      <c r="AD282" s="24"/>
    </row>
    <row r="283" spans="1:30" x14ac:dyDescent="0.25">
      <c r="A283" s="39" t="s">
        <v>90</v>
      </c>
      <c r="B283" s="39" t="s">
        <v>91</v>
      </c>
      <c r="C283" s="39" t="s">
        <v>97</v>
      </c>
      <c r="D283" s="39" t="s">
        <v>98</v>
      </c>
      <c r="E283" s="39">
        <v>40119</v>
      </c>
      <c r="F283" s="39">
        <v>25</v>
      </c>
      <c r="G283" s="39">
        <v>9</v>
      </c>
      <c r="H283" s="39">
        <v>0.01</v>
      </c>
      <c r="I283" s="39">
        <v>1</v>
      </c>
      <c r="J283" s="39">
        <v>100</v>
      </c>
      <c r="K283" s="39">
        <v>6.75</v>
      </c>
      <c r="L283" s="39">
        <v>6.434666411502401</v>
      </c>
      <c r="M283" s="39">
        <v>7.434666411502401</v>
      </c>
      <c r="N283" s="39">
        <v>0.86549497386286633</v>
      </c>
      <c r="O283">
        <v>14.75</v>
      </c>
      <c r="P283">
        <v>6.1352176042114657</v>
      </c>
      <c r="Q283">
        <v>2.483893766887233</v>
      </c>
      <c r="U283" s="24">
        <v>2007</v>
      </c>
      <c r="V283" s="24">
        <v>3.4</v>
      </c>
      <c r="W283" s="24">
        <v>11.3</v>
      </c>
      <c r="X283" s="24">
        <v>0.87</v>
      </c>
      <c r="Y283" s="24">
        <v>0.59599999999999997</v>
      </c>
      <c r="Z283" s="24">
        <v>0.76600000000000001</v>
      </c>
      <c r="AA283" s="24">
        <v>0.19</v>
      </c>
      <c r="AB283" s="24">
        <f>AA283*1.96</f>
        <v>0.37240000000000001</v>
      </c>
      <c r="AC283" s="24"/>
      <c r="AD283" s="24"/>
    </row>
    <row r="284" spans="1:30" x14ac:dyDescent="0.25">
      <c r="A284" s="39" t="s">
        <v>90</v>
      </c>
      <c r="B284" s="39" t="s">
        <v>91</v>
      </c>
      <c r="C284" s="39" t="s">
        <v>99</v>
      </c>
      <c r="D284" s="39" t="s">
        <v>100</v>
      </c>
      <c r="E284" s="39">
        <v>40116</v>
      </c>
      <c r="F284" s="39">
        <v>25</v>
      </c>
      <c r="G284" s="39">
        <v>5</v>
      </c>
      <c r="H284" s="39">
        <v>0.01</v>
      </c>
      <c r="I284" s="39">
        <v>6</v>
      </c>
      <c r="J284" s="39">
        <v>100</v>
      </c>
      <c r="K284" s="39">
        <v>3.5</v>
      </c>
      <c r="L284" s="39">
        <v>1.3108817468649505</v>
      </c>
      <c r="M284" s="39">
        <v>2.3108817468649505</v>
      </c>
      <c r="N284" s="39">
        <v>0.56726474586739606</v>
      </c>
      <c r="O284">
        <v>14.75</v>
      </c>
      <c r="P284">
        <v>5.2003936812417262</v>
      </c>
      <c r="Q284">
        <v>2.1054225430128444</v>
      </c>
      <c r="U284" s="24">
        <v>2008</v>
      </c>
      <c r="V284" s="24">
        <v>5.0999999999999996</v>
      </c>
      <c r="W284" s="24">
        <v>15.1</v>
      </c>
      <c r="X284" s="24">
        <v>1.41</v>
      </c>
      <c r="Y284" s="24">
        <v>0.67400000000000004</v>
      </c>
      <c r="Z284" s="24">
        <v>1.31</v>
      </c>
      <c r="AA284" s="24">
        <v>0.2</v>
      </c>
      <c r="AB284" s="24">
        <f t="shared" ref="AB284:AB285" si="45">AA284*1.96</f>
        <v>0.39200000000000002</v>
      </c>
      <c r="AC284" s="24">
        <f>(X284-X283)/X283</f>
        <v>0.6206896551724137</v>
      </c>
      <c r="AD284" s="24"/>
    </row>
    <row r="285" spans="1:30" x14ac:dyDescent="0.25">
      <c r="A285" s="39" t="s">
        <v>101</v>
      </c>
      <c r="B285" s="39" t="s">
        <v>91</v>
      </c>
      <c r="C285" s="39" t="s">
        <v>102</v>
      </c>
      <c r="D285" s="39" t="s">
        <v>103</v>
      </c>
      <c r="E285" s="39">
        <v>40119</v>
      </c>
      <c r="F285" s="39">
        <v>25</v>
      </c>
      <c r="G285" s="39">
        <v>5</v>
      </c>
      <c r="H285" s="39">
        <v>0.03</v>
      </c>
      <c r="I285" s="39">
        <v>2</v>
      </c>
      <c r="J285" s="39">
        <v>100</v>
      </c>
      <c r="K285" s="39">
        <v>4</v>
      </c>
      <c r="L285" s="39">
        <v>2.4063233458942355</v>
      </c>
      <c r="M285" s="39">
        <v>3.4063233458942355</v>
      </c>
      <c r="N285" s="39">
        <v>0.7064283397507356</v>
      </c>
      <c r="O285">
        <v>14.75</v>
      </c>
      <c r="P285">
        <v>4.175936657695404</v>
      </c>
      <c r="Q285">
        <v>1.6906626144515804</v>
      </c>
      <c r="U285" s="24">
        <v>2009</v>
      </c>
      <c r="V285" s="24">
        <v>6.6</v>
      </c>
      <c r="W285" s="24">
        <v>14.8</v>
      </c>
      <c r="X285" s="24">
        <v>2.0499999999999998</v>
      </c>
      <c r="Y285" s="24">
        <v>0.45</v>
      </c>
      <c r="Z285" s="24">
        <v>0.66</v>
      </c>
      <c r="AA285" s="24">
        <v>0.09</v>
      </c>
      <c r="AB285" s="24">
        <f t="shared" si="45"/>
        <v>0.1764</v>
      </c>
      <c r="AC285" s="24">
        <f>(X285-X284)/X284</f>
        <v>0.45390070921985809</v>
      </c>
      <c r="AD285" s="24"/>
    </row>
    <row r="286" spans="1:30" x14ac:dyDescent="0.25">
      <c r="A286" s="39" t="s">
        <v>101</v>
      </c>
      <c r="B286" s="39" t="s">
        <v>91</v>
      </c>
      <c r="C286" s="39" t="s">
        <v>51</v>
      </c>
      <c r="D286" s="39" t="s">
        <v>104</v>
      </c>
      <c r="E286" s="39">
        <v>40115</v>
      </c>
      <c r="F286" s="39">
        <v>25</v>
      </c>
      <c r="G286" s="39">
        <v>6</v>
      </c>
      <c r="H286" s="39">
        <v>0.01</v>
      </c>
      <c r="I286" s="39">
        <v>2</v>
      </c>
      <c r="J286" s="39">
        <v>30</v>
      </c>
      <c r="K286" s="39">
        <v>6.5</v>
      </c>
      <c r="L286" s="39">
        <v>6.1885449843827427</v>
      </c>
      <c r="M286" s="39">
        <v>7.1885449843827427</v>
      </c>
      <c r="N286" s="39">
        <v>0.86088979032995971</v>
      </c>
      <c r="O286">
        <v>14.75</v>
      </c>
      <c r="P286">
        <v>4.1120246049650531</v>
      </c>
      <c r="Q286">
        <v>1.6647872894595355</v>
      </c>
    </row>
    <row r="287" spans="1:30" x14ac:dyDescent="0.25">
      <c r="A287" s="39" t="s">
        <v>101</v>
      </c>
      <c r="B287" s="39" t="s">
        <v>91</v>
      </c>
      <c r="C287" s="39" t="s">
        <v>105</v>
      </c>
      <c r="D287" s="39" t="s">
        <v>106</v>
      </c>
      <c r="E287" s="39">
        <v>40120</v>
      </c>
      <c r="F287" s="39">
        <v>25</v>
      </c>
      <c r="G287" s="39">
        <v>6</v>
      </c>
      <c r="H287" s="39">
        <v>0.04</v>
      </c>
      <c r="I287" s="39">
        <v>1</v>
      </c>
      <c r="J287" s="39">
        <v>25</v>
      </c>
      <c r="K287" s="39">
        <v>5.25</v>
      </c>
      <c r="L287" s="39">
        <v>4.8929725390589738</v>
      </c>
      <c r="M287" s="39">
        <v>5.8929725390589738</v>
      </c>
      <c r="N287" s="39">
        <v>0.83030635330948166</v>
      </c>
      <c r="O287">
        <v>14.75</v>
      </c>
      <c r="P287">
        <v>4.2634865864750635</v>
      </c>
      <c r="Q287">
        <v>1.7261079297469892</v>
      </c>
    </row>
    <row r="288" spans="1:30" x14ac:dyDescent="0.25">
      <c r="A288" s="39" t="s">
        <v>101</v>
      </c>
      <c r="B288" s="39" t="s">
        <v>94</v>
      </c>
      <c r="C288" s="39" t="s">
        <v>107</v>
      </c>
      <c r="D288" s="39">
        <v>40068</v>
      </c>
      <c r="E288" s="39">
        <v>40120</v>
      </c>
      <c r="F288" s="39">
        <v>22.46</v>
      </c>
      <c r="G288" s="39">
        <v>6</v>
      </c>
      <c r="H288" s="39">
        <v>0.04</v>
      </c>
      <c r="I288" s="39">
        <v>1</v>
      </c>
      <c r="J288" s="39">
        <v>10</v>
      </c>
      <c r="K288" s="39">
        <v>4.25</v>
      </c>
      <c r="L288" s="39">
        <v>3.5601404630553524</v>
      </c>
      <c r="M288" s="39">
        <v>4.5601404630553528</v>
      </c>
      <c r="N288" s="39">
        <v>0.78070850928789426</v>
      </c>
      <c r="O288">
        <v>14.75</v>
      </c>
      <c r="P288">
        <v>5.0471313332233843</v>
      </c>
      <c r="Q288">
        <v>2.0433730094021798</v>
      </c>
    </row>
    <row r="289" spans="1:17" x14ac:dyDescent="0.25">
      <c r="A289" s="39" t="s">
        <v>108</v>
      </c>
      <c r="B289" s="39" t="s">
        <v>94</v>
      </c>
      <c r="C289" s="39" t="s">
        <v>109</v>
      </c>
      <c r="D289" s="39" t="s">
        <v>110</v>
      </c>
      <c r="E289" s="39">
        <v>40121</v>
      </c>
      <c r="F289" s="39">
        <v>24.18</v>
      </c>
      <c r="G289" s="39">
        <v>8</v>
      </c>
      <c r="H289" s="39">
        <v>0.03</v>
      </c>
      <c r="I289" s="39">
        <v>0</v>
      </c>
      <c r="J289" s="39">
        <v>10</v>
      </c>
      <c r="K289" s="39">
        <v>4.25</v>
      </c>
      <c r="L289" s="39">
        <v>3.777641979383247</v>
      </c>
      <c r="M289" s="39">
        <v>4.7776419793832474</v>
      </c>
      <c r="N289" s="39">
        <v>0.79069172526630138</v>
      </c>
      <c r="O289">
        <v>14.75</v>
      </c>
      <c r="P289">
        <v>6.1718948288540219</v>
      </c>
      <c r="Q289">
        <v>2.498742845689887</v>
      </c>
    </row>
    <row r="290" spans="1:17" x14ac:dyDescent="0.25">
      <c r="A290" s="39" t="s">
        <v>108</v>
      </c>
      <c r="B290" s="39" t="s">
        <v>94</v>
      </c>
      <c r="C290" s="39" t="s">
        <v>111</v>
      </c>
      <c r="D290" s="39" t="s">
        <v>112</v>
      </c>
      <c r="E290" s="39">
        <v>40107</v>
      </c>
      <c r="F290" s="39">
        <v>25</v>
      </c>
      <c r="G290" s="39">
        <v>8</v>
      </c>
      <c r="H290" s="39"/>
      <c r="I290" s="39">
        <v>3</v>
      </c>
      <c r="J290" s="39">
        <v>0</v>
      </c>
      <c r="K290" s="39">
        <v>5.25</v>
      </c>
      <c r="L290" s="39">
        <v>3.7546685036468803</v>
      </c>
      <c r="M290" s="39">
        <v>4.7546685036468803</v>
      </c>
      <c r="N290" s="39">
        <v>0.78968039533502921</v>
      </c>
      <c r="O290">
        <v>14.75</v>
      </c>
      <c r="P290">
        <v>5.9771016576870908</v>
      </c>
      <c r="Q290">
        <v>2.4198792136384979</v>
      </c>
    </row>
    <row r="291" spans="1:17" x14ac:dyDescent="0.25">
      <c r="A291" s="39" t="s">
        <v>108</v>
      </c>
      <c r="B291" s="39" t="s">
        <v>94</v>
      </c>
      <c r="C291" s="39" t="s">
        <v>113</v>
      </c>
      <c r="D291" s="39" t="s">
        <v>114</v>
      </c>
      <c r="E291" s="39">
        <v>40116</v>
      </c>
      <c r="F291" s="39">
        <v>25</v>
      </c>
      <c r="G291" s="39">
        <v>5</v>
      </c>
      <c r="H291" s="39">
        <v>0.01</v>
      </c>
      <c r="I291" s="39">
        <v>6</v>
      </c>
      <c r="J291" s="39">
        <v>100</v>
      </c>
      <c r="K291" s="39">
        <v>3.5</v>
      </c>
      <c r="L291" s="39">
        <v>1.3108817468649505</v>
      </c>
      <c r="M291" s="39">
        <v>2.3108817468649505</v>
      </c>
      <c r="N291" s="39">
        <v>0.56726474586739606</v>
      </c>
      <c r="O291">
        <v>14.75</v>
      </c>
      <c r="P291">
        <v>5.2003936812417262</v>
      </c>
      <c r="Q291">
        <v>2.1054225430128444</v>
      </c>
    </row>
    <row r="292" spans="1:17" x14ac:dyDescent="0.25">
      <c r="A292" s="39" t="s">
        <v>108</v>
      </c>
      <c r="B292" s="39" t="s">
        <v>94</v>
      </c>
      <c r="C292" s="39" t="s">
        <v>115</v>
      </c>
      <c r="D292" s="39" t="s">
        <v>116</v>
      </c>
      <c r="E292" s="39">
        <v>40121</v>
      </c>
      <c r="F292" s="39">
        <v>24.3</v>
      </c>
      <c r="G292" s="39">
        <v>7</v>
      </c>
      <c r="H292" s="39">
        <v>0.03</v>
      </c>
      <c r="I292" s="39">
        <v>0</v>
      </c>
      <c r="J292" s="39">
        <v>10</v>
      </c>
      <c r="K292" s="39">
        <v>6</v>
      </c>
      <c r="L292" s="39">
        <v>6.9455418963873292</v>
      </c>
      <c r="M292" s="39">
        <v>7.9455418963873292</v>
      </c>
      <c r="N292" s="39">
        <v>0.87414326007711585</v>
      </c>
      <c r="O292">
        <v>14.75</v>
      </c>
      <c r="P292">
        <v>4.8607263677132266</v>
      </c>
      <c r="Q292">
        <v>1.9679054120296462</v>
      </c>
    </row>
    <row r="293" spans="1:17" x14ac:dyDescent="0.25">
      <c r="A293" s="39"/>
      <c r="B293" s="39"/>
      <c r="C293" s="39"/>
      <c r="D293" s="39"/>
      <c r="E293" s="39"/>
      <c r="F293" s="39" t="s">
        <v>82</v>
      </c>
      <c r="G293" s="39">
        <v>6.583333333333333</v>
      </c>
      <c r="H293" s="39"/>
      <c r="I293" s="39"/>
      <c r="J293" s="39"/>
      <c r="K293" s="39"/>
      <c r="L293" s="39"/>
      <c r="M293" s="39"/>
      <c r="N293" s="39"/>
      <c r="P293" t="s">
        <v>82</v>
      </c>
      <c r="Q293">
        <v>2.0546352240028276</v>
      </c>
    </row>
    <row r="294" spans="1:17" x14ac:dyDescent="0.25">
      <c r="A294" s="39"/>
      <c r="B294" s="39"/>
      <c r="C294" s="39"/>
      <c r="D294" s="39"/>
      <c r="E294" s="39"/>
      <c r="F294" s="39" t="s">
        <v>17</v>
      </c>
      <c r="G294" s="39">
        <v>0.45156853457049145</v>
      </c>
      <c r="H294" s="39"/>
      <c r="I294" s="39"/>
      <c r="J294" s="39"/>
      <c r="K294" s="39"/>
      <c r="L294" s="39"/>
      <c r="M294" s="39"/>
      <c r="N294" s="39"/>
      <c r="P294" t="s">
        <v>17</v>
      </c>
      <c r="Q294">
        <v>9.4744618633336553E-2</v>
      </c>
    </row>
    <row r="295" spans="1:17" x14ac:dyDescent="0.25">
      <c r="A295" s="39"/>
      <c r="B295" s="39"/>
      <c r="C295" s="39"/>
      <c r="D295" s="39"/>
      <c r="E295" s="39" t="s">
        <v>117</v>
      </c>
      <c r="F295" s="39" t="s">
        <v>31</v>
      </c>
      <c r="G295" s="39" t="s">
        <v>41</v>
      </c>
      <c r="H295" s="39" t="s">
        <v>42</v>
      </c>
      <c r="I295" s="39"/>
      <c r="J295" s="39"/>
      <c r="K295" s="39"/>
      <c r="L295" s="39"/>
      <c r="M295" s="39"/>
      <c r="N295" s="39"/>
    </row>
    <row r="296" spans="1:17" x14ac:dyDescent="0.25">
      <c r="A296" s="39"/>
      <c r="B296" s="39"/>
      <c r="C296" s="39"/>
      <c r="D296" s="39">
        <v>2000</v>
      </c>
      <c r="E296" s="39">
        <v>1.0316364700963561</v>
      </c>
      <c r="F296" s="39">
        <v>0.99033061750153839</v>
      </c>
      <c r="G296" s="39">
        <v>0.14219047713191268</v>
      </c>
      <c r="H296" s="39">
        <v>0.17589312657461478</v>
      </c>
      <c r="I296" s="39"/>
      <c r="J296" s="39"/>
      <c r="K296" s="39"/>
      <c r="L296" s="39"/>
      <c r="M296" s="39"/>
      <c r="N296" s="39"/>
    </row>
    <row r="297" spans="1:17" x14ac:dyDescent="0.25">
      <c r="A297" s="39"/>
      <c r="B297" s="39"/>
      <c r="C297" s="39"/>
      <c r="D297" s="39">
        <v>2001</v>
      </c>
      <c r="E297" s="39">
        <v>1.0236499451406069</v>
      </c>
      <c r="F297" s="39">
        <v>0.9719320762740864</v>
      </c>
      <c r="G297" s="39">
        <v>0.11170036700994833</v>
      </c>
      <c r="H297" s="39">
        <v>0.19972369606521742</v>
      </c>
      <c r="I297" s="39"/>
      <c r="J297" s="39"/>
      <c r="K297" s="39"/>
      <c r="L297" s="39"/>
      <c r="M297" s="39"/>
      <c r="N297" s="39"/>
    </row>
    <row r="298" spans="1:17" x14ac:dyDescent="0.25">
      <c r="A298" s="39"/>
      <c r="B298" s="39"/>
      <c r="C298" s="39"/>
      <c r="D298" s="39">
        <v>2002</v>
      </c>
      <c r="E298" s="39">
        <v>1.8533569823606124</v>
      </c>
      <c r="F298" s="39">
        <v>1.3607961439237588</v>
      </c>
      <c r="G298" s="39">
        <v>0.11809188712181511</v>
      </c>
      <c r="H298" s="39">
        <v>0.18668043927457809</v>
      </c>
      <c r="I298" s="39"/>
      <c r="J298" s="39"/>
      <c r="K298" s="39"/>
      <c r="L298" s="39"/>
      <c r="M298" s="39"/>
      <c r="N298" s="39"/>
    </row>
    <row r="299" spans="1:17" x14ac:dyDescent="0.25">
      <c r="A299" s="39"/>
      <c r="B299" s="39"/>
      <c r="C299" s="39"/>
      <c r="D299" s="39">
        <v>2003</v>
      </c>
      <c r="E299" s="39">
        <v>1.4611090900000001</v>
      </c>
      <c r="F299" s="39">
        <v>0.87888371099999996</v>
      </c>
      <c r="G299" s="39">
        <v>0.19464579000000001</v>
      </c>
      <c r="H299" s="39">
        <v>0.14105135899999999</v>
      </c>
      <c r="I299" s="39"/>
      <c r="J299" s="39"/>
      <c r="K299" s="39"/>
      <c r="L299" s="39"/>
      <c r="M299" s="39"/>
      <c r="N299" s="39"/>
    </row>
    <row r="300" spans="1:17" x14ac:dyDescent="0.25">
      <c r="A300" s="39"/>
      <c r="B300" s="39"/>
      <c r="C300" s="39"/>
      <c r="D300" s="39">
        <v>2004</v>
      </c>
      <c r="E300" s="39">
        <v>1.5136798743153799</v>
      </c>
      <c r="F300" s="39">
        <v>0.36185557740881574</v>
      </c>
      <c r="G300" s="39">
        <v>0.28326734760581734</v>
      </c>
      <c r="H300" s="39">
        <v>0.10008703348918745</v>
      </c>
      <c r="I300" s="39"/>
      <c r="J300" s="39"/>
      <c r="K300" s="39"/>
      <c r="L300" s="39"/>
      <c r="M300" s="39"/>
      <c r="N300" s="39"/>
    </row>
    <row r="301" spans="1:17" x14ac:dyDescent="0.25">
      <c r="A301" s="39"/>
      <c r="B301" s="39"/>
      <c r="C301" s="39"/>
      <c r="D301" s="39">
        <v>2005</v>
      </c>
      <c r="E301" s="39">
        <v>2.1004093635234411</v>
      </c>
      <c r="F301" s="39">
        <v>1.0200949300138953</v>
      </c>
      <c r="G301" s="39">
        <v>0.21922070550546208</v>
      </c>
      <c r="H301" s="39">
        <v>0.12742212933165845</v>
      </c>
      <c r="I301" s="39"/>
      <c r="J301" s="39"/>
      <c r="K301" s="39"/>
      <c r="L301" s="39"/>
      <c r="M301" s="39"/>
      <c r="N301" s="39"/>
    </row>
    <row r="302" spans="1:17" x14ac:dyDescent="0.25">
      <c r="A302" s="39"/>
      <c r="B302" s="39"/>
      <c r="C302" s="39"/>
      <c r="D302" s="39">
        <v>2006</v>
      </c>
      <c r="E302" s="39">
        <v>1.6519699520000752</v>
      </c>
      <c r="F302" s="39">
        <v>1.2489448762705784</v>
      </c>
      <c r="G302" s="39">
        <v>0.23544929124387187</v>
      </c>
      <c r="H302" s="39">
        <v>0.12746375493480736</v>
      </c>
      <c r="I302" s="39"/>
      <c r="J302" s="39"/>
      <c r="K302" s="39"/>
      <c r="L302" s="39"/>
      <c r="M302" s="39"/>
      <c r="N302" s="39"/>
    </row>
    <row r="303" spans="1:17" x14ac:dyDescent="0.25">
      <c r="A303" s="39"/>
      <c r="B303" s="39"/>
      <c r="C303" s="39"/>
      <c r="D303" s="39">
        <v>2007</v>
      </c>
      <c r="E303" s="39">
        <v>1.2189920516336714</v>
      </c>
      <c r="F303" s="39">
        <v>0.51984036786542742</v>
      </c>
      <c r="G303" s="39"/>
      <c r="H303" s="39"/>
      <c r="I303" s="39"/>
      <c r="J303" s="39"/>
      <c r="K303" s="39"/>
      <c r="L303" s="39"/>
      <c r="M303" s="39"/>
      <c r="N303" s="39"/>
    </row>
    <row r="304" spans="1:17" x14ac:dyDescent="0.25">
      <c r="A304" s="39"/>
      <c r="B304" s="39"/>
      <c r="C304" s="39"/>
      <c r="D304" s="39">
        <v>2008</v>
      </c>
      <c r="E304" s="39">
        <v>0.91</v>
      </c>
      <c r="F304" s="39">
        <v>1.9</v>
      </c>
      <c r="G304" s="39"/>
      <c r="H304" s="39"/>
      <c r="I304" s="39"/>
      <c r="J304" s="39"/>
      <c r="K304" s="39"/>
      <c r="L304" s="39"/>
      <c r="M304" s="39"/>
      <c r="N304" s="39"/>
    </row>
    <row r="305" spans="1:28" x14ac:dyDescent="0.25">
      <c r="A305" s="39"/>
      <c r="B305" s="39"/>
      <c r="C305" s="39"/>
      <c r="D305" s="39">
        <v>2009</v>
      </c>
      <c r="E305" s="39">
        <v>2.0000961199618135</v>
      </c>
      <c r="F305" s="39">
        <v>2.1091743280438409</v>
      </c>
      <c r="G305" s="39"/>
      <c r="H305" s="39"/>
      <c r="I305" s="39"/>
      <c r="J305" s="39"/>
      <c r="K305" s="39"/>
      <c r="L305" s="39"/>
      <c r="M305" s="39"/>
      <c r="N305" s="39"/>
    </row>
    <row r="306" spans="1:28" x14ac:dyDescent="0.2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</row>
    <row r="307" spans="1:28" x14ac:dyDescent="0.25">
      <c r="A307" s="39"/>
      <c r="B307" s="39"/>
      <c r="C307" s="39"/>
      <c r="D307" s="39"/>
      <c r="E307" s="39"/>
      <c r="F307" s="39" t="s">
        <v>43</v>
      </c>
      <c r="G307" s="39" t="s">
        <v>44</v>
      </c>
      <c r="H307" s="39"/>
      <c r="I307" s="39"/>
      <c r="J307" s="39"/>
      <c r="K307" s="39"/>
      <c r="L307" s="39"/>
      <c r="M307" s="39"/>
      <c r="N307" s="39"/>
    </row>
    <row r="308" spans="1:28" x14ac:dyDescent="0.25">
      <c r="A308" s="39"/>
      <c r="B308" s="39"/>
      <c r="C308" s="39"/>
      <c r="D308" s="39"/>
      <c r="E308" s="39"/>
      <c r="F308" s="39">
        <v>0.14593646403301364</v>
      </c>
      <c r="G308" s="39">
        <v>0.11808281926244817</v>
      </c>
      <c r="H308" s="39"/>
      <c r="I308" s="39"/>
      <c r="J308" s="39"/>
      <c r="K308" s="39"/>
      <c r="L308" s="39"/>
      <c r="M308" s="39"/>
      <c r="N308" s="39"/>
    </row>
    <row r="309" spans="1:28" x14ac:dyDescent="0.25">
      <c r="A309" s="39"/>
      <c r="B309" s="39"/>
      <c r="C309" s="39"/>
      <c r="D309" s="39"/>
      <c r="E309" s="39"/>
      <c r="F309" s="39">
        <v>0.15595750705080622</v>
      </c>
      <c r="G309" s="39">
        <v>0.14028709804210326</v>
      </c>
      <c r="H309" s="39"/>
      <c r="I309" s="39"/>
      <c r="J309" s="39"/>
      <c r="K309" s="39"/>
      <c r="L309" s="39"/>
      <c r="M309" s="39"/>
      <c r="N309" s="39"/>
    </row>
    <row r="310" spans="1:28" x14ac:dyDescent="0.25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</row>
    <row r="311" spans="1:28" x14ac:dyDescent="0.25">
      <c r="A311" s="39"/>
      <c r="B311" s="39"/>
      <c r="C311" s="39"/>
      <c r="D311" s="39"/>
      <c r="E311" s="39">
        <v>0.34812616796173823</v>
      </c>
      <c r="F311" s="39">
        <v>0.86022945177326249</v>
      </c>
      <c r="G311" s="39"/>
      <c r="H311" s="39"/>
      <c r="I311" s="39"/>
      <c r="J311" s="39"/>
      <c r="K311" s="39"/>
      <c r="L311" s="39"/>
      <c r="M311" s="39"/>
      <c r="N311" s="39"/>
    </row>
    <row r="312" spans="1:28" x14ac:dyDescent="0.25">
      <c r="A312" s="39"/>
      <c r="B312" s="39"/>
      <c r="C312" s="39"/>
      <c r="D312" s="39"/>
      <c r="E312" s="39">
        <v>0.21073395889571384</v>
      </c>
      <c r="F312" s="39">
        <v>0.68876494721044645</v>
      </c>
      <c r="G312" s="39"/>
      <c r="H312" s="39"/>
      <c r="I312" s="39"/>
      <c r="J312" s="39"/>
      <c r="K312" s="39"/>
      <c r="L312" s="39"/>
      <c r="M312" s="39"/>
      <c r="N312" s="39"/>
    </row>
    <row r="313" spans="1:28" x14ac:dyDescent="0.25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</row>
    <row r="314" spans="1:28" x14ac:dyDescent="0.25">
      <c r="A314" s="3" t="s">
        <v>89</v>
      </c>
      <c r="B314" s="3" t="s">
        <v>48</v>
      </c>
      <c r="C314" s="3" t="s">
        <v>1</v>
      </c>
      <c r="D314" s="2" t="s">
        <v>2</v>
      </c>
      <c r="E314" s="3" t="s">
        <v>3</v>
      </c>
      <c r="F314" s="3" t="s">
        <v>4</v>
      </c>
      <c r="G314" s="3" t="s">
        <v>5</v>
      </c>
      <c r="H314" s="4" t="s">
        <v>6</v>
      </c>
      <c r="I314" s="5" t="s">
        <v>7</v>
      </c>
      <c r="J314" s="3" t="s">
        <v>8</v>
      </c>
      <c r="K314" s="6" t="s">
        <v>9</v>
      </c>
      <c r="L314" s="6" t="s">
        <v>10</v>
      </c>
      <c r="M314" s="6" t="s">
        <v>11</v>
      </c>
      <c r="N314" s="2" t="s">
        <v>12</v>
      </c>
      <c r="O314" s="6" t="s">
        <v>13</v>
      </c>
      <c r="P314" s="6" t="s">
        <v>14</v>
      </c>
    </row>
    <row r="315" spans="1:28" x14ac:dyDescent="0.25">
      <c r="A315" s="24" t="s">
        <v>31</v>
      </c>
      <c r="B315" s="24" t="s">
        <v>118</v>
      </c>
      <c r="C315" s="38" t="s">
        <v>119</v>
      </c>
      <c r="D315" s="32">
        <v>40469</v>
      </c>
      <c r="E315" s="3">
        <v>25</v>
      </c>
      <c r="F315" s="3">
        <v>7</v>
      </c>
      <c r="G315" s="4">
        <v>-0.01</v>
      </c>
      <c r="H315" s="4">
        <v>0</v>
      </c>
      <c r="I315" s="4">
        <v>0</v>
      </c>
      <c r="J315" s="4">
        <f>AVERAGE(12,8,9,7)</f>
        <v>9</v>
      </c>
      <c r="K315" s="3">
        <f t="shared" ref="K315:K327" si="46">EXP(-0.228+(0.348*J315)+(-0.002*I315)+(-0.092*H315)+(3.27*G315))</f>
        <v>17.659961233237663</v>
      </c>
      <c r="L315" s="2">
        <f t="shared" ref="L315:L327" si="47">1+EXP(-0.228+(0.348*J315)+(-0.002*I315)+(-0.092*H315)+(3.27*G315))</f>
        <v>18.659961233237663</v>
      </c>
      <c r="M315" s="2">
        <f t="shared" ref="M315:M327" si="48">K315/L315</f>
        <v>0.94640932060358351</v>
      </c>
      <c r="N315" s="2">
        <v>13.3</v>
      </c>
      <c r="O315" s="2">
        <f>F315*N315/M315/E315</f>
        <v>3.9348724900817507</v>
      </c>
      <c r="P315" s="7">
        <f t="shared" ref="P315:P327" si="49">O315/2.47</f>
        <v>1.5930657854581984</v>
      </c>
    </row>
    <row r="316" spans="1:28" x14ac:dyDescent="0.25">
      <c r="A316" s="2" t="s">
        <v>31</v>
      </c>
      <c r="B316" s="2" t="s">
        <v>120</v>
      </c>
      <c r="C316" s="40" t="s">
        <v>121</v>
      </c>
      <c r="D316" s="32">
        <v>40471</v>
      </c>
      <c r="E316" s="3">
        <v>25</v>
      </c>
      <c r="F316" s="3">
        <v>8</v>
      </c>
      <c r="G316" s="4">
        <v>-0.04</v>
      </c>
      <c r="H316" s="4">
        <v>0</v>
      </c>
      <c r="I316" s="4">
        <v>0</v>
      </c>
      <c r="J316" s="4">
        <f>AVERAGE(8,10,7,15)</f>
        <v>10</v>
      </c>
      <c r="K316" s="3">
        <f t="shared" si="46"/>
        <v>22.673571610664652</v>
      </c>
      <c r="L316" s="2">
        <f t="shared" si="47"/>
        <v>23.673571610664652</v>
      </c>
      <c r="M316" s="2">
        <f t="shared" si="48"/>
        <v>0.95775880308869354</v>
      </c>
      <c r="N316" s="2">
        <v>13.3</v>
      </c>
      <c r="O316" s="2">
        <f>F316*N316/M316/E316</f>
        <v>4.4437075245612458</v>
      </c>
      <c r="P316" s="7">
        <f t="shared" si="49"/>
        <v>1.7990718722920023</v>
      </c>
    </row>
    <row r="317" spans="1:28" x14ac:dyDescent="0.25">
      <c r="A317" s="24" t="s">
        <v>31</v>
      </c>
      <c r="B317" s="24" t="s">
        <v>122</v>
      </c>
      <c r="C317" s="40" t="s">
        <v>123</v>
      </c>
      <c r="D317" s="32">
        <v>40472</v>
      </c>
      <c r="E317" s="24">
        <v>25</v>
      </c>
      <c r="F317" s="24">
        <v>4</v>
      </c>
      <c r="G317" s="4">
        <v>0.01</v>
      </c>
      <c r="H317" s="4">
        <v>0</v>
      </c>
      <c r="I317" s="4">
        <v>0</v>
      </c>
      <c r="J317" s="4">
        <f>AVERAGE(6,7,6,5)</f>
        <v>6</v>
      </c>
      <c r="K317" s="3">
        <f t="shared" si="46"/>
        <v>6.6372651258102406</v>
      </c>
      <c r="L317" s="2">
        <f t="shared" si="47"/>
        <v>7.6372651258102406</v>
      </c>
      <c r="M317" s="2">
        <f t="shared" si="48"/>
        <v>0.86906307643812353</v>
      </c>
      <c r="N317" s="2">
        <v>13.3</v>
      </c>
      <c r="O317" s="2">
        <f>F317*N317/M317/E317</f>
        <v>2.4486139817625903</v>
      </c>
      <c r="P317" s="7">
        <f t="shared" si="49"/>
        <v>0.99134169302129149</v>
      </c>
      <c r="T317" s="24"/>
      <c r="U317" s="24"/>
      <c r="V317" s="24"/>
      <c r="W317" s="24"/>
      <c r="X317" s="24" t="s">
        <v>83</v>
      </c>
      <c r="Y317" s="24" t="s">
        <v>84</v>
      </c>
      <c r="Z317" s="24" t="s">
        <v>85</v>
      </c>
      <c r="AA317" s="24" t="s">
        <v>85</v>
      </c>
      <c r="AB317" s="24"/>
    </row>
    <row r="318" spans="1:28" x14ac:dyDescent="0.25">
      <c r="A318" s="24" t="s">
        <v>31</v>
      </c>
      <c r="B318" s="2" t="s">
        <v>124</v>
      </c>
      <c r="C318" s="40" t="s">
        <v>125</v>
      </c>
      <c r="D318" s="32">
        <v>40480</v>
      </c>
      <c r="E318" s="3">
        <v>24.4</v>
      </c>
      <c r="F318" s="3">
        <v>3</v>
      </c>
      <c r="G318" s="4">
        <v>0.02</v>
      </c>
      <c r="H318" s="4">
        <v>0</v>
      </c>
      <c r="I318" s="4">
        <v>0</v>
      </c>
      <c r="J318" s="4">
        <f>AVERAGE(5,7,6,9)</f>
        <v>6.75</v>
      </c>
      <c r="K318" s="3">
        <f t="shared" si="46"/>
        <v>8.9031041782490821</v>
      </c>
      <c r="L318" s="2">
        <f t="shared" si="47"/>
        <v>9.9031041782490821</v>
      </c>
      <c r="M318" s="2">
        <f t="shared" si="48"/>
        <v>0.8990215611185457</v>
      </c>
      <c r="N318" s="2">
        <v>13.3</v>
      </c>
      <c r="O318" s="2">
        <f>F318*N318/M318/E318</f>
        <v>1.8189173345351166</v>
      </c>
      <c r="P318" s="7">
        <f t="shared" si="49"/>
        <v>0.73640377916401478</v>
      </c>
      <c r="T318" s="24"/>
      <c r="U318" s="24" t="s">
        <v>86</v>
      </c>
      <c r="V318" s="24" t="s">
        <v>27</v>
      </c>
      <c r="W318" s="24" t="s">
        <v>85</v>
      </c>
      <c r="X318" s="24" t="s">
        <v>17</v>
      </c>
      <c r="Y318" s="24" t="s">
        <v>17</v>
      </c>
      <c r="Z318" s="24" t="s">
        <v>17</v>
      </c>
      <c r="AA318" s="24" t="s">
        <v>87</v>
      </c>
      <c r="AB318" s="24"/>
    </row>
    <row r="319" spans="1:28" x14ac:dyDescent="0.25">
      <c r="A319" s="24" t="s">
        <v>117</v>
      </c>
      <c r="B319" s="24" t="s">
        <v>126</v>
      </c>
      <c r="C319" s="38" t="s">
        <v>127</v>
      </c>
      <c r="D319" s="32">
        <v>40469</v>
      </c>
      <c r="E319" s="3">
        <v>25</v>
      </c>
      <c r="F319" s="24">
        <v>8</v>
      </c>
      <c r="G319" s="4">
        <v>-0.01</v>
      </c>
      <c r="H319" s="4">
        <v>0</v>
      </c>
      <c r="I319" s="4">
        <v>0</v>
      </c>
      <c r="J319" s="3">
        <f>AVERAGE(17,9,6,7)</f>
        <v>9.75</v>
      </c>
      <c r="K319" s="3">
        <f t="shared" si="46"/>
        <v>22.926650243475603</v>
      </c>
      <c r="L319" s="2">
        <f t="shared" si="47"/>
        <v>23.926650243475603</v>
      </c>
      <c r="M319" s="2">
        <f t="shared" si="48"/>
        <v>0.95820559962117202</v>
      </c>
      <c r="N319" s="2">
        <v>13.3</v>
      </c>
      <c r="O319" s="2">
        <f>J319*N319/M319/E319</f>
        <v>5.4132432559887862</v>
      </c>
      <c r="P319" s="7">
        <f t="shared" si="49"/>
        <v>2.1915964599144884</v>
      </c>
      <c r="T319" s="24">
        <v>2007</v>
      </c>
      <c r="U319" s="24">
        <v>3.4</v>
      </c>
      <c r="V319" s="24">
        <v>11.3</v>
      </c>
      <c r="W319" s="24">
        <v>0.87</v>
      </c>
      <c r="X319" s="24">
        <v>0.59599999999999997</v>
      </c>
      <c r="Y319" s="24">
        <v>0.76600000000000001</v>
      </c>
      <c r="Z319" s="24">
        <v>0.19</v>
      </c>
      <c r="AA319" s="24">
        <f>Z319*1.96</f>
        <v>0.37240000000000001</v>
      </c>
      <c r="AB319" s="24"/>
    </row>
    <row r="320" spans="1:28" x14ac:dyDescent="0.25">
      <c r="A320" s="24" t="s">
        <v>31</v>
      </c>
      <c r="B320" s="24" t="s">
        <v>128</v>
      </c>
      <c r="C320" s="38" t="s">
        <v>129</v>
      </c>
      <c r="D320" s="32">
        <v>40472</v>
      </c>
      <c r="E320" s="3">
        <v>25</v>
      </c>
      <c r="F320" s="3">
        <v>5</v>
      </c>
      <c r="G320" s="4">
        <v>0.01</v>
      </c>
      <c r="H320" s="4">
        <v>0</v>
      </c>
      <c r="I320" s="4">
        <v>0</v>
      </c>
      <c r="J320" s="4">
        <f>AVERAGE(7,12,8,7)</f>
        <v>8.5</v>
      </c>
      <c r="K320" s="3">
        <f t="shared" si="46"/>
        <v>15.842560166514632</v>
      </c>
      <c r="L320" s="2">
        <f t="shared" si="47"/>
        <v>16.84256016651463</v>
      </c>
      <c r="M320" s="2">
        <f t="shared" si="48"/>
        <v>0.94062660366871431</v>
      </c>
      <c r="N320" s="2">
        <v>13.3</v>
      </c>
      <c r="O320" s="2">
        <f t="shared" ref="O320:O327" si="50">F320*N320/M320/E320</f>
        <v>2.8279021554623642</v>
      </c>
      <c r="P320" s="7">
        <f t="shared" si="49"/>
        <v>1.1448996580819288</v>
      </c>
      <c r="T320" s="24">
        <v>2008</v>
      </c>
      <c r="U320" s="24">
        <v>5.0999999999999996</v>
      </c>
      <c r="V320" s="24">
        <v>15.1</v>
      </c>
      <c r="W320" s="24">
        <v>1.41</v>
      </c>
      <c r="X320" s="24">
        <v>0.67400000000000004</v>
      </c>
      <c r="Y320" s="24">
        <v>1.31</v>
      </c>
      <c r="Z320" s="24">
        <v>0.2</v>
      </c>
      <c r="AA320" s="24">
        <f t="shared" ref="AA320:AA321" si="51">Z320*1.96</f>
        <v>0.39200000000000002</v>
      </c>
      <c r="AB320" s="24">
        <f>(W320-W319)/W319</f>
        <v>0.6206896551724137</v>
      </c>
    </row>
    <row r="321" spans="1:28" x14ac:dyDescent="0.25">
      <c r="A321" s="24" t="s">
        <v>117</v>
      </c>
      <c r="B321" s="24" t="s">
        <v>130</v>
      </c>
      <c r="C321" s="38" t="s">
        <v>131</v>
      </c>
      <c r="D321" s="32">
        <v>40471</v>
      </c>
      <c r="E321" s="3">
        <v>25</v>
      </c>
      <c r="F321" s="3">
        <v>6</v>
      </c>
      <c r="G321" s="4">
        <v>-0.04</v>
      </c>
      <c r="H321" s="4">
        <v>0</v>
      </c>
      <c r="I321" s="4">
        <v>0</v>
      </c>
      <c r="J321" s="4">
        <f>AVERAGE(10,10,9,9)</f>
        <v>9.5</v>
      </c>
      <c r="K321" s="3">
        <f t="shared" si="46"/>
        <v>19.052531883277794</v>
      </c>
      <c r="L321" s="2">
        <f t="shared" si="47"/>
        <v>20.052531883277794</v>
      </c>
      <c r="M321" s="2">
        <f t="shared" si="48"/>
        <v>0.95013098566201903</v>
      </c>
      <c r="N321" s="2">
        <v>13.3</v>
      </c>
      <c r="O321" s="2">
        <f t="shared" si="50"/>
        <v>3.3595367882628553</v>
      </c>
      <c r="P321" s="7">
        <f t="shared" si="49"/>
        <v>1.360136351523423</v>
      </c>
      <c r="T321" s="24">
        <v>2009</v>
      </c>
      <c r="U321" s="24">
        <v>6.6</v>
      </c>
      <c r="V321" s="24">
        <v>14.8</v>
      </c>
      <c r="W321" s="24">
        <v>2.0499999999999998</v>
      </c>
      <c r="X321" s="24">
        <v>0.45</v>
      </c>
      <c r="Y321" s="24">
        <v>0.66</v>
      </c>
      <c r="Z321" s="24">
        <v>0.09</v>
      </c>
      <c r="AA321" s="24">
        <f t="shared" si="51"/>
        <v>0.1764</v>
      </c>
      <c r="AB321" s="24">
        <f>(W321-W320)/W320</f>
        <v>0.45390070921985809</v>
      </c>
    </row>
    <row r="322" spans="1:28" x14ac:dyDescent="0.25">
      <c r="A322" s="2" t="s">
        <v>117</v>
      </c>
      <c r="B322" s="2" t="s">
        <v>132</v>
      </c>
      <c r="C322" s="40" t="s">
        <v>133</v>
      </c>
      <c r="D322" s="32">
        <v>40479</v>
      </c>
      <c r="E322" s="3">
        <v>25</v>
      </c>
      <c r="F322" s="3">
        <v>8</v>
      </c>
      <c r="G322" s="4">
        <v>0</v>
      </c>
      <c r="H322" s="4">
        <v>0</v>
      </c>
      <c r="I322" s="4">
        <v>80</v>
      </c>
      <c r="J322" s="4">
        <f>AVERAGE(10,7,6,9)</f>
        <v>8</v>
      </c>
      <c r="K322" s="3">
        <f t="shared" si="46"/>
        <v>10.979171743067013</v>
      </c>
      <c r="L322" s="2">
        <f t="shared" si="47"/>
        <v>11.979171743067013</v>
      </c>
      <c r="M322" s="2">
        <f t="shared" si="48"/>
        <v>0.91652177450592498</v>
      </c>
      <c r="N322" s="2">
        <v>13.3</v>
      </c>
      <c r="O322" s="2">
        <f t="shared" si="50"/>
        <v>4.6436430845238874</v>
      </c>
      <c r="P322" s="7">
        <f t="shared" si="49"/>
        <v>1.8800174431270797</v>
      </c>
    </row>
    <row r="323" spans="1:28" x14ac:dyDescent="0.25">
      <c r="A323" s="2" t="s">
        <v>117</v>
      </c>
      <c r="B323" s="2" t="s">
        <v>134</v>
      </c>
      <c r="C323" s="40" t="s">
        <v>135</v>
      </c>
      <c r="D323" s="32">
        <v>40470</v>
      </c>
      <c r="E323" s="3">
        <v>25</v>
      </c>
      <c r="F323" s="3">
        <v>8</v>
      </c>
      <c r="G323" s="4">
        <v>-0.01</v>
      </c>
      <c r="H323" s="4">
        <v>0</v>
      </c>
      <c r="I323" s="4">
        <v>0</v>
      </c>
      <c r="J323" s="4">
        <f>AVERAGE(13,10,15,6)</f>
        <v>11</v>
      </c>
      <c r="K323" s="3">
        <f t="shared" si="46"/>
        <v>35.420827691667519</v>
      </c>
      <c r="L323" s="2">
        <f t="shared" si="47"/>
        <v>36.420827691667519</v>
      </c>
      <c r="M323" s="2">
        <f t="shared" si="48"/>
        <v>0.97254318302522313</v>
      </c>
      <c r="N323" s="2">
        <v>13.3</v>
      </c>
      <c r="O323" s="2">
        <f t="shared" si="50"/>
        <v>4.3761552949876776</v>
      </c>
      <c r="P323" s="7">
        <f t="shared" si="49"/>
        <v>1.7717227914929867</v>
      </c>
    </row>
    <row r="324" spans="1:28" x14ac:dyDescent="0.25">
      <c r="A324" s="2" t="s">
        <v>117</v>
      </c>
      <c r="B324" s="2" t="s">
        <v>136</v>
      </c>
      <c r="C324" s="40" t="s">
        <v>137</v>
      </c>
      <c r="D324" s="32">
        <v>40481</v>
      </c>
      <c r="E324" s="3">
        <v>25</v>
      </c>
      <c r="F324" s="3">
        <v>13</v>
      </c>
      <c r="G324" s="4">
        <v>0.01</v>
      </c>
      <c r="H324" s="4">
        <v>0</v>
      </c>
      <c r="I324" s="4">
        <v>0</v>
      </c>
      <c r="J324" s="4">
        <f>AVERAGE(13,21,15,11)</f>
        <v>15</v>
      </c>
      <c r="K324" s="3">
        <f t="shared" si="46"/>
        <v>152.12461188281259</v>
      </c>
      <c r="L324" s="2">
        <f t="shared" si="47"/>
        <v>153.12461188281259</v>
      </c>
      <c r="M324" s="2">
        <f t="shared" si="48"/>
        <v>0.9934693712022904</v>
      </c>
      <c r="N324" s="2">
        <v>13.3</v>
      </c>
      <c r="O324" s="2">
        <f t="shared" si="50"/>
        <v>6.9614627289720064</v>
      </c>
      <c r="P324" s="7">
        <f t="shared" si="49"/>
        <v>2.818405963146561</v>
      </c>
    </row>
    <row r="325" spans="1:28" x14ac:dyDescent="0.25">
      <c r="A325" s="2" t="s">
        <v>31</v>
      </c>
      <c r="B325" s="2" t="s">
        <v>138</v>
      </c>
      <c r="C325" s="40" t="s">
        <v>139</v>
      </c>
      <c r="D325" s="32">
        <v>40479</v>
      </c>
      <c r="E325" s="3">
        <v>25</v>
      </c>
      <c r="F325" s="3">
        <v>6</v>
      </c>
      <c r="G325" s="4">
        <v>0</v>
      </c>
      <c r="H325" s="4">
        <v>0</v>
      </c>
      <c r="I325" s="4">
        <v>80</v>
      </c>
      <c r="J325" s="4">
        <f>AVERAGE(4,9,14,15)</f>
        <v>10.5</v>
      </c>
      <c r="K325" s="3">
        <f t="shared" si="46"/>
        <v>26.206304196233706</v>
      </c>
      <c r="L325" s="2">
        <f t="shared" si="47"/>
        <v>27.206304196233706</v>
      </c>
      <c r="M325" s="2">
        <f t="shared" si="48"/>
        <v>0.96324381316965368</v>
      </c>
      <c r="N325" s="2">
        <v>13.3</v>
      </c>
      <c r="O325" s="2">
        <f t="shared" si="50"/>
        <v>3.3138027531123129</v>
      </c>
      <c r="P325" s="7">
        <f t="shared" si="49"/>
        <v>1.34162054781875</v>
      </c>
    </row>
    <row r="326" spans="1:28" x14ac:dyDescent="0.25">
      <c r="A326" s="2" t="s">
        <v>117</v>
      </c>
      <c r="B326" s="2" t="s">
        <v>140</v>
      </c>
      <c r="C326" s="40" t="s">
        <v>141</v>
      </c>
      <c r="D326" s="32">
        <v>40481</v>
      </c>
      <c r="E326" s="3">
        <v>25</v>
      </c>
      <c r="F326" s="3">
        <v>11</v>
      </c>
      <c r="G326" s="4">
        <v>0.01</v>
      </c>
      <c r="H326" s="4">
        <v>0</v>
      </c>
      <c r="I326" s="4">
        <v>0</v>
      </c>
      <c r="J326" s="4">
        <f>AVERAGE(10,10,16,16)</f>
        <v>13</v>
      </c>
      <c r="K326" s="3">
        <f t="shared" si="46"/>
        <v>75.845623141770332</v>
      </c>
      <c r="L326" s="2">
        <f t="shared" si="47"/>
        <v>76.845623141770332</v>
      </c>
      <c r="M326" s="2">
        <f t="shared" si="48"/>
        <v>0.98698689711767806</v>
      </c>
      <c r="N326" s="2">
        <v>13.3</v>
      </c>
      <c r="O326" s="2">
        <f t="shared" si="50"/>
        <v>5.9291567264871894</v>
      </c>
      <c r="P326" s="7">
        <f t="shared" si="49"/>
        <v>2.4004683103187001</v>
      </c>
    </row>
    <row r="327" spans="1:28" x14ac:dyDescent="0.25">
      <c r="A327" s="2" t="s">
        <v>117</v>
      </c>
      <c r="B327" s="2" t="s">
        <v>57</v>
      </c>
      <c r="C327" s="40" t="s">
        <v>142</v>
      </c>
      <c r="D327" s="32">
        <v>40465</v>
      </c>
      <c r="E327" s="3">
        <v>25</v>
      </c>
      <c r="F327" s="3">
        <v>9</v>
      </c>
      <c r="G327" s="4">
        <v>-0.03</v>
      </c>
      <c r="H327" s="4">
        <v>0</v>
      </c>
      <c r="I327" s="4">
        <v>0</v>
      </c>
      <c r="J327" s="4">
        <f>AVERAGE(14,19,11,19)</f>
        <v>15.75</v>
      </c>
      <c r="K327" s="3">
        <f t="shared" si="46"/>
        <v>173.27847804465947</v>
      </c>
      <c r="L327" s="2">
        <f t="shared" si="47"/>
        <v>174.27847804465947</v>
      </c>
      <c r="M327" s="2">
        <f t="shared" si="48"/>
        <v>0.99426205684591906</v>
      </c>
      <c r="N327" s="2">
        <v>13.3</v>
      </c>
      <c r="O327" s="2">
        <f t="shared" si="50"/>
        <v>4.8156318216435743</v>
      </c>
      <c r="P327" s="7">
        <f t="shared" si="49"/>
        <v>1.949648510786872</v>
      </c>
    </row>
    <row r="328" spans="1:28" x14ac:dyDescent="0.25">
      <c r="A328" s="24"/>
      <c r="B328" s="24"/>
      <c r="C328" s="24"/>
      <c r="D328" s="24"/>
      <c r="E328" s="2" t="s">
        <v>82</v>
      </c>
      <c r="F328" s="7">
        <f>AVERAGE(F315:F327)</f>
        <v>7.384615384615385</v>
      </c>
      <c r="G328" s="24"/>
      <c r="H328" s="24"/>
      <c r="I328" s="24"/>
      <c r="J328" s="24"/>
      <c r="K328" s="24"/>
      <c r="L328" s="24"/>
      <c r="M328" s="24"/>
      <c r="N328" s="24"/>
      <c r="O328" s="2" t="s">
        <v>82</v>
      </c>
      <c r="P328" s="7">
        <f>AVERAGE(P315:P327)</f>
        <v>1.6906460897035613</v>
      </c>
    </row>
    <row r="329" spans="1:28" x14ac:dyDescent="0.25">
      <c r="A329" s="24"/>
      <c r="B329" s="24"/>
      <c r="C329" s="24"/>
      <c r="D329" s="24"/>
      <c r="E329" s="2" t="s">
        <v>17</v>
      </c>
      <c r="F329" s="7">
        <f>SQRT(VAR(F314:F326)/COUNT(F315:F326))</f>
        <v>0.80833723835357907</v>
      </c>
      <c r="G329" s="24"/>
      <c r="H329" s="24"/>
      <c r="I329" s="24"/>
      <c r="J329" s="24"/>
      <c r="K329" s="24"/>
      <c r="L329" s="24"/>
      <c r="M329" s="24"/>
      <c r="N329" s="24"/>
      <c r="O329" s="2" t="s">
        <v>17</v>
      </c>
      <c r="P329" s="7">
        <f>SQRT(VAR(P314:P327)/COUNT(P315:P326))</f>
        <v>0.16844748938088866</v>
      </c>
    </row>
    <row r="330" spans="1:28" x14ac:dyDescent="0.25">
      <c r="A330" s="24"/>
      <c r="B330" s="24"/>
      <c r="C330" s="33"/>
      <c r="D330" s="33"/>
      <c r="E330" s="33"/>
      <c r="F330" s="7"/>
      <c r="G330" s="3"/>
      <c r="H330" s="24"/>
      <c r="I330" s="24"/>
      <c r="J330" s="24"/>
      <c r="K330" s="24"/>
      <c r="L330" s="24"/>
      <c r="M330" s="24"/>
      <c r="N330" s="24"/>
      <c r="O330" s="24"/>
    </row>
    <row r="331" spans="1:28" x14ac:dyDescent="0.25">
      <c r="A331" s="24"/>
      <c r="B331" s="24"/>
      <c r="C331" s="34"/>
      <c r="D331" s="33"/>
      <c r="E331" s="33"/>
      <c r="F331" s="33"/>
      <c r="G331" s="33"/>
      <c r="H331" s="24"/>
      <c r="I331" s="24"/>
      <c r="J331" s="24"/>
      <c r="K331" s="24"/>
      <c r="L331" s="24"/>
      <c r="M331" s="24"/>
      <c r="N331" s="24"/>
      <c r="O331" s="24"/>
    </row>
    <row r="332" spans="1:28" x14ac:dyDescent="0.25">
      <c r="A332" s="24"/>
      <c r="B332" s="24"/>
      <c r="C332" s="35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 spans="1:28" x14ac:dyDescent="0.25">
      <c r="A333" s="24"/>
      <c r="B333" s="24"/>
      <c r="C333" s="35"/>
      <c r="D333" s="3"/>
      <c r="E333" s="3"/>
      <c r="F333" s="4"/>
      <c r="G333" s="9"/>
      <c r="H333" s="24"/>
      <c r="I333" s="24"/>
      <c r="J333" s="24"/>
      <c r="K333" s="24"/>
      <c r="L333" s="24"/>
      <c r="M333" s="24"/>
      <c r="N333" s="24"/>
      <c r="O333" s="24"/>
    </row>
    <row r="334" spans="1:28" x14ac:dyDescent="0.25">
      <c r="A334" s="24"/>
      <c r="B334" s="24"/>
      <c r="C334">
        <v>2009</v>
      </c>
      <c r="D334">
        <v>2010</v>
      </c>
      <c r="E334" t="s">
        <v>17</v>
      </c>
      <c r="G334" s="24"/>
      <c r="H334" s="24"/>
      <c r="I334" s="24"/>
      <c r="J334" s="24"/>
      <c r="K334" s="24"/>
      <c r="L334" s="24"/>
      <c r="M334" s="24"/>
      <c r="N334" s="24"/>
      <c r="O334" s="24"/>
    </row>
    <row r="335" spans="1:28" x14ac:dyDescent="0.25">
      <c r="A335" s="24"/>
      <c r="B335" t="s">
        <v>143</v>
      </c>
      <c r="C335" s="24">
        <v>2.13</v>
      </c>
      <c r="D335">
        <f>AVERAGE(P319:P322)</f>
        <v>1.6441624781617301</v>
      </c>
      <c r="E335">
        <f>SQRT(VAR(P319:P322)/COUNT(P319:P322))</f>
        <v>0.23896403721823933</v>
      </c>
      <c r="F335">
        <f>E335*1.96</f>
        <v>0.46836951294774909</v>
      </c>
      <c r="G335" s="24"/>
      <c r="H335" s="24"/>
      <c r="I335" s="24"/>
      <c r="J335" s="24"/>
      <c r="K335" s="24"/>
      <c r="L335" s="24"/>
      <c r="M335" s="24"/>
      <c r="N335" s="24"/>
      <c r="O335" s="24"/>
    </row>
    <row r="336" spans="1:28" x14ac:dyDescent="0.25">
      <c r="A336" s="24"/>
      <c r="B336" s="7" t="s">
        <v>144</v>
      </c>
      <c r="C336" s="24">
        <v>1.78</v>
      </c>
      <c r="D336">
        <f>AVERAGE(P315:P318)</f>
        <v>1.2799707824838769</v>
      </c>
      <c r="E336">
        <f>SQRT(VAR(P315:P318)/COUNT(P315:P318))</f>
        <v>0.24937693369502736</v>
      </c>
      <c r="F336">
        <f t="shared" ref="F336:F337" si="52">E336*1.96</f>
        <v>0.48877879004225361</v>
      </c>
      <c r="G336" s="24"/>
      <c r="H336" s="24"/>
      <c r="I336" s="24"/>
      <c r="J336" s="24"/>
      <c r="K336" s="24"/>
      <c r="L336" s="24"/>
      <c r="M336" s="24"/>
      <c r="N336" s="24"/>
      <c r="O336" s="24"/>
    </row>
    <row r="337" spans="1:21" x14ac:dyDescent="0.25">
      <c r="A337" s="24"/>
      <c r="B337" s="7" t="s">
        <v>145</v>
      </c>
      <c r="C337" s="24">
        <v>2.2400000000000002</v>
      </c>
      <c r="D337">
        <f>AVERAGE(P323:P327)</f>
        <v>2.056373224712774</v>
      </c>
      <c r="E337">
        <f>SQRT(VAR(P323:P327)/COUNT(P323:P327))</f>
        <v>0.25518451610599319</v>
      </c>
      <c r="F337">
        <f t="shared" si="52"/>
        <v>0.50016165156774661</v>
      </c>
      <c r="G337" s="24"/>
      <c r="H337" s="24"/>
      <c r="I337" s="24"/>
      <c r="J337" s="24"/>
      <c r="K337" s="24"/>
      <c r="L337" s="24"/>
      <c r="M337" s="24"/>
      <c r="N337" s="24"/>
      <c r="O337" s="24"/>
    </row>
    <row r="338" spans="1:21" x14ac:dyDescent="0.25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</row>
    <row r="339" spans="1:21" x14ac:dyDescent="0.25">
      <c r="A339" s="41" t="s">
        <v>48</v>
      </c>
      <c r="B339" s="41" t="s">
        <v>1</v>
      </c>
      <c r="C339" s="42" t="s">
        <v>2</v>
      </c>
      <c r="D339" s="41" t="s">
        <v>3</v>
      </c>
      <c r="E339" s="41" t="s">
        <v>4</v>
      </c>
      <c r="F339" s="41" t="s">
        <v>5</v>
      </c>
      <c r="G339" s="43" t="s">
        <v>6</v>
      </c>
      <c r="H339" s="44" t="s">
        <v>7</v>
      </c>
      <c r="I339" s="41" t="s">
        <v>8</v>
      </c>
      <c r="J339" s="45" t="s">
        <v>9</v>
      </c>
      <c r="K339" s="45" t="s">
        <v>10</v>
      </c>
      <c r="L339" s="45" t="s">
        <v>11</v>
      </c>
      <c r="M339" s="42" t="s">
        <v>12</v>
      </c>
      <c r="N339" s="45" t="s">
        <v>13</v>
      </c>
      <c r="O339" s="45" t="s">
        <v>14</v>
      </c>
      <c r="P339" s="39"/>
      <c r="T339" t="s">
        <v>165</v>
      </c>
      <c r="U339" t="s">
        <v>17</v>
      </c>
    </row>
    <row r="340" spans="1:21" x14ac:dyDescent="0.25">
      <c r="A340" s="46" t="s">
        <v>146</v>
      </c>
      <c r="B340" s="47" t="s">
        <v>147</v>
      </c>
      <c r="C340" s="48">
        <v>40833</v>
      </c>
      <c r="D340" s="49">
        <v>25</v>
      </c>
      <c r="E340" s="49">
        <v>6</v>
      </c>
      <c r="F340" s="50">
        <v>-0.03</v>
      </c>
      <c r="G340" s="50">
        <v>0</v>
      </c>
      <c r="H340" s="50">
        <v>0</v>
      </c>
      <c r="I340" s="50">
        <f>AVERAGE(10,12,9,11)</f>
        <v>10.5</v>
      </c>
      <c r="J340" s="49">
        <f>EXP(-0.228+(0.348*I340)+(-0.002*H340)+(-0.092*G340)+(3.27*F340))</f>
        <v>27.879732746602954</v>
      </c>
      <c r="K340" s="51">
        <f>1+EXP(-0.228+(0.348*I340)+(-0.002*H340)+(-0.092*G340)+(3.27*F340))</f>
        <v>28.879732746602954</v>
      </c>
      <c r="L340" s="51">
        <f>J340/K340</f>
        <v>0.96537364078905374</v>
      </c>
      <c r="M340" s="51">
        <v>12.5</v>
      </c>
      <c r="N340" s="51">
        <f>E340*M340/L340/D340</f>
        <v>3.1076050487021094</v>
      </c>
      <c r="O340" s="52">
        <f>N340/2.47</f>
        <v>1.2581396958308135</v>
      </c>
      <c r="P340" s="39"/>
      <c r="S340" t="s">
        <v>166</v>
      </c>
      <c r="T340" t="e">
        <f>AVERAGE(AF324,AF325,AF326,AF329)</f>
        <v>#DIV/0!</v>
      </c>
      <c r="U340" t="e">
        <f>SQRT(VAR(AF324,AF325,AF326,AF329)/COUNT(AF324,AF325,AF326,AF329))</f>
        <v>#DIV/0!</v>
      </c>
    </row>
    <row r="341" spans="1:21" x14ac:dyDescent="0.25">
      <c r="A341" s="51" t="s">
        <v>130</v>
      </c>
      <c r="B341" s="53" t="s">
        <v>148</v>
      </c>
      <c r="C341" s="48">
        <v>40842</v>
      </c>
      <c r="D341" s="49">
        <v>25</v>
      </c>
      <c r="E341" s="49">
        <v>5</v>
      </c>
      <c r="F341" s="50">
        <v>-0.03</v>
      </c>
      <c r="G341" s="50">
        <v>0</v>
      </c>
      <c r="H341" s="50">
        <v>10</v>
      </c>
      <c r="I341" s="50">
        <f>AVERAGE(11,10,10,5)</f>
        <v>9</v>
      </c>
      <c r="J341" s="49">
        <f>EXP(-0.228+(0.348*I341)+(-0.002*H341)+(-0.092*G341)+(3.27*F341))</f>
        <v>16.214404275746695</v>
      </c>
      <c r="K341" s="51">
        <f>1+EXP(-0.228+(0.348*I341)+(-0.002*H341)+(-0.092*G341)+(3.27*F341))</f>
        <v>17.214404275746695</v>
      </c>
      <c r="L341" s="51">
        <f>J341/K341</f>
        <v>0.94190911378740561</v>
      </c>
      <c r="M341" s="51">
        <v>12.5</v>
      </c>
      <c r="N341" s="51">
        <f t="shared" ref="N341:N351" si="53">E341*M341/L341/D341</f>
        <v>2.6541838946090341</v>
      </c>
      <c r="O341" s="52">
        <f t="shared" ref="O341:O351" si="54">N341/2.47</f>
        <v>1.0745683783842244</v>
      </c>
      <c r="P341" s="39"/>
      <c r="S341" t="s">
        <v>167</v>
      </c>
      <c r="T341" t="e">
        <f>AVERAGE(AF322,AF323,AF328,AF332)</f>
        <v>#DIV/0!</v>
      </c>
      <c r="U341" t="e">
        <f>SQRT(VAR(AF322,AF323,AF328,AF332)/COUNT(AF322,AF323,AF328,AF332))</f>
        <v>#DIV/0!</v>
      </c>
    </row>
    <row r="342" spans="1:21" x14ac:dyDescent="0.25">
      <c r="A342" s="46" t="s">
        <v>149</v>
      </c>
      <c r="B342" s="53" t="s">
        <v>150</v>
      </c>
      <c r="C342" s="48">
        <v>40840</v>
      </c>
      <c r="D342" s="46">
        <v>25</v>
      </c>
      <c r="E342" s="46">
        <v>5</v>
      </c>
      <c r="F342" s="50">
        <v>0.05</v>
      </c>
      <c r="G342" s="50">
        <v>0</v>
      </c>
      <c r="H342" s="50">
        <v>0</v>
      </c>
      <c r="I342" s="50">
        <f>AVERAGE(11,11,10,13)</f>
        <v>11.25</v>
      </c>
      <c r="J342" s="49">
        <f>EXP(-0.228+(0.348*I342)+(-0.002*H342)+(-0.092*G342)+(3.27*F342))</f>
        <v>47.016565638307092</v>
      </c>
      <c r="K342" s="51">
        <f>1+EXP(-0.228+(0.348*I342)+(-0.002*H342)+(-0.092*G342)+(3.27*F342))</f>
        <v>48.016565638307092</v>
      </c>
      <c r="L342" s="51">
        <f>J342/K342</f>
        <v>0.97917385413332825</v>
      </c>
      <c r="M342" s="51">
        <v>12.5</v>
      </c>
      <c r="N342" s="51">
        <f t="shared" si="53"/>
        <v>2.5531727480742048</v>
      </c>
      <c r="O342" s="52">
        <f t="shared" si="54"/>
        <v>1.0336731773579775</v>
      </c>
      <c r="P342" s="39"/>
      <c r="S342" t="s">
        <v>168</v>
      </c>
      <c r="T342" t="e">
        <f>AVERAGE(AF321,AF327,AF330,AF331)</f>
        <v>#DIV/0!</v>
      </c>
      <c r="U342" t="e">
        <f>SQRT(VAR(AF321,AF327,AF331,AF330)/COUNT(AF321,AF327,AF330,AF331))</f>
        <v>#DIV/0!</v>
      </c>
    </row>
    <row r="343" spans="1:21" x14ac:dyDescent="0.25">
      <c r="A343" s="51" t="s">
        <v>151</v>
      </c>
      <c r="B343" s="53" t="s">
        <v>152</v>
      </c>
      <c r="C343" s="48">
        <v>40836</v>
      </c>
      <c r="D343" s="49">
        <v>25</v>
      </c>
      <c r="E343" s="49">
        <v>6</v>
      </c>
      <c r="F343" s="50">
        <v>0.11</v>
      </c>
      <c r="G343" s="50">
        <v>0</v>
      </c>
      <c r="H343" s="50">
        <v>0</v>
      </c>
      <c r="I343" s="50">
        <f>AVERAGE(8,6,11,12)</f>
        <v>9.25</v>
      </c>
      <c r="J343" s="49">
        <f>EXP(-0.228+(0.348*I343)+(-0.002*H343)+(-0.092*G343)+(3.27*F343))</f>
        <v>28.522692542117344</v>
      </c>
      <c r="K343" s="51">
        <f>1+EXP(-0.228+(0.348*I343)+(-0.002*H343)+(-0.092*G343)+(3.27*F343))</f>
        <v>29.522692542117344</v>
      </c>
      <c r="L343" s="51">
        <f>J343/K343</f>
        <v>0.96612775076076174</v>
      </c>
      <c r="M343" s="51">
        <v>12.5</v>
      </c>
      <c r="N343" s="51">
        <f t="shared" si="53"/>
        <v>3.1051794109399076</v>
      </c>
      <c r="O343" s="52">
        <f t="shared" si="54"/>
        <v>1.2571576562509745</v>
      </c>
      <c r="P343" s="39"/>
    </row>
    <row r="344" spans="1:21" x14ac:dyDescent="0.25">
      <c r="A344" s="46" t="s">
        <v>153</v>
      </c>
      <c r="B344" s="47" t="s">
        <v>154</v>
      </c>
      <c r="C344" s="48">
        <v>40837</v>
      </c>
      <c r="D344" s="49">
        <v>25</v>
      </c>
      <c r="E344" s="46">
        <v>4</v>
      </c>
      <c r="F344" s="50">
        <v>5.9999999999998721E-2</v>
      </c>
      <c r="G344" s="50">
        <v>0</v>
      </c>
      <c r="H344" s="50">
        <v>0</v>
      </c>
      <c r="I344" s="49">
        <f>AVERAGE(11,9,6,5)</f>
        <v>7.75</v>
      </c>
      <c r="J344" s="49">
        <f>EXP(-0.228+(0.348*I344)+(-0.002*H344)+(-0.092*G344)+(3.27*F344))</f>
        <v>14.37082342328403</v>
      </c>
      <c r="K344" s="51">
        <f>1+EXP(-0.228+(0.348*I344)+(-0.002*H344)+(-0.092*G344)+(3.27*F344))</f>
        <v>15.37082342328403</v>
      </c>
      <c r="L344" s="51">
        <f>J344/K344</f>
        <v>0.93494167667782979</v>
      </c>
      <c r="M344" s="51">
        <v>12.5</v>
      </c>
      <c r="N344" s="51">
        <f t="shared" si="53"/>
        <v>2.1391708701089138</v>
      </c>
      <c r="O344" s="52">
        <f t="shared" si="54"/>
        <v>0.86606108101575452</v>
      </c>
      <c r="P344" s="39"/>
    </row>
    <row r="345" spans="1:21" x14ac:dyDescent="0.25">
      <c r="A345" s="46" t="s">
        <v>155</v>
      </c>
      <c r="B345" s="47" t="s">
        <v>156</v>
      </c>
      <c r="C345" s="48">
        <v>40841</v>
      </c>
      <c r="D345" s="49">
        <v>25</v>
      </c>
      <c r="E345" s="49">
        <v>5</v>
      </c>
      <c r="F345" s="50">
        <v>9.9999999999980105E-3</v>
      </c>
      <c r="G345" s="50">
        <v>0</v>
      </c>
      <c r="H345" s="50">
        <v>0</v>
      </c>
      <c r="I345" s="50">
        <f>AVERAGE(7,14,5,8)</f>
        <v>8.5</v>
      </c>
      <c r="J345" s="49">
        <f t="shared" ref="J345:J351" si="55">EXP(-0.228+(0.348*I345)+(-0.002*H345)+(-0.092*G345)+(3.27*F345))</f>
        <v>15.842560166514527</v>
      </c>
      <c r="K345" s="51">
        <f t="shared" ref="K345:K351" si="56">1+EXP(-0.228+(0.348*I345)+(-0.002*H345)+(-0.092*G345)+(3.27*F345))</f>
        <v>16.842560166514527</v>
      </c>
      <c r="L345" s="51">
        <f t="shared" ref="L345:L351" si="57">J345/K345</f>
        <v>0.94062660366871387</v>
      </c>
      <c r="M345" s="51">
        <v>12.5</v>
      </c>
      <c r="N345" s="51">
        <f t="shared" si="53"/>
        <v>2.6578027776901929</v>
      </c>
      <c r="O345" s="52">
        <f t="shared" si="54"/>
        <v>1.0760335132348959</v>
      </c>
      <c r="P345" s="39"/>
    </row>
    <row r="346" spans="1:21" x14ac:dyDescent="0.25">
      <c r="A346" s="46" t="s">
        <v>138</v>
      </c>
      <c r="B346" s="47" t="s">
        <v>157</v>
      </c>
      <c r="C346" s="48">
        <v>40848</v>
      </c>
      <c r="D346" s="49">
        <v>25</v>
      </c>
      <c r="E346" s="49">
        <v>5</v>
      </c>
      <c r="F346" s="50">
        <v>3.9999999999999147E-2</v>
      </c>
      <c r="G346" s="50">
        <v>1</v>
      </c>
      <c r="H346" s="50">
        <v>0</v>
      </c>
      <c r="I346" s="50">
        <f>AVERAGE(12,10,8,5)</f>
        <v>8.75</v>
      </c>
      <c r="J346" s="49">
        <f t="shared" si="55"/>
        <v>17.388342318725151</v>
      </c>
      <c r="K346" s="51">
        <f t="shared" si="56"/>
        <v>18.388342318725151</v>
      </c>
      <c r="L346" s="51">
        <f t="shared" si="57"/>
        <v>0.9456177189511159</v>
      </c>
      <c r="M346" s="51">
        <v>12.5</v>
      </c>
      <c r="N346" s="51">
        <f t="shared" si="53"/>
        <v>2.6437744871923643</v>
      </c>
      <c r="O346" s="52">
        <f t="shared" si="54"/>
        <v>1.0703540433977183</v>
      </c>
      <c r="P346" s="39"/>
    </row>
    <row r="347" spans="1:21" x14ac:dyDescent="0.25">
      <c r="A347" s="51" t="s">
        <v>158</v>
      </c>
      <c r="B347" s="53" t="s">
        <v>159</v>
      </c>
      <c r="C347" s="48">
        <v>40847</v>
      </c>
      <c r="D347" s="49">
        <v>24.4</v>
      </c>
      <c r="E347" s="49">
        <v>3</v>
      </c>
      <c r="F347" s="50">
        <v>-3.9999999999999147E-2</v>
      </c>
      <c r="G347" s="50">
        <v>2</v>
      </c>
      <c r="H347" s="50">
        <v>85</v>
      </c>
      <c r="I347" s="50">
        <f>AVERAGE(4,4,4,6)</f>
        <v>4.5</v>
      </c>
      <c r="J347" s="49">
        <f t="shared" si="55"/>
        <v>2.3471457136318623</v>
      </c>
      <c r="K347" s="51">
        <f t="shared" si="56"/>
        <v>3.3471457136318623</v>
      </c>
      <c r="L347" s="51">
        <f t="shared" si="57"/>
        <v>0.70123798437357621</v>
      </c>
      <c r="M347" s="51">
        <v>12.5</v>
      </c>
      <c r="N347" s="51">
        <f t="shared" si="53"/>
        <v>2.1916742677231844</v>
      </c>
      <c r="O347" s="52">
        <f t="shared" si="54"/>
        <v>0.88731751729683572</v>
      </c>
      <c r="P347" s="39"/>
      <c r="S347" t="s">
        <v>169</v>
      </c>
      <c r="T347" t="s">
        <v>170</v>
      </c>
    </row>
    <row r="348" spans="1:21" x14ac:dyDescent="0.25">
      <c r="A348" s="51" t="s">
        <v>120</v>
      </c>
      <c r="B348" s="53" t="s">
        <v>160</v>
      </c>
      <c r="C348" s="48">
        <v>40849</v>
      </c>
      <c r="D348" s="49">
        <v>25</v>
      </c>
      <c r="E348" s="49">
        <v>7</v>
      </c>
      <c r="F348" s="50">
        <v>-1.0000000000001563E-2</v>
      </c>
      <c r="G348" s="50">
        <v>0</v>
      </c>
      <c r="H348" s="50">
        <v>0</v>
      </c>
      <c r="I348" s="50">
        <f>AVERAGE(14,11,12,9)</f>
        <v>11.5</v>
      </c>
      <c r="J348" s="49">
        <f t="shared" si="55"/>
        <v>42.152753140432743</v>
      </c>
      <c r="K348" s="51">
        <f t="shared" si="56"/>
        <v>43.152753140432743</v>
      </c>
      <c r="L348" s="51">
        <f t="shared" si="57"/>
        <v>0.97682650752906353</v>
      </c>
      <c r="M348" s="51">
        <v>12.5</v>
      </c>
      <c r="N348" s="51">
        <f t="shared" si="53"/>
        <v>3.5830313500126478</v>
      </c>
      <c r="O348" s="52">
        <f t="shared" si="54"/>
        <v>1.4506199797622055</v>
      </c>
      <c r="P348" s="39"/>
      <c r="S348">
        <v>2007</v>
      </c>
      <c r="T348">
        <v>0.87</v>
      </c>
    </row>
    <row r="349" spans="1:21" x14ac:dyDescent="0.25">
      <c r="A349" s="51" t="s">
        <v>161</v>
      </c>
      <c r="B349" s="53" t="s">
        <v>162</v>
      </c>
      <c r="C349" s="48">
        <v>40837</v>
      </c>
      <c r="D349" s="49">
        <v>25</v>
      </c>
      <c r="E349" s="49">
        <v>7</v>
      </c>
      <c r="F349" s="50">
        <v>5.9999999999998721E-2</v>
      </c>
      <c r="G349" s="50">
        <v>0</v>
      </c>
      <c r="H349" s="50">
        <v>0</v>
      </c>
      <c r="I349" s="50">
        <f>AVERAGE(9,12,13,14)</f>
        <v>12</v>
      </c>
      <c r="J349" s="49">
        <f t="shared" si="55"/>
        <v>63.067147996477445</v>
      </c>
      <c r="K349" s="51">
        <f t="shared" si="56"/>
        <v>64.067147996477445</v>
      </c>
      <c r="L349" s="51">
        <f t="shared" si="57"/>
        <v>0.98439137637194363</v>
      </c>
      <c r="M349" s="51">
        <v>12.5</v>
      </c>
      <c r="N349" s="51">
        <f t="shared" si="53"/>
        <v>3.5554964051996687</v>
      </c>
      <c r="O349" s="52">
        <f t="shared" si="54"/>
        <v>1.4394722288257766</v>
      </c>
      <c r="P349" s="39"/>
      <c r="S349">
        <v>2008</v>
      </c>
      <c r="T349">
        <v>1.41</v>
      </c>
    </row>
    <row r="350" spans="1:21" x14ac:dyDescent="0.25">
      <c r="A350" s="51" t="s">
        <v>134</v>
      </c>
      <c r="B350" s="53" t="s">
        <v>163</v>
      </c>
      <c r="C350" s="48">
        <v>40841</v>
      </c>
      <c r="D350" s="49">
        <v>25</v>
      </c>
      <c r="E350" s="49">
        <v>7</v>
      </c>
      <c r="F350" s="50">
        <v>9.9999999999980105E-3</v>
      </c>
      <c r="G350" s="50">
        <v>0</v>
      </c>
      <c r="H350" s="50">
        <v>0</v>
      </c>
      <c r="I350" s="50">
        <f>AVERAGE(9,8,9,11)</f>
        <v>9.25</v>
      </c>
      <c r="J350" s="49">
        <f t="shared" si="55"/>
        <v>20.567249899466926</v>
      </c>
      <c r="K350" s="51">
        <f t="shared" si="56"/>
        <v>21.567249899466926</v>
      </c>
      <c r="L350" s="51">
        <f t="shared" si="57"/>
        <v>0.95363340228070914</v>
      </c>
      <c r="M350" s="51">
        <v>12.5</v>
      </c>
      <c r="N350" s="51">
        <f t="shared" si="53"/>
        <v>3.6701734562038215</v>
      </c>
      <c r="O350" s="52">
        <f t="shared" si="54"/>
        <v>1.4859001846979034</v>
      </c>
      <c r="P350" s="39"/>
      <c r="S350">
        <v>2009</v>
      </c>
      <c r="T350">
        <v>2.0499999999999998</v>
      </c>
    </row>
    <row r="351" spans="1:21" x14ac:dyDescent="0.25">
      <c r="A351" s="51" t="s">
        <v>107</v>
      </c>
      <c r="B351" s="53" t="s">
        <v>164</v>
      </c>
      <c r="C351" s="48">
        <v>40849</v>
      </c>
      <c r="D351" s="49">
        <v>25</v>
      </c>
      <c r="E351" s="49">
        <v>1</v>
      </c>
      <c r="F351" s="50">
        <v>-1.0000000000001563E-2</v>
      </c>
      <c r="G351" s="50">
        <v>1</v>
      </c>
      <c r="H351" s="50">
        <v>0</v>
      </c>
      <c r="I351" s="50">
        <f>AVERAGE(8,6,6,6)</f>
        <v>6.5</v>
      </c>
      <c r="J351" s="49">
        <f t="shared" si="55"/>
        <v>6.7483632904930504</v>
      </c>
      <c r="K351" s="51">
        <f t="shared" si="56"/>
        <v>7.7483632904930504</v>
      </c>
      <c r="L351" s="51">
        <f t="shared" si="57"/>
        <v>0.87094048607310881</v>
      </c>
      <c r="M351" s="51">
        <v>12.5</v>
      </c>
      <c r="N351" s="51">
        <f t="shared" si="53"/>
        <v>0.57409203957712085</v>
      </c>
      <c r="O351" s="52">
        <f t="shared" si="54"/>
        <v>0.23242592695429992</v>
      </c>
      <c r="P351" s="39"/>
      <c r="S351">
        <v>2010</v>
      </c>
      <c r="T351">
        <v>1.69</v>
      </c>
    </row>
    <row r="352" spans="1:21" x14ac:dyDescent="0.25">
      <c r="A352" s="51"/>
      <c r="B352" s="53"/>
      <c r="C352" s="48"/>
      <c r="D352" s="49"/>
      <c r="E352" s="49"/>
      <c r="F352" s="50"/>
      <c r="G352" s="50"/>
      <c r="H352" s="50"/>
      <c r="I352" s="50"/>
      <c r="J352" s="49"/>
      <c r="K352" s="51"/>
      <c r="L352" s="51"/>
      <c r="M352" s="51"/>
      <c r="N352" s="51"/>
      <c r="O352" s="52"/>
      <c r="P352" s="39"/>
      <c r="S352">
        <v>2011</v>
      </c>
      <c r="T352">
        <v>1.0900000000000001</v>
      </c>
    </row>
    <row r="353" spans="1:20" x14ac:dyDescent="0.25">
      <c r="A353" s="54"/>
      <c r="B353" s="54"/>
      <c r="C353" s="54"/>
      <c r="D353" s="51" t="s">
        <v>82</v>
      </c>
      <c r="E353" s="52">
        <f>AVERAGE(E340:E351)</f>
        <v>5.083333333333333</v>
      </c>
      <c r="F353" s="54"/>
      <c r="G353" s="54"/>
      <c r="H353" s="54"/>
      <c r="I353" s="54"/>
      <c r="J353" s="54"/>
      <c r="K353" s="54"/>
      <c r="L353" s="54"/>
      <c r="M353" s="54"/>
      <c r="N353" s="51" t="s">
        <v>82</v>
      </c>
      <c r="O353" s="52">
        <f>AVERAGE(O340:O351)</f>
        <v>1.0943102819174484</v>
      </c>
      <c r="P353" s="39"/>
    </row>
    <row r="354" spans="1:20" x14ac:dyDescent="0.25">
      <c r="A354" s="54"/>
      <c r="B354" s="54"/>
      <c r="C354" s="54"/>
      <c r="D354" s="51" t="s">
        <v>17</v>
      </c>
      <c r="E354" s="52">
        <f>SQRT(VAR(E339:E351)/COUNT(E340:E351))</f>
        <v>0.51431527492405105</v>
      </c>
      <c r="F354" s="54"/>
      <c r="G354" s="54"/>
      <c r="H354" s="54"/>
      <c r="I354" s="54"/>
      <c r="J354" s="54"/>
      <c r="K354" s="54"/>
      <c r="L354" s="54"/>
      <c r="M354" s="54"/>
      <c r="N354" s="51" t="s">
        <v>17</v>
      </c>
      <c r="O354" s="52">
        <f>SQRT(VAR(O339:O352)/COUNT(O340:O351))</f>
        <v>9.9069850358664793E-2</v>
      </c>
      <c r="P354" s="39"/>
    </row>
    <row r="355" spans="1:20" x14ac:dyDescent="0.2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</row>
    <row r="356" spans="1:20" x14ac:dyDescent="0.25">
      <c r="A356" s="55" t="s">
        <v>48</v>
      </c>
      <c r="B356" s="55" t="s">
        <v>1</v>
      </c>
      <c r="C356" s="55" t="s">
        <v>2</v>
      </c>
      <c r="D356" s="55" t="s">
        <v>3</v>
      </c>
      <c r="E356" s="55" t="s">
        <v>4</v>
      </c>
      <c r="F356" s="55" t="s">
        <v>5</v>
      </c>
      <c r="G356" s="56" t="s">
        <v>6</v>
      </c>
      <c r="H356" s="57" t="s">
        <v>7</v>
      </c>
      <c r="I356" s="55" t="s">
        <v>8</v>
      </c>
      <c r="J356" s="58" t="s">
        <v>9</v>
      </c>
      <c r="K356" s="58" t="s">
        <v>10</v>
      </c>
      <c r="L356" s="58" t="s">
        <v>11</v>
      </c>
      <c r="M356" s="55" t="s">
        <v>12</v>
      </c>
      <c r="N356" s="58" t="s">
        <v>13</v>
      </c>
      <c r="O356" s="59" t="s">
        <v>14</v>
      </c>
      <c r="P356" s="39"/>
    </row>
    <row r="357" spans="1:20" x14ac:dyDescent="0.25">
      <c r="A357" s="60" t="s">
        <v>171</v>
      </c>
      <c r="B357" s="47" t="s">
        <v>172</v>
      </c>
      <c r="C357" s="48">
        <v>41213</v>
      </c>
      <c r="D357" s="49">
        <v>25</v>
      </c>
      <c r="E357" s="49">
        <v>8</v>
      </c>
      <c r="F357" s="50">
        <v>0.04</v>
      </c>
      <c r="G357" s="50">
        <v>0</v>
      </c>
      <c r="H357" s="50">
        <v>10</v>
      </c>
      <c r="I357" s="50">
        <f>AVERAGE(10,10,9,14)</f>
        <v>10.75</v>
      </c>
      <c r="J357" s="49">
        <f>EXP(-0.228+(0.348*I357)+(-0.002*H357)+(-0.092*G357)+(3.27*F357))</f>
        <v>37.479720498806245</v>
      </c>
      <c r="K357" s="51">
        <f>1+EXP(-0.228+(0.348*I357)+(-0.002*H357)+(-0.092*G357)+(3.27*F357))</f>
        <v>38.479720498806245</v>
      </c>
      <c r="L357" s="51">
        <f>J357/K357</f>
        <v>0.97401228524955052</v>
      </c>
      <c r="M357" s="51">
        <v>14</v>
      </c>
      <c r="N357" s="51">
        <f>E357*M357/L357/D357</f>
        <v>4.599531307607875</v>
      </c>
      <c r="O357" s="61">
        <f>N357/2.47</f>
        <v>1.8621584241327427</v>
      </c>
      <c r="P357" s="39"/>
      <c r="S357" t="s">
        <v>169</v>
      </c>
      <c r="T357" t="s">
        <v>170</v>
      </c>
    </row>
    <row r="358" spans="1:20" x14ac:dyDescent="0.25">
      <c r="A358" s="62" t="s">
        <v>120</v>
      </c>
      <c r="B358" s="53" t="s">
        <v>173</v>
      </c>
      <c r="C358" s="48">
        <v>41211</v>
      </c>
      <c r="D358" s="49">
        <v>25</v>
      </c>
      <c r="E358" s="49">
        <v>8</v>
      </c>
      <c r="F358" s="50">
        <v>0.04</v>
      </c>
      <c r="G358" s="50">
        <v>10</v>
      </c>
      <c r="H358" s="50">
        <v>0</v>
      </c>
      <c r="I358" s="50">
        <f>AVERAGE(11,6,11,11)</f>
        <v>9.75</v>
      </c>
      <c r="J358" s="49">
        <f>EXP(-0.228+(0.348*I358)+(-0.002*H358)+(-0.092*G358)+(3.27*F358))</f>
        <v>10.759617437867034</v>
      </c>
      <c r="K358" s="51">
        <f>1+EXP(-0.228+(0.348*I358)+(-0.002*H358)+(-0.092*G358)+(3.27*F358))</f>
        <v>11.759617437867034</v>
      </c>
      <c r="L358" s="51">
        <f>J358/K358</f>
        <v>0.91496322008062014</v>
      </c>
      <c r="M358" s="51">
        <v>14</v>
      </c>
      <c r="N358" s="51">
        <f t="shared" ref="N358:N368" si="58">E358*M358/L358/D358</f>
        <v>4.896371681044462</v>
      </c>
      <c r="O358" s="61">
        <f t="shared" ref="O358:O368" si="59">N358/2.47</f>
        <v>1.9823367129734661</v>
      </c>
      <c r="P358" s="39"/>
      <c r="S358">
        <v>2007</v>
      </c>
      <c r="T358">
        <v>0.87</v>
      </c>
    </row>
    <row r="359" spans="1:20" x14ac:dyDescent="0.25">
      <c r="A359" s="62" t="s">
        <v>174</v>
      </c>
      <c r="B359" s="47" t="s">
        <v>175</v>
      </c>
      <c r="C359" s="48">
        <v>41215</v>
      </c>
      <c r="D359" s="46">
        <v>24.138999999999999</v>
      </c>
      <c r="E359" s="46">
        <v>5</v>
      </c>
      <c r="F359" s="50">
        <v>0.02</v>
      </c>
      <c r="G359" s="50">
        <v>0</v>
      </c>
      <c r="H359" s="50">
        <v>0</v>
      </c>
      <c r="I359" s="50">
        <f>AVERAGE(12,11,9,7)</f>
        <v>9.75</v>
      </c>
      <c r="J359" s="49">
        <f>EXP(-0.228+(0.348*I359)+(-0.002*H359)+(-0.092*G359)+(3.27*F359))</f>
        <v>25.289770856393499</v>
      </c>
      <c r="K359" s="51">
        <f>1+EXP(-0.228+(0.348*I359)+(-0.002*H359)+(-0.092*G359)+(3.27*F359))</f>
        <v>26.289770856393499</v>
      </c>
      <c r="L359" s="51">
        <f>J359/K359</f>
        <v>0.96196239193325617</v>
      </c>
      <c r="M359" s="51">
        <v>14</v>
      </c>
      <c r="N359" s="51">
        <f t="shared" si="58"/>
        <v>3.0145373680232943</v>
      </c>
      <c r="O359" s="61">
        <f t="shared" si="59"/>
        <v>1.2204604728839248</v>
      </c>
      <c r="P359" s="39"/>
      <c r="S359">
        <v>2008</v>
      </c>
      <c r="T359">
        <v>1.41</v>
      </c>
    </row>
    <row r="360" spans="1:20" x14ac:dyDescent="0.25">
      <c r="A360" s="62" t="s">
        <v>176</v>
      </c>
      <c r="B360" s="53" t="s">
        <v>177</v>
      </c>
      <c r="C360" s="48">
        <v>41202</v>
      </c>
      <c r="D360" s="49">
        <v>25</v>
      </c>
      <c r="E360" s="49">
        <v>4</v>
      </c>
      <c r="F360" s="50">
        <v>0.05</v>
      </c>
      <c r="G360" s="50">
        <v>0</v>
      </c>
      <c r="H360" s="50">
        <v>0</v>
      </c>
      <c r="I360" s="50">
        <f>AVERAGE(6,9,13,11)</f>
        <v>9.75</v>
      </c>
      <c r="J360" s="49">
        <f>EXP(-0.228+(0.348*I360)+(-0.002*H360)+(-0.092*G360)+(3.27*F360))</f>
        <v>27.896465605606629</v>
      </c>
      <c r="K360" s="51">
        <f>1+EXP(-0.228+(0.348*I360)+(-0.002*H360)+(-0.092*G360)+(3.27*F360))</f>
        <v>28.896465605606629</v>
      </c>
      <c r="L360" s="51">
        <f>J360/K360</f>
        <v>0.9653936916144521</v>
      </c>
      <c r="M360" s="51">
        <v>14</v>
      </c>
      <c r="N360" s="51">
        <f t="shared" si="58"/>
        <v>2.3202969104283167</v>
      </c>
      <c r="O360" s="61">
        <f t="shared" si="59"/>
        <v>0.93939146171186905</v>
      </c>
      <c r="P360" s="39"/>
      <c r="S360">
        <v>2009</v>
      </c>
      <c r="T360">
        <v>2.0499999999999998</v>
      </c>
    </row>
    <row r="361" spans="1:20" x14ac:dyDescent="0.25">
      <c r="A361" s="62" t="s">
        <v>57</v>
      </c>
      <c r="B361" s="47" t="s">
        <v>178</v>
      </c>
      <c r="C361" s="48">
        <v>41205</v>
      </c>
      <c r="D361" s="49">
        <v>25</v>
      </c>
      <c r="E361" s="46">
        <v>5</v>
      </c>
      <c r="F361" s="50">
        <v>-0.03</v>
      </c>
      <c r="G361" s="50">
        <v>0</v>
      </c>
      <c r="H361" s="50">
        <v>0</v>
      </c>
      <c r="I361" s="49">
        <f>AVERAGE(15,12,9,11)</f>
        <v>11.75</v>
      </c>
      <c r="J361" s="49">
        <f>EXP(-0.228+(0.348*I361)+(-0.002*H361)+(-0.092*G361)+(3.27*F361))</f>
        <v>43.073157186937479</v>
      </c>
      <c r="K361" s="51">
        <f>1+EXP(-0.228+(0.348*I361)+(-0.002*H361)+(-0.092*G361)+(3.27*F361))</f>
        <v>44.073157186937479</v>
      </c>
      <c r="L361" s="51">
        <f>J361/K361</f>
        <v>0.97731045235179148</v>
      </c>
      <c r="M361" s="51">
        <v>14</v>
      </c>
      <c r="N361" s="51">
        <f t="shared" si="58"/>
        <v>2.8650056829558137</v>
      </c>
      <c r="O361" s="61">
        <f t="shared" si="59"/>
        <v>1.1599213291319084</v>
      </c>
      <c r="P361" s="39"/>
      <c r="S361">
        <v>2010</v>
      </c>
      <c r="T361">
        <v>1.69</v>
      </c>
    </row>
    <row r="362" spans="1:20" x14ac:dyDescent="0.25">
      <c r="A362" s="62" t="s">
        <v>179</v>
      </c>
      <c r="B362" s="53" t="s">
        <v>180</v>
      </c>
      <c r="C362" s="48">
        <v>41199</v>
      </c>
      <c r="D362" s="49">
        <v>25</v>
      </c>
      <c r="E362" s="49">
        <v>6</v>
      </c>
      <c r="F362" s="50">
        <v>0</v>
      </c>
      <c r="G362" s="50">
        <v>0.02</v>
      </c>
      <c r="H362" s="50">
        <v>100</v>
      </c>
      <c r="I362" s="50">
        <f>AVERAGE(11,9,13,9)</f>
        <v>10.5</v>
      </c>
      <c r="J362" s="49">
        <f t="shared" ref="J362:J368" si="60">EXP(-0.228+(0.348*I362)+(-0.002*H362)+(-0.092*G362)+(3.27*F362))</f>
        <v>25.132454025224174</v>
      </c>
      <c r="K362" s="51">
        <f t="shared" ref="K362:K368" si="61">1+EXP(-0.228+(0.348*I362)+(-0.002*H362)+(-0.092*G362)+(3.27*F362))</f>
        <v>26.132454025224174</v>
      </c>
      <c r="L362" s="51">
        <f t="shared" ref="L362:L368" si="62">J362/K362</f>
        <v>0.96173340632170412</v>
      </c>
      <c r="M362" s="51">
        <v>14</v>
      </c>
      <c r="N362" s="51">
        <f t="shared" si="58"/>
        <v>3.4936916799540443</v>
      </c>
      <c r="O362" s="61">
        <f t="shared" si="59"/>
        <v>1.4144500728558882</v>
      </c>
      <c r="P362" s="39"/>
      <c r="S362">
        <v>2011</v>
      </c>
      <c r="T362">
        <v>1.0900000000000001</v>
      </c>
    </row>
    <row r="363" spans="1:20" x14ac:dyDescent="0.25">
      <c r="A363" s="62" t="s">
        <v>51</v>
      </c>
      <c r="B363" s="47" t="s">
        <v>181</v>
      </c>
      <c r="C363" s="48">
        <v>41212</v>
      </c>
      <c r="D363" s="49">
        <v>25</v>
      </c>
      <c r="E363" s="49">
        <v>7</v>
      </c>
      <c r="F363" s="50">
        <v>0</v>
      </c>
      <c r="G363" s="50">
        <v>10</v>
      </c>
      <c r="H363" s="50">
        <v>0</v>
      </c>
      <c r="I363" s="50">
        <f>AVERAGE(9,7,7,13)</f>
        <v>9</v>
      </c>
      <c r="J363" s="49">
        <f t="shared" si="60"/>
        <v>7.2717719763787771</v>
      </c>
      <c r="K363" s="51">
        <f t="shared" si="61"/>
        <v>8.2717719763787763</v>
      </c>
      <c r="L363" s="51">
        <f t="shared" si="62"/>
        <v>0.87910691894606841</v>
      </c>
      <c r="M363" s="51">
        <v>14</v>
      </c>
      <c r="N363" s="51">
        <f t="shared" si="58"/>
        <v>4.45907080870158</v>
      </c>
      <c r="O363" s="61">
        <f t="shared" si="59"/>
        <v>1.805291825385255</v>
      </c>
      <c r="P363" s="39"/>
      <c r="S363">
        <v>2012</v>
      </c>
      <c r="T363" s="75">
        <v>1.48</v>
      </c>
    </row>
    <row r="364" spans="1:20" x14ac:dyDescent="0.25">
      <c r="A364" s="62" t="s">
        <v>102</v>
      </c>
      <c r="B364" s="53" t="s">
        <v>182</v>
      </c>
      <c r="C364" s="48">
        <v>41204</v>
      </c>
      <c r="D364" s="49">
        <v>25</v>
      </c>
      <c r="E364" s="49">
        <v>6</v>
      </c>
      <c r="F364" s="50">
        <v>0.05</v>
      </c>
      <c r="G364" s="50">
        <v>0</v>
      </c>
      <c r="H364" s="50">
        <v>5</v>
      </c>
      <c r="I364" s="50">
        <f>AVERAGE(6,10,10,9)</f>
        <v>8.75</v>
      </c>
      <c r="J364" s="49">
        <f t="shared" si="60"/>
        <v>19.501667992725213</v>
      </c>
      <c r="K364" s="51">
        <f t="shared" si="61"/>
        <v>20.501667992725213</v>
      </c>
      <c r="L364" s="51">
        <f t="shared" si="62"/>
        <v>0.95122348092092612</v>
      </c>
      <c r="M364" s="51">
        <v>14</v>
      </c>
      <c r="N364" s="51">
        <f t="shared" si="58"/>
        <v>3.5322929546976898</v>
      </c>
      <c r="O364" s="61">
        <f t="shared" si="59"/>
        <v>1.4300781193108054</v>
      </c>
      <c r="P364" s="39"/>
    </row>
    <row r="365" spans="1:20" x14ac:dyDescent="0.25">
      <c r="A365" s="62" t="s">
        <v>183</v>
      </c>
      <c r="B365" s="47" t="s">
        <v>184</v>
      </c>
      <c r="C365" s="48">
        <v>41213</v>
      </c>
      <c r="D365" s="49">
        <v>25</v>
      </c>
      <c r="E365" s="49">
        <v>6</v>
      </c>
      <c r="F365" s="50">
        <v>0.04</v>
      </c>
      <c r="G365" s="50">
        <v>0</v>
      </c>
      <c r="H365" s="50">
        <v>5</v>
      </c>
      <c r="I365" s="50">
        <f>AVERAGE(7,11,12,9)</f>
        <v>9.75</v>
      </c>
      <c r="J365" s="49">
        <f t="shared" si="60"/>
        <v>26.730360051493282</v>
      </c>
      <c r="K365" s="51">
        <f t="shared" si="61"/>
        <v>27.730360051493282</v>
      </c>
      <c r="L365" s="51">
        <f t="shared" si="62"/>
        <v>0.9639384415441028</v>
      </c>
      <c r="M365" s="51">
        <v>14</v>
      </c>
      <c r="N365" s="51">
        <f t="shared" si="58"/>
        <v>3.4856997658665021</v>
      </c>
      <c r="O365" s="61">
        <f t="shared" si="59"/>
        <v>1.4112144801078954</v>
      </c>
      <c r="P365" s="39"/>
    </row>
    <row r="366" spans="1:20" x14ac:dyDescent="0.25">
      <c r="A366" s="62" t="s">
        <v>109</v>
      </c>
      <c r="B366" s="53" t="s">
        <v>185</v>
      </c>
      <c r="C366" s="48">
        <v>41212</v>
      </c>
      <c r="D366" s="49">
        <v>25</v>
      </c>
      <c r="E366" s="49">
        <v>3</v>
      </c>
      <c r="F366" s="50">
        <v>0</v>
      </c>
      <c r="G366" s="50">
        <v>10</v>
      </c>
      <c r="H366" s="50">
        <v>0</v>
      </c>
      <c r="I366" s="50">
        <f>AVERAGE(8,2,6,5)</f>
        <v>5.25</v>
      </c>
      <c r="J366" s="49">
        <f t="shared" si="60"/>
        <v>1.9719048411081859</v>
      </c>
      <c r="K366" s="51">
        <f t="shared" si="61"/>
        <v>2.9719048411081861</v>
      </c>
      <c r="L366" s="51">
        <f t="shared" si="62"/>
        <v>0.66351547123321997</v>
      </c>
      <c r="M366" s="51">
        <v>14</v>
      </c>
      <c r="N366" s="51">
        <f t="shared" si="58"/>
        <v>2.5319680894215266</v>
      </c>
      <c r="O366" s="61">
        <f t="shared" si="59"/>
        <v>1.0250882953123588</v>
      </c>
      <c r="P366" s="39"/>
    </row>
    <row r="367" spans="1:20" x14ac:dyDescent="0.25">
      <c r="A367" s="62" t="s">
        <v>186</v>
      </c>
      <c r="B367" s="47" t="s">
        <v>187</v>
      </c>
      <c r="C367" s="48">
        <v>41205</v>
      </c>
      <c r="D367" s="49">
        <v>25</v>
      </c>
      <c r="E367" s="49">
        <v>8</v>
      </c>
      <c r="F367" s="50">
        <v>-0.03</v>
      </c>
      <c r="G367" s="50">
        <v>0</v>
      </c>
      <c r="H367" s="50">
        <v>0</v>
      </c>
      <c r="I367" s="50">
        <f>AVERAGE(13,9,10,12)</f>
        <v>11</v>
      </c>
      <c r="J367" s="49">
        <f t="shared" si="60"/>
        <v>33.178431128679073</v>
      </c>
      <c r="K367" s="51">
        <f t="shared" si="61"/>
        <v>34.178431128679073</v>
      </c>
      <c r="L367" s="51">
        <f t="shared" si="62"/>
        <v>0.9707417816740892</v>
      </c>
      <c r="M367" s="51">
        <v>14</v>
      </c>
      <c r="N367" s="51">
        <f t="shared" si="58"/>
        <v>4.6150274816378376</v>
      </c>
      <c r="O367" s="61">
        <f t="shared" si="59"/>
        <v>1.8684321788007439</v>
      </c>
      <c r="P367" s="39"/>
    </row>
    <row r="368" spans="1:20" ht="15.75" thickBot="1" x14ac:dyDescent="0.3">
      <c r="A368" s="63" t="s">
        <v>188</v>
      </c>
      <c r="B368" s="64" t="s">
        <v>189</v>
      </c>
      <c r="C368" s="65">
        <v>41214</v>
      </c>
      <c r="D368" s="66">
        <v>25</v>
      </c>
      <c r="E368" s="66">
        <v>7</v>
      </c>
      <c r="F368" s="67">
        <v>0.02</v>
      </c>
      <c r="G368" s="67">
        <v>5</v>
      </c>
      <c r="H368" s="67">
        <v>5</v>
      </c>
      <c r="I368" s="67">
        <f>AVERAGE(9,12,13,10)</f>
        <v>11</v>
      </c>
      <c r="J368" s="66">
        <f t="shared" si="60"/>
        <v>24.419939714846326</v>
      </c>
      <c r="K368" s="66">
        <f t="shared" si="61"/>
        <v>25.419939714846326</v>
      </c>
      <c r="L368" s="66">
        <f t="shared" si="62"/>
        <v>0.96066080363613304</v>
      </c>
      <c r="M368" s="66">
        <v>14</v>
      </c>
      <c r="N368" s="66">
        <f t="shared" si="58"/>
        <v>4.0805245568078448</v>
      </c>
      <c r="O368" s="68">
        <f t="shared" si="59"/>
        <v>1.652034233525443</v>
      </c>
    </row>
    <row r="369" spans="1:20" ht="15.75" thickTop="1" x14ac:dyDescent="0.25">
      <c r="A369" s="51"/>
      <c r="B369" s="53"/>
      <c r="C369" s="48"/>
      <c r="D369" s="49"/>
      <c r="E369" s="49"/>
      <c r="F369" s="50"/>
      <c r="G369" s="50"/>
      <c r="H369" s="50"/>
      <c r="I369" s="50"/>
      <c r="J369" s="49"/>
      <c r="K369" s="51"/>
      <c r="L369" s="51"/>
      <c r="M369" s="51"/>
      <c r="N369" s="51"/>
      <c r="O369" s="69"/>
    </row>
    <row r="370" spans="1:20" x14ac:dyDescent="0.25">
      <c r="A370" s="70"/>
      <c r="B370" s="70"/>
      <c r="C370" s="70"/>
      <c r="D370" s="42" t="s">
        <v>82</v>
      </c>
      <c r="E370" s="70">
        <f>AVERAGE(E357:E368)</f>
        <v>6.083333333333333</v>
      </c>
      <c r="F370" s="70"/>
      <c r="G370" s="70"/>
      <c r="H370" s="70"/>
      <c r="I370" s="70"/>
      <c r="J370" s="70"/>
      <c r="K370" s="70"/>
      <c r="L370" s="70"/>
      <c r="M370" s="70"/>
      <c r="N370" s="42" t="s">
        <v>82</v>
      </c>
      <c r="O370" s="61">
        <f>AVERAGE(O357:O368)</f>
        <v>1.4809048005110252</v>
      </c>
    </row>
    <row r="371" spans="1:20" x14ac:dyDescent="0.25">
      <c r="A371" s="71"/>
      <c r="B371" s="71"/>
      <c r="C371" s="71"/>
      <c r="D371" s="72" t="s">
        <v>17</v>
      </c>
      <c r="E371" s="73">
        <f>SQRT(VAR(E356:E368)/COUNT(E357:E368))</f>
        <v>0.46804450276192405</v>
      </c>
      <c r="F371" s="71"/>
      <c r="G371" s="71"/>
      <c r="H371" s="71"/>
      <c r="I371" s="71"/>
      <c r="J371" s="71"/>
      <c r="K371" s="71"/>
      <c r="L371" s="71"/>
      <c r="M371" s="71"/>
      <c r="N371" s="72" t="s">
        <v>17</v>
      </c>
      <c r="O371" s="74">
        <f>SQRT(VAR(O356:O369)/COUNT(O357:O368))</f>
        <v>0.10169775944103887</v>
      </c>
    </row>
    <row r="374" spans="1:20" x14ac:dyDescent="0.25">
      <c r="A374" s="55" t="s">
        <v>48</v>
      </c>
      <c r="B374" s="55" t="s">
        <v>1</v>
      </c>
      <c r="C374" s="55" t="s">
        <v>2</v>
      </c>
      <c r="D374" s="55" t="s">
        <v>3</v>
      </c>
      <c r="E374" s="55" t="s">
        <v>4</v>
      </c>
      <c r="F374" s="55" t="s">
        <v>5</v>
      </c>
      <c r="G374" s="56" t="s">
        <v>6</v>
      </c>
      <c r="H374" s="57" t="s">
        <v>7</v>
      </c>
      <c r="I374" s="55" t="s">
        <v>8</v>
      </c>
      <c r="J374" s="58" t="s">
        <v>9</v>
      </c>
      <c r="K374" s="58" t="s">
        <v>10</v>
      </c>
      <c r="L374" s="58" t="s">
        <v>11</v>
      </c>
      <c r="M374" s="55" t="s">
        <v>12</v>
      </c>
      <c r="N374" s="58" t="s">
        <v>13</v>
      </c>
      <c r="O374" s="59" t="s">
        <v>14</v>
      </c>
      <c r="S374" t="s">
        <v>165</v>
      </c>
      <c r="T374" t="s">
        <v>17</v>
      </c>
    </row>
    <row r="375" spans="1:20" x14ac:dyDescent="0.25">
      <c r="A375" s="76" t="s">
        <v>102</v>
      </c>
      <c r="B375" s="77" t="s">
        <v>190</v>
      </c>
      <c r="C375" s="78">
        <v>41576</v>
      </c>
      <c r="D375" s="79">
        <v>25</v>
      </c>
      <c r="E375" s="79">
        <v>8</v>
      </c>
      <c r="F375" s="80">
        <v>0.03</v>
      </c>
      <c r="G375" s="80">
        <v>0</v>
      </c>
      <c r="H375" s="80">
        <v>0</v>
      </c>
      <c r="I375" s="80">
        <f>AVERAGE(17,11,13,10)</f>
        <v>12.75</v>
      </c>
      <c r="J375" s="79">
        <f>EXP(-0.228+(0.348*I375)+(-0.002*H375)+(-0.092*G375)+(3.27*F375))</f>
        <v>74.224924242305462</v>
      </c>
      <c r="K375" s="81">
        <f>1+EXP(-0.228+(0.348*I375)+(-0.002*H375)+(-0.092*G375)+(3.27*F375))</f>
        <v>75.224924242305462</v>
      </c>
      <c r="L375" s="81">
        <f>J375/K375</f>
        <v>0.98670653363798788</v>
      </c>
      <c r="M375" s="81">
        <v>13.5</v>
      </c>
      <c r="N375" s="81">
        <f>E375*M375/L375/D375</f>
        <v>4.3782014740210107</v>
      </c>
      <c r="O375" s="82">
        <f>N375/2.47</f>
        <v>1.7725512040570892</v>
      </c>
      <c r="R375" t="s">
        <v>166</v>
      </c>
      <c r="S375">
        <v>1.4200309428786546</v>
      </c>
      <c r="T375">
        <v>0.15145752528942699</v>
      </c>
    </row>
    <row r="376" spans="1:20" x14ac:dyDescent="0.25">
      <c r="A376" s="83" t="s">
        <v>99</v>
      </c>
      <c r="B376" s="77" t="s">
        <v>191</v>
      </c>
      <c r="C376" s="78">
        <v>41211</v>
      </c>
      <c r="D376" s="79">
        <v>25</v>
      </c>
      <c r="E376" s="79">
        <v>7</v>
      </c>
      <c r="F376" s="80">
        <v>0.03</v>
      </c>
      <c r="G376" s="80">
        <v>0</v>
      </c>
      <c r="H376" s="80">
        <v>0</v>
      </c>
      <c r="I376" s="80">
        <f>AVERAGE(8,13,12,14)</f>
        <v>11.75</v>
      </c>
      <c r="J376" s="79">
        <f>EXP(-0.228+(0.348*I376)+(-0.002*H376)+(-0.092*G376)+(3.27*F376))</f>
        <v>52.410135594589711</v>
      </c>
      <c r="K376" s="81">
        <f>1+EXP(-0.228+(0.348*I376)+(-0.002*H376)+(-0.092*G376)+(3.27*F376))</f>
        <v>53.410135594589711</v>
      </c>
      <c r="L376" s="81">
        <f>J376/K376</f>
        <v>0.98127696196859504</v>
      </c>
      <c r="M376" s="81">
        <v>13.5</v>
      </c>
      <c r="N376" s="81">
        <f t="shared" ref="N376:N386" si="63">E376*M376/L376/D376</f>
        <v>3.852123453929591</v>
      </c>
      <c r="O376" s="82">
        <f t="shared" ref="O376:O386" si="64">N376/2.47</f>
        <v>1.5595641513884984</v>
      </c>
      <c r="R376" t="s">
        <v>167</v>
      </c>
      <c r="S376">
        <v>1.4085971439106042</v>
      </c>
      <c r="T376">
        <v>9.4683299108295052E-2</v>
      </c>
    </row>
    <row r="377" spans="1:20" x14ac:dyDescent="0.25">
      <c r="A377" s="83" t="s">
        <v>174</v>
      </c>
      <c r="B377" s="77" t="s">
        <v>192</v>
      </c>
      <c r="C377" s="78">
        <v>41589</v>
      </c>
      <c r="D377" s="81">
        <v>25</v>
      </c>
      <c r="E377" s="81">
        <v>4</v>
      </c>
      <c r="F377" s="80">
        <v>-0.02</v>
      </c>
      <c r="G377" s="80">
        <v>0</v>
      </c>
      <c r="H377" s="80">
        <v>0</v>
      </c>
      <c r="I377" s="80">
        <f>AVERAGE(9,10,12,8)</f>
        <v>9.75</v>
      </c>
      <c r="J377" s="79">
        <f>EXP(-0.228+(0.348*I377)+(-0.002*H377)+(-0.092*G377)+(3.27*F377))</f>
        <v>22.189073876528397</v>
      </c>
      <c r="K377" s="81">
        <f>1+EXP(-0.228+(0.348*I377)+(-0.002*H377)+(-0.092*G377)+(3.27*F377))</f>
        <v>23.189073876528397</v>
      </c>
      <c r="L377" s="81">
        <f>J377/K377</f>
        <v>0.95687624243535729</v>
      </c>
      <c r="M377" s="81">
        <v>13.5</v>
      </c>
      <c r="N377" s="81">
        <f t="shared" si="63"/>
        <v>2.2573452074664933</v>
      </c>
      <c r="O377" s="82">
        <f t="shared" si="64"/>
        <v>0.91390494229412678</v>
      </c>
      <c r="R377" t="s">
        <v>168</v>
      </c>
      <c r="S377">
        <v>1.4911697614711406</v>
      </c>
      <c r="T377">
        <v>0.27365648237735879</v>
      </c>
    </row>
    <row r="378" spans="1:20" x14ac:dyDescent="0.25">
      <c r="A378" s="83" t="s">
        <v>193</v>
      </c>
      <c r="B378" s="77" t="s">
        <v>194</v>
      </c>
      <c r="C378" s="78">
        <v>41577</v>
      </c>
      <c r="D378" s="79">
        <v>25</v>
      </c>
      <c r="E378" s="79">
        <v>5</v>
      </c>
      <c r="F378" s="80">
        <v>-0.02</v>
      </c>
      <c r="G378" s="80">
        <v>0</v>
      </c>
      <c r="H378" s="80">
        <v>30</v>
      </c>
      <c r="I378" s="80">
        <f>AVERAGE(8,8,9,12)</f>
        <v>9.25</v>
      </c>
      <c r="J378" s="79">
        <f>EXP(-0.228+(0.348*I378)+(-0.002*H378)+(-0.092*G378)+(3.27*F378))</f>
        <v>17.559585795970776</v>
      </c>
      <c r="K378" s="81">
        <f>1+EXP(-0.228+(0.348*I378)+(-0.002*H378)+(-0.092*G378)+(3.27*F378))</f>
        <v>18.559585795970776</v>
      </c>
      <c r="L378" s="81">
        <f>J378/K378</f>
        <v>0.94611948720229</v>
      </c>
      <c r="M378" s="81">
        <v>13.5</v>
      </c>
      <c r="N378" s="81">
        <f t="shared" si="63"/>
        <v>2.8537621690723216</v>
      </c>
      <c r="O378" s="82">
        <f t="shared" si="64"/>
        <v>1.1553692992195632</v>
      </c>
    </row>
    <row r="379" spans="1:20" x14ac:dyDescent="0.25">
      <c r="A379" s="83" t="s">
        <v>195</v>
      </c>
      <c r="B379" s="77" t="s">
        <v>196</v>
      </c>
      <c r="C379" s="78">
        <v>41571</v>
      </c>
      <c r="D379" s="79">
        <v>25</v>
      </c>
      <c r="E379" s="81">
        <v>6</v>
      </c>
      <c r="F379" s="80">
        <v>0.08</v>
      </c>
      <c r="G379" s="80">
        <v>2</v>
      </c>
      <c r="H379" s="80">
        <v>0</v>
      </c>
      <c r="I379" s="79">
        <f>AVERAGE(7,11,11,9)</f>
        <v>9.5</v>
      </c>
      <c r="J379" s="79">
        <f>EXP(-0.228+(0.348*I379)+(-0.002*H379)+(-0.092*G379)+(3.27*F379))</f>
        <v>23.467113136076975</v>
      </c>
      <c r="K379" s="81">
        <f>1+EXP(-0.228+(0.348*I379)+(-0.002*H379)+(-0.092*G379)+(3.27*F379))</f>
        <v>24.467113136076975</v>
      </c>
      <c r="L379" s="81">
        <f>J379/K379</f>
        <v>0.95912881121534965</v>
      </c>
      <c r="M379" s="81">
        <v>13.5</v>
      </c>
      <c r="N379" s="81">
        <f t="shared" si="63"/>
        <v>3.3780655550264087</v>
      </c>
      <c r="O379" s="82">
        <f t="shared" si="64"/>
        <v>1.3676378765289103</v>
      </c>
    </row>
    <row r="380" spans="1:20" x14ac:dyDescent="0.25">
      <c r="A380" s="83" t="s">
        <v>155</v>
      </c>
      <c r="B380" s="77" t="s">
        <v>197</v>
      </c>
      <c r="C380" s="78">
        <v>41590</v>
      </c>
      <c r="D380" s="79">
        <v>25</v>
      </c>
      <c r="E380" s="79">
        <v>4</v>
      </c>
      <c r="F380" s="80">
        <v>0</v>
      </c>
      <c r="G380" s="80">
        <v>0</v>
      </c>
      <c r="H380" s="80">
        <v>50</v>
      </c>
      <c r="I380" s="80">
        <f>AVERAGE(7,8,5,9)</f>
        <v>7.25</v>
      </c>
      <c r="J380" s="79">
        <f t="shared" ref="J380:J386" si="65">EXP(-0.228+(0.348*I380)+(-0.002*H380)+(-0.092*G380)+(3.27*F380))</f>
        <v>8.9800010568193649</v>
      </c>
      <c r="K380" s="81">
        <f t="shared" ref="K380:K386" si="66">1+EXP(-0.228+(0.348*I380)+(-0.002*H380)+(-0.092*G380)+(3.27*F380))</f>
        <v>9.9800010568193649</v>
      </c>
      <c r="L380" s="81">
        <f t="shared" ref="L380:L386" si="67">J380/K380</f>
        <v>0.89979960980898921</v>
      </c>
      <c r="M380" s="81">
        <v>13.5</v>
      </c>
      <c r="N380" s="81">
        <f t="shared" si="63"/>
        <v>2.4005344928506114</v>
      </c>
      <c r="O380" s="82">
        <f t="shared" si="64"/>
        <v>0.97187631289498433</v>
      </c>
    </row>
    <row r="381" spans="1:20" x14ac:dyDescent="0.25">
      <c r="A381" s="83" t="s">
        <v>198</v>
      </c>
      <c r="B381" s="77" t="s">
        <v>199</v>
      </c>
      <c r="C381" s="78">
        <v>41575</v>
      </c>
      <c r="D381" s="79">
        <v>25</v>
      </c>
      <c r="E381" s="79">
        <v>9</v>
      </c>
      <c r="F381" s="80">
        <v>0.02</v>
      </c>
      <c r="G381" s="80">
        <v>1</v>
      </c>
      <c r="H381" s="80">
        <v>0</v>
      </c>
      <c r="I381" s="80">
        <f>AVERAGE(11,14,13,12)</f>
        <v>12.5</v>
      </c>
      <c r="J381" s="79">
        <f t="shared" si="65"/>
        <v>60.063359696901223</v>
      </c>
      <c r="K381" s="81">
        <f t="shared" si="66"/>
        <v>61.063359696901223</v>
      </c>
      <c r="L381" s="81">
        <f t="shared" si="67"/>
        <v>0.98362356730838796</v>
      </c>
      <c r="M381" s="81">
        <v>13.5</v>
      </c>
      <c r="N381" s="81">
        <f t="shared" si="63"/>
        <v>4.9409145546390532</v>
      </c>
      <c r="O381" s="82">
        <f t="shared" si="64"/>
        <v>2.0003702650360538</v>
      </c>
    </row>
    <row r="382" spans="1:20" x14ac:dyDescent="0.25">
      <c r="A382" s="83" t="s">
        <v>183</v>
      </c>
      <c r="B382" s="77" t="s">
        <v>200</v>
      </c>
      <c r="C382" s="78">
        <v>41590</v>
      </c>
      <c r="D382" s="79">
        <v>25</v>
      </c>
      <c r="E382" s="79">
        <v>5</v>
      </c>
      <c r="F382" s="80">
        <v>0</v>
      </c>
      <c r="G382" s="80">
        <v>0</v>
      </c>
      <c r="H382" s="80">
        <v>25</v>
      </c>
      <c r="I382" s="80">
        <f>AVERAGE(7,10,10,9)</f>
        <v>9</v>
      </c>
      <c r="J382" s="79">
        <f t="shared" si="65"/>
        <v>17.357071454772186</v>
      </c>
      <c r="K382" s="81">
        <f t="shared" si="66"/>
        <v>18.357071454772186</v>
      </c>
      <c r="L382" s="81">
        <f t="shared" si="67"/>
        <v>0.94552507994187518</v>
      </c>
      <c r="M382" s="81">
        <v>13.5</v>
      </c>
      <c r="N382" s="81">
        <f t="shared" si="63"/>
        <v>2.8555561954696946</v>
      </c>
      <c r="O382" s="82">
        <f>N382/2.47</f>
        <v>1.1560956256962325</v>
      </c>
      <c r="R382" t="s">
        <v>169</v>
      </c>
      <c r="S382" t="s">
        <v>170</v>
      </c>
    </row>
    <row r="383" spans="1:20" x14ac:dyDescent="0.25">
      <c r="A383" s="83" t="s">
        <v>188</v>
      </c>
      <c r="B383" s="77" t="s">
        <v>201</v>
      </c>
      <c r="C383" s="78">
        <v>41571</v>
      </c>
      <c r="D383" s="79">
        <v>25</v>
      </c>
      <c r="E383" s="79">
        <v>9</v>
      </c>
      <c r="F383" s="80">
        <v>0.08</v>
      </c>
      <c r="G383" s="80">
        <v>0</v>
      </c>
      <c r="H383" s="80">
        <v>0</v>
      </c>
      <c r="I383" s="80">
        <f>AVERAGE(12,14,10,9)</f>
        <v>11.25</v>
      </c>
      <c r="J383" s="79">
        <f t="shared" si="65"/>
        <v>51.862708194178673</v>
      </c>
      <c r="K383" s="81">
        <f t="shared" si="66"/>
        <v>52.862708194178673</v>
      </c>
      <c r="L383" s="81">
        <f t="shared" si="67"/>
        <v>0.98108307284737029</v>
      </c>
      <c r="M383" s="81">
        <v>13.5</v>
      </c>
      <c r="N383" s="81">
        <f t="shared" si="63"/>
        <v>4.9537089513683652</v>
      </c>
      <c r="O383" s="82">
        <f t="shared" si="64"/>
        <v>2.0055501827402287</v>
      </c>
      <c r="R383">
        <v>2007</v>
      </c>
      <c r="S383">
        <v>0.87</v>
      </c>
    </row>
    <row r="384" spans="1:20" x14ac:dyDescent="0.25">
      <c r="A384" s="83" t="s">
        <v>149</v>
      </c>
      <c r="B384" s="77" t="s">
        <v>202</v>
      </c>
      <c r="C384" s="78">
        <v>41571</v>
      </c>
      <c r="D384" s="79">
        <v>25</v>
      </c>
      <c r="E384" s="79">
        <v>6</v>
      </c>
      <c r="F384" s="80">
        <v>0.08</v>
      </c>
      <c r="G384" s="80">
        <v>0</v>
      </c>
      <c r="H384" s="80">
        <v>0</v>
      </c>
      <c r="I384" s="80">
        <f>AVERAGE(10,10,11,7)</f>
        <v>9.5</v>
      </c>
      <c r="J384" s="79">
        <f t="shared" si="65"/>
        <v>28.207841311955598</v>
      </c>
      <c r="K384" s="81">
        <f t="shared" si="66"/>
        <v>29.207841311955598</v>
      </c>
      <c r="L384" s="81">
        <f t="shared" si="67"/>
        <v>0.96576261869819624</v>
      </c>
      <c r="M384" s="81">
        <v>13.5</v>
      </c>
      <c r="N384" s="81">
        <f t="shared" si="63"/>
        <v>3.3548616785016714</v>
      </c>
      <c r="O384" s="82">
        <f t="shared" si="64"/>
        <v>1.3582435945350895</v>
      </c>
      <c r="R384">
        <v>2008</v>
      </c>
      <c r="S384">
        <v>1.41</v>
      </c>
    </row>
    <row r="385" spans="1:19" x14ac:dyDescent="0.25">
      <c r="A385" s="83" t="s">
        <v>179</v>
      </c>
      <c r="B385" s="77" t="s">
        <v>203</v>
      </c>
      <c r="C385" s="78">
        <v>41577</v>
      </c>
      <c r="D385" s="79">
        <v>25</v>
      </c>
      <c r="E385" s="79">
        <v>6</v>
      </c>
      <c r="F385" s="80">
        <v>-0.02</v>
      </c>
      <c r="G385" s="80">
        <v>0</v>
      </c>
      <c r="H385" s="80">
        <v>30</v>
      </c>
      <c r="I385" s="80">
        <f>AVERAGE(11,12,7,6)</f>
        <v>9</v>
      </c>
      <c r="J385" s="79">
        <f t="shared" si="65"/>
        <v>16.096470107971641</v>
      </c>
      <c r="K385" s="81">
        <f t="shared" si="66"/>
        <v>17.096470107971641</v>
      </c>
      <c r="L385" s="81">
        <f t="shared" si="67"/>
        <v>0.94150839362251004</v>
      </c>
      <c r="M385" s="81">
        <v>13.5</v>
      </c>
      <c r="N385" s="81">
        <f t="shared" si="63"/>
        <v>3.4412863676487317</v>
      </c>
      <c r="O385" s="82">
        <f t="shared" si="64"/>
        <v>1.3932333472262071</v>
      </c>
      <c r="R385">
        <v>2009</v>
      </c>
      <c r="S385">
        <v>2.0499999999999998</v>
      </c>
    </row>
    <row r="386" spans="1:19" ht="15.75" thickBot="1" x14ac:dyDescent="0.3">
      <c r="A386" s="84" t="s">
        <v>124</v>
      </c>
      <c r="B386" s="85" t="s">
        <v>204</v>
      </c>
      <c r="C386" s="86">
        <v>41575</v>
      </c>
      <c r="D386" s="87">
        <v>25</v>
      </c>
      <c r="E386" s="87">
        <v>7</v>
      </c>
      <c r="F386" s="88">
        <v>0.02</v>
      </c>
      <c r="G386" s="88">
        <v>0</v>
      </c>
      <c r="H386" s="88">
        <v>5</v>
      </c>
      <c r="I386" s="88">
        <f>AVERAGE(8,9,10,7)</f>
        <v>8.5</v>
      </c>
      <c r="J386" s="87">
        <f t="shared" si="65"/>
        <v>16.2062991000716</v>
      </c>
      <c r="K386" s="87">
        <f t="shared" si="66"/>
        <v>17.2062991000716</v>
      </c>
      <c r="L386" s="87">
        <f t="shared" si="67"/>
        <v>0.94188174957415227</v>
      </c>
      <c r="M386" s="87">
        <v>13.5</v>
      </c>
      <c r="N386" s="87">
        <f t="shared" si="63"/>
        <v>4.0132426408187971</v>
      </c>
      <c r="O386" s="89">
        <f t="shared" si="64"/>
        <v>1.624794591424614</v>
      </c>
      <c r="R386">
        <v>2010</v>
      </c>
      <c r="S386">
        <v>1.69</v>
      </c>
    </row>
    <row r="387" spans="1:19" ht="15.75" thickTop="1" x14ac:dyDescent="0.25">
      <c r="A387" s="51"/>
      <c r="B387" s="53"/>
      <c r="C387" s="48"/>
      <c r="D387" s="49"/>
      <c r="E387" s="49"/>
      <c r="F387" s="50"/>
      <c r="G387" s="50"/>
      <c r="H387" s="50"/>
      <c r="I387" s="50"/>
      <c r="J387" s="49"/>
      <c r="K387" s="51"/>
      <c r="L387" s="51"/>
      <c r="M387" s="51"/>
      <c r="N387" s="51"/>
      <c r="O387" s="69"/>
      <c r="R387">
        <v>2011</v>
      </c>
      <c r="S387">
        <v>1.0900000000000001</v>
      </c>
    </row>
    <row r="388" spans="1:19" x14ac:dyDescent="0.25">
      <c r="A388" s="70"/>
      <c r="B388" s="70"/>
      <c r="C388" s="70"/>
      <c r="D388" s="42" t="s">
        <v>82</v>
      </c>
      <c r="E388" s="70">
        <f>AVERAGE(E375:E386)</f>
        <v>6.333333333333333</v>
      </c>
      <c r="F388" s="70"/>
      <c r="G388" s="70"/>
      <c r="H388" s="70"/>
      <c r="I388" s="70"/>
      <c r="J388" s="70"/>
      <c r="K388" s="70"/>
      <c r="L388" s="70"/>
      <c r="M388" s="70"/>
      <c r="N388" s="42" t="s">
        <v>82</v>
      </c>
      <c r="O388" s="61">
        <f>AVERAGE(O375:O386)</f>
        <v>1.4399326160867998</v>
      </c>
      <c r="R388">
        <v>2012</v>
      </c>
      <c r="S388" s="75">
        <v>1.48</v>
      </c>
    </row>
    <row r="389" spans="1:19" x14ac:dyDescent="0.25">
      <c r="A389" s="71"/>
      <c r="B389" s="71"/>
      <c r="C389" s="71"/>
      <c r="D389" s="72" t="s">
        <v>17</v>
      </c>
      <c r="E389" s="73">
        <f>SQRT(VAR(E374:E386)/COUNT(E375:E386))</f>
        <v>0.49746833816309116</v>
      </c>
      <c r="F389" s="71"/>
      <c r="G389" s="71"/>
      <c r="H389" s="71"/>
      <c r="I389" s="71"/>
      <c r="J389" s="71"/>
      <c r="K389" s="71"/>
      <c r="L389" s="71"/>
      <c r="M389" s="71"/>
      <c r="N389" s="72" t="s">
        <v>17</v>
      </c>
      <c r="O389" s="74">
        <f>SQRT(VAR(O374:O387)/COUNT(O375:O386))</f>
        <v>0.10533267470510722</v>
      </c>
      <c r="R389">
        <v>2013</v>
      </c>
      <c r="S389">
        <v>1.44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 Data 2000-2023</vt:lpstr>
    </vt:vector>
  </TitlesOfParts>
  <Company>Tall Timbers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Hazelbaker</dc:creator>
  <cp:lastModifiedBy>livingston</cp:lastModifiedBy>
  <dcterms:created xsi:type="dcterms:W3CDTF">2024-06-27T12:58:51Z</dcterms:created>
  <dcterms:modified xsi:type="dcterms:W3CDTF">2024-06-27T18:14:34Z</dcterms:modified>
</cp:coreProperties>
</file>