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drawings/drawing5.xml" ContentType="application/vnd.openxmlformats-officedocument.drawing+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magdalenaroseosburn/Dropbox/Research/Homestake/Geochemical Analyses/DeMMO geochem/"/>
    </mc:Choice>
  </mc:AlternateContent>
  <xr:revisionPtr revIDLastSave="0" documentId="13_ncr:1_{56DB0038-4165-9F4C-9172-B5D64D023A06}" xr6:coauthVersionLast="36" xr6:coauthVersionMax="36" xr10:uidLastSave="{00000000-0000-0000-0000-000000000000}"/>
  <bookViews>
    <workbookView xWindow="20320" yWindow="640" windowWidth="29900" windowHeight="25840" tabRatio="961" xr2:uid="{00000000-000D-0000-FFFF-FFFF00000000}"/>
  </bookViews>
  <sheets>
    <sheet name="master" sheetId="19" r:id="rId1"/>
    <sheet name="averages by site" sheetId="17" r:id="rId2"/>
    <sheet name="carbon" sheetId="22" r:id="rId3"/>
    <sheet name="compelation" sheetId="14" r:id="rId4"/>
    <sheet name="Cell counts" sheetId="21" r:id="rId5"/>
    <sheet name=" DeMMO-1" sheetId="3" r:id="rId6"/>
    <sheet name="DeMMO-2" sheetId="4" r:id="rId7"/>
    <sheet name="DeMMO-3" sheetId="5" r:id="rId8"/>
    <sheet name="DeMMO-4" sheetId="6" r:id="rId9"/>
    <sheet name="DeMMO-5" sheetId="8" r:id="rId10"/>
    <sheet name="DeMMO-6" sheetId="7" r:id="rId11"/>
    <sheet name="May 2016 wk 1-Caitlin's notes" sheetId="1" r:id="rId12"/>
    <sheet name="May 2016 wk2" sheetId="2" r:id="rId13"/>
    <sheet name="July 2016" sheetId="10" r:id="rId14"/>
    <sheet name="Sept 2016" sheetId="12" r:id="rId15"/>
    <sheet name="Dec 2016" sheetId="13" r:id="rId16"/>
    <sheet name="By Parameter" sheetId="9" r:id="rId17"/>
    <sheet name="Feb 2017" sheetId="15" r:id="rId18"/>
    <sheet name="May 2017" sheetId="23" r:id="rId19"/>
    <sheet name="Aug 2017" sheetId="24" r:id="rId20"/>
    <sheet name="Oct 2017" sheetId="25" r:id="rId21"/>
    <sheet name="Nov 2017" sheetId="26" r:id="rId22"/>
    <sheet name="April 2018" sheetId="28" r:id="rId23"/>
    <sheet name="Sept 2018" sheetId="27" r:id="rId24"/>
    <sheet name="DIC data" sheetId="18" r:id="rId25"/>
    <sheet name="water isotopes" sheetId="20" r:id="rId2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F85" i="19" l="1"/>
  <c r="F85" i="19" l="1"/>
  <c r="F84" i="19"/>
  <c r="AT97" i="19" l="1"/>
  <c r="AS97" i="19"/>
  <c r="AR97" i="19"/>
  <c r="AQ97" i="19"/>
  <c r="AP97" i="19"/>
  <c r="AO97" i="19"/>
  <c r="AN97" i="19"/>
  <c r="AM97" i="19"/>
  <c r="AL97" i="19"/>
  <c r="AK97" i="19"/>
  <c r="AJ97" i="19"/>
  <c r="AI97" i="19"/>
  <c r="AH97" i="19"/>
  <c r="AG97" i="19"/>
  <c r="AF97" i="19"/>
  <c r="AE97" i="19"/>
  <c r="AD97" i="19"/>
  <c r="AC97" i="19"/>
  <c r="AB97" i="19"/>
  <c r="AA97" i="19"/>
  <c r="Z97" i="19"/>
  <c r="Y97" i="19"/>
  <c r="X97" i="19"/>
  <c r="W97" i="19"/>
  <c r="V97" i="19"/>
  <c r="U97" i="19"/>
  <c r="T97" i="19"/>
  <c r="S97" i="19"/>
  <c r="R97" i="19"/>
  <c r="Q97" i="19"/>
  <c r="P97" i="19"/>
  <c r="O97" i="19"/>
  <c r="N97" i="19"/>
  <c r="M97" i="19"/>
  <c r="L97" i="19"/>
  <c r="K97" i="19"/>
  <c r="J97" i="19"/>
  <c r="I97" i="19"/>
  <c r="H97" i="19"/>
  <c r="G97" i="19"/>
  <c r="AT96" i="19"/>
  <c r="AS96" i="19"/>
  <c r="AR96" i="19"/>
  <c r="AQ96" i="19"/>
  <c r="AP96" i="19"/>
  <c r="AO96" i="19"/>
  <c r="AN96" i="19"/>
  <c r="AM96" i="19"/>
  <c r="AL96" i="19"/>
  <c r="AK96" i="19"/>
  <c r="AJ96" i="19"/>
  <c r="AI96" i="19"/>
  <c r="AH96" i="19"/>
  <c r="AG96" i="19"/>
  <c r="AF96" i="19"/>
  <c r="AE96" i="19"/>
  <c r="AD96" i="19"/>
  <c r="AC96" i="19"/>
  <c r="AB96" i="19"/>
  <c r="AA96" i="19"/>
  <c r="Z96" i="19"/>
  <c r="Y96" i="19"/>
  <c r="X96" i="19"/>
  <c r="W96" i="19"/>
  <c r="V96" i="19"/>
  <c r="U96" i="19"/>
  <c r="T96" i="19"/>
  <c r="S96" i="19"/>
  <c r="R96" i="19"/>
  <c r="Q96" i="19"/>
  <c r="P96" i="19"/>
  <c r="O96" i="19"/>
  <c r="N96" i="19"/>
  <c r="M96" i="19"/>
  <c r="L96" i="19"/>
  <c r="K96" i="19"/>
  <c r="J96" i="19"/>
  <c r="I96" i="19"/>
  <c r="H96" i="19"/>
  <c r="G96" i="19"/>
  <c r="AT95" i="19"/>
  <c r="AS95" i="19"/>
  <c r="AR95" i="19"/>
  <c r="AQ95" i="19"/>
  <c r="AP95" i="19"/>
  <c r="AO95" i="19"/>
  <c r="AN95" i="19"/>
  <c r="AM95" i="19"/>
  <c r="AL95" i="19"/>
  <c r="AK95" i="19"/>
  <c r="AJ95" i="19"/>
  <c r="AI95" i="19"/>
  <c r="AH95" i="19"/>
  <c r="AG95" i="19"/>
  <c r="AF95" i="19"/>
  <c r="AE95" i="19"/>
  <c r="AD95" i="19"/>
  <c r="AC95" i="19"/>
  <c r="AB95" i="19"/>
  <c r="AA95" i="19"/>
  <c r="Z95" i="19"/>
  <c r="Y95" i="19"/>
  <c r="X95" i="19"/>
  <c r="W95" i="19"/>
  <c r="V95" i="19"/>
  <c r="U95" i="19"/>
  <c r="T95" i="19"/>
  <c r="S95" i="19"/>
  <c r="R95" i="19"/>
  <c r="Q95" i="19"/>
  <c r="P95" i="19"/>
  <c r="O95" i="19"/>
  <c r="N95" i="19"/>
  <c r="M95" i="19"/>
  <c r="L95" i="19"/>
  <c r="K95" i="19"/>
  <c r="J95" i="19"/>
  <c r="I95" i="19"/>
  <c r="H95" i="19"/>
  <c r="G95" i="19"/>
  <c r="AT94" i="19"/>
  <c r="AS94" i="19"/>
  <c r="AR94" i="19"/>
  <c r="AQ94" i="19"/>
  <c r="AP94" i="19"/>
  <c r="AO94" i="19"/>
  <c r="AN94" i="19"/>
  <c r="AM94" i="19"/>
  <c r="AL94" i="19"/>
  <c r="AK94" i="19"/>
  <c r="AJ94" i="19"/>
  <c r="AI94" i="19"/>
  <c r="AH94" i="19"/>
  <c r="AG94" i="19"/>
  <c r="AF94" i="19"/>
  <c r="AE94" i="19"/>
  <c r="AD94" i="19"/>
  <c r="AC94" i="19"/>
  <c r="AB94" i="19"/>
  <c r="AA94" i="19"/>
  <c r="Z94" i="19"/>
  <c r="Y94" i="19"/>
  <c r="X94" i="19"/>
  <c r="W94" i="19"/>
  <c r="V94" i="19"/>
  <c r="U94" i="19"/>
  <c r="T94" i="19"/>
  <c r="S94" i="19"/>
  <c r="R94" i="19"/>
  <c r="Q94" i="19"/>
  <c r="P94" i="19"/>
  <c r="O94" i="19"/>
  <c r="N94" i="19"/>
  <c r="M94" i="19"/>
  <c r="L94" i="19"/>
  <c r="K94" i="19"/>
  <c r="J94" i="19"/>
  <c r="I94" i="19"/>
  <c r="H94" i="19"/>
  <c r="G94" i="19"/>
  <c r="AT93" i="19"/>
  <c r="AS93" i="19"/>
  <c r="AR93" i="19"/>
  <c r="AQ93" i="19"/>
  <c r="AP93" i="19"/>
  <c r="AO93" i="19"/>
  <c r="AN93" i="19"/>
  <c r="AM93" i="19"/>
  <c r="AL93" i="19"/>
  <c r="AK93" i="19"/>
  <c r="AJ93" i="19"/>
  <c r="AI93" i="19"/>
  <c r="AH93" i="19"/>
  <c r="AG93" i="19"/>
  <c r="AF93" i="19"/>
  <c r="AE93" i="19"/>
  <c r="AD93" i="19"/>
  <c r="AC93" i="19"/>
  <c r="AB93" i="19"/>
  <c r="AA93" i="19"/>
  <c r="Z93" i="19"/>
  <c r="Y93" i="19"/>
  <c r="X93" i="19"/>
  <c r="W93" i="19"/>
  <c r="V93" i="19"/>
  <c r="U93" i="19"/>
  <c r="T93" i="19"/>
  <c r="S93" i="19"/>
  <c r="R93" i="19"/>
  <c r="Q93" i="19"/>
  <c r="P93" i="19"/>
  <c r="O93" i="19"/>
  <c r="N93" i="19"/>
  <c r="M93" i="19"/>
  <c r="L93" i="19"/>
  <c r="K93" i="19"/>
  <c r="J93" i="19"/>
  <c r="I93" i="19"/>
  <c r="H93" i="19"/>
  <c r="G93" i="19"/>
  <c r="AT92" i="19"/>
  <c r="AS92" i="19"/>
  <c r="AR92" i="19"/>
  <c r="AQ92" i="19"/>
  <c r="AP92" i="19"/>
  <c r="AO92" i="19"/>
  <c r="AN92" i="19"/>
  <c r="AM92" i="19"/>
  <c r="AL92" i="19"/>
  <c r="AK92" i="19"/>
  <c r="AJ92" i="19"/>
  <c r="AI92" i="19"/>
  <c r="AH92" i="19"/>
  <c r="AG92" i="19"/>
  <c r="AF92" i="19"/>
  <c r="AE92" i="19"/>
  <c r="AD92" i="19"/>
  <c r="AC92" i="19"/>
  <c r="AB92" i="19"/>
  <c r="AA92" i="19"/>
  <c r="Z92" i="19"/>
  <c r="Y92" i="19"/>
  <c r="X92" i="19"/>
  <c r="W92" i="19"/>
  <c r="V92" i="19"/>
  <c r="U92" i="19"/>
  <c r="T92" i="19"/>
  <c r="S92" i="19"/>
  <c r="R92" i="19"/>
  <c r="Q92" i="19"/>
  <c r="P92" i="19"/>
  <c r="O92" i="19"/>
  <c r="N92" i="19"/>
  <c r="M92" i="19"/>
  <c r="L92" i="19"/>
  <c r="K92" i="19"/>
  <c r="J92" i="19"/>
  <c r="I92" i="19"/>
  <c r="H92" i="19"/>
  <c r="G92" i="19"/>
  <c r="AT89" i="19"/>
  <c r="AS89" i="19"/>
  <c r="AR89" i="19"/>
  <c r="AQ89" i="19"/>
  <c r="AP89" i="19"/>
  <c r="AO89" i="19"/>
  <c r="AN89" i="19"/>
  <c r="AM89" i="19"/>
  <c r="AL89" i="19"/>
  <c r="AK89" i="19"/>
  <c r="AJ89" i="19"/>
  <c r="AI89" i="19"/>
  <c r="AH89" i="19"/>
  <c r="AG89" i="19"/>
  <c r="AF89" i="19"/>
  <c r="AE89" i="19"/>
  <c r="AD89" i="19"/>
  <c r="AC89" i="19"/>
  <c r="AB89" i="19"/>
  <c r="AA89" i="19"/>
  <c r="Z89" i="19"/>
  <c r="Y89" i="19"/>
  <c r="X89" i="19"/>
  <c r="W89" i="19"/>
  <c r="V89" i="19"/>
  <c r="U89" i="19"/>
  <c r="T89" i="19"/>
  <c r="S89" i="19"/>
  <c r="R89" i="19"/>
  <c r="Q89" i="19"/>
  <c r="P89" i="19"/>
  <c r="O89" i="19"/>
  <c r="N89" i="19"/>
  <c r="M89" i="19"/>
  <c r="L89" i="19"/>
  <c r="K89" i="19"/>
  <c r="J89" i="19"/>
  <c r="I89" i="19"/>
  <c r="H89" i="19"/>
  <c r="G89" i="19"/>
  <c r="AT88" i="19"/>
  <c r="AS88" i="19"/>
  <c r="AR88" i="19"/>
  <c r="AQ88" i="19"/>
  <c r="AP88" i="19"/>
  <c r="AO88" i="19"/>
  <c r="AN88" i="19"/>
  <c r="AM88" i="19"/>
  <c r="AL88" i="19"/>
  <c r="AK88" i="19"/>
  <c r="AJ88" i="19"/>
  <c r="AI88" i="19"/>
  <c r="AH88" i="19"/>
  <c r="AG88" i="19"/>
  <c r="AF88" i="19"/>
  <c r="AE88" i="19"/>
  <c r="AD88" i="19"/>
  <c r="AC88" i="19"/>
  <c r="AB88" i="19"/>
  <c r="AA88" i="19"/>
  <c r="Z88" i="19"/>
  <c r="Y88" i="19"/>
  <c r="X88" i="19"/>
  <c r="W88" i="19"/>
  <c r="V88" i="19"/>
  <c r="U88" i="19"/>
  <c r="T88" i="19"/>
  <c r="S88" i="19"/>
  <c r="R88" i="19"/>
  <c r="Q88" i="19"/>
  <c r="P88" i="19"/>
  <c r="O88" i="19"/>
  <c r="N88" i="19"/>
  <c r="M88" i="19"/>
  <c r="L88" i="19"/>
  <c r="K88" i="19"/>
  <c r="J88" i="19"/>
  <c r="I88" i="19"/>
  <c r="H88" i="19"/>
  <c r="G88" i="19"/>
  <c r="AT87" i="19"/>
  <c r="AS87" i="19"/>
  <c r="AR87" i="19"/>
  <c r="AQ87" i="19"/>
  <c r="AP87" i="19"/>
  <c r="AO87" i="19"/>
  <c r="AN87" i="19"/>
  <c r="AM87" i="19"/>
  <c r="AL87" i="19"/>
  <c r="AK87" i="19"/>
  <c r="AJ87" i="19"/>
  <c r="AI87" i="19"/>
  <c r="AH87" i="19"/>
  <c r="AG87" i="19"/>
  <c r="AF87" i="19"/>
  <c r="AE87" i="19"/>
  <c r="AD87" i="19"/>
  <c r="AC87" i="19"/>
  <c r="AB87" i="19"/>
  <c r="AA87" i="19"/>
  <c r="Z87" i="19"/>
  <c r="Y87" i="19"/>
  <c r="X87" i="19"/>
  <c r="W87" i="19"/>
  <c r="V87" i="19"/>
  <c r="U87" i="19"/>
  <c r="T87" i="19"/>
  <c r="S87" i="19"/>
  <c r="R87" i="19"/>
  <c r="Q87" i="19"/>
  <c r="P87" i="19"/>
  <c r="O87" i="19"/>
  <c r="N87" i="19"/>
  <c r="M87" i="19"/>
  <c r="L87" i="19"/>
  <c r="K87" i="19"/>
  <c r="J87" i="19"/>
  <c r="I87" i="19"/>
  <c r="H87" i="19"/>
  <c r="G87" i="19"/>
  <c r="AT86" i="19"/>
  <c r="AS86" i="19"/>
  <c r="AR86" i="19"/>
  <c r="AQ86" i="19"/>
  <c r="AP86" i="19"/>
  <c r="AO86" i="19"/>
  <c r="AN86" i="19"/>
  <c r="AM86" i="19"/>
  <c r="AL86" i="19"/>
  <c r="AK86" i="19"/>
  <c r="AJ86" i="19"/>
  <c r="AI86" i="19"/>
  <c r="AH86" i="19"/>
  <c r="AG86" i="19"/>
  <c r="AF86" i="19"/>
  <c r="AE86" i="19"/>
  <c r="AD86" i="19"/>
  <c r="AC86" i="19"/>
  <c r="AB86" i="19"/>
  <c r="AA86" i="19"/>
  <c r="Z86" i="19"/>
  <c r="Y86" i="19"/>
  <c r="X86" i="19"/>
  <c r="W86" i="19"/>
  <c r="V86" i="19"/>
  <c r="U86" i="19"/>
  <c r="T86" i="19"/>
  <c r="S86" i="19"/>
  <c r="R86" i="19"/>
  <c r="Q86" i="19"/>
  <c r="P86" i="19"/>
  <c r="O86" i="19"/>
  <c r="N86" i="19"/>
  <c r="M86" i="19"/>
  <c r="L86" i="19"/>
  <c r="K86" i="19"/>
  <c r="J86" i="19"/>
  <c r="I86" i="19"/>
  <c r="H86" i="19"/>
  <c r="G86" i="19"/>
  <c r="AT85" i="19"/>
  <c r="AS85" i="19"/>
  <c r="AR85" i="19"/>
  <c r="AQ85" i="19"/>
  <c r="AP85" i="19"/>
  <c r="AO85" i="19"/>
  <c r="AN85" i="19"/>
  <c r="AM85" i="19"/>
  <c r="AL85" i="19"/>
  <c r="AK85" i="19"/>
  <c r="AJ85" i="19"/>
  <c r="AI85" i="19"/>
  <c r="AH85" i="19"/>
  <c r="AG85" i="19"/>
  <c r="AE85" i="19"/>
  <c r="AD85" i="19"/>
  <c r="AC85" i="19"/>
  <c r="AB85" i="19"/>
  <c r="AA85" i="19"/>
  <c r="Z85" i="19"/>
  <c r="Y85" i="19"/>
  <c r="X85" i="19"/>
  <c r="W85" i="19"/>
  <c r="V85" i="19"/>
  <c r="U85" i="19"/>
  <c r="T85" i="19"/>
  <c r="S85" i="19"/>
  <c r="R85" i="19"/>
  <c r="Q85" i="19"/>
  <c r="P85" i="19"/>
  <c r="O85" i="19"/>
  <c r="N85" i="19"/>
  <c r="M85" i="19"/>
  <c r="L85" i="19"/>
  <c r="K85" i="19"/>
  <c r="J85" i="19"/>
  <c r="I85" i="19"/>
  <c r="H85" i="19"/>
  <c r="G85" i="19"/>
  <c r="AT84" i="19"/>
  <c r="AS84" i="19"/>
  <c r="AR84" i="19"/>
  <c r="AQ84" i="19"/>
  <c r="AP84" i="19"/>
  <c r="AO84" i="19"/>
  <c r="AN84" i="19"/>
  <c r="AM84" i="19"/>
  <c r="AL84" i="19"/>
  <c r="AK84" i="19"/>
  <c r="AJ84" i="19"/>
  <c r="AI84" i="19"/>
  <c r="AH84" i="19"/>
  <c r="AG84" i="19"/>
  <c r="AF84" i="19"/>
  <c r="AE84" i="19"/>
  <c r="AD84" i="19"/>
  <c r="AC84" i="19"/>
  <c r="AB84" i="19"/>
  <c r="AA84" i="19"/>
  <c r="Z84" i="19"/>
  <c r="Y84" i="19"/>
  <c r="X84" i="19"/>
  <c r="W84" i="19"/>
  <c r="V84" i="19"/>
  <c r="U84" i="19"/>
  <c r="T84" i="19"/>
  <c r="S84" i="19"/>
  <c r="R84" i="19"/>
  <c r="Q84" i="19"/>
  <c r="P84" i="19"/>
  <c r="O84" i="19"/>
  <c r="N84" i="19"/>
  <c r="M84" i="19"/>
  <c r="L84" i="19"/>
  <c r="K84" i="19"/>
  <c r="J84" i="19"/>
  <c r="I84" i="19"/>
  <c r="H84" i="19"/>
  <c r="G84" i="19"/>
  <c r="F97" i="19"/>
  <c r="F96" i="19"/>
  <c r="F95" i="19"/>
  <c r="F94" i="19"/>
  <c r="F93" i="19"/>
  <c r="F92" i="19"/>
  <c r="F89" i="19"/>
  <c r="F88" i="19"/>
  <c r="F87" i="19"/>
  <c r="F86" i="19"/>
  <c r="E13" i="19"/>
  <c r="D13" i="19"/>
  <c r="E79" i="19"/>
  <c r="D79" i="19"/>
  <c r="D67" i="19"/>
  <c r="E67" i="19"/>
  <c r="D53" i="19"/>
  <c r="E53" i="19"/>
  <c r="D38" i="19"/>
  <c r="E38" i="19"/>
  <c r="D25" i="19"/>
  <c r="E25" i="19"/>
  <c r="D78" i="19" l="1"/>
  <c r="E78" i="19"/>
  <c r="D66" i="19"/>
  <c r="E66" i="19"/>
  <c r="D52" i="19"/>
  <c r="E52" i="19"/>
  <c r="D37" i="19"/>
  <c r="E37" i="19"/>
  <c r="D24" i="19"/>
  <c r="E24" i="19"/>
  <c r="D12" i="19"/>
  <c r="E12" i="19"/>
  <c r="E77" i="19" l="1"/>
  <c r="E76" i="19"/>
  <c r="E75" i="19"/>
  <c r="E74" i="19"/>
  <c r="E73" i="19"/>
  <c r="E72" i="19"/>
  <c r="E71" i="19"/>
  <c r="E70" i="19"/>
  <c r="E69" i="19"/>
  <c r="E68" i="19"/>
  <c r="E65" i="19"/>
  <c r="E64" i="19"/>
  <c r="E63" i="19"/>
  <c r="E62" i="19"/>
  <c r="E61" i="19"/>
  <c r="E60" i="19"/>
  <c r="E59" i="19"/>
  <c r="E58" i="19"/>
  <c r="E57" i="19"/>
  <c r="E56" i="19"/>
  <c r="E55" i="19"/>
  <c r="E54" i="19"/>
  <c r="E51" i="19"/>
  <c r="E50" i="19"/>
  <c r="E49" i="19"/>
  <c r="E48" i="19"/>
  <c r="E47" i="19"/>
  <c r="E46" i="19"/>
  <c r="E45" i="19"/>
  <c r="E44" i="19"/>
  <c r="E43" i="19"/>
  <c r="E42" i="19"/>
  <c r="E41" i="19"/>
  <c r="E40" i="19"/>
  <c r="E39" i="19"/>
  <c r="E36" i="19"/>
  <c r="E35" i="19"/>
  <c r="E34" i="19"/>
  <c r="E33" i="19"/>
  <c r="E32" i="19"/>
  <c r="E31" i="19"/>
  <c r="E30" i="19"/>
  <c r="E29" i="19"/>
  <c r="E28" i="19"/>
  <c r="E27" i="19"/>
  <c r="E26" i="19"/>
  <c r="E23" i="19"/>
  <c r="E22" i="19"/>
  <c r="E21" i="19"/>
  <c r="E20" i="19"/>
  <c r="E19" i="19"/>
  <c r="E18" i="19"/>
  <c r="E17" i="19"/>
  <c r="E16" i="19"/>
  <c r="E15" i="19"/>
  <c r="E14" i="19"/>
  <c r="E11" i="19"/>
  <c r="E10" i="19"/>
  <c r="E9" i="19"/>
  <c r="E8" i="19"/>
  <c r="E7" i="19"/>
  <c r="E6" i="19"/>
  <c r="E5" i="19"/>
  <c r="E4" i="19"/>
  <c r="E3" i="19"/>
  <c r="E2" i="19"/>
  <c r="D50" i="19"/>
  <c r="E14" i="26"/>
  <c r="B13" i="26"/>
  <c r="E12" i="26"/>
  <c r="F5" i="26"/>
  <c r="C14" i="25"/>
  <c r="C12" i="25"/>
  <c r="E17" i="24"/>
  <c r="E15" i="24"/>
  <c r="F8" i="24"/>
  <c r="B8" i="24"/>
  <c r="F5" i="23"/>
  <c r="D5" i="23"/>
  <c r="C5" i="23"/>
  <c r="B5" i="23"/>
  <c r="M6" i="8"/>
  <c r="L6" i="8"/>
  <c r="O16" i="6"/>
  <c r="N16" i="6"/>
  <c r="M16" i="6"/>
  <c r="O14" i="6"/>
  <c r="N14" i="6"/>
  <c r="M14" i="6"/>
  <c r="K15" i="3"/>
  <c r="J7" i="3"/>
  <c r="U15" i="22"/>
  <c r="U14" i="22"/>
  <c r="U13" i="22"/>
  <c r="U12" i="22"/>
  <c r="U11" i="22"/>
  <c r="U10" i="22"/>
  <c r="U7" i="22"/>
  <c r="U6" i="22"/>
  <c r="U5" i="22"/>
  <c r="U4" i="22"/>
  <c r="U3" i="22"/>
  <c r="U2" i="22"/>
  <c r="R15" i="22"/>
  <c r="R14" i="22"/>
  <c r="R13" i="22"/>
  <c r="R12" i="22"/>
  <c r="R11" i="22"/>
  <c r="R10" i="22"/>
  <c r="R7" i="22"/>
  <c r="R6" i="22"/>
  <c r="R5" i="22"/>
  <c r="R4" i="22"/>
  <c r="R3" i="22"/>
  <c r="R2" i="22"/>
  <c r="M15" i="22"/>
  <c r="M14" i="22"/>
  <c r="M13" i="22"/>
  <c r="M12" i="22"/>
  <c r="M11" i="22"/>
  <c r="M10" i="22"/>
  <c r="M7" i="22"/>
  <c r="M6" i="22"/>
  <c r="M5" i="22"/>
  <c r="M4" i="22"/>
  <c r="M3" i="22"/>
  <c r="M2" i="22"/>
  <c r="O49" i="19"/>
  <c r="M49" i="19"/>
  <c r="D36" i="19"/>
  <c r="D65" i="19"/>
  <c r="D77" i="19"/>
  <c r="D11" i="19"/>
  <c r="D23" i="19"/>
  <c r="D51" i="19"/>
  <c r="F64" i="19"/>
  <c r="D76" i="19"/>
  <c r="D64" i="19"/>
  <c r="D49" i="19"/>
  <c r="D35" i="19"/>
  <c r="D22" i="19"/>
  <c r="D10" i="19"/>
  <c r="J7" i="21"/>
  <c r="I7" i="21"/>
  <c r="K7" i="21" s="1"/>
  <c r="L7" i="21" s="1"/>
  <c r="J6" i="21"/>
  <c r="I6" i="21"/>
  <c r="K6" i="21" s="1"/>
  <c r="L6" i="21" s="1"/>
  <c r="J5" i="21"/>
  <c r="I5" i="21"/>
  <c r="K5" i="21" s="1"/>
  <c r="L5" i="21" s="1"/>
  <c r="J4" i="21"/>
  <c r="I4" i="21"/>
  <c r="K4" i="21" s="1"/>
  <c r="L4" i="21" s="1"/>
  <c r="J3" i="21"/>
  <c r="I3" i="21"/>
  <c r="K3" i="21" s="1"/>
  <c r="L3" i="21" s="1"/>
  <c r="J2" i="21"/>
  <c r="I2" i="21"/>
  <c r="K2" i="21" s="1"/>
  <c r="L2" i="21" s="1"/>
  <c r="D75" i="19"/>
  <c r="D74" i="19"/>
  <c r="D73" i="19"/>
  <c r="D72" i="19"/>
  <c r="D71" i="19"/>
  <c r="D70" i="19"/>
  <c r="D69" i="19"/>
  <c r="D68" i="19"/>
  <c r="D63" i="19"/>
  <c r="D62" i="19"/>
  <c r="D61" i="19"/>
  <c r="D60" i="19"/>
  <c r="D59" i="19"/>
  <c r="D58" i="19"/>
  <c r="D57" i="19"/>
  <c r="D56" i="19"/>
  <c r="D55" i="19"/>
  <c r="D54" i="19"/>
  <c r="D48" i="19"/>
  <c r="D47" i="19"/>
  <c r="D46" i="19"/>
  <c r="D45" i="19"/>
  <c r="D44" i="19"/>
  <c r="D43" i="19"/>
  <c r="D42" i="19"/>
  <c r="D41" i="19"/>
  <c r="D40" i="19"/>
  <c r="D39" i="19"/>
  <c r="D34" i="19"/>
  <c r="D33" i="19"/>
  <c r="D32" i="19"/>
  <c r="D31" i="19"/>
  <c r="D30" i="19"/>
  <c r="D29" i="19"/>
  <c r="D28" i="19"/>
  <c r="D27" i="19"/>
  <c r="D26" i="19"/>
  <c r="D21" i="19"/>
  <c r="D20" i="19"/>
  <c r="D19" i="19"/>
  <c r="D18" i="19"/>
  <c r="D17" i="19"/>
  <c r="D16" i="19"/>
  <c r="D15" i="19"/>
  <c r="D14" i="19"/>
  <c r="D9" i="19"/>
  <c r="D8" i="19"/>
  <c r="D7" i="19"/>
  <c r="D6" i="19"/>
  <c r="D5" i="19"/>
  <c r="D4" i="19"/>
  <c r="D3" i="19"/>
  <c r="D2" i="19"/>
  <c r="F63" i="19"/>
  <c r="F34" i="19"/>
  <c r="F21" i="19"/>
  <c r="F9" i="19"/>
  <c r="F6" i="19"/>
  <c r="E125" i="14"/>
  <c r="E105" i="14"/>
  <c r="E96" i="14"/>
  <c r="E88" i="14"/>
  <c r="BF7" i="14"/>
  <c r="AF7" i="14"/>
  <c r="T7"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F7" i="14"/>
  <c r="J7" i="14" s="1"/>
  <c r="I7" i="14"/>
  <c r="J60" i="18"/>
  <c r="J22" i="18"/>
  <c r="J43" i="18"/>
  <c r="J52" i="18" s="1"/>
  <c r="J21" i="18"/>
  <c r="J51" i="18" s="1"/>
  <c r="J42" i="18"/>
  <c r="J59" i="18" s="1"/>
  <c r="J20" i="18"/>
  <c r="J58" i="18" s="1"/>
  <c r="J41" i="18"/>
  <c r="J50" i="18" s="1"/>
  <c r="J19" i="18"/>
  <c r="J49" i="18" s="1"/>
  <c r="J40" i="18"/>
  <c r="J57" i="18"/>
  <c r="J18" i="18"/>
  <c r="J39" i="18"/>
  <c r="J56" i="18" s="1"/>
  <c r="J17" i="18"/>
  <c r="J47" i="18" s="1"/>
  <c r="J38" i="18"/>
  <c r="I22" i="18"/>
  <c r="I60" i="18" s="1"/>
  <c r="I43" i="18"/>
  <c r="I52" i="18" s="1"/>
  <c r="I21" i="18"/>
  <c r="I42" i="18"/>
  <c r="I51" i="18" s="1"/>
  <c r="I59" i="18" s="1"/>
  <c r="I20" i="18"/>
  <c r="I41" i="18"/>
  <c r="I58" i="18" s="1"/>
  <c r="I19" i="18"/>
  <c r="I57" i="18" s="1"/>
  <c r="I40" i="18"/>
  <c r="I18" i="18"/>
  <c r="I56" i="18" s="1"/>
  <c r="I39" i="18"/>
  <c r="I17" i="18"/>
  <c r="I38" i="18"/>
  <c r="I55" i="18"/>
  <c r="J48" i="18"/>
  <c r="I49" i="18"/>
  <c r="I47" i="18"/>
  <c r="K6" i="8"/>
  <c r="J7" i="5"/>
  <c r="I7" i="4"/>
  <c r="I7" i="3"/>
  <c r="E85" i="14"/>
  <c r="F74" i="18"/>
  <c r="F73" i="18"/>
  <c r="F72" i="18"/>
  <c r="F71" i="18"/>
  <c r="F70" i="18"/>
  <c r="F69" i="18"/>
  <c r="E74" i="18"/>
  <c r="E73" i="18"/>
  <c r="E72" i="18"/>
  <c r="E71" i="18"/>
  <c r="E70" i="18"/>
  <c r="E69" i="18"/>
  <c r="F67" i="18"/>
  <c r="F66" i="18"/>
  <c r="F65" i="18"/>
  <c r="F64" i="18"/>
  <c r="F63" i="18"/>
  <c r="F62" i="18"/>
  <c r="E67" i="18"/>
  <c r="E66" i="18"/>
  <c r="E65" i="18"/>
  <c r="E64" i="18"/>
  <c r="E63" i="18"/>
  <c r="E62" i="18"/>
  <c r="BS44" i="14"/>
  <c r="BR44" i="14"/>
  <c r="BS43" i="14"/>
  <c r="BR43" i="14"/>
  <c r="BS42" i="14"/>
  <c r="BR42" i="14"/>
  <c r="BS41" i="14"/>
  <c r="BR41" i="14"/>
  <c r="BS40" i="14"/>
  <c r="BR40" i="14"/>
  <c r="BS39" i="14"/>
  <c r="BR39" i="14"/>
  <c r="BS38" i="14"/>
  <c r="BR38" i="14"/>
  <c r="BS37" i="14"/>
  <c r="BR37" i="14"/>
  <c r="BS36" i="14"/>
  <c r="BR36" i="14"/>
  <c r="BS35" i="14"/>
  <c r="BR35" i="14"/>
  <c r="BS34" i="14"/>
  <c r="BR34" i="14"/>
  <c r="BS33" i="14"/>
  <c r="BR33" i="14"/>
  <c r="BS32" i="14"/>
  <c r="BR32" i="14"/>
  <c r="BS31" i="14"/>
  <c r="BR31" i="14"/>
  <c r="BS30" i="14"/>
  <c r="BR30" i="14"/>
  <c r="BS29" i="14"/>
  <c r="BR29" i="14"/>
  <c r="BS28" i="14"/>
  <c r="BR28" i="14"/>
  <c r="BS27" i="14"/>
  <c r="BR27" i="14"/>
  <c r="BS26" i="14"/>
  <c r="BR26" i="14"/>
  <c r="BS25" i="14"/>
  <c r="BR25" i="14"/>
  <c r="BS24" i="14"/>
  <c r="BR24" i="14"/>
  <c r="BS23" i="14"/>
  <c r="BR23" i="14"/>
  <c r="BS22" i="14"/>
  <c r="BR22" i="14"/>
  <c r="BS21" i="14"/>
  <c r="BR21" i="14"/>
  <c r="BS20" i="14"/>
  <c r="BR20" i="14"/>
  <c r="BS19" i="14"/>
  <c r="BR19" i="14"/>
  <c r="BS18" i="14"/>
  <c r="BR18" i="14"/>
  <c r="BS17" i="14"/>
  <c r="BR17" i="14"/>
  <c r="BS16" i="14"/>
  <c r="BR16" i="14"/>
  <c r="BS15" i="14"/>
  <c r="BR15" i="14"/>
  <c r="BS14" i="14"/>
  <c r="BR14" i="14"/>
  <c r="BS13" i="14"/>
  <c r="BR13" i="14"/>
  <c r="BS12" i="14"/>
  <c r="BR12" i="14"/>
  <c r="BS11" i="14"/>
  <c r="BR11" i="14"/>
  <c r="BS10" i="14"/>
  <c r="BR10" i="14"/>
  <c r="BS9" i="14"/>
  <c r="BR9" i="14"/>
  <c r="BS8" i="14"/>
  <c r="BR8" i="14"/>
  <c r="BH44" i="14"/>
  <c r="BG44" i="14"/>
  <c r="BH43" i="14"/>
  <c r="BG43" i="14"/>
  <c r="BH42" i="14"/>
  <c r="BG42" i="14"/>
  <c r="BH41" i="14"/>
  <c r="BG41" i="14"/>
  <c r="BH40" i="14"/>
  <c r="BG40" i="14"/>
  <c r="BH39" i="14"/>
  <c r="BG39" i="14"/>
  <c r="BH38" i="14"/>
  <c r="BG38" i="14"/>
  <c r="BH37" i="14"/>
  <c r="BG37" i="14"/>
  <c r="BH36" i="14"/>
  <c r="BG36" i="14"/>
  <c r="BH35" i="14"/>
  <c r="BG35" i="14"/>
  <c r="BH34" i="14"/>
  <c r="BG34" i="14"/>
  <c r="BH33" i="14"/>
  <c r="BG33" i="14"/>
  <c r="BH32" i="14"/>
  <c r="BG32" i="14"/>
  <c r="BH31" i="14"/>
  <c r="BG31" i="14"/>
  <c r="BH30" i="14"/>
  <c r="BG30" i="14"/>
  <c r="BH29" i="14"/>
  <c r="BG29" i="14"/>
  <c r="BH28" i="14"/>
  <c r="BG28" i="14"/>
  <c r="BH27" i="14"/>
  <c r="BG27" i="14"/>
  <c r="BH26" i="14"/>
  <c r="BG26" i="14"/>
  <c r="BH25" i="14"/>
  <c r="BG25" i="14"/>
  <c r="BH24" i="14"/>
  <c r="BG24" i="14"/>
  <c r="BH23" i="14"/>
  <c r="BG23" i="14"/>
  <c r="BH22" i="14"/>
  <c r="BG22" i="14"/>
  <c r="BH21" i="14"/>
  <c r="BG21" i="14"/>
  <c r="BH20" i="14"/>
  <c r="BG20" i="14"/>
  <c r="BH19" i="14"/>
  <c r="BG19" i="14"/>
  <c r="BH18" i="14"/>
  <c r="BG18" i="14"/>
  <c r="BH17" i="14"/>
  <c r="BG17" i="14"/>
  <c r="BH16" i="14"/>
  <c r="BG16" i="14"/>
  <c r="BH15" i="14"/>
  <c r="BG15" i="14"/>
  <c r="BH14" i="14"/>
  <c r="BG14" i="14"/>
  <c r="BH13" i="14"/>
  <c r="BG13" i="14"/>
  <c r="BH12" i="14"/>
  <c r="BG12" i="14"/>
  <c r="BH11" i="14"/>
  <c r="BG11" i="14"/>
  <c r="BH10" i="14"/>
  <c r="BG10" i="14"/>
  <c r="BH9" i="14"/>
  <c r="BG9" i="14"/>
  <c r="BH8" i="14"/>
  <c r="BG8" i="14"/>
  <c r="BH7" i="14"/>
  <c r="BG7" i="14"/>
  <c r="AU44" i="14"/>
  <c r="AT44" i="14"/>
  <c r="AU43" i="14"/>
  <c r="AT43" i="14"/>
  <c r="AU42" i="14"/>
  <c r="AT42" i="14"/>
  <c r="AU41" i="14"/>
  <c r="AT41" i="14"/>
  <c r="AU40" i="14"/>
  <c r="AT40" i="14"/>
  <c r="AU39" i="14"/>
  <c r="AT39" i="14"/>
  <c r="AU38" i="14"/>
  <c r="AT38" i="14"/>
  <c r="AU37" i="14"/>
  <c r="AT37" i="14"/>
  <c r="AU36" i="14"/>
  <c r="AT36" i="14"/>
  <c r="AU35" i="14"/>
  <c r="AT35" i="14"/>
  <c r="AU34" i="14"/>
  <c r="AT34" i="14"/>
  <c r="AU33" i="14"/>
  <c r="AT33" i="14"/>
  <c r="AU32" i="14"/>
  <c r="AT32" i="14"/>
  <c r="AU31" i="14"/>
  <c r="AT31" i="14"/>
  <c r="AU30" i="14"/>
  <c r="AT30" i="14"/>
  <c r="AU29" i="14"/>
  <c r="AT29" i="14"/>
  <c r="AU28" i="14"/>
  <c r="AT28" i="14"/>
  <c r="AU27" i="14"/>
  <c r="AT27" i="14"/>
  <c r="AU26" i="14"/>
  <c r="AT26" i="14"/>
  <c r="AU25" i="14"/>
  <c r="AT25" i="14"/>
  <c r="AU24" i="14"/>
  <c r="AT24" i="14"/>
  <c r="AU23" i="14"/>
  <c r="AT23" i="14"/>
  <c r="AU22" i="14"/>
  <c r="AT22" i="14"/>
  <c r="AU21" i="14"/>
  <c r="AT21" i="14"/>
  <c r="AU20" i="14"/>
  <c r="AT20" i="14"/>
  <c r="AU19" i="14"/>
  <c r="AT19" i="14"/>
  <c r="AU18" i="14"/>
  <c r="AT18" i="14"/>
  <c r="AU17" i="14"/>
  <c r="AT17" i="14"/>
  <c r="AU16" i="14"/>
  <c r="AT16" i="14"/>
  <c r="AU15" i="14"/>
  <c r="AT15" i="14"/>
  <c r="AU14" i="14"/>
  <c r="AT14" i="14"/>
  <c r="AU13" i="14"/>
  <c r="AT13" i="14"/>
  <c r="AU12" i="14"/>
  <c r="AT12" i="14"/>
  <c r="AU11" i="14"/>
  <c r="AT11" i="14"/>
  <c r="AU10" i="14"/>
  <c r="AT10" i="14"/>
  <c r="AU9" i="14"/>
  <c r="AT9" i="14"/>
  <c r="AU8" i="14"/>
  <c r="AT8" i="14"/>
  <c r="AU7" i="14"/>
  <c r="AT7" i="14"/>
  <c r="AH44" i="14"/>
  <c r="AG44" i="14"/>
  <c r="AH43" i="14"/>
  <c r="AG43" i="14"/>
  <c r="AH42" i="14"/>
  <c r="AG42" i="14"/>
  <c r="AH41" i="14"/>
  <c r="AG41" i="14"/>
  <c r="AH40" i="14"/>
  <c r="AG40" i="14"/>
  <c r="AH39" i="14"/>
  <c r="AG39" i="14"/>
  <c r="AH38" i="14"/>
  <c r="AG38" i="14"/>
  <c r="AH37" i="14"/>
  <c r="AG37" i="14"/>
  <c r="AH36" i="14"/>
  <c r="AG36" i="14"/>
  <c r="AH35" i="14"/>
  <c r="AG35" i="14"/>
  <c r="AH34" i="14"/>
  <c r="AG34" i="14"/>
  <c r="AH33" i="14"/>
  <c r="AG33" i="14"/>
  <c r="AH32" i="14"/>
  <c r="AG32" i="14"/>
  <c r="AH31" i="14"/>
  <c r="AG31" i="14"/>
  <c r="AH30" i="14"/>
  <c r="AG30" i="14"/>
  <c r="AH29" i="14"/>
  <c r="AG29" i="14"/>
  <c r="AH28" i="14"/>
  <c r="AG28" i="14"/>
  <c r="AH27" i="14"/>
  <c r="AG27" i="14"/>
  <c r="AH26" i="14"/>
  <c r="AG26" i="14"/>
  <c r="AH25" i="14"/>
  <c r="AG25" i="14"/>
  <c r="AH24" i="14"/>
  <c r="AG24" i="14"/>
  <c r="AH23" i="14"/>
  <c r="AG23" i="14"/>
  <c r="AH22" i="14"/>
  <c r="AG22" i="14"/>
  <c r="AH21" i="14"/>
  <c r="AG21" i="14"/>
  <c r="AH20" i="14"/>
  <c r="AG20" i="14"/>
  <c r="AH19" i="14"/>
  <c r="AG19" i="14"/>
  <c r="AH18" i="14"/>
  <c r="AG18" i="14"/>
  <c r="AH17" i="14"/>
  <c r="AG17" i="14"/>
  <c r="AH16" i="14"/>
  <c r="AG16" i="14"/>
  <c r="AH15" i="14"/>
  <c r="AG15" i="14"/>
  <c r="AH14" i="14"/>
  <c r="AG14" i="14"/>
  <c r="AH13" i="14"/>
  <c r="AG13" i="14"/>
  <c r="AH12" i="14"/>
  <c r="AG12" i="14"/>
  <c r="AH11" i="14"/>
  <c r="AG11" i="14"/>
  <c r="AH10" i="14"/>
  <c r="AG10" i="14"/>
  <c r="AH9" i="14"/>
  <c r="AG9" i="14"/>
  <c r="AH8" i="14"/>
  <c r="AG8" i="14"/>
  <c r="AH7" i="14"/>
  <c r="AG7" i="14"/>
  <c r="V44" i="14"/>
  <c r="U44" i="14"/>
  <c r="V43" i="14"/>
  <c r="U43" i="14"/>
  <c r="V42" i="14"/>
  <c r="U42" i="14"/>
  <c r="V41" i="14"/>
  <c r="U41" i="14"/>
  <c r="V40" i="14"/>
  <c r="U40" i="14"/>
  <c r="V39" i="14"/>
  <c r="U39" i="14"/>
  <c r="V38" i="14"/>
  <c r="U38" i="14"/>
  <c r="V37" i="14"/>
  <c r="U37" i="14"/>
  <c r="V36" i="14"/>
  <c r="U36" i="14"/>
  <c r="V35" i="14"/>
  <c r="U35" i="14"/>
  <c r="V34" i="14"/>
  <c r="U34" i="14"/>
  <c r="V33" i="14"/>
  <c r="U33" i="14"/>
  <c r="V32" i="14"/>
  <c r="U32" i="14"/>
  <c r="V31" i="14"/>
  <c r="U31" i="14"/>
  <c r="V30" i="14"/>
  <c r="U30" i="14"/>
  <c r="V29" i="14"/>
  <c r="U29" i="14"/>
  <c r="V28" i="14"/>
  <c r="U28" i="14"/>
  <c r="V27" i="14"/>
  <c r="U27" i="14"/>
  <c r="V26" i="14"/>
  <c r="U26" i="14"/>
  <c r="V25" i="14"/>
  <c r="U25" i="14"/>
  <c r="V24" i="14"/>
  <c r="U24" i="14"/>
  <c r="V23" i="14"/>
  <c r="U23" i="14"/>
  <c r="V22" i="14"/>
  <c r="U22" i="14"/>
  <c r="V21" i="14"/>
  <c r="U21" i="14"/>
  <c r="V20" i="14"/>
  <c r="U20" i="14"/>
  <c r="V19" i="14"/>
  <c r="U19" i="14"/>
  <c r="V18" i="14"/>
  <c r="U18" i="14"/>
  <c r="V17" i="14"/>
  <c r="U17" i="14"/>
  <c r="V16" i="14"/>
  <c r="U16" i="14"/>
  <c r="V15" i="14"/>
  <c r="U15" i="14"/>
  <c r="V14" i="14"/>
  <c r="U14" i="14"/>
  <c r="V13" i="14"/>
  <c r="U13" i="14"/>
  <c r="V12" i="14"/>
  <c r="U12" i="14"/>
  <c r="V11" i="14"/>
  <c r="U11" i="14"/>
  <c r="V10" i="14"/>
  <c r="U10" i="14"/>
  <c r="V9" i="14"/>
  <c r="U9" i="14"/>
  <c r="V8" i="14"/>
  <c r="U8" i="14"/>
  <c r="V7" i="14"/>
  <c r="U7" i="14"/>
  <c r="K44" i="14"/>
  <c r="J44" i="14"/>
  <c r="K43" i="14"/>
  <c r="J43" i="14"/>
  <c r="K42" i="14"/>
  <c r="J42" i="14"/>
  <c r="K41" i="14"/>
  <c r="K40" i="14"/>
  <c r="K39" i="14"/>
  <c r="K38" i="14"/>
  <c r="K37" i="14"/>
  <c r="K36" i="14"/>
  <c r="K35" i="14"/>
  <c r="K34"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E16" i="13"/>
  <c r="E12" i="13"/>
  <c r="M4" i="12"/>
  <c r="J4" i="12"/>
  <c r="K4" i="12"/>
  <c r="G4" i="12"/>
  <c r="I4" i="12"/>
  <c r="E4" i="12"/>
  <c r="H4" i="12"/>
  <c r="D4" i="12"/>
  <c r="B4" i="12"/>
  <c r="F7" i="3"/>
  <c r="C39" i="2"/>
  <c r="C40" i="2"/>
  <c r="C41" i="2"/>
  <c r="C42" i="2"/>
  <c r="C43" i="2"/>
  <c r="C44" i="2"/>
  <c r="C45" i="2"/>
  <c r="C46" i="2"/>
  <c r="C47" i="2"/>
  <c r="C38" i="2"/>
  <c r="D14" i="10"/>
  <c r="G4" i="10"/>
  <c r="D4" i="10"/>
  <c r="C4" i="10"/>
  <c r="B4" i="10"/>
  <c r="AW93" i="19" l="1"/>
  <c r="AW96" i="19"/>
  <c r="AW97" i="19"/>
  <c r="AW95" i="19"/>
  <c r="AW94" i="19"/>
  <c r="AW92" i="19"/>
  <c r="M3" i="21"/>
  <c r="N3" i="21"/>
  <c r="N5" i="21"/>
  <c r="M5" i="21"/>
  <c r="M7" i="21"/>
  <c r="N7" i="21"/>
  <c r="M2" i="21"/>
  <c r="N2" i="21"/>
  <c r="N4" i="21"/>
  <c r="M4" i="21"/>
  <c r="M6" i="21"/>
  <c r="N6" i="21"/>
  <c r="J55" i="18"/>
  <c r="I48" i="18"/>
  <c r="I50" i="18"/>
</calcChain>
</file>

<file path=xl/sharedStrings.xml><?xml version="1.0" encoding="utf-8"?>
<sst xmlns="http://schemas.openxmlformats.org/spreadsheetml/2006/main" count="2552" uniqueCount="522">
  <si>
    <t>Hole:</t>
  </si>
  <si>
    <t>"10-1"</t>
  </si>
  <si>
    <t>DUSEL B</t>
  </si>
  <si>
    <t>Level</t>
  </si>
  <si>
    <t>2000 (9 ledge N 67 cross-cut area)</t>
  </si>
  <si>
    <t>4100 (11 ledge)</t>
  </si>
  <si>
    <t>4850 (17/15 ledge)</t>
  </si>
  <si>
    <t>4850 (W drift)</t>
  </si>
  <si>
    <t>Type</t>
  </si>
  <si>
    <t>N/A</t>
  </si>
  <si>
    <t>A</t>
  </si>
  <si>
    <t>B</t>
  </si>
  <si>
    <t>NQ3</t>
  </si>
  <si>
    <t>Core Size</t>
  </si>
  <si>
    <t>27mm (1.06")</t>
  </si>
  <si>
    <t>36.4mm (1.43")</t>
  </si>
  <si>
    <t>61.1mm (2 3/8")</t>
  </si>
  <si>
    <t>Hole Size</t>
  </si>
  <si>
    <t>48mm (1.89")</t>
  </si>
  <si>
    <t>59.9mm (2.36")</t>
  </si>
  <si>
    <t>96mm (3 3/8")</t>
  </si>
  <si>
    <t>Sample Date</t>
  </si>
  <si>
    <t>pH (before, after)</t>
  </si>
  <si>
    <t>Conductivity (before, after)</t>
  </si>
  <si>
    <t>Air Sample ID/Volume</t>
  </si>
  <si>
    <t>DNA Filter ID/volume (initial)</t>
  </si>
  <si>
    <t>DNA Filter ID/volume (after)</t>
  </si>
  <si>
    <t>Lipid Filter ID/Volume</t>
  </si>
  <si>
    <t>Falcon Tube ID (before)</t>
  </si>
  <si>
    <t>Falcon Tube ID (after)</t>
  </si>
  <si>
    <t>Balch Tube ID/Volume Anaer (before)</t>
  </si>
  <si>
    <t>Balch Tube ID/Volume Anaer (after)</t>
  </si>
  <si>
    <t>Biofilm ID</t>
  </si>
  <si>
    <t>Rock ID</t>
  </si>
  <si>
    <t>Drilling Fluid ID/Volume</t>
  </si>
  <si>
    <t>-</t>
  </si>
  <si>
    <t>Hach Params/ Dilution volumes</t>
  </si>
  <si>
    <t>ORP (before, after) mV</t>
  </si>
  <si>
    <t>Temp (befroe, after) C</t>
  </si>
  <si>
    <t>TDS (before, after) ppm</t>
  </si>
  <si>
    <t>DO (high range) mg/L</t>
  </si>
  <si>
    <t>NH3 mg/L</t>
  </si>
  <si>
    <t>NO3 mg/L</t>
  </si>
  <si>
    <t>Fe2 mg/L</t>
  </si>
  <si>
    <t>sulfide ug/L</t>
  </si>
  <si>
    <t>over range</t>
  </si>
  <si>
    <t>under range</t>
  </si>
  <si>
    <t>May 2 2016</t>
  </si>
  <si>
    <t>Hole 10-1 Biofilm</t>
  </si>
  <si>
    <t>Hole 19223 Biofilm</t>
  </si>
  <si>
    <t>Hole 10-1 Air, 4L</t>
  </si>
  <si>
    <t>Hole 19223 Air, 4L</t>
  </si>
  <si>
    <t>Other Samples</t>
  </si>
  <si>
    <t>Hole 19223 Rock by ditch</t>
  </si>
  <si>
    <t>1L</t>
  </si>
  <si>
    <t>300mL sterivex, 1200mL with syringe</t>
  </si>
  <si>
    <t>1L, 1L syringe as comparison</t>
  </si>
  <si>
    <t>1L, was dropped in mud</t>
  </si>
  <si>
    <t>Cell Count Falcon ID/Volume</t>
  </si>
  <si>
    <t>Hole 10-1 fixed, 45mL sample fixed with 5mL 4% PFM (diluted with milliQ)</t>
  </si>
  <si>
    <t>-113  when held under stream (-70 when held away from stream)</t>
  </si>
  <si>
    <t>800L Ditch Fluid, 50 mL</t>
  </si>
  <si>
    <t>3650 Yates Water Wall 50ml Falcon tube</t>
  </si>
  <si>
    <t>10-1 filtrate</t>
  </si>
  <si>
    <t xml:space="preserve">19223 filtrate </t>
  </si>
  <si>
    <t>Sample Description</t>
  </si>
  <si>
    <t>raw water from behind the water wall, the wall is used to keep heavy rain/snow melt from flooding the mine. We checked it today because if the water level is too high, then workers aren't allowed to go deeper than the level of the water wall</t>
  </si>
  <si>
    <t>Raw Ditch Fluid ID/volume</t>
  </si>
  <si>
    <t>Filtered Ditch Fluid ID/Volume</t>
  </si>
  <si>
    <t>9.2, 9.3</t>
  </si>
  <si>
    <t>May 3 2016</t>
  </si>
  <si>
    <t>-240, -173</t>
  </si>
  <si>
    <t>32.6, 32.0</t>
  </si>
  <si>
    <t>1127, 1120</t>
  </si>
  <si>
    <t>1560, 1559</t>
  </si>
  <si>
    <t>Hole 11938 Air, 4L</t>
  </si>
  <si>
    <t>0.4, 6.3</t>
  </si>
  <si>
    <t>0.40, 0.43</t>
  </si>
  <si>
    <t>0.6, 0.7</t>
  </si>
  <si>
    <t>0.03, under range</t>
  </si>
  <si>
    <t>268, 196</t>
  </si>
  <si>
    <t>Hole 19923 Raw Drill Fluid</t>
  </si>
  <si>
    <t>Hole 19923 Ditch Fluid</t>
  </si>
  <si>
    <t>45ml filtered drainwater for chemistry, "Drainwater after drilling chemistry"</t>
  </si>
  <si>
    <t>raw water before mod, 50ml</t>
  </si>
  <si>
    <t>50ml" raw drain water after drilling" for culturing</t>
  </si>
  <si>
    <t>19938 filtrate and  "filtrate before mod", 50ml</t>
  </si>
  <si>
    <t>Hole 19923 Biofilm, Hole 19923 Left tubing Biofilm</t>
  </si>
  <si>
    <t>Hole 19938 iron stalactites</t>
  </si>
  <si>
    <t>"19223 Raw Water 800L" 30ml</t>
  </si>
  <si>
    <t>"10-1 Raw Water 800L" 30ml</t>
  </si>
  <si>
    <t>"before mod raw water" 30ml</t>
  </si>
  <si>
    <t>19938 lipid filter, 1.5 L</t>
  </si>
  <si>
    <t>"steri via tubing before mod" 1L, 2 samples taken to equalize pressure, "steri #2 via tubing before mod" 700mL</t>
  </si>
  <si>
    <t>"11938 post mod steria via syringe" 1200mL</t>
  </si>
  <si>
    <t>DNA filter "drill fluid 19938" 300mL</t>
  </si>
  <si>
    <t>11938 "Drain water after drilling", 130 mL</t>
  </si>
  <si>
    <t>Hole 19923 before mod fixed, 45mL sample fixed with 5mL 4% PFM (diluted with milliQ), no fixed sample after mod</t>
  </si>
  <si>
    <t>11938 (2nd trip)</t>
  </si>
  <si>
    <t>May 4 2016</t>
  </si>
  <si>
    <t>Cement was drilled out, but the packer was not installed due to drilling complications</t>
  </si>
  <si>
    <t>9.27, 9.3</t>
  </si>
  <si>
    <t>-198, -208</t>
  </si>
  <si>
    <t>32.1, 32.1</t>
  </si>
  <si>
    <t>1108, 1107</t>
  </si>
  <si>
    <t>1538, 1540</t>
  </si>
  <si>
    <t>After packer: 2.2</t>
  </si>
  <si>
    <t>After packer: 0.36</t>
  </si>
  <si>
    <t>After packer: 0.6</t>
  </si>
  <si>
    <t>After packer: 0.13</t>
  </si>
  <si>
    <t>After packer: 218</t>
  </si>
  <si>
    <t>-324</t>
  </si>
  <si>
    <t>21.3</t>
  </si>
  <si>
    <t>6530</t>
  </si>
  <si>
    <t>7825</t>
  </si>
  <si>
    <t>Dusel B Air, 4L</t>
  </si>
  <si>
    <t>1.1</t>
  </si>
  <si>
    <t>0.12</t>
  </si>
  <si>
    <t>0.3</t>
  </si>
  <si>
    <t>0.18</t>
  </si>
  <si>
    <t>61</t>
  </si>
  <si>
    <t>"raw inocs after packer", 50ml</t>
  </si>
  <si>
    <t>"filtrate" 50ml</t>
  </si>
  <si>
    <t>IC/ICP Sample ID/Volume</t>
  </si>
  <si>
    <t>"raw water fixed", 50ml</t>
  </si>
  <si>
    <t>"raw fixed after packer", 50ml</t>
  </si>
  <si>
    <t>"filtrate", 50ml</t>
  </si>
  <si>
    <t>"raw water inoc", 50ml</t>
  </si>
  <si>
    <t>"raw water", 50ml</t>
  </si>
  <si>
    <t>"steri via tubing", 1L</t>
  </si>
  <si>
    <t>"Air", 4L</t>
  </si>
  <si>
    <t>"steri via syringe", 1020 mL</t>
  </si>
  <si>
    <t>-241</t>
  </si>
  <si>
    <t>22.7</t>
  </si>
  <si>
    <t>1289</t>
  </si>
  <si>
    <t>1763</t>
  </si>
  <si>
    <t>1st measurement over range sampled from tubing, second measurement sampled from beaker: 0.8</t>
  </si>
  <si>
    <t>1st measurement over range, 50% dilution: over range, 25% sample (75% DI): 0.30</t>
  </si>
  <si>
    <t>1</t>
  </si>
  <si>
    <t>0.11</t>
  </si>
  <si>
    <t>1st measurement over range, 50% dilution: 489</t>
  </si>
  <si>
    <t>"rocks below flow" - sampled rocks directly beneath outflow which were coated in white film</t>
  </si>
  <si>
    <t>"raw water"</t>
  </si>
  <si>
    <t>"raw water after packer"</t>
  </si>
  <si>
    <t>180ml</t>
  </si>
  <si>
    <t>1020ml</t>
  </si>
  <si>
    <t>May 5 2016</t>
  </si>
  <si>
    <t>7.48, 7.65</t>
  </si>
  <si>
    <t>-53, -22</t>
  </si>
  <si>
    <t>16.3, 16.7</t>
  </si>
  <si>
    <t>2309, 2323</t>
  </si>
  <si>
    <t>3026, 3040</t>
  </si>
  <si>
    <t>Air, 4L</t>
  </si>
  <si>
    <t>1.6, 1.4</t>
  </si>
  <si>
    <t>0.27, 0.22</t>
  </si>
  <si>
    <t>0.5, 0.3</t>
  </si>
  <si>
    <t>2.32, 2.45</t>
  </si>
  <si>
    <t>14, under range</t>
  </si>
  <si>
    <t>"yellow mineral in walls"</t>
  </si>
  <si>
    <t>"raw after first drilling"</t>
  </si>
  <si>
    <t>"raw ditch fluid" 50ml</t>
  </si>
  <si>
    <t>before: "raw water fixed", 50ml; after: "after first drilling raw water fixed"</t>
  </si>
  <si>
    <t>"raw water innocs"</t>
  </si>
  <si>
    <t>before: "biofilm"; after: crusty white biofilm</t>
  </si>
  <si>
    <t>"raw water innocs before drilling"</t>
  </si>
  <si>
    <t xml:space="preserve">filtrate 1 and 2, not sure which is before and after </t>
  </si>
  <si>
    <t>zip lock bag of unsterile sample from wall "yellow precip in rock wall"</t>
  </si>
  <si>
    <t>filtrate, 50ml</t>
  </si>
  <si>
    <t>HNO3</t>
  </si>
  <si>
    <t>DOC</t>
  </si>
  <si>
    <t>"after packer, pH ~2"</t>
  </si>
  <si>
    <t>"24228"</t>
  </si>
  <si>
    <t>"Dusel B"</t>
  </si>
  <si>
    <t>"11938 after packer"</t>
  </si>
  <si>
    <t>"Dusel B pH ~2"</t>
  </si>
  <si>
    <t>TOC</t>
  </si>
  <si>
    <t>"10-1 pH ~2"</t>
  </si>
  <si>
    <t>"19223 pH ~2"</t>
  </si>
  <si>
    <t>before: "24790 0830"; after: 24790 after 1st drilling 1200"</t>
  </si>
  <si>
    <t>before: "24790 pH ~1"; after:"after first drilling"</t>
  </si>
  <si>
    <t>before: "before mod"; after: "post mod"</t>
  </si>
  <si>
    <t>before: "before mod"</t>
  </si>
  <si>
    <t>"10-1 1200"</t>
  </si>
  <si>
    <t>"19223"</t>
  </si>
  <si>
    <t>"raw water - innoc", 50ml</t>
  </si>
  <si>
    <t>zip lock bag "rocks from 1700 level"</t>
  </si>
  <si>
    <t>level</t>
  </si>
  <si>
    <t>date sampled</t>
  </si>
  <si>
    <t>24790      after packer</t>
  </si>
  <si>
    <t>24228    before mod</t>
  </si>
  <si>
    <t>24228          after drilling</t>
  </si>
  <si>
    <t>10 dash 1</t>
  </si>
  <si>
    <t>pH</t>
  </si>
  <si>
    <t>ORP</t>
  </si>
  <si>
    <t>TDS</t>
  </si>
  <si>
    <t>DOC sample taken</t>
  </si>
  <si>
    <t>IC/ICP samples taken</t>
  </si>
  <si>
    <t>Steri #1 volume filtered</t>
  </si>
  <si>
    <t>Steri #2 volume filtered</t>
  </si>
  <si>
    <t>flow rate (mL/min)</t>
  </si>
  <si>
    <t>Temp ©</t>
  </si>
  <si>
    <t>Nitrate (mg/L)</t>
  </si>
  <si>
    <t>Ammonia (mg/L0</t>
  </si>
  <si>
    <t>Ferrous Fe (mg/L)</t>
  </si>
  <si>
    <t>Sulfide (ug/L)</t>
  </si>
  <si>
    <t>DO (mg/L)</t>
  </si>
  <si>
    <t>gas bulb flow rate (mL/min)</t>
  </si>
  <si>
    <t>argon headspace introduced (mL)</t>
  </si>
  <si>
    <t>gas equil time (min)</t>
  </si>
  <si>
    <t>gas volume sampled (mL)</t>
  </si>
  <si>
    <t>Y</t>
  </si>
  <si>
    <t>POC sample taken</t>
  </si>
  <si>
    <t>N</t>
  </si>
  <si>
    <t>Cond (uS)</t>
  </si>
  <si>
    <t>*diluted 1:1 to measure, value listed here corrected for dilution</t>
  </si>
  <si>
    <t>1.34**</t>
  </si>
  <si>
    <t>**diluted 1:3 to measure, value listed here corrected for dilution</t>
  </si>
  <si>
    <t>1264*</t>
  </si>
  <si>
    <t>***via chemet</t>
  </si>
  <si>
    <t>1.68**</t>
  </si>
  <si>
    <t>1080*</t>
  </si>
  <si>
    <t>0.25***</t>
  </si>
  <si>
    <t>0.08***</t>
  </si>
  <si>
    <t>Whitewood Creek- Super 8</t>
  </si>
  <si>
    <t>Whitetail Creek- Kirk Rd</t>
  </si>
  <si>
    <t>Whitewood Creek- Kirk Rd Ross base</t>
  </si>
  <si>
    <t>Drilling Fluid Steri</t>
  </si>
  <si>
    <t>n/a</t>
  </si>
  <si>
    <t xml:space="preserve">N </t>
  </si>
  <si>
    <t>11938, 17 ledge</t>
  </si>
  <si>
    <t>5-17-16 (before drilling)</t>
  </si>
  <si>
    <t>5-17-16 (after drilling)</t>
  </si>
  <si>
    <t>DUSEL B, west drift</t>
  </si>
  <si>
    <t>24228, 4100L</t>
  </si>
  <si>
    <t>24790, 2000L</t>
  </si>
  <si>
    <t>5-5-16 (before drilling)</t>
  </si>
  <si>
    <t>5-5-16 (after drilling)</t>
  </si>
  <si>
    <t>5/16/2016 (packer installed this day)</t>
  </si>
  <si>
    <t>19223, Ellison corner</t>
  </si>
  <si>
    <t>Hole 10-1</t>
  </si>
  <si>
    <t>Aluminum, dissolved</t>
  </si>
  <si>
    <t>Arsenic, dissolved</t>
  </si>
  <si>
    <t>Barium, dissolved</t>
  </si>
  <si>
    <t>Bromide</t>
  </si>
  <si>
    <t>Cadmium, dissolved</t>
  </si>
  <si>
    <t>Calcium, dissolved</t>
  </si>
  <si>
    <t>Chloride</t>
  </si>
  <si>
    <t>Chromium, dissolved</t>
  </si>
  <si>
    <t>Copper, dissolved</t>
  </si>
  <si>
    <t>Iron, dissolved</t>
  </si>
  <si>
    <t>Lead, dissolved</t>
  </si>
  <si>
    <t>Fluoride</t>
  </si>
  <si>
    <t>Lithium, dissolved</t>
  </si>
  <si>
    <t>Magnesium, dissolved</t>
  </si>
  <si>
    <t>Manganese, dissolved</t>
  </si>
  <si>
    <t>Molybdenum, dissolved</t>
  </si>
  <si>
    <t>Nickel, dissolved</t>
  </si>
  <si>
    <t>Selenium, dissolved</t>
  </si>
  <si>
    <t>Silicon, dissolved</t>
  </si>
  <si>
    <t>Silver, dissolved</t>
  </si>
  <si>
    <t>Sodium, dissolved</t>
  </si>
  <si>
    <t>Sulfate</t>
  </si>
  <si>
    <t>Zinc, dissolved</t>
  </si>
  <si>
    <t>Boron, dissolved</t>
  </si>
  <si>
    <t>5/3/2016   (before drilling)</t>
  </si>
  <si>
    <t>5-3-16           (after drilling)</t>
  </si>
  <si>
    <t>5-4-16              (after packer)</t>
  </si>
  <si>
    <t>annual day sampled</t>
  </si>
  <si>
    <t>Temp</t>
  </si>
  <si>
    <t>Day</t>
  </si>
  <si>
    <t>~all regular sample steri's collected via tubing directly connected to outflow, drilling fluid steri collected via syringe/steri</t>
  </si>
  <si>
    <t>DOC (mg/L)</t>
  </si>
  <si>
    <t>24228    before packer</t>
  </si>
  <si>
    <t>24228          after packer</t>
  </si>
  <si>
    <t>~28</t>
  </si>
  <si>
    <t>~25</t>
  </si>
  <si>
    <t>Ammonia (mg/L)</t>
  </si>
  <si>
    <t xml:space="preserve"> </t>
  </si>
  <si>
    <t>na</t>
  </si>
  <si>
    <t>1.64**</t>
  </si>
  <si>
    <t>546*</t>
  </si>
  <si>
    <t>Flow Rate</t>
  </si>
  <si>
    <t>Flow Rate (mL/min)</t>
  </si>
  <si>
    <t>7-11-16 (before packer)</t>
  </si>
  <si>
    <t>7-11-16 (after packer)</t>
  </si>
  <si>
    <t>pH corrections for may:</t>
  </si>
  <si>
    <t>Buffer (X)</t>
  </si>
  <si>
    <t>Reading (Y)</t>
  </si>
  <si>
    <t>Corrected (X)</t>
  </si>
  <si>
    <t>TDS (ppm)</t>
  </si>
  <si>
    <t>DIC samples taken</t>
  </si>
  <si>
    <t>10-1, cartridge outflow</t>
  </si>
  <si>
    <t>no outflow^</t>
  </si>
  <si>
    <t>^data collected instead from outflow from tubing immediately upon removal of cartridges</t>
  </si>
  <si>
    <t>992*</t>
  </si>
  <si>
    <t>19223, cartridge outflow</t>
  </si>
  <si>
    <t>24228, cartridge outflow</t>
  </si>
  <si>
    <t>24790, cartridge outflow</t>
  </si>
  <si>
    <t>11938, cartridge outflow</t>
  </si>
  <si>
    <t>DUSEL B- cartridge outflow</t>
  </si>
  <si>
    <t>~all steri's collected via aseptic tubing directly connected to outflow</t>
  </si>
  <si>
    <t>DeMMO-1</t>
  </si>
  <si>
    <t>DeMMO-2</t>
  </si>
  <si>
    <t>DeMMO-3</t>
  </si>
  <si>
    <t>DeMMO-4</t>
  </si>
  <si>
    <t>DeMMO-5</t>
  </si>
  <si>
    <t>DeMMO-6</t>
  </si>
  <si>
    <t>mg/L unless otherwise labeled</t>
  </si>
  <si>
    <t>water dD</t>
  </si>
  <si>
    <t>water dO</t>
  </si>
  <si>
    <t>10dash1</t>
  </si>
  <si>
    <t>DeMMO 1</t>
  </si>
  <si>
    <t>DeMMO 2</t>
  </si>
  <si>
    <t>DeMMO 3</t>
  </si>
  <si>
    <t>DeMMO 4</t>
  </si>
  <si>
    <t>DeMMO 5</t>
  </si>
  <si>
    <t>DeMMO 6</t>
  </si>
  <si>
    <t>YATES</t>
  </si>
  <si>
    <t>POORMAN</t>
  </si>
  <si>
    <t>GLASS</t>
  </si>
  <si>
    <t>Cells/ml</t>
  </si>
  <si>
    <t>average</t>
  </si>
  <si>
    <t>std</t>
  </si>
  <si>
    <t>averag</t>
  </si>
  <si>
    <t>03/10/2017</t>
  </si>
  <si>
    <t>03/15/2017</t>
  </si>
  <si>
    <t>d13C (VPDB)</t>
  </si>
  <si>
    <t>mM DIC</t>
  </si>
  <si>
    <t>Identifier 1</t>
  </si>
  <si>
    <t>Date</t>
  </si>
  <si>
    <t>Analysis</t>
  </si>
  <si>
    <t>3/10-15/17</t>
  </si>
  <si>
    <t>Analysis Date:</t>
  </si>
  <si>
    <t>Submission date:</t>
  </si>
  <si>
    <t>Project and Chart String:</t>
  </si>
  <si>
    <t>casar@u.northwestern.edu</t>
  </si>
  <si>
    <t>E-mail:</t>
  </si>
  <si>
    <t>Andrew Masterson</t>
  </si>
  <si>
    <t>Sample preparation:</t>
  </si>
  <si>
    <t>maggie@earth.northwestern.edu</t>
  </si>
  <si>
    <t>Maggie Osburn</t>
  </si>
  <si>
    <t>Principal Investigator:</t>
  </si>
  <si>
    <t>DIC High Conc.</t>
  </si>
  <si>
    <t>Analysis type:</t>
  </si>
  <si>
    <t>SURF DIC</t>
  </si>
  <si>
    <t>Sample description:</t>
  </si>
  <si>
    <t>Manager: Dr. Andrew Masterson  |  Ph: 847.467.6346  |  E-mail: andyM@earth.northwestern.edu</t>
  </si>
  <si>
    <t>2205 Tech Drive, 3-150 Hogan, Evanston, IL 60208  |  Ph: 847.467.6346</t>
  </si>
  <si>
    <t>Stable Isotope (IRMS) Laboratory</t>
  </si>
  <si>
    <t>Department of Earth and Planetary Sciences</t>
  </si>
  <si>
    <t>cells/ml</t>
  </si>
  <si>
    <t>D1</t>
  </si>
  <si>
    <t>D2</t>
  </si>
  <si>
    <t>D!</t>
  </si>
  <si>
    <t>D3</t>
  </si>
  <si>
    <t>D4</t>
  </si>
  <si>
    <t>D5</t>
  </si>
  <si>
    <t>D6</t>
  </si>
  <si>
    <t>01/31/2017</t>
  </si>
  <si>
    <t>11938_17C_071616</t>
  </si>
  <si>
    <t>19223_071116</t>
  </si>
  <si>
    <t>24228_071116</t>
  </si>
  <si>
    <t>24790_071216</t>
  </si>
  <si>
    <t>10-1_071116</t>
  </si>
  <si>
    <t>24790_092116_SURF</t>
  </si>
  <si>
    <t>24228_092016_SURF</t>
  </si>
  <si>
    <t>19223_092016_SURF</t>
  </si>
  <si>
    <t>11938_092316_SURF</t>
  </si>
  <si>
    <t>10-1_092016_SURF</t>
  </si>
  <si>
    <t>DeMMO_1</t>
  </si>
  <si>
    <t>DeMMO_2</t>
  </si>
  <si>
    <t>DeMMO_3</t>
  </si>
  <si>
    <t>DeMMO_4</t>
  </si>
  <si>
    <t>DeMMO_5</t>
  </si>
  <si>
    <t>DeMMO_6</t>
  </si>
  <si>
    <t>DuselB_071316</t>
  </si>
  <si>
    <t>D2_Feb17</t>
  </si>
  <si>
    <t>D1_Feb17</t>
  </si>
  <si>
    <t>D3_Feb17</t>
  </si>
  <si>
    <t>D4_Feb17</t>
  </si>
  <si>
    <t>D5_Feb17</t>
  </si>
  <si>
    <t>D6_Feb17</t>
  </si>
  <si>
    <t>DeMMO1_Feb2017</t>
  </si>
  <si>
    <t>DeMMO2_Feb2017</t>
  </si>
  <si>
    <t>DeMMO3_Feb2017</t>
  </si>
  <si>
    <t>DeMMO4_Feb2017</t>
  </si>
  <si>
    <t>DeMMO5_Feb2017</t>
  </si>
  <si>
    <t>DeMMO6_Feb2017</t>
  </si>
  <si>
    <t>DeMMO1_Jully2016</t>
  </si>
  <si>
    <t>DeMMO2_July2016</t>
  </si>
  <si>
    <t>DeMMO4_July2016</t>
  </si>
  <si>
    <t>DeMMO3_July2016</t>
  </si>
  <si>
    <t>DeMMO5_July2016</t>
  </si>
  <si>
    <t>DeMMO3_Sep2016</t>
  </si>
  <si>
    <t>DeMMO4_Sep2016</t>
  </si>
  <si>
    <t>DeMMO2_Sep2016</t>
  </si>
  <si>
    <t>DeMMO5_Sep2016</t>
  </si>
  <si>
    <t>DeMMO1_Sep2016</t>
  </si>
  <si>
    <t>DeMMO1_Dec2016</t>
  </si>
  <si>
    <t>DeMMO2_Dec2016</t>
  </si>
  <si>
    <t>DeMMO3_Dec2016</t>
  </si>
  <si>
    <t>DeMMO4_Dec2016</t>
  </si>
  <si>
    <t>DeMMO5_Dec2016</t>
  </si>
  <si>
    <t>DeMMO6_Dec2016</t>
  </si>
  <si>
    <t>DeMMO6_July2016</t>
  </si>
  <si>
    <t>DeMMO6?</t>
  </si>
  <si>
    <t>averages</t>
  </si>
  <si>
    <t>stdev</t>
  </si>
  <si>
    <t>Temp 'C</t>
  </si>
  <si>
    <t>before drilling</t>
  </si>
  <si>
    <t>after drilling)</t>
  </si>
  <si>
    <t>packer day</t>
  </si>
  <si>
    <t>after drilling</t>
  </si>
  <si>
    <t>before packer)</t>
  </si>
  <si>
    <t>after packer</t>
  </si>
  <si>
    <t>notes</t>
  </si>
  <si>
    <t>annual day</t>
  </si>
  <si>
    <t>NA</t>
  </si>
  <si>
    <t>Al</t>
  </si>
  <si>
    <t>Ar</t>
  </si>
  <si>
    <t>Ba</t>
  </si>
  <si>
    <t>Br-</t>
  </si>
  <si>
    <t>Ca</t>
  </si>
  <si>
    <t>Cl-</t>
  </si>
  <si>
    <t>F-</t>
  </si>
  <si>
    <t>Fe</t>
  </si>
  <si>
    <t>Li</t>
  </si>
  <si>
    <t>Mg</t>
  </si>
  <si>
    <t>Mn</t>
  </si>
  <si>
    <t>Ni</t>
  </si>
  <si>
    <t>Se</t>
  </si>
  <si>
    <t>Si</t>
  </si>
  <si>
    <t>Na</t>
  </si>
  <si>
    <t>SO4-</t>
  </si>
  <si>
    <t>Zn</t>
  </si>
  <si>
    <t>NO3- (mg/L)</t>
  </si>
  <si>
    <t>NH4+ (mg/L0</t>
  </si>
  <si>
    <t>Fe2+ (mg/L)</t>
  </si>
  <si>
    <t>S2- (ug/L)</t>
  </si>
  <si>
    <t>d13C DIC</t>
  </si>
  <si>
    <t xml:space="preserve">                            Identifier 1</t>
  </si>
  <si>
    <t>corr d18O</t>
  </si>
  <si>
    <t>corr dD</t>
  </si>
  <si>
    <t>RMS d18O</t>
  </si>
  <si>
    <t>RMS dD</t>
  </si>
  <si>
    <t>SURF2_10-1</t>
  </si>
  <si>
    <t>12_7_15</t>
  </si>
  <si>
    <t>SURF5_19223</t>
  </si>
  <si>
    <t>SURF 800a</t>
  </si>
  <si>
    <t>SURF 800b</t>
  </si>
  <si>
    <t>SURF 800c</t>
  </si>
  <si>
    <t xml:space="preserve"> SURF 4850a</t>
  </si>
  <si>
    <t>12_8_15</t>
  </si>
  <si>
    <t>SURF 4850B</t>
  </si>
  <si>
    <t xml:space="preserve"> SURF 4850C</t>
  </si>
  <si>
    <t>SURF 4850D</t>
  </si>
  <si>
    <t>SURF 4850E</t>
  </si>
  <si>
    <t>15_8_15</t>
  </si>
  <si>
    <t>SURF 4850F</t>
  </si>
  <si>
    <t xml:space="preserve"> SURF 4850G</t>
  </si>
  <si>
    <t>ThiothrixFalls</t>
  </si>
  <si>
    <t xml:space="preserve"> SURF_4850H</t>
  </si>
  <si>
    <t>SURF LBNE_1</t>
  </si>
  <si>
    <t>SURF LBNE_4</t>
  </si>
  <si>
    <t>SURF LBNE_2</t>
  </si>
  <si>
    <t>SURF J</t>
  </si>
  <si>
    <t>SURF Man B</t>
  </si>
  <si>
    <t>SURF Man D</t>
  </si>
  <si>
    <t>SURF 1700a</t>
  </si>
  <si>
    <t>12_9_15</t>
  </si>
  <si>
    <t>SURF 2000a</t>
  </si>
  <si>
    <t>SURF 2000b</t>
  </si>
  <si>
    <t>SURF 1700c</t>
  </si>
  <si>
    <t>Whitewood Creek</t>
  </si>
  <si>
    <t>White tail Creek</t>
  </si>
  <si>
    <t>24221_4100 SURF</t>
  </si>
  <si>
    <t>12_10_15</t>
  </si>
  <si>
    <t>4100 SURF orohondo</t>
  </si>
  <si>
    <t>4100A SURFA</t>
  </si>
  <si>
    <t>4100B</t>
  </si>
  <si>
    <t>5/1/2017</t>
  </si>
  <si>
    <t>Dusel D</t>
  </si>
  <si>
    <t>Recounts</t>
  </si>
  <si>
    <t>CO2 (nM)</t>
  </si>
  <si>
    <t>C2H6 (nM)</t>
  </si>
  <si>
    <t>CH4 (nM)</t>
  </si>
  <si>
    <t>CO (nM)</t>
  </si>
  <si>
    <t>He (nM)</t>
  </si>
  <si>
    <t>H2 (nM)</t>
  </si>
  <si>
    <t>CO2 (ernM)</t>
  </si>
  <si>
    <t>C2H6 (ernM)</t>
  </si>
  <si>
    <t>CH4 (ernM)</t>
  </si>
  <si>
    <t>CO (ernM)</t>
  </si>
  <si>
    <t>He (ernM)</t>
  </si>
  <si>
    <t>H2 (ernM)</t>
  </si>
  <si>
    <t>bdl</t>
  </si>
  <si>
    <t>NM</t>
  </si>
  <si>
    <t>Cell Density</t>
  </si>
  <si>
    <t>mls for EA run</t>
  </si>
  <si>
    <t>ug C per ml</t>
  </si>
  <si>
    <t>fg C per ml</t>
  </si>
  <si>
    <t>mls for nano-EA</t>
  </si>
  <si>
    <t>DOC mM</t>
  </si>
  <si>
    <t>STD</t>
  </si>
  <si>
    <t>AVE</t>
  </si>
  <si>
    <t>CO2 (mM)</t>
  </si>
  <si>
    <t>CH4 (mM)</t>
  </si>
  <si>
    <t>1550**</t>
  </si>
  <si>
    <t>4.6**</t>
  </si>
  <si>
    <t>10/16/2017 (ISEC recovery)</t>
  </si>
  <si>
    <t>DUSEL D</t>
  </si>
  <si>
    <t>DUSEL D: After Caitlin's columns removed and vacuum ceased</t>
  </si>
  <si>
    <t>**erroneous: bad snaps, out of ampoules</t>
  </si>
  <si>
    <t>DeMMO-4: ISEC experiment tub outflow</t>
  </si>
  <si>
    <t>DeMMO-4: packer outflow after ISEC experimental removal</t>
  </si>
  <si>
    <t>over range of low-range kit</t>
  </si>
  <si>
    <t>**taken with experiments still hooked up- not full flow</t>
  </si>
  <si>
    <t>ISEC recovery</t>
  </si>
  <si>
    <t>Day since 12/5/15</t>
  </si>
  <si>
    <t>ratio</t>
  </si>
  <si>
    <t>flow rate</t>
  </si>
  <si>
    <t>demmo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</si>
</sst>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2">
    <font>
      <sz val="10"/>
      <color rgb="FF000000"/>
      <name val="Arial"/>
    </font>
    <font>
      <b/>
      <sz val="10"/>
      <name val="Arial"/>
      <family val="2"/>
    </font>
    <font>
      <sz val="10"/>
      <name val="Arial"/>
      <family val="2"/>
    </font>
    <font>
      <u/>
      <sz val="10"/>
      <color theme="10"/>
      <name val="Arial"/>
      <family val="2"/>
    </font>
    <font>
      <u/>
      <sz val="10"/>
      <color theme="11"/>
      <name val="Arial"/>
      <family val="2"/>
    </font>
    <font>
      <sz val="10"/>
      <color rgb="FF000000"/>
      <name val="Arial"/>
      <family val="2"/>
    </font>
    <font>
      <sz val="12"/>
      <color rgb="FF000000"/>
      <name val="Calibri"/>
      <family val="2"/>
    </font>
    <font>
      <sz val="10"/>
      <name val="MS Sans Serif"/>
    </font>
    <font>
      <b/>
      <sz val="10"/>
      <name val="MS Sans Serif"/>
    </font>
    <font>
      <b/>
      <sz val="8"/>
      <name val="Arial"/>
      <family val="2"/>
    </font>
    <font>
      <u/>
      <sz val="10"/>
      <color indexed="12"/>
      <name val="MS Sans Serif"/>
    </font>
    <font>
      <b/>
      <sz val="12"/>
      <name val="Arial"/>
      <family val="2"/>
    </font>
    <font>
      <b/>
      <sz val="10"/>
      <color theme="1"/>
      <name val="Calibri"/>
      <family val="2"/>
      <scheme val="minor"/>
    </font>
    <font>
      <sz val="11"/>
      <color theme="1"/>
      <name val="Calibri"/>
      <family val="2"/>
      <scheme val="minor"/>
    </font>
    <font>
      <b/>
      <sz val="9"/>
      <name val="Arial"/>
      <family val="2"/>
    </font>
    <font>
      <b/>
      <sz val="16"/>
      <color rgb="FF7030A0"/>
      <name val="Calibri"/>
      <family val="2"/>
      <scheme val="minor"/>
    </font>
    <font>
      <b/>
      <i/>
      <sz val="16"/>
      <color rgb="FF7030A0"/>
      <name val="Calibri"/>
      <family val="2"/>
      <scheme val="minor"/>
    </font>
    <font>
      <sz val="12"/>
      <color rgb="FF000000"/>
      <name val="Calibri"/>
      <family val="2"/>
      <scheme val="minor"/>
    </font>
    <font>
      <sz val="12"/>
      <color theme="1"/>
      <name val="Calibri"/>
      <family val="2"/>
      <charset val="204"/>
    </font>
    <font>
      <sz val="10"/>
      <name val="MS Sans Serif"/>
      <family val="2"/>
    </font>
    <font>
      <sz val="10"/>
      <color theme="6" tint="-0.249977111117893"/>
      <name val="Arial"/>
      <family val="2"/>
    </font>
    <font>
      <sz val="10"/>
      <color rgb="FFFF0000"/>
      <name val="Arial"/>
      <family val="2"/>
    </font>
  </fonts>
  <fills count="19">
    <fill>
      <patternFill patternType="none"/>
    </fill>
    <fill>
      <patternFill patternType="gray125"/>
    </fill>
    <fill>
      <patternFill patternType="solid">
        <fgColor rgb="FFEFEFEF"/>
        <bgColor rgb="FFEFEFEF"/>
      </patternFill>
    </fill>
    <fill>
      <patternFill patternType="solid">
        <fgColor theme="3" tint="0.79998168889431442"/>
        <bgColor indexed="64"/>
      </patternFill>
    </fill>
    <fill>
      <patternFill patternType="solid">
        <fgColor theme="3" tint="0.79998168889431442"/>
        <bgColor rgb="FFEFEFEF"/>
      </patternFill>
    </fill>
    <fill>
      <patternFill patternType="solid">
        <fgColor theme="9" tint="0.59999389629810485"/>
        <bgColor indexed="64"/>
      </patternFill>
    </fill>
    <fill>
      <patternFill patternType="solid">
        <fgColor theme="9" tint="0.59999389629810485"/>
        <bgColor rgb="FFEFEFEF"/>
      </patternFill>
    </fill>
    <fill>
      <patternFill patternType="solid">
        <fgColor theme="0"/>
        <bgColor rgb="FFEFEFEF"/>
      </patternFill>
    </fill>
    <fill>
      <patternFill patternType="solid">
        <fgColor theme="0"/>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CC"/>
        <bgColor indexed="64"/>
      </patternFill>
    </fill>
    <fill>
      <patternFill patternType="solid">
        <fgColor rgb="FF7030A0"/>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auto="1"/>
      </bottom>
      <diagonal/>
    </border>
    <border>
      <left/>
      <right style="thin">
        <color rgb="FF000000"/>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s>
  <cellStyleXfs count="20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1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9" fillId="0" borderId="0"/>
  </cellStyleXfs>
  <cellXfs count="211">
    <xf numFmtId="0" fontId="0" fillId="0" borderId="0" xfId="0" applyFont="1" applyAlignment="1"/>
    <xf numFmtId="0" fontId="1" fillId="0" borderId="1" xfId="0" applyFont="1" applyBorder="1" applyAlignment="1"/>
    <xf numFmtId="0" fontId="1" fillId="2" borderId="2" xfId="0" applyFont="1" applyFill="1" applyBorder="1" applyAlignment="1"/>
    <xf numFmtId="0" fontId="1" fillId="0" borderId="2" xfId="0" applyFont="1" applyBorder="1" applyAlignment="1"/>
    <xf numFmtId="0" fontId="1" fillId="0" borderId="0" xfId="0" applyFont="1" applyAlignment="1"/>
    <xf numFmtId="0" fontId="2" fillId="0" borderId="0" xfId="0" applyFont="1" applyAlignment="1"/>
    <xf numFmtId="0" fontId="2" fillId="0" borderId="3" xfId="0" applyFont="1" applyBorder="1" applyAlignment="1"/>
    <xf numFmtId="0" fontId="2" fillId="2" borderId="3" xfId="0" applyFont="1" applyFill="1" applyBorder="1" applyAlignment="1"/>
    <xf numFmtId="0" fontId="2" fillId="2" borderId="3" xfId="0" applyFont="1" applyFill="1" applyBorder="1"/>
    <xf numFmtId="0" fontId="2" fillId="0" borderId="3" xfId="0" applyFont="1" applyBorder="1"/>
    <xf numFmtId="0" fontId="2" fillId="2" borderId="3" xfId="0" applyFont="1" applyFill="1" applyBorder="1" applyAlignment="1">
      <alignment wrapText="1"/>
    </xf>
    <xf numFmtId="49" fontId="2" fillId="2" borderId="3" xfId="0" applyNumberFormat="1" applyFont="1" applyFill="1" applyBorder="1"/>
    <xf numFmtId="49" fontId="2" fillId="2" borderId="3" xfId="0" applyNumberFormat="1" applyFont="1" applyFill="1" applyBorder="1" applyAlignment="1">
      <alignment wrapText="1"/>
    </xf>
    <xf numFmtId="49" fontId="2" fillId="0" borderId="3" xfId="0" applyNumberFormat="1" applyFont="1" applyBorder="1"/>
    <xf numFmtId="49" fontId="0" fillId="0" borderId="0" xfId="0" applyNumberFormat="1" applyFont="1" applyAlignment="1"/>
    <xf numFmtId="49" fontId="2" fillId="2" borderId="3" xfId="0" applyNumberFormat="1" applyFont="1" applyFill="1" applyBorder="1" applyAlignment="1"/>
    <xf numFmtId="0" fontId="2" fillId="0" borderId="5" xfId="0" applyFont="1" applyBorder="1" applyAlignment="1"/>
    <xf numFmtId="0" fontId="2" fillId="2" borderId="5" xfId="0" applyFont="1" applyFill="1" applyBorder="1"/>
    <xf numFmtId="0" fontId="2" fillId="0" borderId="5" xfId="0" applyFont="1" applyBorder="1"/>
    <xf numFmtId="49" fontId="2" fillId="2" borderId="5" xfId="0" applyNumberFormat="1" applyFont="1" applyFill="1" applyBorder="1"/>
    <xf numFmtId="49" fontId="2" fillId="0" borderId="5" xfId="0" applyNumberFormat="1" applyFont="1" applyBorder="1"/>
    <xf numFmtId="49" fontId="0" fillId="0" borderId="4" xfId="0" applyNumberFormat="1" applyFont="1" applyBorder="1" applyAlignment="1"/>
    <xf numFmtId="0" fontId="0" fillId="0" borderId="4" xfId="0" applyFont="1" applyBorder="1" applyAlignment="1"/>
    <xf numFmtId="0" fontId="2" fillId="3" borderId="5" xfId="0" applyFont="1" applyFill="1" applyBorder="1" applyAlignment="1"/>
    <xf numFmtId="0" fontId="2" fillId="4" borderId="5" xfId="0" applyFont="1" applyFill="1" applyBorder="1"/>
    <xf numFmtId="0" fontId="2" fillId="3" borderId="5" xfId="0" applyFont="1" applyFill="1" applyBorder="1"/>
    <xf numFmtId="49" fontId="2" fillId="4" borderId="5" xfId="0" applyNumberFormat="1" applyFont="1" applyFill="1" applyBorder="1"/>
    <xf numFmtId="49" fontId="2" fillId="3" borderId="5" xfId="0" applyNumberFormat="1" applyFont="1" applyFill="1" applyBorder="1"/>
    <xf numFmtId="49" fontId="2" fillId="4" borderId="4" xfId="0" applyNumberFormat="1" applyFont="1" applyFill="1" applyBorder="1"/>
    <xf numFmtId="49" fontId="0" fillId="3" borderId="4" xfId="0" applyNumberFormat="1" applyFont="1" applyFill="1" applyBorder="1" applyAlignment="1"/>
    <xf numFmtId="0" fontId="0" fillId="3" borderId="4" xfId="0" applyFont="1" applyFill="1" applyBorder="1" applyAlignment="1"/>
    <xf numFmtId="0" fontId="2" fillId="5" borderId="3" xfId="0" applyFont="1" applyFill="1" applyBorder="1" applyAlignment="1"/>
    <xf numFmtId="0" fontId="2" fillId="6" borderId="3" xfId="0" applyFont="1" applyFill="1" applyBorder="1"/>
    <xf numFmtId="0" fontId="2" fillId="5" borderId="3" xfId="0" applyFont="1" applyFill="1" applyBorder="1"/>
    <xf numFmtId="0" fontId="0" fillId="5" borderId="0" xfId="0" applyFont="1" applyFill="1" applyAlignment="1"/>
    <xf numFmtId="0" fontId="1" fillId="7" borderId="1" xfId="0" applyFont="1" applyFill="1" applyBorder="1" applyAlignment="1"/>
    <xf numFmtId="0" fontId="2" fillId="7" borderId="3" xfId="0" applyFont="1" applyFill="1" applyBorder="1" applyAlignment="1"/>
    <xf numFmtId="0" fontId="2" fillId="7" borderId="0" xfId="0" applyFont="1" applyFill="1" applyBorder="1"/>
    <xf numFmtId="49" fontId="2" fillId="7" borderId="0" xfId="0" applyNumberFormat="1" applyFont="1" applyFill="1" applyBorder="1"/>
    <xf numFmtId="49" fontId="2" fillId="7" borderId="0" xfId="0" applyNumberFormat="1" applyFont="1" applyFill="1" applyBorder="1" applyAlignment="1">
      <alignment wrapText="1"/>
    </xf>
    <xf numFmtId="49" fontId="2" fillId="7" borderId="0" xfId="0" applyNumberFormat="1" applyFont="1" applyFill="1" applyBorder="1" applyAlignment="1"/>
    <xf numFmtId="0" fontId="2" fillId="7" borderId="0" xfId="0" applyFont="1" applyFill="1" applyBorder="1" applyAlignment="1">
      <alignment wrapText="1"/>
    </xf>
    <xf numFmtId="49" fontId="2" fillId="7" borderId="4" xfId="0" applyNumberFormat="1" applyFont="1" applyFill="1" applyBorder="1"/>
    <xf numFmtId="0" fontId="0" fillId="8" borderId="0" xfId="0" applyFont="1" applyFill="1" applyAlignment="1"/>
    <xf numFmtId="0" fontId="1" fillId="9" borderId="1" xfId="0" applyFont="1" applyFill="1" applyBorder="1" applyAlignment="1"/>
    <xf numFmtId="0" fontId="2" fillId="9" borderId="0" xfId="0" applyFont="1" applyFill="1" applyAlignment="1"/>
    <xf numFmtId="0" fontId="2" fillId="9" borderId="0" xfId="0" applyFont="1" applyFill="1" applyBorder="1" applyAlignment="1"/>
    <xf numFmtId="0" fontId="0" fillId="9" borderId="0" xfId="0" applyFont="1" applyFill="1" applyAlignment="1"/>
    <xf numFmtId="49" fontId="0" fillId="9" borderId="0" xfId="0" applyNumberFormat="1" applyFont="1" applyFill="1" applyAlignment="1"/>
    <xf numFmtId="49" fontId="0" fillId="9" borderId="4" xfId="0" applyNumberFormat="1" applyFont="1" applyFill="1" applyBorder="1" applyAlignment="1"/>
    <xf numFmtId="0" fontId="0" fillId="9" borderId="4" xfId="0" applyFont="1" applyFill="1" applyBorder="1" applyAlignment="1"/>
    <xf numFmtId="0" fontId="1" fillId="9" borderId="6" xfId="0" applyFont="1" applyFill="1" applyBorder="1" applyAlignment="1"/>
    <xf numFmtId="0" fontId="0" fillId="9" borderId="9" xfId="0" applyFont="1" applyFill="1" applyBorder="1" applyAlignment="1"/>
    <xf numFmtId="0" fontId="0" fillId="9" borderId="11" xfId="0" applyFont="1" applyFill="1" applyBorder="1" applyAlignment="1"/>
    <xf numFmtId="0" fontId="0" fillId="0" borderId="0" xfId="0" applyFont="1" applyFill="1" applyAlignment="1"/>
    <xf numFmtId="49" fontId="0" fillId="0" borderId="0" xfId="0" applyNumberFormat="1" applyFont="1" applyFill="1" applyAlignment="1"/>
    <xf numFmtId="0" fontId="0" fillId="0" borderId="4" xfId="0" applyFont="1" applyFill="1" applyBorder="1" applyAlignment="1"/>
    <xf numFmtId="0" fontId="2" fillId="9" borderId="7" xfId="0" applyFont="1" applyFill="1" applyBorder="1" applyAlignment="1"/>
    <xf numFmtId="0" fontId="2" fillId="9" borderId="8" xfId="0" applyFont="1" applyFill="1" applyBorder="1" applyAlignment="1"/>
    <xf numFmtId="0" fontId="0" fillId="9" borderId="0" xfId="0" applyFont="1" applyFill="1" applyBorder="1" applyAlignment="1"/>
    <xf numFmtId="0" fontId="0" fillId="9" borderId="10" xfId="0" applyFont="1" applyFill="1" applyBorder="1" applyAlignment="1">
      <alignment wrapText="1"/>
    </xf>
    <xf numFmtId="0" fontId="0" fillId="9" borderId="12" xfId="0" applyFont="1" applyFill="1" applyBorder="1" applyAlignment="1"/>
    <xf numFmtId="16" fontId="0" fillId="0" borderId="0" xfId="0" applyNumberFormat="1" applyFont="1" applyAlignment="1"/>
    <xf numFmtId="14" fontId="0" fillId="0" borderId="0" xfId="0" applyNumberFormat="1" applyFont="1" applyAlignment="1"/>
    <xf numFmtId="0" fontId="0" fillId="0" borderId="0" xfId="0" applyNumberFormat="1" applyFont="1" applyAlignment="1"/>
    <xf numFmtId="0" fontId="5" fillId="0" borderId="0" xfId="0" applyFont="1" applyAlignment="1"/>
    <xf numFmtId="0" fontId="0" fillId="0" borderId="0" xfId="0" applyFont="1" applyAlignment="1">
      <alignment horizontal="right"/>
    </xf>
    <xf numFmtId="16"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wrapText="1"/>
    </xf>
    <xf numFmtId="14" fontId="0" fillId="0" borderId="0" xfId="0" applyNumberFormat="1" applyFont="1" applyAlignment="1">
      <alignment horizontal="center"/>
    </xf>
    <xf numFmtId="14" fontId="0" fillId="0" borderId="0" xfId="0" applyNumberFormat="1" applyFont="1" applyAlignment="1">
      <alignment horizontal="center" wrapText="1"/>
    </xf>
    <xf numFmtId="0" fontId="0" fillId="0" borderId="0" xfId="0" applyFont="1" applyAlignment="1">
      <alignment horizontal="left"/>
    </xf>
    <xf numFmtId="0" fontId="0" fillId="0" borderId="0" xfId="0" applyFont="1" applyAlignment="1">
      <alignment wrapText="1"/>
    </xf>
    <xf numFmtId="16" fontId="0" fillId="0" borderId="0" xfId="0" applyNumberFormat="1" applyFont="1" applyAlignment="1">
      <alignment horizontal="left"/>
    </xf>
    <xf numFmtId="0" fontId="0" fillId="0" borderId="0" xfId="0" applyFont="1" applyAlignment="1">
      <alignment horizontal="left" wrapText="1"/>
    </xf>
    <xf numFmtId="2" fontId="0" fillId="0" borderId="0" xfId="0" applyNumberFormat="1" applyFont="1" applyAlignment="1"/>
    <xf numFmtId="0" fontId="0" fillId="0" borderId="0" xfId="0" applyFont="1" applyAlignment="1">
      <alignment horizontal="left"/>
    </xf>
    <xf numFmtId="1" fontId="0" fillId="0" borderId="0" xfId="0" applyNumberFormat="1" applyFont="1" applyAlignment="1"/>
    <xf numFmtId="0" fontId="5" fillId="0" borderId="0" xfId="0" applyFont="1" applyAlignment="1">
      <alignment horizontal="left"/>
    </xf>
    <xf numFmtId="1" fontId="0" fillId="0" borderId="0" xfId="0" applyNumberFormat="1" applyFont="1" applyAlignment="1">
      <alignment horizontal="right"/>
    </xf>
    <xf numFmtId="16" fontId="5" fillId="0" borderId="0" xfId="0" applyNumberFormat="1" applyFont="1" applyAlignment="1">
      <alignment horizontal="center" wrapText="1"/>
    </xf>
    <xf numFmtId="1" fontId="5" fillId="0" borderId="0" xfId="0" applyNumberFormat="1" applyFont="1" applyAlignment="1"/>
    <xf numFmtId="0" fontId="5" fillId="0" borderId="0" xfId="0" applyFont="1" applyAlignment="1">
      <alignment horizontal="right"/>
    </xf>
    <xf numFmtId="0" fontId="5" fillId="0" borderId="0" xfId="0" applyFont="1" applyAlignment="1">
      <alignment horizontal="center" wrapText="1"/>
    </xf>
    <xf numFmtId="14" fontId="5" fillId="0" borderId="0" xfId="0" applyNumberFormat="1" applyFont="1" applyAlignment="1"/>
    <xf numFmtId="0" fontId="0" fillId="0" borderId="0" xfId="0" applyFont="1" applyAlignment="1">
      <alignment horizontal="left"/>
    </xf>
    <xf numFmtId="16" fontId="5" fillId="0" borderId="0" xfId="0" applyNumberFormat="1" applyFont="1" applyAlignment="1">
      <alignment horizontal="center"/>
    </xf>
    <xf numFmtId="0" fontId="5" fillId="0" borderId="0" xfId="0" applyFont="1" applyAlignment="1">
      <alignment horizontal="center"/>
    </xf>
    <xf numFmtId="0" fontId="0" fillId="0" borderId="0" xfId="0"/>
    <xf numFmtId="0" fontId="0" fillId="10" borderId="0" xfId="0" applyFont="1" applyFill="1" applyAlignment="1"/>
    <xf numFmtId="1" fontId="6" fillId="0" borderId="0" xfId="0" applyNumberFormat="1" applyFont="1" applyAlignment="1">
      <alignment horizontal="right"/>
    </xf>
    <xf numFmtId="164" fontId="0" fillId="0" borderId="0" xfId="0" applyNumberFormat="1" applyFont="1" applyAlignment="1"/>
    <xf numFmtId="0" fontId="7" fillId="0" borderId="0" xfId="85"/>
    <xf numFmtId="2" fontId="7" fillId="0" borderId="0" xfId="85" applyNumberFormat="1"/>
    <xf numFmtId="0" fontId="8" fillId="0" borderId="0" xfId="85" applyFont="1"/>
    <xf numFmtId="14" fontId="9" fillId="11" borderId="13" xfId="85" applyNumberFormat="1" applyFont="1" applyFill="1" applyBorder="1" applyAlignment="1">
      <alignment horizontal="left"/>
    </xf>
    <xf numFmtId="0" fontId="9" fillId="11" borderId="14" xfId="85" applyFont="1" applyFill="1" applyBorder="1" applyAlignment="1">
      <alignment horizontal="right"/>
    </xf>
    <xf numFmtId="0" fontId="9" fillId="11" borderId="10" xfId="85" applyFont="1" applyFill="1" applyBorder="1" applyAlignment="1">
      <alignment horizontal="left"/>
    </xf>
    <xf numFmtId="0" fontId="9" fillId="11" borderId="0" xfId="85" applyFont="1" applyFill="1" applyBorder="1" applyAlignment="1">
      <alignment horizontal="left"/>
    </xf>
    <xf numFmtId="0" fontId="7" fillId="11" borderId="0" xfId="85" applyFill="1"/>
    <xf numFmtId="0" fontId="10" fillId="11" borderId="10" xfId="86" applyFill="1" applyBorder="1" applyAlignment="1" applyProtection="1">
      <alignment horizontal="left"/>
    </xf>
    <xf numFmtId="0" fontId="9" fillId="11" borderId="0" xfId="85" applyFont="1" applyFill="1" applyBorder="1" applyAlignment="1">
      <alignment horizontal="right"/>
    </xf>
    <xf numFmtId="0" fontId="12" fillId="12" borderId="12" xfId="85" applyFont="1" applyFill="1" applyBorder="1" applyAlignment="1">
      <alignment vertical="center"/>
    </xf>
    <xf numFmtId="0" fontId="12" fillId="12" borderId="4" xfId="85" applyFont="1" applyFill="1" applyBorder="1" applyAlignment="1">
      <alignment vertical="center"/>
    </xf>
    <xf numFmtId="0" fontId="13" fillId="13" borderId="4" xfId="85" applyFont="1" applyFill="1" applyBorder="1" applyAlignment="1">
      <alignment vertical="center"/>
    </xf>
    <xf numFmtId="49" fontId="14" fillId="13" borderId="11" xfId="85" applyNumberFormat="1" applyFont="1" applyFill="1" applyBorder="1" applyAlignment="1" applyProtection="1">
      <alignment vertical="center"/>
      <protection locked="0"/>
    </xf>
    <xf numFmtId="0" fontId="12" fillId="12" borderId="10" xfId="85" applyFont="1" applyFill="1" applyBorder="1" applyAlignment="1">
      <alignment horizontal="left" vertical="center"/>
    </xf>
    <xf numFmtId="0" fontId="12" fillId="12" borderId="0" xfId="85" applyFont="1" applyFill="1" applyBorder="1" applyAlignment="1">
      <alignment horizontal="left" vertical="center"/>
    </xf>
    <xf numFmtId="0" fontId="13" fillId="13" borderId="0" xfId="85" applyFont="1" applyFill="1" applyBorder="1" applyAlignment="1">
      <alignment horizontal="left" vertical="center"/>
    </xf>
    <xf numFmtId="0" fontId="13" fillId="13" borderId="9" xfId="85" applyFont="1" applyFill="1" applyBorder="1" applyAlignment="1">
      <alignment horizontal="left" vertical="center"/>
    </xf>
    <xf numFmtId="49" fontId="7" fillId="13" borderId="0" xfId="85" applyNumberFormat="1" applyFill="1" applyBorder="1" applyAlignment="1" applyProtection="1">
      <alignment vertical="center"/>
      <protection locked="0"/>
    </xf>
    <xf numFmtId="49" fontId="7" fillId="13" borderId="9" xfId="85" applyNumberFormat="1" applyFill="1" applyBorder="1" applyAlignment="1" applyProtection="1">
      <alignment vertical="center"/>
      <protection locked="0"/>
    </xf>
    <xf numFmtId="49" fontId="7" fillId="13" borderId="7" xfId="85" applyNumberFormat="1" applyFill="1" applyBorder="1" applyAlignment="1" applyProtection="1">
      <alignment vertical="center"/>
      <protection locked="0"/>
    </xf>
    <xf numFmtId="49" fontId="7" fillId="13" borderId="6" xfId="85" applyNumberFormat="1" applyFill="1" applyBorder="1" applyAlignment="1" applyProtection="1">
      <alignment vertical="center"/>
      <protection locked="0"/>
    </xf>
    <xf numFmtId="164" fontId="7" fillId="0" borderId="0" xfId="85" applyNumberFormat="1"/>
    <xf numFmtId="0" fontId="0" fillId="0" borderId="0" xfId="0" applyFont="1" applyAlignment="1">
      <alignment horizontal="left"/>
    </xf>
    <xf numFmtId="0" fontId="7" fillId="14" borderId="0" xfId="85" applyFill="1"/>
    <xf numFmtId="0" fontId="5" fillId="0" borderId="0" xfId="0" applyFont="1" applyAlignment="1">
      <alignment wrapText="1"/>
    </xf>
    <xf numFmtId="14" fontId="0" fillId="0" borderId="0" xfId="0" applyNumberFormat="1" applyFont="1" applyAlignment="1">
      <alignment horizontal="left"/>
    </xf>
    <xf numFmtId="2" fontId="0" fillId="15" borderId="0" xfId="0" applyNumberFormat="1" applyFont="1" applyFill="1" applyAlignment="1"/>
    <xf numFmtId="0" fontId="17" fillId="0" borderId="0" xfId="0" applyFont="1" applyAlignment="1">
      <alignment horizontal="left"/>
    </xf>
    <xf numFmtId="0" fontId="17" fillId="0" borderId="0" xfId="0" applyFont="1"/>
    <xf numFmtId="164" fontId="17" fillId="0" borderId="0" xfId="0" applyNumberFormat="1" applyFont="1"/>
    <xf numFmtId="164" fontId="0" fillId="0" borderId="0" xfId="0" applyNumberFormat="1"/>
    <xf numFmtId="0" fontId="0" fillId="0" borderId="0" xfId="0" applyFont="1" applyAlignment="1">
      <alignment horizontal="left"/>
    </xf>
    <xf numFmtId="0" fontId="6" fillId="0" borderId="0" xfId="0" applyFont="1" applyAlignment="1"/>
    <xf numFmtId="14" fontId="6" fillId="0" borderId="0" xfId="0" applyNumberFormat="1" applyFont="1" applyAlignment="1"/>
    <xf numFmtId="14" fontId="6" fillId="0" borderId="0" xfId="0" applyNumberFormat="1" applyFont="1" applyAlignment="1">
      <alignment horizontal="right"/>
    </xf>
    <xf numFmtId="1" fontId="6" fillId="0" borderId="0" xfId="0" applyNumberFormat="1" applyFont="1" applyAlignment="1"/>
    <xf numFmtId="0" fontId="6" fillId="0" borderId="0" xfId="0" applyFont="1" applyAlignment="1">
      <alignment wrapText="1"/>
    </xf>
    <xf numFmtId="17" fontId="6" fillId="0" borderId="0" xfId="0" applyNumberFormat="1" applyFont="1" applyAlignment="1"/>
    <xf numFmtId="0" fontId="6" fillId="0" borderId="7" xfId="0" applyFont="1" applyFill="1" applyBorder="1"/>
    <xf numFmtId="0" fontId="0" fillId="0" borderId="0" xfId="0" applyFont="1" applyBorder="1" applyAlignment="1"/>
    <xf numFmtId="0" fontId="0" fillId="0" borderId="0" xfId="0" applyFont="1" applyFill="1" applyBorder="1" applyAlignment="1"/>
    <xf numFmtId="0" fontId="0" fillId="0" borderId="0" xfId="0" applyFont="1" applyBorder="1" applyAlignment="1">
      <alignment horizontal="left"/>
    </xf>
    <xf numFmtId="14" fontId="0" fillId="0" borderId="0" xfId="0" applyNumberFormat="1" applyFont="1" applyBorder="1" applyAlignment="1">
      <alignment horizontal="left"/>
    </xf>
    <xf numFmtId="1" fontId="0" fillId="0" borderId="0" xfId="0" applyNumberFormat="1" applyFont="1" applyBorder="1" applyAlignment="1"/>
    <xf numFmtId="164" fontId="0" fillId="0" borderId="0" xfId="0" applyNumberFormat="1" applyBorder="1"/>
    <xf numFmtId="0" fontId="0" fillId="16" borderId="0" xfId="0" applyFont="1" applyFill="1" applyBorder="1" applyAlignment="1"/>
    <xf numFmtId="0" fontId="5" fillId="0" borderId="0" xfId="0" applyFont="1" applyBorder="1" applyAlignment="1">
      <alignment horizontal="right"/>
    </xf>
    <xf numFmtId="0" fontId="0" fillId="0" borderId="0" xfId="0" applyFont="1" applyBorder="1" applyAlignment="1">
      <alignment horizontal="right"/>
    </xf>
    <xf numFmtId="0" fontId="0" fillId="0" borderId="0" xfId="0" applyFont="1" applyAlignment="1">
      <alignment horizontal="left"/>
    </xf>
    <xf numFmtId="0" fontId="0" fillId="0" borderId="0" xfId="0" applyFont="1" applyAlignment="1">
      <alignment horizontal="left"/>
    </xf>
    <xf numFmtId="2" fontId="0" fillId="0" borderId="0" xfId="0" applyNumberFormat="1" applyFont="1" applyFill="1" applyBorder="1" applyAlignment="1"/>
    <xf numFmtId="165" fontId="0" fillId="0" borderId="0" xfId="0" applyNumberFormat="1" applyFont="1" applyAlignment="1"/>
    <xf numFmtId="166" fontId="0" fillId="0" borderId="0" xfId="0" applyNumberFormat="1" applyFont="1" applyAlignment="1"/>
    <xf numFmtId="14" fontId="5" fillId="0" borderId="0" xfId="0" applyNumberFormat="1" applyFont="1" applyAlignment="1">
      <alignment wrapText="1"/>
    </xf>
    <xf numFmtId="1" fontId="5" fillId="0" borderId="0" xfId="0" applyNumberFormat="1" applyFont="1" applyAlignment="1">
      <alignment horizontal="right"/>
    </xf>
    <xf numFmtId="0" fontId="6" fillId="0" borderId="0" xfId="0" applyFont="1" applyFill="1" applyBorder="1" applyAlignment="1"/>
    <xf numFmtId="2" fontId="0" fillId="0" borderId="0" xfId="0" applyNumberFormat="1"/>
    <xf numFmtId="2" fontId="18" fillId="0" borderId="0" xfId="0" applyNumberFormat="1" applyFont="1" applyFill="1" applyBorder="1"/>
    <xf numFmtId="165" fontId="18" fillId="0" borderId="0" xfId="0" applyNumberFormat="1" applyFont="1" applyFill="1" applyBorder="1"/>
    <xf numFmtId="0" fontId="0" fillId="17" borderId="0" xfId="0" applyFont="1" applyFill="1" applyBorder="1" applyAlignment="1"/>
    <xf numFmtId="0" fontId="0" fillId="0" borderId="0" xfId="0" applyBorder="1"/>
    <xf numFmtId="164" fontId="17" fillId="0" borderId="0" xfId="0" applyNumberFormat="1" applyFont="1" applyBorder="1"/>
    <xf numFmtId="2" fontId="0" fillId="0" borderId="0" xfId="0" applyNumberFormat="1" applyFont="1" applyBorder="1" applyAlignment="1"/>
    <xf numFmtId="2" fontId="0" fillId="0" borderId="0" xfId="0" applyNumberFormat="1" applyBorder="1"/>
    <xf numFmtId="0" fontId="0" fillId="0" borderId="0" xfId="0" applyFill="1" applyBorder="1"/>
    <xf numFmtId="14" fontId="0" fillId="0" borderId="0" xfId="0" applyNumberFormat="1" applyFont="1" applyBorder="1" applyAlignment="1">
      <alignment horizontal="left" wrapText="1"/>
    </xf>
    <xf numFmtId="0" fontId="0" fillId="16" borderId="0" xfId="0" applyFill="1" applyBorder="1"/>
    <xf numFmtId="0" fontId="0" fillId="0" borderId="0" xfId="0" applyFont="1" applyBorder="1" applyAlignment="1">
      <alignment horizontal="left" wrapText="1"/>
    </xf>
    <xf numFmtId="0" fontId="0" fillId="0" borderId="0" xfId="0" applyFont="1" applyFill="1" applyBorder="1" applyAlignment="1">
      <alignment horizontal="right"/>
    </xf>
    <xf numFmtId="0" fontId="0" fillId="10" borderId="0" xfId="0" applyFont="1" applyFill="1" applyBorder="1" applyAlignment="1"/>
    <xf numFmtId="0" fontId="0" fillId="0" borderId="7" xfId="0" applyFont="1" applyBorder="1" applyAlignment="1"/>
    <xf numFmtId="0" fontId="0" fillId="0" borderId="7" xfId="0" applyFont="1" applyBorder="1" applyAlignment="1">
      <alignment horizontal="left"/>
    </xf>
    <xf numFmtId="14" fontId="0" fillId="0" borderId="7" xfId="0" applyNumberFormat="1" applyFont="1" applyBorder="1" applyAlignment="1">
      <alignment horizontal="left"/>
    </xf>
    <xf numFmtId="1" fontId="0" fillId="0" borderId="7" xfId="0" applyNumberFormat="1" applyFont="1" applyBorder="1" applyAlignment="1"/>
    <xf numFmtId="0" fontId="0" fillId="16" borderId="7" xfId="0" applyFont="1" applyFill="1" applyBorder="1" applyAlignment="1"/>
    <xf numFmtId="0" fontId="0" fillId="0" borderId="7" xfId="0" applyFont="1" applyFill="1" applyBorder="1" applyAlignment="1"/>
    <xf numFmtId="164" fontId="0" fillId="0" borderId="7" xfId="0" applyNumberFormat="1" applyBorder="1"/>
    <xf numFmtId="2" fontId="0" fillId="0" borderId="7" xfId="0" applyNumberFormat="1" applyFont="1" applyBorder="1" applyAlignment="1"/>
    <xf numFmtId="14" fontId="0" fillId="0" borderId="7" xfId="0" applyNumberFormat="1" applyFont="1" applyBorder="1" applyAlignment="1">
      <alignment horizontal="left" wrapText="1"/>
    </xf>
    <xf numFmtId="164" fontId="17" fillId="0" borderId="7" xfId="0" applyNumberFormat="1" applyFont="1" applyBorder="1"/>
    <xf numFmtId="0" fontId="0" fillId="0" borderId="7" xfId="0" applyBorder="1"/>
    <xf numFmtId="0" fontId="0" fillId="10" borderId="7" xfId="0" applyFont="1" applyFill="1" applyBorder="1" applyAlignment="1"/>
    <xf numFmtId="2" fontId="0" fillId="15" borderId="7" xfId="0" applyNumberFormat="1" applyFont="1" applyFill="1" applyBorder="1" applyAlignment="1"/>
    <xf numFmtId="0" fontId="19" fillId="0" borderId="0" xfId="208"/>
    <xf numFmtId="17" fontId="5" fillId="0" borderId="0" xfId="0" applyNumberFormat="1" applyFont="1" applyAlignment="1">
      <alignment horizontal="left"/>
    </xf>
    <xf numFmtId="17" fontId="0" fillId="0" borderId="0" xfId="0" applyNumberFormat="1" applyFont="1" applyAlignment="1">
      <alignment horizontal="left"/>
    </xf>
    <xf numFmtId="1" fontId="0" fillId="0" borderId="0" xfId="0" applyNumberFormat="1" applyFont="1" applyFill="1" applyBorder="1" applyAlignment="1"/>
    <xf numFmtId="0" fontId="0" fillId="18" borderId="0" xfId="0" applyFont="1" applyFill="1" applyAlignment="1"/>
    <xf numFmtId="0" fontId="20" fillId="0" borderId="0" xfId="0" applyFont="1" applyBorder="1" applyAlignment="1"/>
    <xf numFmtId="0" fontId="0" fillId="17" borderId="0" xfId="0" applyFont="1" applyFill="1" applyAlignment="1"/>
    <xf numFmtId="0" fontId="5" fillId="0" borderId="0" xfId="0" applyFont="1" applyFill="1" applyBorder="1" applyAlignment="1">
      <alignment horizontal="right"/>
    </xf>
    <xf numFmtId="0" fontId="21" fillId="0" borderId="0" xfId="0" applyFont="1" applyBorder="1" applyAlignment="1"/>
    <xf numFmtId="164" fontId="0" fillId="0" borderId="10" xfId="0" applyNumberFormat="1" applyFill="1" applyBorder="1"/>
    <xf numFmtId="164" fontId="0" fillId="0" borderId="9" xfId="0" applyNumberFormat="1" applyFill="1" applyBorder="1"/>
    <xf numFmtId="164" fontId="0" fillId="0" borderId="12" xfId="0" applyNumberFormat="1" applyFill="1" applyBorder="1"/>
    <xf numFmtId="164" fontId="0" fillId="0" borderId="11" xfId="0" applyNumberFormat="1" applyFill="1" applyBorder="1"/>
    <xf numFmtId="0" fontId="0" fillId="0" borderId="0" xfId="0" applyFont="1" applyAlignment="1">
      <alignment horizontal="left"/>
    </xf>
    <xf numFmtId="0" fontId="9" fillId="11" borderId="9" xfId="85" applyFont="1" applyFill="1" applyBorder="1" applyAlignment="1">
      <alignment horizontal="right"/>
    </xf>
    <xf numFmtId="0" fontId="9" fillId="11" borderId="0" xfId="85" applyFont="1" applyFill="1" applyBorder="1" applyAlignment="1">
      <alignment horizontal="right"/>
    </xf>
    <xf numFmtId="0" fontId="9" fillId="11" borderId="0" xfId="85" applyFont="1" applyFill="1" applyBorder="1" applyAlignment="1">
      <alignment horizontal="left"/>
    </xf>
    <xf numFmtId="0" fontId="9" fillId="11" borderId="15" xfId="85" applyFont="1" applyFill="1" applyBorder="1" applyAlignment="1">
      <alignment horizontal="right"/>
    </xf>
    <xf numFmtId="0" fontId="9" fillId="11" borderId="14" xfId="85" applyFont="1" applyFill="1" applyBorder="1" applyAlignment="1">
      <alignment horizontal="right"/>
    </xf>
    <xf numFmtId="14" fontId="9" fillId="11" borderId="14" xfId="85" applyNumberFormat="1" applyFont="1" applyFill="1" applyBorder="1" applyAlignment="1">
      <alignment horizontal="left"/>
    </xf>
    <xf numFmtId="0" fontId="9" fillId="11" borderId="14" xfId="85" applyFont="1" applyFill="1" applyBorder="1" applyAlignment="1">
      <alignment horizontal="left"/>
    </xf>
    <xf numFmtId="0" fontId="16" fillId="12" borderId="7" xfId="85" applyFont="1" applyFill="1" applyBorder="1" applyAlignment="1">
      <alignment horizontal="left" vertical="center"/>
    </xf>
    <xf numFmtId="0" fontId="16" fillId="12" borderId="8" xfId="85" applyFont="1" applyFill="1" applyBorder="1" applyAlignment="1">
      <alignment horizontal="left" vertical="center"/>
    </xf>
    <xf numFmtId="0" fontId="16" fillId="12" borderId="0" xfId="85" applyFont="1" applyFill="1" applyBorder="1" applyAlignment="1">
      <alignment horizontal="left" vertical="center"/>
    </xf>
    <xf numFmtId="0" fontId="16" fillId="12" borderId="10" xfId="85" applyFont="1" applyFill="1" applyBorder="1" applyAlignment="1">
      <alignment horizontal="left" vertical="center"/>
    </xf>
    <xf numFmtId="0" fontId="15" fillId="12" borderId="0" xfId="85" applyFont="1" applyFill="1" applyBorder="1" applyAlignment="1">
      <alignment horizontal="left" vertical="center"/>
    </xf>
    <xf numFmtId="0" fontId="15" fillId="12" borderId="10" xfId="85" applyFont="1" applyFill="1" applyBorder="1" applyAlignment="1">
      <alignment horizontal="left" vertical="center"/>
    </xf>
    <xf numFmtId="0" fontId="11" fillId="0" borderId="6" xfId="85" applyFont="1" applyBorder="1" applyAlignment="1">
      <alignment horizontal="center" vertical="center"/>
    </xf>
    <xf numFmtId="0" fontId="11" fillId="0" borderId="7" xfId="85" applyFont="1" applyBorder="1" applyAlignment="1">
      <alignment horizontal="center" vertical="center"/>
    </xf>
    <xf numFmtId="0" fontId="11" fillId="0" borderId="8" xfId="85" applyFont="1" applyBorder="1" applyAlignment="1">
      <alignment horizontal="center" vertical="center"/>
    </xf>
    <xf numFmtId="0" fontId="11" fillId="0" borderId="15" xfId="85" applyFont="1" applyBorder="1" applyAlignment="1">
      <alignment horizontal="center" vertical="center"/>
    </xf>
    <xf numFmtId="0" fontId="11" fillId="0" borderId="14" xfId="85" applyFont="1" applyBorder="1" applyAlignment="1">
      <alignment horizontal="center" vertical="center"/>
    </xf>
    <xf numFmtId="0" fontId="11" fillId="0" borderId="13" xfId="85" applyFont="1" applyBorder="1" applyAlignment="1">
      <alignment horizontal="center" vertical="center"/>
    </xf>
  </cellXfs>
  <cellStyles count="2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6" builtinId="8"/>
    <cellStyle name="Normal" xfId="0" builtinId="0"/>
    <cellStyle name="Normal 2" xfId="85" xr:uid="{00000000-0005-0000-0000-0000CF000000}"/>
    <cellStyle name="Normal 3" xfId="208" xr:uid="{7D32FACF-2DA7-9647-B6C4-8C7AEDF3403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master!$C$2:$C$11</c:f>
              <c:numCache>
                <c:formatCode>m/d/yy</c:formatCode>
                <c:ptCount val="10"/>
                <c:pt idx="0">
                  <c:v>42345</c:v>
                </c:pt>
                <c:pt idx="1">
                  <c:v>42492</c:v>
                </c:pt>
                <c:pt idx="2">
                  <c:v>42508</c:v>
                </c:pt>
                <c:pt idx="3">
                  <c:v>42562</c:v>
                </c:pt>
                <c:pt idx="4">
                  <c:v>42633</c:v>
                </c:pt>
                <c:pt idx="5">
                  <c:v>42713</c:v>
                </c:pt>
                <c:pt idx="6">
                  <c:v>42781</c:v>
                </c:pt>
                <c:pt idx="7">
                  <c:v>42864</c:v>
                </c:pt>
                <c:pt idx="8">
                  <c:v>42978</c:v>
                </c:pt>
                <c:pt idx="9">
                  <c:v>43069</c:v>
                </c:pt>
              </c:numCache>
            </c:numRef>
          </c:xVal>
          <c:yVal>
            <c:numRef>
              <c:f>master!$G$2:$G$11</c:f>
              <c:numCache>
                <c:formatCode>General</c:formatCode>
                <c:ptCount val="10"/>
                <c:pt idx="0">
                  <c:v>9.9</c:v>
                </c:pt>
                <c:pt idx="1">
                  <c:v>10.9</c:v>
                </c:pt>
                <c:pt idx="2">
                  <c:v>9.9</c:v>
                </c:pt>
                <c:pt idx="3">
                  <c:v>10.199999999999999</c:v>
                </c:pt>
                <c:pt idx="4">
                  <c:v>10.1</c:v>
                </c:pt>
                <c:pt idx="5">
                  <c:v>10</c:v>
                </c:pt>
                <c:pt idx="6">
                  <c:v>10</c:v>
                </c:pt>
                <c:pt idx="7">
                  <c:v>10.5</c:v>
                </c:pt>
                <c:pt idx="8">
                  <c:v>10.1</c:v>
                </c:pt>
                <c:pt idx="9">
                  <c:v>10.3</c:v>
                </c:pt>
              </c:numCache>
            </c:numRef>
          </c:yVal>
          <c:smooth val="0"/>
          <c:extLst>
            <c:ext xmlns:c16="http://schemas.microsoft.com/office/drawing/2014/chart" uri="{C3380CC4-5D6E-409C-BE32-E72D297353CC}">
              <c16:uniqueId val="{00000000-E581-BC45-ABCB-0DB5B10613D4}"/>
            </c:ext>
          </c:extLst>
        </c:ser>
        <c:ser>
          <c:idx val="1"/>
          <c:order val="1"/>
          <c:spPr>
            <a:ln w="47625">
              <a:noFill/>
            </a:ln>
            <a:effectLst/>
          </c:spPr>
          <c:marker>
            <c:symbol val="circle"/>
            <c:size val="8"/>
            <c:spPr>
              <a:solidFill>
                <a:srgbClr val="3366FF"/>
              </a:solidFill>
              <a:ln>
                <a:noFill/>
              </a:ln>
              <a:effectLst/>
            </c:spPr>
          </c:marker>
          <c:xVal>
            <c:numRef>
              <c:f>master!$C$14:$C$23</c:f>
              <c:numCache>
                <c:formatCode>m/d/yy</c:formatCode>
                <c:ptCount val="10"/>
                <c:pt idx="0">
                  <c:v>42345</c:v>
                </c:pt>
                <c:pt idx="1">
                  <c:v>42492</c:v>
                </c:pt>
                <c:pt idx="2">
                  <c:v>42508</c:v>
                </c:pt>
                <c:pt idx="3">
                  <c:v>42562</c:v>
                </c:pt>
                <c:pt idx="4">
                  <c:v>42633</c:v>
                </c:pt>
                <c:pt idx="5">
                  <c:v>42713</c:v>
                </c:pt>
                <c:pt idx="6">
                  <c:v>42781</c:v>
                </c:pt>
                <c:pt idx="7">
                  <c:v>42864</c:v>
                </c:pt>
                <c:pt idx="8">
                  <c:v>42979</c:v>
                </c:pt>
                <c:pt idx="9">
                  <c:v>43069</c:v>
                </c:pt>
              </c:numCache>
            </c:numRef>
          </c:xVal>
          <c:yVal>
            <c:numRef>
              <c:f>master!$G$14:$G$23</c:f>
              <c:numCache>
                <c:formatCode>General</c:formatCode>
                <c:ptCount val="10"/>
                <c:pt idx="0">
                  <c:v>12.7</c:v>
                </c:pt>
                <c:pt idx="2">
                  <c:v>12.6</c:v>
                </c:pt>
                <c:pt idx="3">
                  <c:v>12.5</c:v>
                </c:pt>
                <c:pt idx="4">
                  <c:v>12.4</c:v>
                </c:pt>
                <c:pt idx="5">
                  <c:v>12.5</c:v>
                </c:pt>
                <c:pt idx="6">
                  <c:v>12.5</c:v>
                </c:pt>
                <c:pt idx="7">
                  <c:v>12.5</c:v>
                </c:pt>
                <c:pt idx="8">
                  <c:v>12.5</c:v>
                </c:pt>
                <c:pt idx="9">
                  <c:v>12.4</c:v>
                </c:pt>
              </c:numCache>
            </c:numRef>
          </c:yVal>
          <c:smooth val="0"/>
          <c:extLst>
            <c:ext xmlns:c16="http://schemas.microsoft.com/office/drawing/2014/chart" uri="{C3380CC4-5D6E-409C-BE32-E72D297353CC}">
              <c16:uniqueId val="{00000001-E581-BC45-ABCB-0DB5B10613D4}"/>
            </c:ext>
          </c:extLst>
        </c:ser>
        <c:ser>
          <c:idx val="2"/>
          <c:order val="2"/>
          <c:spPr>
            <a:ln w="47625">
              <a:noFill/>
            </a:ln>
            <a:effectLst/>
          </c:spPr>
          <c:marker>
            <c:symbol val="circle"/>
            <c:size val="8"/>
            <c:spPr>
              <a:solidFill>
                <a:srgbClr val="008000"/>
              </a:solidFill>
              <a:ln>
                <a:noFill/>
              </a:ln>
              <a:effectLst/>
            </c:spPr>
          </c:marker>
          <c:xVal>
            <c:numRef>
              <c:f>master!$C$26:$C$36</c:f>
              <c:numCache>
                <c:formatCode>m/d/yy</c:formatCode>
                <c:ptCount val="11"/>
                <c:pt idx="0">
                  <c:v>42347</c:v>
                </c:pt>
                <c:pt idx="1">
                  <c:v>42495</c:v>
                </c:pt>
                <c:pt idx="2">
                  <c:v>42495</c:v>
                </c:pt>
                <c:pt idx="3">
                  <c:v>42506</c:v>
                </c:pt>
                <c:pt idx="4">
                  <c:v>42563</c:v>
                </c:pt>
                <c:pt idx="5">
                  <c:v>42634</c:v>
                </c:pt>
                <c:pt idx="6">
                  <c:v>42712</c:v>
                </c:pt>
                <c:pt idx="7">
                  <c:v>42782</c:v>
                </c:pt>
                <c:pt idx="8">
                  <c:v>42866</c:v>
                </c:pt>
                <c:pt idx="9">
                  <c:v>42977</c:v>
                </c:pt>
                <c:pt idx="10">
                  <c:v>43066</c:v>
                </c:pt>
              </c:numCache>
            </c:numRef>
          </c:xVal>
          <c:yVal>
            <c:numRef>
              <c:f>master!$G$26:$G$36</c:f>
              <c:numCache>
                <c:formatCode>General</c:formatCode>
                <c:ptCount val="11"/>
                <c:pt idx="0">
                  <c:v>16.3</c:v>
                </c:pt>
                <c:pt idx="1">
                  <c:v>16.3</c:v>
                </c:pt>
                <c:pt idx="2">
                  <c:v>16.7</c:v>
                </c:pt>
                <c:pt idx="3">
                  <c:v>16.100000000000001</c:v>
                </c:pt>
                <c:pt idx="4">
                  <c:v>16.100000000000001</c:v>
                </c:pt>
                <c:pt idx="5">
                  <c:v>16.100000000000001</c:v>
                </c:pt>
                <c:pt idx="6">
                  <c:v>16.2</c:v>
                </c:pt>
                <c:pt idx="7">
                  <c:v>16.3</c:v>
                </c:pt>
                <c:pt idx="8">
                  <c:v>16.2</c:v>
                </c:pt>
                <c:pt idx="9">
                  <c:v>16.100000000000001</c:v>
                </c:pt>
                <c:pt idx="10">
                  <c:v>16.2</c:v>
                </c:pt>
              </c:numCache>
            </c:numRef>
          </c:yVal>
          <c:smooth val="0"/>
          <c:extLst>
            <c:ext xmlns:c16="http://schemas.microsoft.com/office/drawing/2014/chart" uri="{C3380CC4-5D6E-409C-BE32-E72D297353CC}">
              <c16:uniqueId val="{00000002-E581-BC45-ABCB-0DB5B10613D4}"/>
            </c:ext>
          </c:extLst>
        </c:ser>
        <c:ser>
          <c:idx val="3"/>
          <c:order val="3"/>
          <c:spPr>
            <a:ln w="47625">
              <a:noFill/>
            </a:ln>
            <a:effectLst/>
          </c:spPr>
          <c:marker>
            <c:symbol val="circle"/>
            <c:size val="8"/>
            <c:spPr>
              <a:solidFill>
                <a:srgbClr val="FFFF00"/>
              </a:solidFill>
              <a:ln>
                <a:noFill/>
              </a:ln>
              <a:effectLst/>
            </c:spPr>
          </c:marker>
          <c:xVal>
            <c:numRef>
              <c:f>master!$C$39:$C$51</c:f>
              <c:numCache>
                <c:formatCode>m/d/yy</c:formatCode>
                <c:ptCount val="13"/>
                <c:pt idx="0">
                  <c:v>42348</c:v>
                </c:pt>
                <c:pt idx="1">
                  <c:v>42494</c:v>
                </c:pt>
                <c:pt idx="2">
                  <c:v>42507</c:v>
                </c:pt>
                <c:pt idx="3">
                  <c:v>42507</c:v>
                </c:pt>
                <c:pt idx="4">
                  <c:v>42562</c:v>
                </c:pt>
                <c:pt idx="5">
                  <c:v>42562</c:v>
                </c:pt>
                <c:pt idx="6">
                  <c:v>42633</c:v>
                </c:pt>
                <c:pt idx="7">
                  <c:v>42710</c:v>
                </c:pt>
                <c:pt idx="8">
                  <c:v>42781</c:v>
                </c:pt>
                <c:pt idx="9">
                  <c:v>42864</c:v>
                </c:pt>
                <c:pt idx="10">
                  <c:v>42979</c:v>
                </c:pt>
                <c:pt idx="11">
                  <c:v>43024</c:v>
                </c:pt>
                <c:pt idx="12">
                  <c:v>43069</c:v>
                </c:pt>
              </c:numCache>
            </c:numRef>
          </c:xVal>
          <c:yVal>
            <c:numRef>
              <c:f>master!$G$39:$G$51</c:f>
              <c:numCache>
                <c:formatCode>General</c:formatCode>
                <c:ptCount val="13"/>
                <c:pt idx="0">
                  <c:v>22.9</c:v>
                </c:pt>
                <c:pt idx="1">
                  <c:v>22.7</c:v>
                </c:pt>
                <c:pt idx="2">
                  <c:v>22.6</c:v>
                </c:pt>
                <c:pt idx="3">
                  <c:v>22.6</c:v>
                </c:pt>
                <c:pt idx="4">
                  <c:v>22.7</c:v>
                </c:pt>
                <c:pt idx="5">
                  <c:v>22.7</c:v>
                </c:pt>
                <c:pt idx="6">
                  <c:v>22.7</c:v>
                </c:pt>
                <c:pt idx="7">
                  <c:v>22.6</c:v>
                </c:pt>
                <c:pt idx="8">
                  <c:v>22.6</c:v>
                </c:pt>
                <c:pt idx="9">
                  <c:v>22.1</c:v>
                </c:pt>
                <c:pt idx="10">
                  <c:v>22.5</c:v>
                </c:pt>
                <c:pt idx="11">
                  <c:v>22.6</c:v>
                </c:pt>
                <c:pt idx="12">
                  <c:v>21.9</c:v>
                </c:pt>
              </c:numCache>
            </c:numRef>
          </c:yVal>
          <c:smooth val="0"/>
          <c:extLst>
            <c:ext xmlns:c16="http://schemas.microsoft.com/office/drawing/2014/chart" uri="{C3380CC4-5D6E-409C-BE32-E72D297353CC}">
              <c16:uniqueId val="{00000003-E581-BC45-ABCB-0DB5B10613D4}"/>
            </c:ext>
          </c:extLst>
        </c:ser>
        <c:ser>
          <c:idx val="4"/>
          <c:order val="4"/>
          <c:spPr>
            <a:ln w="47625">
              <a:noFill/>
            </a:ln>
            <a:effectLst/>
          </c:spPr>
          <c:marker>
            <c:symbol val="circle"/>
            <c:size val="8"/>
            <c:spPr>
              <a:solidFill>
                <a:srgbClr val="FF6600"/>
              </a:solidFill>
              <a:ln>
                <a:noFill/>
              </a:ln>
              <a:effectLst/>
            </c:spPr>
          </c:marker>
          <c:xVal>
            <c:numRef>
              <c:f>master!$C$54:$C$65</c:f>
              <c:numCache>
                <c:formatCode>m/d/yy</c:formatCode>
                <c:ptCount val="12"/>
                <c:pt idx="0">
                  <c:v>42346</c:v>
                </c:pt>
                <c:pt idx="1">
                  <c:v>42493</c:v>
                </c:pt>
                <c:pt idx="2">
                  <c:v>42493</c:v>
                </c:pt>
                <c:pt idx="3">
                  <c:v>42494</c:v>
                </c:pt>
                <c:pt idx="4">
                  <c:v>42509</c:v>
                </c:pt>
                <c:pt idx="5">
                  <c:v>42564</c:v>
                </c:pt>
                <c:pt idx="6">
                  <c:v>42635</c:v>
                </c:pt>
                <c:pt idx="7">
                  <c:v>42711</c:v>
                </c:pt>
                <c:pt idx="8">
                  <c:v>42780</c:v>
                </c:pt>
                <c:pt idx="9">
                  <c:v>42865</c:v>
                </c:pt>
                <c:pt idx="10">
                  <c:v>42976</c:v>
                </c:pt>
                <c:pt idx="11">
                  <c:v>43067</c:v>
                </c:pt>
              </c:numCache>
            </c:numRef>
          </c:xVal>
          <c:yVal>
            <c:numRef>
              <c:f>master!$G$54:$G$65</c:f>
              <c:numCache>
                <c:formatCode>General</c:formatCode>
                <c:ptCount val="12"/>
                <c:pt idx="0">
                  <c:v>32.799999999999997</c:v>
                </c:pt>
                <c:pt idx="1">
                  <c:v>32.6</c:v>
                </c:pt>
                <c:pt idx="2">
                  <c:v>32</c:v>
                </c:pt>
                <c:pt idx="3">
                  <c:v>32.1</c:v>
                </c:pt>
                <c:pt idx="4">
                  <c:v>31.1</c:v>
                </c:pt>
                <c:pt idx="5">
                  <c:v>32.1</c:v>
                </c:pt>
                <c:pt idx="6">
                  <c:v>31.5</c:v>
                </c:pt>
                <c:pt idx="7">
                  <c:v>31.4</c:v>
                </c:pt>
                <c:pt idx="8">
                  <c:v>32</c:v>
                </c:pt>
                <c:pt idx="9">
                  <c:v>31.1</c:v>
                </c:pt>
                <c:pt idx="10">
                  <c:v>31.7</c:v>
                </c:pt>
                <c:pt idx="11">
                  <c:v>30.7</c:v>
                </c:pt>
              </c:numCache>
            </c:numRef>
          </c:yVal>
          <c:smooth val="0"/>
          <c:extLst>
            <c:ext xmlns:c16="http://schemas.microsoft.com/office/drawing/2014/chart" uri="{C3380CC4-5D6E-409C-BE32-E72D297353CC}">
              <c16:uniqueId val="{00000004-E581-BC45-ABCB-0DB5B10613D4}"/>
            </c:ext>
          </c:extLst>
        </c:ser>
        <c:ser>
          <c:idx val="5"/>
          <c:order val="5"/>
          <c:spPr>
            <a:ln w="47625">
              <a:noFill/>
            </a:ln>
            <a:effectLst/>
          </c:spPr>
          <c:marker>
            <c:symbol val="circle"/>
            <c:size val="8"/>
            <c:spPr>
              <a:solidFill>
                <a:srgbClr val="FF0000"/>
              </a:solidFill>
              <a:ln>
                <a:noFill/>
              </a:ln>
              <a:effectLst/>
            </c:spPr>
          </c:marker>
          <c:xVal>
            <c:numRef>
              <c:f>master!$C$68:$C$77</c:f>
              <c:numCache>
                <c:formatCode>m/d/yy</c:formatCode>
                <c:ptCount val="10"/>
                <c:pt idx="0">
                  <c:v>42346</c:v>
                </c:pt>
                <c:pt idx="1">
                  <c:v>42494</c:v>
                </c:pt>
                <c:pt idx="2">
                  <c:v>42509</c:v>
                </c:pt>
                <c:pt idx="3">
                  <c:v>42564</c:v>
                </c:pt>
                <c:pt idx="4">
                  <c:v>42635</c:v>
                </c:pt>
                <c:pt idx="5">
                  <c:v>42711</c:v>
                </c:pt>
                <c:pt idx="6">
                  <c:v>42780</c:v>
                </c:pt>
                <c:pt idx="7">
                  <c:v>42866</c:v>
                </c:pt>
                <c:pt idx="8">
                  <c:v>42976</c:v>
                </c:pt>
                <c:pt idx="9">
                  <c:v>43067</c:v>
                </c:pt>
              </c:numCache>
            </c:numRef>
          </c:xVal>
          <c:yVal>
            <c:numRef>
              <c:f>master!$G$68:$G$77</c:f>
              <c:numCache>
                <c:formatCode>General</c:formatCode>
                <c:ptCount val="10"/>
                <c:pt idx="0">
                  <c:v>21</c:v>
                </c:pt>
                <c:pt idx="1">
                  <c:v>21.3</c:v>
                </c:pt>
                <c:pt idx="2">
                  <c:v>21.6</c:v>
                </c:pt>
                <c:pt idx="3">
                  <c:v>22.1</c:v>
                </c:pt>
                <c:pt idx="4">
                  <c:v>21.8</c:v>
                </c:pt>
                <c:pt idx="5">
                  <c:v>24.6</c:v>
                </c:pt>
                <c:pt idx="6">
                  <c:v>20.8</c:v>
                </c:pt>
                <c:pt idx="7">
                  <c:v>20.2</c:v>
                </c:pt>
                <c:pt idx="8">
                  <c:v>22.2</c:v>
                </c:pt>
                <c:pt idx="9">
                  <c:v>20.6</c:v>
                </c:pt>
              </c:numCache>
            </c:numRef>
          </c:yVal>
          <c:smooth val="0"/>
          <c:extLst>
            <c:ext xmlns:c16="http://schemas.microsoft.com/office/drawing/2014/chart" uri="{C3380CC4-5D6E-409C-BE32-E72D297353CC}">
              <c16:uniqueId val="{00000005-E581-BC45-ABCB-0DB5B10613D4}"/>
            </c:ext>
          </c:extLst>
        </c:ser>
        <c:dLbls>
          <c:showLegendKey val="0"/>
          <c:showVal val="0"/>
          <c:showCatName val="0"/>
          <c:showSerName val="0"/>
          <c:showPercent val="0"/>
          <c:showBubbleSize val="0"/>
        </c:dLbls>
        <c:axId val="-2087427384"/>
        <c:axId val="-2120128024"/>
      </c:scatterChart>
      <c:valAx>
        <c:axId val="-2087427384"/>
        <c:scaling>
          <c:orientation val="minMax"/>
          <c:max val="43100"/>
          <c:min val="42300"/>
        </c:scaling>
        <c:delete val="0"/>
        <c:axPos val="b"/>
        <c:numFmt formatCode="m/d/yy" sourceLinked="1"/>
        <c:majorTickMark val="out"/>
        <c:minorTickMark val="none"/>
        <c:tickLblPos val="nextTo"/>
        <c:crossAx val="-2120128024"/>
        <c:crosses val="autoZero"/>
        <c:crossBetween val="midCat"/>
      </c:valAx>
      <c:valAx>
        <c:axId val="-2120128024"/>
        <c:scaling>
          <c:orientation val="minMax"/>
        </c:scaling>
        <c:delete val="0"/>
        <c:axPos val="l"/>
        <c:title>
          <c:tx>
            <c:rich>
              <a:bodyPr rot="-5400000" vert="horz"/>
              <a:lstStyle/>
              <a:p>
                <a:pPr>
                  <a:defRPr/>
                </a:pPr>
                <a:r>
                  <a:rPr lang="en-US"/>
                  <a:t>Temperature ('C)</a:t>
                </a:r>
              </a:p>
            </c:rich>
          </c:tx>
          <c:layout>
            <c:manualLayout>
              <c:xMode val="edge"/>
              <c:yMode val="edge"/>
              <c:x val="3.4241719785026901E-2"/>
              <c:y val="0.36270443980646999"/>
            </c:manualLayout>
          </c:layout>
          <c:overlay val="0"/>
        </c:title>
        <c:numFmt formatCode="General" sourceLinked="1"/>
        <c:majorTickMark val="out"/>
        <c:minorTickMark val="none"/>
        <c:tickLblPos val="nextTo"/>
        <c:crossAx val="-2087427384"/>
        <c:crosses val="autoZero"/>
        <c:crossBetween val="midCat"/>
      </c:valAx>
      <c:spPr>
        <a:ln>
          <a:solidFill>
            <a:schemeClr val="bg1">
              <a:lumMod val="85000"/>
            </a:schemeClr>
          </a:solidFill>
        </a:ln>
      </c:spPr>
    </c:plotArea>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carbon!$D$17</c:f>
              <c:strCache>
                <c:ptCount val="1"/>
                <c:pt idx="0">
                  <c:v>DOC mM</c:v>
                </c:pt>
              </c:strCache>
            </c:strRef>
          </c:tx>
          <c:spPr>
            <a:solidFill>
              <a:schemeClr val="accent1">
                <a:lumMod val="75000"/>
              </a:schemeClr>
            </a:solidFill>
          </c:spPr>
          <c:invertIfNegative val="0"/>
          <c:errBars>
            <c:errBarType val="both"/>
            <c:errValType val="cust"/>
            <c:noEndCap val="0"/>
            <c:plus>
              <c:numRef>
                <c:f>carbon!$M$10:$M$15</c:f>
                <c:numCache>
                  <c:formatCode>General</c:formatCode>
                  <c:ptCount val="6"/>
                  <c:pt idx="0">
                    <c:v>2.5960707489075347E-3</c:v>
                  </c:pt>
                  <c:pt idx="1">
                    <c:v>4.1254208539521159E-3</c:v>
                  </c:pt>
                  <c:pt idx="2">
                    <c:v>3.9027629497543578E-3</c:v>
                  </c:pt>
                  <c:pt idx="3">
                    <c:v>4.2199281048231948E-3</c:v>
                  </c:pt>
                  <c:pt idx="4">
                    <c:v>3.7139136718433263E-3</c:v>
                  </c:pt>
                  <c:pt idx="5">
                    <c:v>8.1289138924845721E-3</c:v>
                  </c:pt>
                </c:numCache>
              </c:numRef>
            </c:plus>
            <c:minus>
              <c:numRef>
                <c:f>carbon!$M$10:$M$15</c:f>
                <c:numCache>
                  <c:formatCode>General</c:formatCode>
                  <c:ptCount val="6"/>
                  <c:pt idx="0">
                    <c:v>2.5960707489075347E-3</c:v>
                  </c:pt>
                  <c:pt idx="1">
                    <c:v>4.1254208539521159E-3</c:v>
                  </c:pt>
                  <c:pt idx="2">
                    <c:v>3.9027629497543578E-3</c:v>
                  </c:pt>
                  <c:pt idx="3">
                    <c:v>4.2199281048231948E-3</c:v>
                  </c:pt>
                  <c:pt idx="4">
                    <c:v>3.7139136718433263E-3</c:v>
                  </c:pt>
                  <c:pt idx="5">
                    <c:v>8.1289138924845721E-3</c:v>
                  </c:pt>
                </c:numCache>
              </c:numRef>
            </c:minus>
          </c:errBars>
          <c:cat>
            <c:strRef>
              <c:f>carbon!$B$18:$B$23</c:f>
              <c:strCache>
                <c:ptCount val="6"/>
                <c:pt idx="0">
                  <c:v>D1</c:v>
                </c:pt>
                <c:pt idx="1">
                  <c:v>D2</c:v>
                </c:pt>
                <c:pt idx="2">
                  <c:v>D3</c:v>
                </c:pt>
                <c:pt idx="3">
                  <c:v>D4</c:v>
                </c:pt>
                <c:pt idx="4">
                  <c:v>D5</c:v>
                </c:pt>
                <c:pt idx="5">
                  <c:v>D6</c:v>
                </c:pt>
              </c:strCache>
            </c:strRef>
          </c:cat>
          <c:val>
            <c:numRef>
              <c:f>carbon!$D$18:$D$23</c:f>
              <c:numCache>
                <c:formatCode>0.000</c:formatCode>
                <c:ptCount val="6"/>
                <c:pt idx="0">
                  <c:v>3.5520833333333335E-2</c:v>
                </c:pt>
                <c:pt idx="1">
                  <c:v>3.5166666666666659E-2</c:v>
                </c:pt>
                <c:pt idx="2">
                  <c:v>2.0641666666666666E-2</c:v>
                </c:pt>
                <c:pt idx="3">
                  <c:v>1.7491666666666666E-2</c:v>
                </c:pt>
                <c:pt idx="4">
                  <c:v>1.5895833333333335E-2</c:v>
                </c:pt>
                <c:pt idx="5">
                  <c:v>2.0031249999999997E-2</c:v>
                </c:pt>
              </c:numCache>
            </c:numRef>
          </c:val>
          <c:extLst>
            <c:ext xmlns:c16="http://schemas.microsoft.com/office/drawing/2014/chart" uri="{C3380CC4-5D6E-409C-BE32-E72D297353CC}">
              <c16:uniqueId val="{00000000-63D6-044D-A1B1-C9B3456EDD0A}"/>
            </c:ext>
          </c:extLst>
        </c:ser>
        <c:dLbls>
          <c:showLegendKey val="0"/>
          <c:showVal val="0"/>
          <c:showCatName val="0"/>
          <c:showSerName val="0"/>
          <c:showPercent val="0"/>
          <c:showBubbleSize val="0"/>
        </c:dLbls>
        <c:gapWidth val="150"/>
        <c:overlap val="100"/>
        <c:axId val="-2118120136"/>
        <c:axId val="-2118117160"/>
      </c:barChart>
      <c:catAx>
        <c:axId val="-2118120136"/>
        <c:scaling>
          <c:orientation val="maxMin"/>
        </c:scaling>
        <c:delete val="0"/>
        <c:axPos val="l"/>
        <c:numFmt formatCode="General" sourceLinked="0"/>
        <c:majorTickMark val="out"/>
        <c:minorTickMark val="none"/>
        <c:tickLblPos val="nextTo"/>
        <c:crossAx val="-2118117160"/>
        <c:crosses val="autoZero"/>
        <c:auto val="1"/>
        <c:lblAlgn val="ctr"/>
        <c:lblOffset val="100"/>
        <c:noMultiLvlLbl val="0"/>
      </c:catAx>
      <c:valAx>
        <c:axId val="-2118117160"/>
        <c:scaling>
          <c:orientation val="minMax"/>
        </c:scaling>
        <c:delete val="0"/>
        <c:axPos val="t"/>
        <c:majorGridlines/>
        <c:numFmt formatCode="0.000" sourceLinked="1"/>
        <c:majorTickMark val="out"/>
        <c:minorTickMark val="none"/>
        <c:tickLblPos val="nextTo"/>
        <c:crossAx val="-2118120136"/>
        <c:crosses val="autoZero"/>
        <c:crossBetween val="between"/>
      </c:valAx>
      <c:spPr>
        <a:ln>
          <a:solidFill>
            <a:srgbClr val="000000"/>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carbon!$C$17</c:f>
              <c:strCache>
                <c:ptCount val="1"/>
                <c:pt idx="0">
                  <c:v>mM DIC</c:v>
                </c:pt>
              </c:strCache>
            </c:strRef>
          </c:tx>
          <c:spPr>
            <a:solidFill>
              <a:schemeClr val="bg2">
                <a:lumMod val="50000"/>
              </a:schemeClr>
            </a:solidFill>
          </c:spPr>
          <c:invertIfNegative val="0"/>
          <c:errBars>
            <c:errBarType val="both"/>
            <c:errValType val="cust"/>
            <c:noEndCap val="0"/>
            <c:plus>
              <c:numRef>
                <c:f>carbon!$N$10:$N$15</c:f>
                <c:numCache>
                  <c:formatCode>General</c:formatCode>
                  <c:ptCount val="6"/>
                  <c:pt idx="0">
                    <c:v>0.1260928250456797</c:v>
                  </c:pt>
                  <c:pt idx="1">
                    <c:v>0.31487403565316374</c:v>
                  </c:pt>
                  <c:pt idx="2">
                    <c:v>2.0877544920802702</c:v>
                  </c:pt>
                  <c:pt idx="3">
                    <c:v>1.2651280196113797</c:v>
                  </c:pt>
                  <c:pt idx="4">
                    <c:v>1.226620163788162</c:v>
                  </c:pt>
                  <c:pt idx="5">
                    <c:v>0.9209840011047713</c:v>
                  </c:pt>
                </c:numCache>
              </c:numRef>
            </c:plus>
            <c:minus>
              <c:numRef>
                <c:f>carbon!$N$10:$N$15</c:f>
                <c:numCache>
                  <c:formatCode>General</c:formatCode>
                  <c:ptCount val="6"/>
                  <c:pt idx="0">
                    <c:v>0.1260928250456797</c:v>
                  </c:pt>
                  <c:pt idx="1">
                    <c:v>0.31487403565316374</c:v>
                  </c:pt>
                  <c:pt idx="2">
                    <c:v>2.0877544920802702</c:v>
                  </c:pt>
                  <c:pt idx="3">
                    <c:v>1.2651280196113797</c:v>
                  </c:pt>
                  <c:pt idx="4">
                    <c:v>1.226620163788162</c:v>
                  </c:pt>
                  <c:pt idx="5">
                    <c:v>0.9209840011047713</c:v>
                  </c:pt>
                </c:numCache>
              </c:numRef>
            </c:minus>
          </c:errBars>
          <c:cat>
            <c:strRef>
              <c:f>carbon!$B$18:$B$23</c:f>
              <c:strCache>
                <c:ptCount val="6"/>
                <c:pt idx="0">
                  <c:v>D1</c:v>
                </c:pt>
                <c:pt idx="1">
                  <c:v>D2</c:v>
                </c:pt>
                <c:pt idx="2">
                  <c:v>D3</c:v>
                </c:pt>
                <c:pt idx="3">
                  <c:v>D4</c:v>
                </c:pt>
                <c:pt idx="4">
                  <c:v>D5</c:v>
                </c:pt>
                <c:pt idx="5">
                  <c:v>D6</c:v>
                </c:pt>
              </c:strCache>
            </c:strRef>
          </c:cat>
          <c:val>
            <c:numRef>
              <c:f>carbon!$C$18:$C$23</c:f>
              <c:numCache>
                <c:formatCode>0.00</c:formatCode>
                <c:ptCount val="6"/>
                <c:pt idx="0">
                  <c:v>4.2091814393904654</c:v>
                </c:pt>
                <c:pt idx="1">
                  <c:v>4.7278856898033492</c:v>
                </c:pt>
                <c:pt idx="2">
                  <c:v>9.9557733044060317</c:v>
                </c:pt>
                <c:pt idx="3">
                  <c:v>13.504190439788648</c:v>
                </c:pt>
                <c:pt idx="4">
                  <c:v>13.386853983474948</c:v>
                </c:pt>
                <c:pt idx="5">
                  <c:v>2.3585436094900301</c:v>
                </c:pt>
              </c:numCache>
            </c:numRef>
          </c:val>
          <c:extLst>
            <c:ext xmlns:c16="http://schemas.microsoft.com/office/drawing/2014/chart" uri="{C3380CC4-5D6E-409C-BE32-E72D297353CC}">
              <c16:uniqueId val="{00000000-2318-2E48-81B8-B6A409828254}"/>
            </c:ext>
          </c:extLst>
        </c:ser>
        <c:dLbls>
          <c:showLegendKey val="0"/>
          <c:showVal val="0"/>
          <c:showCatName val="0"/>
          <c:showSerName val="0"/>
          <c:showPercent val="0"/>
          <c:showBubbleSize val="0"/>
        </c:dLbls>
        <c:gapWidth val="150"/>
        <c:overlap val="100"/>
        <c:axId val="-2124548056"/>
        <c:axId val="-2118087336"/>
      </c:barChart>
      <c:catAx>
        <c:axId val="-2124548056"/>
        <c:scaling>
          <c:orientation val="maxMin"/>
        </c:scaling>
        <c:delete val="0"/>
        <c:axPos val="l"/>
        <c:numFmt formatCode="General" sourceLinked="0"/>
        <c:majorTickMark val="out"/>
        <c:minorTickMark val="none"/>
        <c:tickLblPos val="nextTo"/>
        <c:crossAx val="-2118087336"/>
        <c:crosses val="autoZero"/>
        <c:auto val="1"/>
        <c:lblAlgn val="ctr"/>
        <c:lblOffset val="100"/>
        <c:noMultiLvlLbl val="0"/>
      </c:catAx>
      <c:valAx>
        <c:axId val="-2118087336"/>
        <c:scaling>
          <c:orientation val="minMax"/>
        </c:scaling>
        <c:delete val="0"/>
        <c:axPos val="t"/>
        <c:majorGridlines/>
        <c:numFmt formatCode="0.00" sourceLinked="1"/>
        <c:majorTickMark val="out"/>
        <c:minorTickMark val="none"/>
        <c:tickLblPos val="nextTo"/>
        <c:crossAx val="-2124548056"/>
        <c:crosses val="autoZero"/>
        <c:crossBetween val="between"/>
      </c:valAx>
      <c:spPr>
        <a:ln>
          <a:solidFill>
            <a:srgbClr val="000000"/>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carbon!$E$17</c:f>
              <c:strCache>
                <c:ptCount val="1"/>
                <c:pt idx="0">
                  <c:v>CO2 (mM)</c:v>
                </c:pt>
              </c:strCache>
            </c:strRef>
          </c:tx>
          <c:spPr>
            <a:solidFill>
              <a:schemeClr val="accent3">
                <a:lumMod val="75000"/>
              </a:schemeClr>
            </a:solidFill>
          </c:spPr>
          <c:invertIfNegative val="0"/>
          <c:errBars>
            <c:errBarType val="both"/>
            <c:errValType val="cust"/>
            <c:noEndCap val="0"/>
            <c:plus>
              <c:numRef>
                <c:f>carbon!$R$10:$R$15</c:f>
                <c:numCache>
                  <c:formatCode>General</c:formatCode>
                  <c:ptCount val="6"/>
                  <c:pt idx="0">
                    <c:v>5.3332178755957742E-2</c:v>
                  </c:pt>
                  <c:pt idx="1">
                    <c:v>2.9215906703365924E-2</c:v>
                  </c:pt>
                  <c:pt idx="2">
                    <c:v>0.36922915801826739</c:v>
                  </c:pt>
                  <c:pt idx="3">
                    <c:v>4.8057817847944606E-2</c:v>
                  </c:pt>
                  <c:pt idx="4">
                    <c:v>1.4845212773775795E-2</c:v>
                  </c:pt>
                  <c:pt idx="5">
                    <c:v>1.5721617325075193E-2</c:v>
                  </c:pt>
                </c:numCache>
              </c:numRef>
            </c:plus>
            <c:minus>
              <c:numRef>
                <c:f>carbon!$R$10:$R$15</c:f>
                <c:numCache>
                  <c:formatCode>General</c:formatCode>
                  <c:ptCount val="6"/>
                  <c:pt idx="0">
                    <c:v>5.3332178755957742E-2</c:v>
                  </c:pt>
                  <c:pt idx="1">
                    <c:v>2.9215906703365924E-2</c:v>
                  </c:pt>
                  <c:pt idx="2">
                    <c:v>0.36922915801826739</c:v>
                  </c:pt>
                  <c:pt idx="3">
                    <c:v>4.8057817847944606E-2</c:v>
                  </c:pt>
                  <c:pt idx="4">
                    <c:v>1.4845212773775795E-2</c:v>
                  </c:pt>
                  <c:pt idx="5">
                    <c:v>1.5721617325075193E-2</c:v>
                  </c:pt>
                </c:numCache>
              </c:numRef>
            </c:minus>
          </c:errBars>
          <c:cat>
            <c:strRef>
              <c:f>carbon!$B$18:$B$23</c:f>
              <c:strCache>
                <c:ptCount val="6"/>
                <c:pt idx="0">
                  <c:v>D1</c:v>
                </c:pt>
                <c:pt idx="1">
                  <c:v>D2</c:v>
                </c:pt>
                <c:pt idx="2">
                  <c:v>D3</c:v>
                </c:pt>
                <c:pt idx="3">
                  <c:v>D4</c:v>
                </c:pt>
                <c:pt idx="4">
                  <c:v>D5</c:v>
                </c:pt>
                <c:pt idx="5">
                  <c:v>D6</c:v>
                </c:pt>
              </c:strCache>
            </c:strRef>
          </c:cat>
          <c:val>
            <c:numRef>
              <c:f>carbon!$E$18:$E$23</c:f>
              <c:numCache>
                <c:formatCode>General</c:formatCode>
                <c:ptCount val="6"/>
                <c:pt idx="0">
                  <c:v>0.2755674407705635</c:v>
                </c:pt>
                <c:pt idx="1">
                  <c:v>0.21855206878839184</c:v>
                </c:pt>
                <c:pt idx="2">
                  <c:v>1.1213771573762068</c:v>
                </c:pt>
                <c:pt idx="3">
                  <c:v>0.16246253734429156</c:v>
                </c:pt>
                <c:pt idx="4">
                  <c:v>5.6168088204875191E-2</c:v>
                </c:pt>
                <c:pt idx="5">
                  <c:v>2.2508049678025558E-2</c:v>
                </c:pt>
              </c:numCache>
            </c:numRef>
          </c:val>
          <c:extLst>
            <c:ext xmlns:c16="http://schemas.microsoft.com/office/drawing/2014/chart" uri="{C3380CC4-5D6E-409C-BE32-E72D297353CC}">
              <c16:uniqueId val="{00000000-E40D-D64E-BFCD-607018CEDC9E}"/>
            </c:ext>
          </c:extLst>
        </c:ser>
        <c:dLbls>
          <c:showLegendKey val="0"/>
          <c:showVal val="0"/>
          <c:showCatName val="0"/>
          <c:showSerName val="0"/>
          <c:showPercent val="0"/>
          <c:showBubbleSize val="0"/>
        </c:dLbls>
        <c:gapWidth val="150"/>
        <c:overlap val="100"/>
        <c:axId val="-2084251576"/>
        <c:axId val="-2084248600"/>
      </c:barChart>
      <c:catAx>
        <c:axId val="-2084251576"/>
        <c:scaling>
          <c:orientation val="maxMin"/>
        </c:scaling>
        <c:delete val="0"/>
        <c:axPos val="l"/>
        <c:numFmt formatCode="General" sourceLinked="0"/>
        <c:majorTickMark val="out"/>
        <c:minorTickMark val="none"/>
        <c:tickLblPos val="nextTo"/>
        <c:crossAx val="-2084248600"/>
        <c:crosses val="autoZero"/>
        <c:auto val="1"/>
        <c:lblAlgn val="ctr"/>
        <c:lblOffset val="100"/>
        <c:noMultiLvlLbl val="0"/>
      </c:catAx>
      <c:valAx>
        <c:axId val="-2084248600"/>
        <c:scaling>
          <c:orientation val="minMax"/>
        </c:scaling>
        <c:delete val="0"/>
        <c:axPos val="t"/>
        <c:majorGridlines/>
        <c:numFmt formatCode="General" sourceLinked="1"/>
        <c:majorTickMark val="out"/>
        <c:minorTickMark val="none"/>
        <c:tickLblPos val="nextTo"/>
        <c:crossAx val="-2084251576"/>
        <c:crosses val="autoZero"/>
        <c:crossBetween val="between"/>
      </c:valAx>
      <c:spPr>
        <a:ln>
          <a:solidFill>
            <a:srgbClr val="000000"/>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carbon!$F$17</c:f>
              <c:strCache>
                <c:ptCount val="1"/>
                <c:pt idx="0">
                  <c:v>CH4 (mM)</c:v>
                </c:pt>
              </c:strCache>
            </c:strRef>
          </c:tx>
          <c:spPr>
            <a:solidFill>
              <a:srgbClr val="34AC8B"/>
            </a:solidFill>
          </c:spPr>
          <c:invertIfNegative val="0"/>
          <c:errBars>
            <c:errBarType val="both"/>
            <c:errValType val="cust"/>
            <c:noEndCap val="0"/>
            <c:plus>
              <c:numRef>
                <c:f>carbon!$U$10:$U$15</c:f>
                <c:numCache>
                  <c:formatCode>General</c:formatCode>
                  <c:ptCount val="6"/>
                  <c:pt idx="0">
                    <c:v>3.1911869341019321E-4</c:v>
                  </c:pt>
                  <c:pt idx="1">
                    <c:v>1.075747974969891E-4</c:v>
                  </c:pt>
                  <c:pt idx="2">
                    <c:v>3.1815284386658418E-3</c:v>
                  </c:pt>
                  <c:pt idx="3">
                    <c:v>2.9982337535180453E-2</c:v>
                  </c:pt>
                  <c:pt idx="4">
                    <c:v>2.5157167777361447E-2</c:v>
                  </c:pt>
                  <c:pt idx="5">
                    <c:v>0.25825540118254181</c:v>
                  </c:pt>
                </c:numCache>
              </c:numRef>
            </c:plus>
            <c:minus>
              <c:numRef>
                <c:f>carbon!$U$10:$U$15</c:f>
                <c:numCache>
                  <c:formatCode>General</c:formatCode>
                  <c:ptCount val="6"/>
                  <c:pt idx="0">
                    <c:v>3.1911869341019321E-4</c:v>
                  </c:pt>
                  <c:pt idx="1">
                    <c:v>1.075747974969891E-4</c:v>
                  </c:pt>
                  <c:pt idx="2">
                    <c:v>3.1815284386658418E-3</c:v>
                  </c:pt>
                  <c:pt idx="3">
                    <c:v>2.9982337535180453E-2</c:v>
                  </c:pt>
                  <c:pt idx="4">
                    <c:v>2.5157167777361447E-2</c:v>
                  </c:pt>
                  <c:pt idx="5">
                    <c:v>0.25825540118254181</c:v>
                  </c:pt>
                </c:numCache>
              </c:numRef>
            </c:minus>
          </c:errBars>
          <c:cat>
            <c:strRef>
              <c:f>carbon!$B$18:$B$23</c:f>
              <c:strCache>
                <c:ptCount val="6"/>
                <c:pt idx="0">
                  <c:v>D1</c:v>
                </c:pt>
                <c:pt idx="1">
                  <c:v>D2</c:v>
                </c:pt>
                <c:pt idx="2">
                  <c:v>D3</c:v>
                </c:pt>
                <c:pt idx="3">
                  <c:v>D4</c:v>
                </c:pt>
                <c:pt idx="4">
                  <c:v>D5</c:v>
                </c:pt>
                <c:pt idx="5">
                  <c:v>D6</c:v>
                </c:pt>
              </c:strCache>
            </c:strRef>
          </c:cat>
          <c:val>
            <c:numRef>
              <c:f>carbon!$F$18:$F$23</c:f>
              <c:numCache>
                <c:formatCode>General</c:formatCode>
                <c:ptCount val="6"/>
                <c:pt idx="0">
                  <c:v>6.3995726027494778E-4</c:v>
                </c:pt>
                <c:pt idx="1">
                  <c:v>4.172951561385218E-4</c:v>
                </c:pt>
                <c:pt idx="2">
                  <c:v>5.4022360483053132E-3</c:v>
                </c:pt>
                <c:pt idx="3">
                  <c:v>5.9643889079119647E-2</c:v>
                </c:pt>
                <c:pt idx="4">
                  <c:v>2.9440868802272507E-2</c:v>
                </c:pt>
                <c:pt idx="5">
                  <c:v>0.44887654361989898</c:v>
                </c:pt>
              </c:numCache>
            </c:numRef>
          </c:val>
          <c:extLst>
            <c:ext xmlns:c16="http://schemas.microsoft.com/office/drawing/2014/chart" uri="{C3380CC4-5D6E-409C-BE32-E72D297353CC}">
              <c16:uniqueId val="{00000000-ACE9-3948-9AEC-025CCA6DA7D5}"/>
            </c:ext>
          </c:extLst>
        </c:ser>
        <c:dLbls>
          <c:showLegendKey val="0"/>
          <c:showVal val="0"/>
          <c:showCatName val="0"/>
          <c:showSerName val="0"/>
          <c:showPercent val="0"/>
          <c:showBubbleSize val="0"/>
        </c:dLbls>
        <c:gapWidth val="150"/>
        <c:overlap val="100"/>
        <c:axId val="-2087839160"/>
        <c:axId val="-2088515560"/>
      </c:barChart>
      <c:catAx>
        <c:axId val="-2087839160"/>
        <c:scaling>
          <c:orientation val="maxMin"/>
        </c:scaling>
        <c:delete val="0"/>
        <c:axPos val="l"/>
        <c:numFmt formatCode="General" sourceLinked="0"/>
        <c:majorTickMark val="out"/>
        <c:minorTickMark val="none"/>
        <c:tickLblPos val="nextTo"/>
        <c:crossAx val="-2088515560"/>
        <c:crosses val="autoZero"/>
        <c:auto val="1"/>
        <c:lblAlgn val="ctr"/>
        <c:lblOffset val="100"/>
        <c:noMultiLvlLbl val="0"/>
      </c:catAx>
      <c:valAx>
        <c:axId val="-2088515560"/>
        <c:scaling>
          <c:orientation val="minMax"/>
        </c:scaling>
        <c:delete val="0"/>
        <c:axPos val="t"/>
        <c:majorGridlines/>
        <c:numFmt formatCode="General" sourceLinked="1"/>
        <c:majorTickMark val="out"/>
        <c:minorTickMark val="none"/>
        <c:tickLblPos val="nextTo"/>
        <c:crossAx val="-2087839160"/>
        <c:crosses val="autoZero"/>
        <c:crossBetween val="between"/>
      </c:valAx>
      <c:spPr>
        <a:ln>
          <a:solidFill>
            <a:srgbClr val="000000"/>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carbon!$H$17</c:f>
              <c:strCache>
                <c:ptCount val="1"/>
                <c:pt idx="0">
                  <c:v>d13C DIC</c:v>
                </c:pt>
              </c:strCache>
            </c:strRef>
          </c:tx>
          <c:spPr>
            <a:solidFill>
              <a:srgbClr val="8CC9F7"/>
            </a:solidFill>
          </c:spPr>
          <c:invertIfNegative val="0"/>
          <c:errBars>
            <c:errBarType val="both"/>
            <c:errValType val="cust"/>
            <c:noEndCap val="0"/>
            <c:plus>
              <c:numRef>
                <c:f>carbon!$O$10:$O$15</c:f>
                <c:numCache>
                  <c:formatCode>General</c:formatCode>
                  <c:ptCount val="6"/>
                  <c:pt idx="0">
                    <c:v>0.91026596704245744</c:v>
                  </c:pt>
                  <c:pt idx="1">
                    <c:v>0.53830377132011187</c:v>
                  </c:pt>
                  <c:pt idx="2">
                    <c:v>2.230446396770887</c:v>
                  </c:pt>
                  <c:pt idx="3">
                    <c:v>0.25892711667790919</c:v>
                  </c:pt>
                  <c:pt idx="4">
                    <c:v>0.22823876265748547</c:v>
                  </c:pt>
                  <c:pt idx="5">
                    <c:v>0.6297287509919427</c:v>
                  </c:pt>
                </c:numCache>
              </c:numRef>
            </c:plus>
            <c:minus>
              <c:numRef>
                <c:f>carbon!$O$10:$O$15</c:f>
                <c:numCache>
                  <c:formatCode>General</c:formatCode>
                  <c:ptCount val="6"/>
                  <c:pt idx="0">
                    <c:v>0.91026596704245744</c:v>
                  </c:pt>
                  <c:pt idx="1">
                    <c:v>0.53830377132011187</c:v>
                  </c:pt>
                  <c:pt idx="2">
                    <c:v>2.230446396770887</c:v>
                  </c:pt>
                  <c:pt idx="3">
                    <c:v>0.25892711667790919</c:v>
                  </c:pt>
                  <c:pt idx="4">
                    <c:v>0.22823876265748547</c:v>
                  </c:pt>
                  <c:pt idx="5">
                    <c:v>0.6297287509919427</c:v>
                  </c:pt>
                </c:numCache>
              </c:numRef>
            </c:minus>
          </c:errBars>
          <c:cat>
            <c:strRef>
              <c:f>carbon!$B$18:$B$23</c:f>
              <c:strCache>
                <c:ptCount val="6"/>
                <c:pt idx="0">
                  <c:v>D1</c:v>
                </c:pt>
                <c:pt idx="1">
                  <c:v>D2</c:v>
                </c:pt>
                <c:pt idx="2">
                  <c:v>D3</c:v>
                </c:pt>
                <c:pt idx="3">
                  <c:v>D4</c:v>
                </c:pt>
                <c:pt idx="4">
                  <c:v>D5</c:v>
                </c:pt>
                <c:pt idx="5">
                  <c:v>D6</c:v>
                </c:pt>
              </c:strCache>
            </c:strRef>
          </c:cat>
          <c:val>
            <c:numRef>
              <c:f>carbon!$H$18:$H$23</c:f>
              <c:numCache>
                <c:formatCode>0.00</c:formatCode>
                <c:ptCount val="6"/>
                <c:pt idx="0">
                  <c:v>-11.336949096505057</c:v>
                </c:pt>
                <c:pt idx="1">
                  <c:v>-10.336162444776209</c:v>
                </c:pt>
                <c:pt idx="2">
                  <c:v>-6.7697169671644515</c:v>
                </c:pt>
                <c:pt idx="3">
                  <c:v>-10.022765751430329</c:v>
                </c:pt>
                <c:pt idx="4">
                  <c:v>-9.9014534398924408</c:v>
                </c:pt>
                <c:pt idx="5">
                  <c:v>-13.248452478541324</c:v>
                </c:pt>
              </c:numCache>
            </c:numRef>
          </c:val>
          <c:extLst>
            <c:ext xmlns:c16="http://schemas.microsoft.com/office/drawing/2014/chart" uri="{C3380CC4-5D6E-409C-BE32-E72D297353CC}">
              <c16:uniqueId val="{00000000-5A69-014D-999E-3F0E66CC025F}"/>
            </c:ext>
          </c:extLst>
        </c:ser>
        <c:dLbls>
          <c:showLegendKey val="0"/>
          <c:showVal val="0"/>
          <c:showCatName val="0"/>
          <c:showSerName val="0"/>
          <c:showPercent val="0"/>
          <c:showBubbleSize val="0"/>
        </c:dLbls>
        <c:gapWidth val="150"/>
        <c:overlap val="100"/>
        <c:axId val="-2088209048"/>
        <c:axId val="-2124744936"/>
      </c:barChart>
      <c:catAx>
        <c:axId val="-2088209048"/>
        <c:scaling>
          <c:orientation val="maxMin"/>
        </c:scaling>
        <c:delete val="1"/>
        <c:axPos val="l"/>
        <c:numFmt formatCode="General" sourceLinked="0"/>
        <c:majorTickMark val="out"/>
        <c:minorTickMark val="none"/>
        <c:tickLblPos val="nextTo"/>
        <c:crossAx val="-2124744936"/>
        <c:crosses val="autoZero"/>
        <c:auto val="1"/>
        <c:lblAlgn val="ctr"/>
        <c:lblOffset val="100"/>
        <c:noMultiLvlLbl val="0"/>
      </c:catAx>
      <c:valAx>
        <c:axId val="-2124744936"/>
        <c:scaling>
          <c:orientation val="minMax"/>
        </c:scaling>
        <c:delete val="0"/>
        <c:axPos val="t"/>
        <c:majorGridlines/>
        <c:numFmt formatCode="0.00" sourceLinked="1"/>
        <c:majorTickMark val="out"/>
        <c:minorTickMark val="none"/>
        <c:tickLblPos val="nextTo"/>
        <c:crossAx val="-2088209048"/>
        <c:crosses val="autoZero"/>
        <c:crossBetween val="between"/>
      </c:valAx>
      <c:spPr>
        <a:ln>
          <a:solidFill>
            <a:srgbClr val="000000"/>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compelation!$B$5:$I$5</c:f>
              <c:numCache>
                <c:formatCode>m/d/yy</c:formatCode>
                <c:ptCount val="8"/>
                <c:pt idx="0">
                  <c:v>42345</c:v>
                </c:pt>
                <c:pt idx="1">
                  <c:v>42492</c:v>
                </c:pt>
                <c:pt idx="2">
                  <c:v>42508</c:v>
                </c:pt>
                <c:pt idx="3">
                  <c:v>42562</c:v>
                </c:pt>
                <c:pt idx="4">
                  <c:v>42633</c:v>
                </c:pt>
                <c:pt idx="5">
                  <c:v>42713</c:v>
                </c:pt>
                <c:pt idx="6">
                  <c:v>42781</c:v>
                </c:pt>
                <c:pt idx="7">
                  <c:v>42864</c:v>
                </c:pt>
              </c:numCache>
            </c:numRef>
          </c:xVal>
          <c:yVal>
            <c:numRef>
              <c:f>compelation!$B$8:$I$8</c:f>
              <c:numCache>
                <c:formatCode>General</c:formatCode>
                <c:ptCount val="8"/>
                <c:pt idx="0">
                  <c:v>9.9</c:v>
                </c:pt>
                <c:pt idx="1">
                  <c:v>10.9</c:v>
                </c:pt>
                <c:pt idx="2">
                  <c:v>9.9</c:v>
                </c:pt>
                <c:pt idx="3">
                  <c:v>10.199999999999999</c:v>
                </c:pt>
                <c:pt idx="4">
                  <c:v>10.1</c:v>
                </c:pt>
                <c:pt idx="5">
                  <c:v>10</c:v>
                </c:pt>
                <c:pt idx="6">
                  <c:v>10</c:v>
                </c:pt>
                <c:pt idx="7">
                  <c:v>10.5</c:v>
                </c:pt>
              </c:numCache>
            </c:numRef>
          </c:yVal>
          <c:smooth val="1"/>
          <c:extLst>
            <c:ext xmlns:c16="http://schemas.microsoft.com/office/drawing/2014/chart" uri="{C3380CC4-5D6E-409C-BE32-E72D297353CC}">
              <c16:uniqueId val="{00000000-B445-8D4A-A9BE-33D892E193A9}"/>
            </c:ext>
          </c:extLst>
        </c:ser>
        <c:ser>
          <c:idx val="1"/>
          <c:order val="1"/>
          <c:spPr>
            <a:ln>
              <a:solidFill>
                <a:srgbClr val="008000"/>
              </a:solidFill>
            </a:ln>
          </c:spPr>
          <c:marker>
            <c:spPr>
              <a:solidFill>
                <a:srgbClr val="008000"/>
              </a:solidFill>
              <a:ln>
                <a:solidFill>
                  <a:srgbClr val="008000"/>
                </a:solidFill>
              </a:ln>
            </c:spPr>
          </c:marker>
          <c:xVal>
            <c:numRef>
              <c:f>compelation!$M$5:$T$5</c:f>
              <c:numCache>
                <c:formatCode>m/d/yy</c:formatCode>
                <c:ptCount val="8"/>
                <c:pt idx="0">
                  <c:v>42345</c:v>
                </c:pt>
                <c:pt idx="1">
                  <c:v>42492</c:v>
                </c:pt>
                <c:pt idx="2">
                  <c:v>42508</c:v>
                </c:pt>
                <c:pt idx="3">
                  <c:v>42562</c:v>
                </c:pt>
                <c:pt idx="4">
                  <c:v>42633</c:v>
                </c:pt>
                <c:pt idx="5">
                  <c:v>42713</c:v>
                </c:pt>
                <c:pt idx="6">
                  <c:v>42781</c:v>
                </c:pt>
                <c:pt idx="7">
                  <c:v>42864</c:v>
                </c:pt>
              </c:numCache>
            </c:numRef>
          </c:xVal>
          <c:yVal>
            <c:numRef>
              <c:f>compelation!$M$8:$T$8</c:f>
              <c:numCache>
                <c:formatCode>General</c:formatCode>
                <c:ptCount val="8"/>
                <c:pt idx="0">
                  <c:v>12.7</c:v>
                </c:pt>
                <c:pt idx="2">
                  <c:v>12.6</c:v>
                </c:pt>
                <c:pt idx="3">
                  <c:v>12.5</c:v>
                </c:pt>
                <c:pt idx="4">
                  <c:v>12.4</c:v>
                </c:pt>
                <c:pt idx="5">
                  <c:v>12.5</c:v>
                </c:pt>
                <c:pt idx="6">
                  <c:v>12.5</c:v>
                </c:pt>
                <c:pt idx="7">
                  <c:v>12.5</c:v>
                </c:pt>
              </c:numCache>
            </c:numRef>
          </c:yVal>
          <c:smooth val="1"/>
          <c:extLst>
            <c:ext xmlns:c16="http://schemas.microsoft.com/office/drawing/2014/chart" uri="{C3380CC4-5D6E-409C-BE32-E72D297353CC}">
              <c16:uniqueId val="{00000001-B445-8D4A-A9BE-33D892E193A9}"/>
            </c:ext>
          </c:extLst>
        </c:ser>
        <c:ser>
          <c:idx val="2"/>
          <c:order val="2"/>
          <c:spPr>
            <a:ln>
              <a:solidFill>
                <a:srgbClr val="FFFF00"/>
              </a:solidFill>
            </a:ln>
          </c:spPr>
          <c:marker>
            <c:spPr>
              <a:solidFill>
                <a:srgbClr val="FFFF00"/>
              </a:solidFill>
              <a:ln>
                <a:solidFill>
                  <a:srgbClr val="FFFF00"/>
                </a:solidFill>
              </a:ln>
            </c:spPr>
          </c:marker>
          <c:xVal>
            <c:numRef>
              <c:f>compelation!$X$5:$AF$5</c:f>
              <c:numCache>
                <c:formatCode>m/d/yy</c:formatCode>
                <c:ptCount val="9"/>
                <c:pt idx="0">
                  <c:v>42347</c:v>
                </c:pt>
                <c:pt idx="1">
                  <c:v>42495</c:v>
                </c:pt>
                <c:pt idx="2">
                  <c:v>42495</c:v>
                </c:pt>
                <c:pt idx="3">
                  <c:v>42506</c:v>
                </c:pt>
                <c:pt idx="4">
                  <c:v>42563</c:v>
                </c:pt>
                <c:pt idx="5">
                  <c:v>42634</c:v>
                </c:pt>
                <c:pt idx="6">
                  <c:v>42712</c:v>
                </c:pt>
                <c:pt idx="7">
                  <c:v>42782</c:v>
                </c:pt>
                <c:pt idx="8">
                  <c:v>42866</c:v>
                </c:pt>
              </c:numCache>
            </c:numRef>
          </c:xVal>
          <c:yVal>
            <c:numRef>
              <c:f>compelation!$X$8:$AF$8</c:f>
              <c:numCache>
                <c:formatCode>General</c:formatCode>
                <c:ptCount val="9"/>
                <c:pt idx="0">
                  <c:v>16.3</c:v>
                </c:pt>
                <c:pt idx="1">
                  <c:v>16.3</c:v>
                </c:pt>
                <c:pt idx="2">
                  <c:v>16.7</c:v>
                </c:pt>
                <c:pt idx="3">
                  <c:v>16.100000000000001</c:v>
                </c:pt>
                <c:pt idx="4">
                  <c:v>16.100000000000001</c:v>
                </c:pt>
                <c:pt idx="5">
                  <c:v>16.100000000000001</c:v>
                </c:pt>
                <c:pt idx="6">
                  <c:v>16.2</c:v>
                </c:pt>
                <c:pt idx="7">
                  <c:v>16.3</c:v>
                </c:pt>
                <c:pt idx="8">
                  <c:v>16.2</c:v>
                </c:pt>
              </c:numCache>
            </c:numRef>
          </c:yVal>
          <c:smooth val="1"/>
          <c:extLst>
            <c:ext xmlns:c16="http://schemas.microsoft.com/office/drawing/2014/chart" uri="{C3380CC4-5D6E-409C-BE32-E72D297353CC}">
              <c16:uniqueId val="{00000002-B445-8D4A-A9BE-33D892E193A9}"/>
            </c:ext>
          </c:extLst>
        </c:ser>
        <c:ser>
          <c:idx val="3"/>
          <c:order val="3"/>
          <c:spPr>
            <a:ln>
              <a:solidFill>
                <a:srgbClr val="FF6600"/>
              </a:solidFill>
            </a:ln>
          </c:spPr>
          <c:marker>
            <c:spPr>
              <a:solidFill>
                <a:srgbClr val="FF6600"/>
              </a:solidFill>
              <a:ln>
                <a:solidFill>
                  <a:srgbClr val="FF6600"/>
                </a:solidFill>
              </a:ln>
            </c:spPr>
          </c:marker>
          <c:xVal>
            <c:numRef>
              <c:f>compelation!$AJ$5:$AS$5</c:f>
              <c:numCache>
                <c:formatCode>m/d/yy</c:formatCode>
                <c:ptCount val="10"/>
                <c:pt idx="0">
                  <c:v>42348</c:v>
                </c:pt>
                <c:pt idx="1">
                  <c:v>42494</c:v>
                </c:pt>
                <c:pt idx="2">
                  <c:v>42507</c:v>
                </c:pt>
                <c:pt idx="3">
                  <c:v>42507</c:v>
                </c:pt>
                <c:pt idx="4">
                  <c:v>42562</c:v>
                </c:pt>
                <c:pt idx="5">
                  <c:v>42562</c:v>
                </c:pt>
                <c:pt idx="6">
                  <c:v>42633</c:v>
                </c:pt>
                <c:pt idx="7">
                  <c:v>42710</c:v>
                </c:pt>
                <c:pt idx="8">
                  <c:v>42781</c:v>
                </c:pt>
                <c:pt idx="9">
                  <c:v>42864</c:v>
                </c:pt>
              </c:numCache>
            </c:numRef>
          </c:xVal>
          <c:yVal>
            <c:numRef>
              <c:f>compelation!$AJ$8:$AS$8</c:f>
              <c:numCache>
                <c:formatCode>General</c:formatCode>
                <c:ptCount val="10"/>
                <c:pt idx="0">
                  <c:v>22.9</c:v>
                </c:pt>
                <c:pt idx="1">
                  <c:v>22.7</c:v>
                </c:pt>
                <c:pt idx="2">
                  <c:v>22.6</c:v>
                </c:pt>
                <c:pt idx="3">
                  <c:v>22.6</c:v>
                </c:pt>
                <c:pt idx="4">
                  <c:v>22.7</c:v>
                </c:pt>
                <c:pt idx="5">
                  <c:v>22.7</c:v>
                </c:pt>
                <c:pt idx="6">
                  <c:v>22.7</c:v>
                </c:pt>
                <c:pt idx="7">
                  <c:v>22.6</c:v>
                </c:pt>
                <c:pt idx="8">
                  <c:v>22.6</c:v>
                </c:pt>
                <c:pt idx="9">
                  <c:v>22.1</c:v>
                </c:pt>
              </c:numCache>
            </c:numRef>
          </c:yVal>
          <c:smooth val="1"/>
          <c:extLst>
            <c:ext xmlns:c16="http://schemas.microsoft.com/office/drawing/2014/chart" uri="{C3380CC4-5D6E-409C-BE32-E72D297353CC}">
              <c16:uniqueId val="{00000003-B445-8D4A-A9BE-33D892E193A9}"/>
            </c:ext>
          </c:extLst>
        </c:ser>
        <c:ser>
          <c:idx val="4"/>
          <c:order val="4"/>
          <c:spPr>
            <a:ln>
              <a:solidFill>
                <a:srgbClr val="FF0000"/>
              </a:solidFill>
            </a:ln>
          </c:spPr>
          <c:marker>
            <c:spPr>
              <a:solidFill>
                <a:srgbClr val="FF0000"/>
              </a:solidFill>
              <a:ln>
                <a:solidFill>
                  <a:srgbClr val="FF0000"/>
                </a:solidFill>
              </a:ln>
            </c:spPr>
          </c:marker>
          <c:xVal>
            <c:numRef>
              <c:f>compelation!$AW$5:$BF$5</c:f>
              <c:numCache>
                <c:formatCode>m/d/yy</c:formatCode>
                <c:ptCount val="10"/>
                <c:pt idx="0">
                  <c:v>42346</c:v>
                </c:pt>
                <c:pt idx="1">
                  <c:v>42493</c:v>
                </c:pt>
                <c:pt idx="2">
                  <c:v>42493</c:v>
                </c:pt>
                <c:pt idx="3">
                  <c:v>42494</c:v>
                </c:pt>
                <c:pt idx="4">
                  <c:v>42509</c:v>
                </c:pt>
                <c:pt idx="5">
                  <c:v>42564</c:v>
                </c:pt>
                <c:pt idx="6">
                  <c:v>42635</c:v>
                </c:pt>
                <c:pt idx="7">
                  <c:v>42711</c:v>
                </c:pt>
                <c:pt idx="8">
                  <c:v>42780</c:v>
                </c:pt>
                <c:pt idx="9">
                  <c:v>42865</c:v>
                </c:pt>
              </c:numCache>
            </c:numRef>
          </c:xVal>
          <c:yVal>
            <c:numRef>
              <c:f>compelation!$AW$8:$BF$8</c:f>
              <c:numCache>
                <c:formatCode>General</c:formatCode>
                <c:ptCount val="10"/>
                <c:pt idx="0">
                  <c:v>32.799999999999997</c:v>
                </c:pt>
                <c:pt idx="1">
                  <c:v>32.6</c:v>
                </c:pt>
                <c:pt idx="2">
                  <c:v>32</c:v>
                </c:pt>
                <c:pt idx="3">
                  <c:v>32.1</c:v>
                </c:pt>
                <c:pt idx="4">
                  <c:v>31.1</c:v>
                </c:pt>
                <c:pt idx="5">
                  <c:v>32.1</c:v>
                </c:pt>
                <c:pt idx="6">
                  <c:v>31.5</c:v>
                </c:pt>
                <c:pt idx="7">
                  <c:v>31.4</c:v>
                </c:pt>
                <c:pt idx="8">
                  <c:v>32</c:v>
                </c:pt>
                <c:pt idx="9">
                  <c:v>31.1</c:v>
                </c:pt>
              </c:numCache>
            </c:numRef>
          </c:yVal>
          <c:smooth val="1"/>
          <c:extLst>
            <c:ext xmlns:c16="http://schemas.microsoft.com/office/drawing/2014/chart" uri="{C3380CC4-5D6E-409C-BE32-E72D297353CC}">
              <c16:uniqueId val="{00000004-B445-8D4A-A9BE-33D892E193A9}"/>
            </c:ext>
          </c:extLst>
        </c:ser>
        <c:ser>
          <c:idx val="5"/>
          <c:order val="5"/>
          <c:spPr>
            <a:ln>
              <a:solidFill>
                <a:srgbClr val="800000"/>
              </a:solidFill>
            </a:ln>
          </c:spPr>
          <c:marker>
            <c:spPr>
              <a:solidFill>
                <a:srgbClr val="800000"/>
              </a:solidFill>
              <a:ln>
                <a:solidFill>
                  <a:srgbClr val="800000"/>
                </a:solidFill>
              </a:ln>
            </c:spPr>
          </c:marker>
          <c:xVal>
            <c:numRef>
              <c:f>compelation!$BJ$5:$BQ$5</c:f>
              <c:numCache>
                <c:formatCode>m/d/yy</c:formatCode>
                <c:ptCount val="8"/>
                <c:pt idx="0">
                  <c:v>42346</c:v>
                </c:pt>
                <c:pt idx="1">
                  <c:v>42494</c:v>
                </c:pt>
                <c:pt idx="2">
                  <c:v>42509</c:v>
                </c:pt>
                <c:pt idx="3">
                  <c:v>42564</c:v>
                </c:pt>
                <c:pt idx="4">
                  <c:v>42635</c:v>
                </c:pt>
                <c:pt idx="5">
                  <c:v>42711</c:v>
                </c:pt>
                <c:pt idx="6">
                  <c:v>42780</c:v>
                </c:pt>
                <c:pt idx="7">
                  <c:v>42866</c:v>
                </c:pt>
              </c:numCache>
            </c:numRef>
          </c:xVal>
          <c:yVal>
            <c:numRef>
              <c:f>compelation!$BJ$8:$BQ$8</c:f>
              <c:numCache>
                <c:formatCode>General</c:formatCode>
                <c:ptCount val="8"/>
                <c:pt idx="0">
                  <c:v>21</c:v>
                </c:pt>
                <c:pt idx="1">
                  <c:v>21.3</c:v>
                </c:pt>
                <c:pt idx="2">
                  <c:v>21.6</c:v>
                </c:pt>
                <c:pt idx="3">
                  <c:v>22.1</c:v>
                </c:pt>
                <c:pt idx="4">
                  <c:v>21.8</c:v>
                </c:pt>
                <c:pt idx="5">
                  <c:v>24.6</c:v>
                </c:pt>
                <c:pt idx="6">
                  <c:v>20.8</c:v>
                </c:pt>
                <c:pt idx="7">
                  <c:v>20.2</c:v>
                </c:pt>
              </c:numCache>
            </c:numRef>
          </c:yVal>
          <c:smooth val="1"/>
          <c:extLst>
            <c:ext xmlns:c16="http://schemas.microsoft.com/office/drawing/2014/chart" uri="{C3380CC4-5D6E-409C-BE32-E72D297353CC}">
              <c16:uniqueId val="{00000005-B445-8D4A-A9BE-33D892E193A9}"/>
            </c:ext>
          </c:extLst>
        </c:ser>
        <c:dLbls>
          <c:showLegendKey val="0"/>
          <c:showVal val="0"/>
          <c:showCatName val="0"/>
          <c:showSerName val="0"/>
          <c:showPercent val="0"/>
          <c:showBubbleSize val="0"/>
        </c:dLbls>
        <c:axId val="-2086862728"/>
        <c:axId val="-2086857480"/>
      </c:scatterChart>
      <c:valAx>
        <c:axId val="-2086862728"/>
        <c:scaling>
          <c:orientation val="minMax"/>
        </c:scaling>
        <c:delete val="0"/>
        <c:axPos val="t"/>
        <c:numFmt formatCode="m/d/yy" sourceLinked="1"/>
        <c:majorTickMark val="out"/>
        <c:minorTickMark val="none"/>
        <c:tickLblPos val="nextTo"/>
        <c:crossAx val="-2086857480"/>
        <c:crosses val="autoZero"/>
        <c:crossBetween val="midCat"/>
        <c:majorUnit val="100"/>
      </c:valAx>
      <c:valAx>
        <c:axId val="-2086857480"/>
        <c:scaling>
          <c:orientation val="maxMin"/>
        </c:scaling>
        <c:delete val="0"/>
        <c:axPos val="l"/>
        <c:majorGridlines/>
        <c:title>
          <c:tx>
            <c:rich>
              <a:bodyPr rot="-5400000" vert="horz"/>
              <a:lstStyle/>
              <a:p>
                <a:pPr>
                  <a:defRPr/>
                </a:pPr>
                <a:r>
                  <a:rPr lang="en-US"/>
                  <a:t>Temperature</a:t>
                </a:r>
              </a:p>
            </c:rich>
          </c:tx>
          <c:overlay val="0"/>
        </c:title>
        <c:numFmt formatCode="General" sourceLinked="1"/>
        <c:majorTickMark val="out"/>
        <c:minorTickMark val="none"/>
        <c:tickLblPos val="nextTo"/>
        <c:crossAx val="-2086862728"/>
        <c:crosses val="autoZero"/>
        <c:crossBetween val="midCat"/>
      </c:valAx>
    </c:plotArea>
    <c:legend>
      <c:legendPos val="b"/>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compelation!$B$5:$I$5</c:f>
              <c:numCache>
                <c:formatCode>m/d/yy</c:formatCode>
                <c:ptCount val="8"/>
                <c:pt idx="0">
                  <c:v>42345</c:v>
                </c:pt>
                <c:pt idx="1">
                  <c:v>42492</c:v>
                </c:pt>
                <c:pt idx="2">
                  <c:v>42508</c:v>
                </c:pt>
                <c:pt idx="3">
                  <c:v>42562</c:v>
                </c:pt>
                <c:pt idx="4">
                  <c:v>42633</c:v>
                </c:pt>
                <c:pt idx="5">
                  <c:v>42713</c:v>
                </c:pt>
                <c:pt idx="6">
                  <c:v>42781</c:v>
                </c:pt>
                <c:pt idx="7">
                  <c:v>42864</c:v>
                </c:pt>
              </c:numCache>
            </c:numRef>
          </c:xVal>
          <c:yVal>
            <c:numRef>
              <c:f>compelation!$B$11:$I$11</c:f>
              <c:numCache>
                <c:formatCode>General</c:formatCode>
                <c:ptCount val="8"/>
                <c:pt idx="0">
                  <c:v>943</c:v>
                </c:pt>
                <c:pt idx="1">
                  <c:v>956.5</c:v>
                </c:pt>
                <c:pt idx="2">
                  <c:v>952.3</c:v>
                </c:pt>
                <c:pt idx="3">
                  <c:v>950.2</c:v>
                </c:pt>
                <c:pt idx="4">
                  <c:v>937</c:v>
                </c:pt>
                <c:pt idx="5">
                  <c:v>956.1</c:v>
                </c:pt>
                <c:pt idx="6">
                  <c:v>949.1</c:v>
                </c:pt>
                <c:pt idx="7">
                  <c:v>1052</c:v>
                </c:pt>
              </c:numCache>
            </c:numRef>
          </c:yVal>
          <c:smooth val="1"/>
          <c:extLst>
            <c:ext xmlns:c16="http://schemas.microsoft.com/office/drawing/2014/chart" uri="{C3380CC4-5D6E-409C-BE32-E72D297353CC}">
              <c16:uniqueId val="{00000000-1D50-E44E-83CA-BECE682B27E5}"/>
            </c:ext>
          </c:extLst>
        </c:ser>
        <c:ser>
          <c:idx val="1"/>
          <c:order val="1"/>
          <c:spPr>
            <a:ln>
              <a:solidFill>
                <a:srgbClr val="008000"/>
              </a:solidFill>
            </a:ln>
          </c:spPr>
          <c:marker>
            <c:spPr>
              <a:solidFill>
                <a:srgbClr val="008000"/>
              </a:solidFill>
              <a:ln>
                <a:solidFill>
                  <a:srgbClr val="008000"/>
                </a:solidFill>
              </a:ln>
            </c:spPr>
          </c:marker>
          <c:xVal>
            <c:numRef>
              <c:f>compelation!$M$5:$T$5</c:f>
              <c:numCache>
                <c:formatCode>m/d/yy</c:formatCode>
                <c:ptCount val="8"/>
                <c:pt idx="0">
                  <c:v>42345</c:v>
                </c:pt>
                <c:pt idx="1">
                  <c:v>42492</c:v>
                </c:pt>
                <c:pt idx="2">
                  <c:v>42508</c:v>
                </c:pt>
                <c:pt idx="3">
                  <c:v>42562</c:v>
                </c:pt>
                <c:pt idx="4">
                  <c:v>42633</c:v>
                </c:pt>
                <c:pt idx="5">
                  <c:v>42713</c:v>
                </c:pt>
                <c:pt idx="6">
                  <c:v>42781</c:v>
                </c:pt>
                <c:pt idx="7">
                  <c:v>42864</c:v>
                </c:pt>
              </c:numCache>
            </c:numRef>
          </c:xVal>
          <c:yVal>
            <c:numRef>
              <c:f>compelation!$M$11:$T$11</c:f>
              <c:numCache>
                <c:formatCode>General</c:formatCode>
                <c:ptCount val="8"/>
                <c:pt idx="0">
                  <c:v>623.6</c:v>
                </c:pt>
                <c:pt idx="2">
                  <c:v>605.1</c:v>
                </c:pt>
                <c:pt idx="3">
                  <c:v>618.5</c:v>
                </c:pt>
                <c:pt idx="4">
                  <c:v>616.9</c:v>
                </c:pt>
                <c:pt idx="5">
                  <c:v>626.5</c:v>
                </c:pt>
                <c:pt idx="6">
                  <c:v>630.29999999999995</c:v>
                </c:pt>
                <c:pt idx="7">
                  <c:v>608.20000000000005</c:v>
                </c:pt>
              </c:numCache>
            </c:numRef>
          </c:yVal>
          <c:smooth val="1"/>
          <c:extLst>
            <c:ext xmlns:c16="http://schemas.microsoft.com/office/drawing/2014/chart" uri="{C3380CC4-5D6E-409C-BE32-E72D297353CC}">
              <c16:uniqueId val="{00000001-1D50-E44E-83CA-BECE682B27E5}"/>
            </c:ext>
          </c:extLst>
        </c:ser>
        <c:ser>
          <c:idx val="2"/>
          <c:order val="2"/>
          <c:spPr>
            <a:ln>
              <a:solidFill>
                <a:srgbClr val="FFFF00"/>
              </a:solidFill>
            </a:ln>
          </c:spPr>
          <c:marker>
            <c:spPr>
              <a:solidFill>
                <a:srgbClr val="FFFF00"/>
              </a:solidFill>
              <a:ln>
                <a:solidFill>
                  <a:srgbClr val="FFFF00"/>
                </a:solidFill>
              </a:ln>
            </c:spPr>
          </c:marker>
          <c:xVal>
            <c:numRef>
              <c:f>compelation!$X$5:$AF$5</c:f>
              <c:numCache>
                <c:formatCode>m/d/yy</c:formatCode>
                <c:ptCount val="9"/>
                <c:pt idx="0">
                  <c:v>42347</c:v>
                </c:pt>
                <c:pt idx="1">
                  <c:v>42495</c:v>
                </c:pt>
                <c:pt idx="2">
                  <c:v>42495</c:v>
                </c:pt>
                <c:pt idx="3">
                  <c:v>42506</c:v>
                </c:pt>
                <c:pt idx="4">
                  <c:v>42563</c:v>
                </c:pt>
                <c:pt idx="5">
                  <c:v>42634</c:v>
                </c:pt>
                <c:pt idx="6">
                  <c:v>42712</c:v>
                </c:pt>
                <c:pt idx="7">
                  <c:v>42782</c:v>
                </c:pt>
                <c:pt idx="8">
                  <c:v>42866</c:v>
                </c:pt>
              </c:numCache>
            </c:numRef>
          </c:xVal>
          <c:yVal>
            <c:numRef>
              <c:f>compelation!$X$11:$AF$11</c:f>
              <c:numCache>
                <c:formatCode>General</c:formatCode>
                <c:ptCount val="9"/>
                <c:pt idx="0">
                  <c:v>3044</c:v>
                </c:pt>
                <c:pt idx="1">
                  <c:v>3026</c:v>
                </c:pt>
                <c:pt idx="2">
                  <c:v>3040</c:v>
                </c:pt>
                <c:pt idx="3">
                  <c:v>3048</c:v>
                </c:pt>
                <c:pt idx="4">
                  <c:v>3036</c:v>
                </c:pt>
                <c:pt idx="5">
                  <c:v>2998</c:v>
                </c:pt>
                <c:pt idx="6">
                  <c:v>3036</c:v>
                </c:pt>
                <c:pt idx="7">
                  <c:v>3029</c:v>
                </c:pt>
                <c:pt idx="8">
                  <c:v>3039</c:v>
                </c:pt>
              </c:numCache>
            </c:numRef>
          </c:yVal>
          <c:smooth val="1"/>
          <c:extLst>
            <c:ext xmlns:c16="http://schemas.microsoft.com/office/drawing/2014/chart" uri="{C3380CC4-5D6E-409C-BE32-E72D297353CC}">
              <c16:uniqueId val="{00000002-1D50-E44E-83CA-BECE682B27E5}"/>
            </c:ext>
          </c:extLst>
        </c:ser>
        <c:ser>
          <c:idx val="3"/>
          <c:order val="3"/>
          <c:spPr>
            <a:ln>
              <a:solidFill>
                <a:srgbClr val="FF6600"/>
              </a:solidFill>
            </a:ln>
          </c:spPr>
          <c:marker>
            <c:spPr>
              <a:solidFill>
                <a:srgbClr val="FF6600"/>
              </a:solidFill>
              <a:ln>
                <a:solidFill>
                  <a:srgbClr val="FF6600"/>
                </a:solidFill>
              </a:ln>
            </c:spPr>
          </c:marker>
          <c:xVal>
            <c:numRef>
              <c:f>compelation!$AJ$5:$AS$5</c:f>
              <c:numCache>
                <c:formatCode>m/d/yy</c:formatCode>
                <c:ptCount val="10"/>
                <c:pt idx="0">
                  <c:v>42348</c:v>
                </c:pt>
                <c:pt idx="1">
                  <c:v>42494</c:v>
                </c:pt>
                <c:pt idx="2">
                  <c:v>42507</c:v>
                </c:pt>
                <c:pt idx="3">
                  <c:v>42507</c:v>
                </c:pt>
                <c:pt idx="4">
                  <c:v>42562</c:v>
                </c:pt>
                <c:pt idx="5">
                  <c:v>42562</c:v>
                </c:pt>
                <c:pt idx="6">
                  <c:v>42633</c:v>
                </c:pt>
                <c:pt idx="7">
                  <c:v>42710</c:v>
                </c:pt>
                <c:pt idx="8">
                  <c:v>42781</c:v>
                </c:pt>
                <c:pt idx="9">
                  <c:v>42864</c:v>
                </c:pt>
              </c:numCache>
            </c:numRef>
          </c:xVal>
          <c:yVal>
            <c:numRef>
              <c:f>compelation!$AJ$11:$AS$11</c:f>
              <c:numCache>
                <c:formatCode>General</c:formatCode>
                <c:ptCount val="10"/>
                <c:pt idx="0">
                  <c:v>1758</c:v>
                </c:pt>
                <c:pt idx="1">
                  <c:v>1763</c:v>
                </c:pt>
                <c:pt idx="2">
                  <c:v>1765</c:v>
                </c:pt>
                <c:pt idx="3">
                  <c:v>1770</c:v>
                </c:pt>
                <c:pt idx="4">
                  <c:v>1918</c:v>
                </c:pt>
                <c:pt idx="5">
                  <c:v>1768</c:v>
                </c:pt>
                <c:pt idx="6">
                  <c:v>1760</c:v>
                </c:pt>
                <c:pt idx="7">
                  <c:v>1774</c:v>
                </c:pt>
                <c:pt idx="8">
                  <c:v>1767</c:v>
                </c:pt>
                <c:pt idx="9">
                  <c:v>1777</c:v>
                </c:pt>
              </c:numCache>
            </c:numRef>
          </c:yVal>
          <c:smooth val="1"/>
          <c:extLst>
            <c:ext xmlns:c16="http://schemas.microsoft.com/office/drawing/2014/chart" uri="{C3380CC4-5D6E-409C-BE32-E72D297353CC}">
              <c16:uniqueId val="{00000003-1D50-E44E-83CA-BECE682B27E5}"/>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compelation!$AW$11:$BE$11</c:f>
              <c:numCache>
                <c:formatCode>General</c:formatCode>
                <c:ptCount val="9"/>
                <c:pt idx="0">
                  <c:v>1562</c:v>
                </c:pt>
                <c:pt idx="1">
                  <c:v>1560</c:v>
                </c:pt>
                <c:pt idx="2">
                  <c:v>1559</c:v>
                </c:pt>
                <c:pt idx="3">
                  <c:v>1540</c:v>
                </c:pt>
                <c:pt idx="4">
                  <c:v>1534</c:v>
                </c:pt>
                <c:pt idx="5">
                  <c:v>1542</c:v>
                </c:pt>
                <c:pt idx="6">
                  <c:v>1536</c:v>
                </c:pt>
                <c:pt idx="7">
                  <c:v>1540</c:v>
                </c:pt>
                <c:pt idx="8">
                  <c:v>1540</c:v>
                </c:pt>
              </c:numCache>
            </c:numRef>
          </c:yVal>
          <c:smooth val="1"/>
          <c:extLst>
            <c:ext xmlns:c16="http://schemas.microsoft.com/office/drawing/2014/chart" uri="{C3380CC4-5D6E-409C-BE32-E72D297353CC}">
              <c16:uniqueId val="{00000004-1D50-E44E-83CA-BECE682B27E5}"/>
            </c:ext>
          </c:extLst>
        </c:ser>
        <c:ser>
          <c:idx val="5"/>
          <c:order val="5"/>
          <c:spPr>
            <a:ln>
              <a:solidFill>
                <a:srgbClr val="800000"/>
              </a:solidFill>
            </a:ln>
          </c:spPr>
          <c:marker>
            <c:spPr>
              <a:solidFill>
                <a:srgbClr val="800000"/>
              </a:solidFill>
              <a:ln>
                <a:solidFill>
                  <a:srgbClr val="800000"/>
                </a:solidFill>
              </a:ln>
            </c:spPr>
          </c:marker>
          <c:xVal>
            <c:numRef>
              <c:f>compelation!$BJ$5:$BQ$5</c:f>
              <c:numCache>
                <c:formatCode>m/d/yy</c:formatCode>
                <c:ptCount val="8"/>
                <c:pt idx="0">
                  <c:v>42346</c:v>
                </c:pt>
                <c:pt idx="1">
                  <c:v>42494</c:v>
                </c:pt>
                <c:pt idx="2">
                  <c:v>42509</c:v>
                </c:pt>
                <c:pt idx="3">
                  <c:v>42564</c:v>
                </c:pt>
                <c:pt idx="4">
                  <c:v>42635</c:v>
                </c:pt>
                <c:pt idx="5">
                  <c:v>42711</c:v>
                </c:pt>
                <c:pt idx="6">
                  <c:v>42780</c:v>
                </c:pt>
                <c:pt idx="7">
                  <c:v>42866</c:v>
                </c:pt>
              </c:numCache>
            </c:numRef>
          </c:xVal>
          <c:yVal>
            <c:numRef>
              <c:f>compelation!$BJ$11:$BQ$11</c:f>
              <c:numCache>
                <c:formatCode>General</c:formatCode>
                <c:ptCount val="8"/>
                <c:pt idx="0">
                  <c:v>7894</c:v>
                </c:pt>
                <c:pt idx="1">
                  <c:v>7825</c:v>
                </c:pt>
                <c:pt idx="2">
                  <c:v>7883</c:v>
                </c:pt>
                <c:pt idx="3">
                  <c:v>7875</c:v>
                </c:pt>
                <c:pt idx="4">
                  <c:v>7987</c:v>
                </c:pt>
                <c:pt idx="5">
                  <c:v>7978</c:v>
                </c:pt>
                <c:pt idx="6">
                  <c:v>7937</c:v>
                </c:pt>
                <c:pt idx="7">
                  <c:v>7952</c:v>
                </c:pt>
              </c:numCache>
            </c:numRef>
          </c:yVal>
          <c:smooth val="1"/>
          <c:extLst>
            <c:ext xmlns:c16="http://schemas.microsoft.com/office/drawing/2014/chart" uri="{C3380CC4-5D6E-409C-BE32-E72D297353CC}">
              <c16:uniqueId val="{00000005-1D50-E44E-83CA-BECE682B27E5}"/>
            </c:ext>
          </c:extLst>
        </c:ser>
        <c:dLbls>
          <c:showLegendKey val="0"/>
          <c:showVal val="0"/>
          <c:showCatName val="0"/>
          <c:showSerName val="0"/>
          <c:showPercent val="0"/>
          <c:showBubbleSize val="0"/>
        </c:dLbls>
        <c:axId val="-2127837416"/>
        <c:axId val="-2087183032"/>
      </c:scatterChart>
      <c:valAx>
        <c:axId val="-2127837416"/>
        <c:scaling>
          <c:orientation val="minMax"/>
        </c:scaling>
        <c:delete val="0"/>
        <c:axPos val="t"/>
        <c:numFmt formatCode="m/d/yy" sourceLinked="1"/>
        <c:majorTickMark val="out"/>
        <c:minorTickMark val="none"/>
        <c:tickLblPos val="nextTo"/>
        <c:crossAx val="-2087183032"/>
        <c:crosses val="autoZero"/>
        <c:crossBetween val="midCat"/>
        <c:majorUnit val="100"/>
      </c:valAx>
      <c:valAx>
        <c:axId val="-2087183032"/>
        <c:scaling>
          <c:orientation val="maxMin"/>
        </c:scaling>
        <c:delete val="0"/>
        <c:axPos val="l"/>
        <c:majorGridlines/>
        <c:title>
          <c:tx>
            <c:rich>
              <a:bodyPr rot="-5400000" vert="horz"/>
              <a:lstStyle/>
              <a:p>
                <a:pPr>
                  <a:defRPr/>
                </a:pPr>
                <a:r>
                  <a:rPr lang="en-US"/>
                  <a:t>Conductivity</a:t>
                </a:r>
              </a:p>
            </c:rich>
          </c:tx>
          <c:overlay val="0"/>
        </c:title>
        <c:numFmt formatCode="General" sourceLinked="1"/>
        <c:majorTickMark val="out"/>
        <c:minorTickMark val="none"/>
        <c:tickLblPos val="nextTo"/>
        <c:crossAx val="-2127837416"/>
        <c:crosses val="autoZero"/>
        <c:crossBetween val="midCat"/>
      </c:valAx>
    </c:plotArea>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compelation!$B$5:$H$5</c:f>
              <c:numCache>
                <c:formatCode>m/d/yy</c:formatCode>
                <c:ptCount val="7"/>
                <c:pt idx="0">
                  <c:v>42345</c:v>
                </c:pt>
                <c:pt idx="1">
                  <c:v>42492</c:v>
                </c:pt>
                <c:pt idx="2">
                  <c:v>42508</c:v>
                </c:pt>
                <c:pt idx="3">
                  <c:v>42562</c:v>
                </c:pt>
                <c:pt idx="4">
                  <c:v>42633</c:v>
                </c:pt>
                <c:pt idx="5">
                  <c:v>42713</c:v>
                </c:pt>
                <c:pt idx="6">
                  <c:v>42781</c:v>
                </c:pt>
              </c:numCache>
            </c:numRef>
          </c:xVal>
          <c:yVal>
            <c:numRef>
              <c:f>compelation!$B$18:$H$18</c:f>
              <c:numCache>
                <c:formatCode>General</c:formatCode>
                <c:ptCount val="7"/>
                <c:pt idx="2">
                  <c:v>0.48599999999999999</c:v>
                </c:pt>
                <c:pt idx="3">
                  <c:v>0.42</c:v>
                </c:pt>
                <c:pt idx="4">
                  <c:v>0.45</c:v>
                </c:pt>
                <c:pt idx="5">
                  <c:v>0.4</c:v>
                </c:pt>
                <c:pt idx="6">
                  <c:v>0.42599999999999999</c:v>
                </c:pt>
              </c:numCache>
            </c:numRef>
          </c:yVal>
          <c:smooth val="1"/>
          <c:extLst>
            <c:ext xmlns:c16="http://schemas.microsoft.com/office/drawing/2014/chart" uri="{C3380CC4-5D6E-409C-BE32-E72D297353CC}">
              <c16:uniqueId val="{00000000-4DC9-834A-8A53-FD661AACF62A}"/>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compelation!$M$18:$S$18</c:f>
              <c:numCache>
                <c:formatCode>General</c:formatCode>
                <c:ptCount val="7"/>
                <c:pt idx="1">
                  <c:v>0.47499999999999998</c:v>
                </c:pt>
                <c:pt idx="2">
                  <c:v>0.52100000000000002</c:v>
                </c:pt>
                <c:pt idx="3">
                  <c:v>0.42199999999999999</c:v>
                </c:pt>
                <c:pt idx="4">
                  <c:v>0.41199999999999998</c:v>
                </c:pt>
                <c:pt idx="5">
                  <c:v>0.38700000000000001</c:v>
                </c:pt>
                <c:pt idx="6">
                  <c:v>0.41699999999999998</c:v>
                </c:pt>
              </c:numCache>
            </c:numRef>
          </c:yVal>
          <c:smooth val="1"/>
          <c:extLst>
            <c:ext xmlns:c16="http://schemas.microsoft.com/office/drawing/2014/chart" uri="{C3380CC4-5D6E-409C-BE32-E72D297353CC}">
              <c16:uniqueId val="{00000001-4DC9-834A-8A53-FD661AACF62A}"/>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compelation!$X$18:$AE$18</c:f>
              <c:numCache>
                <c:formatCode>General</c:formatCode>
                <c:ptCount val="8"/>
                <c:pt idx="1">
                  <c:v>0.252</c:v>
                </c:pt>
                <c:pt idx="2">
                  <c:v>0.25900000000000001</c:v>
                </c:pt>
                <c:pt idx="3">
                  <c:v>0.34399999999999997</c:v>
                </c:pt>
                <c:pt idx="4">
                  <c:v>0.25700000000000001</c:v>
                </c:pt>
                <c:pt idx="5">
                  <c:v>0.22600000000000001</c:v>
                </c:pt>
                <c:pt idx="6">
                  <c:v>0.25900000000000001</c:v>
                </c:pt>
                <c:pt idx="7">
                  <c:v>0.20499999999999999</c:v>
                </c:pt>
              </c:numCache>
            </c:numRef>
          </c:yVal>
          <c:smooth val="1"/>
          <c:extLst>
            <c:ext xmlns:c16="http://schemas.microsoft.com/office/drawing/2014/chart" uri="{C3380CC4-5D6E-409C-BE32-E72D297353CC}">
              <c16:uniqueId val="{00000002-4DC9-834A-8A53-FD661AACF62A}"/>
            </c:ext>
          </c:extLst>
        </c:ser>
        <c:ser>
          <c:idx val="3"/>
          <c:order val="3"/>
          <c:spPr>
            <a:ln>
              <a:solidFill>
                <a:srgbClr val="FF6600"/>
              </a:solidFill>
            </a:ln>
          </c:spPr>
          <c:marker>
            <c:spPr>
              <a:solidFill>
                <a:srgbClr val="FF6600"/>
              </a:solidFill>
              <a:ln>
                <a:solidFill>
                  <a:srgbClr val="FF6600"/>
                </a:solidFill>
              </a:ln>
            </c:spPr>
          </c:marker>
          <c:xVal>
            <c:numRef>
              <c:f>compelation!$AJ$5:$AR$5</c:f>
              <c:numCache>
                <c:formatCode>m/d/yy</c:formatCode>
                <c:ptCount val="9"/>
                <c:pt idx="0">
                  <c:v>42348</c:v>
                </c:pt>
                <c:pt idx="1">
                  <c:v>42494</c:v>
                </c:pt>
                <c:pt idx="2">
                  <c:v>42507</c:v>
                </c:pt>
                <c:pt idx="3">
                  <c:v>42507</c:v>
                </c:pt>
                <c:pt idx="4">
                  <c:v>42562</c:v>
                </c:pt>
                <c:pt idx="5">
                  <c:v>42562</c:v>
                </c:pt>
                <c:pt idx="6">
                  <c:v>42633</c:v>
                </c:pt>
                <c:pt idx="7">
                  <c:v>42710</c:v>
                </c:pt>
                <c:pt idx="8">
                  <c:v>42781</c:v>
                </c:pt>
              </c:numCache>
            </c:numRef>
          </c:xVal>
          <c:yVal>
            <c:numRef>
              <c:f>compelation!$AJ$18:$AR$18</c:f>
              <c:numCache>
                <c:formatCode>General</c:formatCode>
                <c:ptCount val="9"/>
                <c:pt idx="1">
                  <c:v>0.23599999999999999</c:v>
                </c:pt>
                <c:pt idx="2">
                  <c:v>0.27900000000000003</c:v>
                </c:pt>
                <c:pt idx="3">
                  <c:v>0.28000000000000003</c:v>
                </c:pt>
                <c:pt idx="5">
                  <c:v>0.21299999999999999</c:v>
                </c:pt>
                <c:pt idx="6">
                  <c:v>0.20200000000000001</c:v>
                </c:pt>
                <c:pt idx="7">
                  <c:v>0.17399999999999999</c:v>
                </c:pt>
                <c:pt idx="8">
                  <c:v>0.16800000000000001</c:v>
                </c:pt>
              </c:numCache>
            </c:numRef>
          </c:yVal>
          <c:smooth val="1"/>
          <c:extLst>
            <c:ext xmlns:c16="http://schemas.microsoft.com/office/drawing/2014/chart" uri="{C3380CC4-5D6E-409C-BE32-E72D297353CC}">
              <c16:uniqueId val="{00000003-4DC9-834A-8A53-FD661AACF62A}"/>
            </c:ext>
          </c:extLst>
        </c:ser>
        <c:ser>
          <c:idx val="4"/>
          <c:order val="4"/>
          <c:spPr>
            <a:ln>
              <a:solidFill>
                <a:srgbClr val="FF0000"/>
              </a:solidFill>
            </a:ln>
          </c:spPr>
          <c:marker>
            <c:spPr>
              <a:solidFill>
                <a:srgbClr val="FF0000"/>
              </a:solidFill>
              <a:ln>
                <a:solidFill>
                  <a:srgbClr val="FF0000"/>
                </a:solidFill>
              </a:ln>
            </c:spPr>
          </c:marker>
          <c:xVal>
            <c:numRef>
              <c:f>compelation!$AW$5:$BD$5</c:f>
              <c:numCache>
                <c:formatCode>m/d/yy</c:formatCode>
                <c:ptCount val="8"/>
                <c:pt idx="0">
                  <c:v>42346</c:v>
                </c:pt>
                <c:pt idx="1">
                  <c:v>42493</c:v>
                </c:pt>
                <c:pt idx="2">
                  <c:v>42493</c:v>
                </c:pt>
                <c:pt idx="3">
                  <c:v>42494</c:v>
                </c:pt>
                <c:pt idx="4">
                  <c:v>42509</c:v>
                </c:pt>
                <c:pt idx="5">
                  <c:v>42564</c:v>
                </c:pt>
                <c:pt idx="6">
                  <c:v>42635</c:v>
                </c:pt>
                <c:pt idx="7">
                  <c:v>42711</c:v>
                </c:pt>
              </c:numCache>
            </c:numRef>
          </c:xVal>
          <c:yVal>
            <c:numRef>
              <c:f>compelation!$AW$18:$BD$18</c:f>
              <c:numCache>
                <c:formatCode>General</c:formatCode>
                <c:ptCount val="8"/>
                <c:pt idx="3">
                  <c:v>0.216</c:v>
                </c:pt>
                <c:pt idx="4">
                  <c:v>0.22800000000000001</c:v>
                </c:pt>
                <c:pt idx="5">
                  <c:v>0.218</c:v>
                </c:pt>
                <c:pt idx="6">
                  <c:v>0.161</c:v>
                </c:pt>
              </c:numCache>
            </c:numRef>
          </c:yVal>
          <c:smooth val="1"/>
          <c:extLst>
            <c:ext xmlns:c16="http://schemas.microsoft.com/office/drawing/2014/chart" uri="{C3380CC4-5D6E-409C-BE32-E72D297353CC}">
              <c16:uniqueId val="{00000004-4DC9-834A-8A53-FD661AACF62A}"/>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compelation!$BJ$18:$BP$18</c:f>
              <c:numCache>
                <c:formatCode>General</c:formatCode>
                <c:ptCount val="7"/>
                <c:pt idx="2">
                  <c:v>0.314</c:v>
                </c:pt>
                <c:pt idx="3">
                  <c:v>0.38600000000000001</c:v>
                </c:pt>
                <c:pt idx="4">
                  <c:v>0.158</c:v>
                </c:pt>
                <c:pt idx="5">
                  <c:v>0.13600000000000001</c:v>
                </c:pt>
                <c:pt idx="6">
                  <c:v>0.13600000000000001</c:v>
                </c:pt>
              </c:numCache>
            </c:numRef>
          </c:yVal>
          <c:smooth val="1"/>
          <c:extLst>
            <c:ext xmlns:c16="http://schemas.microsoft.com/office/drawing/2014/chart" uri="{C3380CC4-5D6E-409C-BE32-E72D297353CC}">
              <c16:uniqueId val="{00000005-4DC9-834A-8A53-FD661AACF62A}"/>
            </c:ext>
          </c:extLst>
        </c:ser>
        <c:dLbls>
          <c:showLegendKey val="0"/>
          <c:showVal val="0"/>
          <c:showCatName val="0"/>
          <c:showSerName val="0"/>
          <c:showPercent val="0"/>
          <c:showBubbleSize val="0"/>
        </c:dLbls>
        <c:axId val="-2114955192"/>
        <c:axId val="-2114962648"/>
      </c:scatterChart>
      <c:valAx>
        <c:axId val="-2114955192"/>
        <c:scaling>
          <c:orientation val="minMax"/>
          <c:min val="42400"/>
        </c:scaling>
        <c:delete val="0"/>
        <c:axPos val="t"/>
        <c:numFmt formatCode="m/d/yy" sourceLinked="1"/>
        <c:majorTickMark val="out"/>
        <c:minorTickMark val="none"/>
        <c:tickLblPos val="nextTo"/>
        <c:crossAx val="-2114962648"/>
        <c:crosses val="max"/>
        <c:crossBetween val="midCat"/>
        <c:majorUnit val="100"/>
      </c:valAx>
      <c:valAx>
        <c:axId val="-2114962648"/>
        <c:scaling>
          <c:orientation val="minMax"/>
        </c:scaling>
        <c:delete val="0"/>
        <c:axPos val="l"/>
        <c:majorGridlines/>
        <c:title>
          <c:tx>
            <c:rich>
              <a:bodyPr rot="-5400000" vert="horz"/>
              <a:lstStyle/>
              <a:p>
                <a:pPr>
                  <a:defRPr/>
                </a:pPr>
                <a:r>
                  <a:rPr lang="en-US"/>
                  <a:t>TOC (mg/L)</a:t>
                </a:r>
              </a:p>
            </c:rich>
          </c:tx>
          <c:overlay val="0"/>
        </c:title>
        <c:numFmt formatCode="General" sourceLinked="1"/>
        <c:majorTickMark val="out"/>
        <c:minorTickMark val="none"/>
        <c:tickLblPos val="nextTo"/>
        <c:crossAx val="-2114955192"/>
        <c:crosses val="autoZero"/>
        <c:crossBetween val="midCat"/>
      </c:valAx>
    </c:plotArea>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compelation!$B$5:$H$5</c:f>
              <c:numCache>
                <c:formatCode>m/d/yy</c:formatCode>
                <c:ptCount val="7"/>
                <c:pt idx="0">
                  <c:v>42345</c:v>
                </c:pt>
                <c:pt idx="1">
                  <c:v>42492</c:v>
                </c:pt>
                <c:pt idx="2">
                  <c:v>42508</c:v>
                </c:pt>
                <c:pt idx="3">
                  <c:v>42562</c:v>
                </c:pt>
                <c:pt idx="4">
                  <c:v>42633</c:v>
                </c:pt>
                <c:pt idx="5">
                  <c:v>42713</c:v>
                </c:pt>
                <c:pt idx="6">
                  <c:v>42781</c:v>
                </c:pt>
              </c:numCache>
            </c:numRef>
          </c:xVal>
          <c:yVal>
            <c:numRef>
              <c:f>compelation!$B$15:$H$15</c:f>
              <c:numCache>
                <c:formatCode>General</c:formatCode>
                <c:ptCount val="7"/>
                <c:pt idx="1">
                  <c:v>2.2799999999999998</c:v>
                </c:pt>
                <c:pt idx="2">
                  <c:v>2.6</c:v>
                </c:pt>
                <c:pt idx="3">
                  <c:v>2.12</c:v>
                </c:pt>
                <c:pt idx="4">
                  <c:v>2.4900000000000002</c:v>
                </c:pt>
                <c:pt idx="5">
                  <c:v>2.27</c:v>
                </c:pt>
                <c:pt idx="6">
                  <c:v>2.33</c:v>
                </c:pt>
              </c:numCache>
            </c:numRef>
          </c:yVal>
          <c:smooth val="1"/>
          <c:extLst>
            <c:ext xmlns:c16="http://schemas.microsoft.com/office/drawing/2014/chart" uri="{C3380CC4-5D6E-409C-BE32-E72D297353CC}">
              <c16:uniqueId val="{00000000-FF80-C94C-AB03-E2D2E0C0E0F5}"/>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compelation!$M$15:$S$15</c:f>
              <c:numCache>
                <c:formatCode>General</c:formatCode>
                <c:ptCount val="7"/>
                <c:pt idx="1">
                  <c:v>0.28000000000000003</c:v>
                </c:pt>
                <c:pt idx="2">
                  <c:v>0.28999999999999998</c:v>
                </c:pt>
                <c:pt idx="3">
                  <c:v>0.31</c:v>
                </c:pt>
                <c:pt idx="4">
                  <c:v>0.25</c:v>
                </c:pt>
                <c:pt idx="5">
                  <c:v>0.31</c:v>
                </c:pt>
                <c:pt idx="6">
                  <c:v>0.32</c:v>
                </c:pt>
              </c:numCache>
            </c:numRef>
          </c:yVal>
          <c:smooth val="1"/>
          <c:extLst>
            <c:ext xmlns:c16="http://schemas.microsoft.com/office/drawing/2014/chart" uri="{C3380CC4-5D6E-409C-BE32-E72D297353CC}">
              <c16:uniqueId val="{00000001-FF80-C94C-AB03-E2D2E0C0E0F5}"/>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compelation!$X$15:$AE$15</c:f>
              <c:numCache>
                <c:formatCode>General</c:formatCode>
                <c:ptCount val="8"/>
                <c:pt idx="1">
                  <c:v>2.3199999999999998</c:v>
                </c:pt>
                <c:pt idx="2">
                  <c:v>2.4500000000000002</c:v>
                </c:pt>
                <c:pt idx="3">
                  <c:v>1.8</c:v>
                </c:pt>
                <c:pt idx="4">
                  <c:v>2.83</c:v>
                </c:pt>
                <c:pt idx="5">
                  <c:v>2.71</c:v>
                </c:pt>
                <c:pt idx="6">
                  <c:v>2.92</c:v>
                </c:pt>
                <c:pt idx="7">
                  <c:v>2.58</c:v>
                </c:pt>
              </c:numCache>
            </c:numRef>
          </c:yVal>
          <c:smooth val="1"/>
          <c:extLst>
            <c:ext xmlns:c16="http://schemas.microsoft.com/office/drawing/2014/chart" uri="{C3380CC4-5D6E-409C-BE32-E72D297353CC}">
              <c16:uniqueId val="{00000002-FF80-C94C-AB03-E2D2E0C0E0F5}"/>
            </c:ext>
          </c:extLst>
        </c:ser>
        <c:ser>
          <c:idx val="3"/>
          <c:order val="3"/>
          <c:spPr>
            <a:ln>
              <a:solidFill>
                <a:srgbClr val="FF6600"/>
              </a:solidFill>
            </a:ln>
          </c:spPr>
          <c:marker>
            <c:spPr>
              <a:solidFill>
                <a:srgbClr val="FF6600"/>
              </a:solidFill>
              <a:ln>
                <a:solidFill>
                  <a:srgbClr val="FF6600"/>
                </a:solidFill>
              </a:ln>
            </c:spPr>
          </c:marker>
          <c:xVal>
            <c:numRef>
              <c:f>compelation!$AJ$5:$AQ$5</c:f>
              <c:numCache>
                <c:formatCode>m/d/yy</c:formatCode>
                <c:ptCount val="8"/>
                <c:pt idx="0">
                  <c:v>42348</c:v>
                </c:pt>
                <c:pt idx="1">
                  <c:v>42494</c:v>
                </c:pt>
                <c:pt idx="2">
                  <c:v>42507</c:v>
                </c:pt>
                <c:pt idx="3">
                  <c:v>42507</c:v>
                </c:pt>
                <c:pt idx="4">
                  <c:v>42562</c:v>
                </c:pt>
                <c:pt idx="5">
                  <c:v>42562</c:v>
                </c:pt>
                <c:pt idx="6">
                  <c:v>42633</c:v>
                </c:pt>
                <c:pt idx="7">
                  <c:v>42710</c:v>
                </c:pt>
              </c:numCache>
            </c:numRef>
          </c:xVal>
          <c:yVal>
            <c:numRef>
              <c:f>compelation!$AJ$15:$AQ$15</c:f>
              <c:numCache>
                <c:formatCode>General</c:formatCode>
                <c:ptCount val="8"/>
                <c:pt idx="1">
                  <c:v>0.11</c:v>
                </c:pt>
                <c:pt idx="2">
                  <c:v>0</c:v>
                </c:pt>
                <c:pt idx="3">
                  <c:v>0.03</c:v>
                </c:pt>
                <c:pt idx="5">
                  <c:v>0.01</c:v>
                </c:pt>
                <c:pt idx="6">
                  <c:v>0.01</c:v>
                </c:pt>
                <c:pt idx="7">
                  <c:v>0.01</c:v>
                </c:pt>
              </c:numCache>
            </c:numRef>
          </c:yVal>
          <c:smooth val="1"/>
          <c:extLst>
            <c:ext xmlns:c16="http://schemas.microsoft.com/office/drawing/2014/chart" uri="{C3380CC4-5D6E-409C-BE32-E72D297353CC}">
              <c16:uniqueId val="{00000003-FF80-C94C-AB03-E2D2E0C0E0F5}"/>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compelation!$AW$15:$BE$15</c:f>
              <c:numCache>
                <c:formatCode>General</c:formatCode>
                <c:ptCount val="9"/>
                <c:pt idx="1">
                  <c:v>0.03</c:v>
                </c:pt>
                <c:pt idx="2">
                  <c:v>0</c:v>
                </c:pt>
                <c:pt idx="3">
                  <c:v>0.13</c:v>
                </c:pt>
                <c:pt idx="4">
                  <c:v>0</c:v>
                </c:pt>
                <c:pt idx="5">
                  <c:v>0</c:v>
                </c:pt>
                <c:pt idx="6">
                  <c:v>0.01</c:v>
                </c:pt>
                <c:pt idx="7">
                  <c:v>0</c:v>
                </c:pt>
                <c:pt idx="8">
                  <c:v>0</c:v>
                </c:pt>
              </c:numCache>
            </c:numRef>
          </c:yVal>
          <c:smooth val="1"/>
          <c:extLst>
            <c:ext xmlns:c16="http://schemas.microsoft.com/office/drawing/2014/chart" uri="{C3380CC4-5D6E-409C-BE32-E72D297353CC}">
              <c16:uniqueId val="{00000004-FF80-C94C-AB03-E2D2E0C0E0F5}"/>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compelation!$BJ$15:$BP$15</c:f>
              <c:numCache>
                <c:formatCode>General</c:formatCode>
                <c:ptCount val="7"/>
                <c:pt idx="1">
                  <c:v>0.18</c:v>
                </c:pt>
                <c:pt idx="2">
                  <c:v>0.08</c:v>
                </c:pt>
                <c:pt idx="3">
                  <c:v>0.09</c:v>
                </c:pt>
                <c:pt idx="4">
                  <c:v>2.0299999999999998</c:v>
                </c:pt>
                <c:pt idx="5">
                  <c:v>1.23</c:v>
                </c:pt>
                <c:pt idx="6">
                  <c:v>1.43</c:v>
                </c:pt>
              </c:numCache>
            </c:numRef>
          </c:yVal>
          <c:smooth val="1"/>
          <c:extLst>
            <c:ext xmlns:c16="http://schemas.microsoft.com/office/drawing/2014/chart" uri="{C3380CC4-5D6E-409C-BE32-E72D297353CC}">
              <c16:uniqueId val="{00000005-FF80-C94C-AB03-E2D2E0C0E0F5}"/>
            </c:ext>
          </c:extLst>
        </c:ser>
        <c:dLbls>
          <c:showLegendKey val="0"/>
          <c:showVal val="0"/>
          <c:showCatName val="0"/>
          <c:showSerName val="0"/>
          <c:showPercent val="0"/>
          <c:showBubbleSize val="0"/>
        </c:dLbls>
        <c:axId val="-2114598616"/>
        <c:axId val="-2114268920"/>
      </c:scatterChart>
      <c:valAx>
        <c:axId val="-2114598616"/>
        <c:scaling>
          <c:orientation val="minMax"/>
          <c:min val="42400"/>
        </c:scaling>
        <c:delete val="0"/>
        <c:axPos val="t"/>
        <c:numFmt formatCode="m/d/yy" sourceLinked="1"/>
        <c:majorTickMark val="out"/>
        <c:minorTickMark val="none"/>
        <c:tickLblPos val="nextTo"/>
        <c:crossAx val="-2114268920"/>
        <c:crosses val="max"/>
        <c:crossBetween val="midCat"/>
        <c:majorUnit val="100"/>
      </c:valAx>
      <c:valAx>
        <c:axId val="-2114268920"/>
        <c:scaling>
          <c:orientation val="minMax"/>
        </c:scaling>
        <c:delete val="0"/>
        <c:axPos val="l"/>
        <c:majorGridlines/>
        <c:title>
          <c:tx>
            <c:rich>
              <a:bodyPr rot="-5400000" vert="horz"/>
              <a:lstStyle/>
              <a:p>
                <a:pPr>
                  <a:defRPr/>
                </a:pPr>
                <a:r>
                  <a:rPr lang="en-US"/>
                  <a:t>Ferrous</a:t>
                </a:r>
                <a:r>
                  <a:rPr lang="en-US" baseline="0"/>
                  <a:t> Iron</a:t>
                </a:r>
                <a:r>
                  <a:rPr lang="en-US"/>
                  <a:t> (mg/L)</a:t>
                </a:r>
              </a:p>
            </c:rich>
          </c:tx>
          <c:overlay val="0"/>
        </c:title>
        <c:numFmt formatCode="General" sourceLinked="1"/>
        <c:majorTickMark val="out"/>
        <c:minorTickMark val="none"/>
        <c:tickLblPos val="nextTo"/>
        <c:crossAx val="-2114598616"/>
        <c:crosses val="autoZero"/>
        <c:crossBetween val="midCat"/>
      </c:valAx>
    </c:plotArea>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6"/>
          <c:order val="6"/>
          <c:spPr>
            <a:ln>
              <a:solidFill>
                <a:srgbClr val="3366FF"/>
              </a:solidFill>
            </a:ln>
          </c:spPr>
          <c:xVal>
            <c:numRef>
              <c:f>compelation!$B$5:$G$5</c:f>
              <c:numCache>
                <c:formatCode>m/d/yy</c:formatCode>
                <c:ptCount val="6"/>
                <c:pt idx="0">
                  <c:v>42345</c:v>
                </c:pt>
                <c:pt idx="1">
                  <c:v>42492</c:v>
                </c:pt>
                <c:pt idx="2">
                  <c:v>42508</c:v>
                </c:pt>
                <c:pt idx="3">
                  <c:v>42562</c:v>
                </c:pt>
                <c:pt idx="4">
                  <c:v>42633</c:v>
                </c:pt>
                <c:pt idx="5">
                  <c:v>42713</c:v>
                </c:pt>
              </c:numCache>
            </c:numRef>
          </c:xVal>
          <c:yVal>
            <c:numRef>
              <c:f>compelation!$B$13:$G$13</c:f>
              <c:numCache>
                <c:formatCode>General</c:formatCode>
                <c:ptCount val="6"/>
                <c:pt idx="1">
                  <c:v>0.5</c:v>
                </c:pt>
                <c:pt idx="2">
                  <c:v>0.2</c:v>
                </c:pt>
                <c:pt idx="3">
                  <c:v>0.2</c:v>
                </c:pt>
                <c:pt idx="4">
                  <c:v>0.3</c:v>
                </c:pt>
                <c:pt idx="5">
                  <c:v>0.2</c:v>
                </c:pt>
              </c:numCache>
            </c:numRef>
          </c:yVal>
          <c:smooth val="1"/>
          <c:extLst>
            <c:ext xmlns:c16="http://schemas.microsoft.com/office/drawing/2014/chart" uri="{C3380CC4-5D6E-409C-BE32-E72D297353CC}">
              <c16:uniqueId val="{00000000-4707-9A4E-B146-605A947509A2}"/>
            </c:ext>
          </c:extLst>
        </c:ser>
        <c:ser>
          <c:idx val="7"/>
          <c:order val="7"/>
          <c:spPr>
            <a:ln>
              <a:solidFill>
                <a:srgbClr val="008000"/>
              </a:solidFill>
            </a:ln>
          </c:spPr>
          <c:xVal>
            <c:numRef>
              <c:f>compelation!$M$5:$R$5</c:f>
              <c:numCache>
                <c:formatCode>m/d/yy</c:formatCode>
                <c:ptCount val="6"/>
                <c:pt idx="0">
                  <c:v>42345</c:v>
                </c:pt>
                <c:pt idx="1">
                  <c:v>42492</c:v>
                </c:pt>
                <c:pt idx="2">
                  <c:v>42508</c:v>
                </c:pt>
                <c:pt idx="3">
                  <c:v>42562</c:v>
                </c:pt>
                <c:pt idx="4">
                  <c:v>42633</c:v>
                </c:pt>
                <c:pt idx="5">
                  <c:v>42713</c:v>
                </c:pt>
              </c:numCache>
            </c:numRef>
          </c:xVal>
          <c:yVal>
            <c:numRef>
              <c:f>compelation!$M$13:$R$13</c:f>
              <c:numCache>
                <c:formatCode>General</c:formatCode>
                <c:ptCount val="6"/>
                <c:pt idx="1">
                  <c:v>0.5</c:v>
                </c:pt>
                <c:pt idx="2">
                  <c:v>0.1</c:v>
                </c:pt>
                <c:pt idx="3">
                  <c:v>0.2</c:v>
                </c:pt>
                <c:pt idx="4">
                  <c:v>0</c:v>
                </c:pt>
                <c:pt idx="5">
                  <c:v>0.1</c:v>
                </c:pt>
              </c:numCache>
            </c:numRef>
          </c:yVal>
          <c:smooth val="1"/>
          <c:extLst>
            <c:ext xmlns:c16="http://schemas.microsoft.com/office/drawing/2014/chart" uri="{C3380CC4-5D6E-409C-BE32-E72D297353CC}">
              <c16:uniqueId val="{00000001-4707-9A4E-B146-605A947509A2}"/>
            </c:ext>
          </c:extLst>
        </c:ser>
        <c:ser>
          <c:idx val="8"/>
          <c:order val="8"/>
          <c:spPr>
            <a:ln>
              <a:solidFill>
                <a:srgbClr val="FFFF00"/>
              </a:solidFill>
            </a:ln>
          </c:spPr>
          <c:xVal>
            <c:numRef>
              <c:f>compelation!$X$5:$AD$5</c:f>
              <c:numCache>
                <c:formatCode>m/d/yy</c:formatCode>
                <c:ptCount val="7"/>
                <c:pt idx="0">
                  <c:v>42347</c:v>
                </c:pt>
                <c:pt idx="1">
                  <c:v>42495</c:v>
                </c:pt>
                <c:pt idx="2">
                  <c:v>42495</c:v>
                </c:pt>
                <c:pt idx="3">
                  <c:v>42506</c:v>
                </c:pt>
                <c:pt idx="4">
                  <c:v>42563</c:v>
                </c:pt>
                <c:pt idx="5">
                  <c:v>42634</c:v>
                </c:pt>
                <c:pt idx="6">
                  <c:v>42712</c:v>
                </c:pt>
              </c:numCache>
            </c:numRef>
          </c:xVal>
          <c:yVal>
            <c:numRef>
              <c:f>compelation!$X$13:$AD$13</c:f>
              <c:numCache>
                <c:formatCode>General</c:formatCode>
                <c:ptCount val="7"/>
                <c:pt idx="1">
                  <c:v>0.5</c:v>
                </c:pt>
                <c:pt idx="2">
                  <c:v>0.3</c:v>
                </c:pt>
                <c:pt idx="3">
                  <c:v>0.8</c:v>
                </c:pt>
                <c:pt idx="4">
                  <c:v>0.2</c:v>
                </c:pt>
                <c:pt idx="5">
                  <c:v>0.3</c:v>
                </c:pt>
                <c:pt idx="6">
                  <c:v>0.2</c:v>
                </c:pt>
              </c:numCache>
            </c:numRef>
          </c:yVal>
          <c:smooth val="1"/>
          <c:extLst>
            <c:ext xmlns:c16="http://schemas.microsoft.com/office/drawing/2014/chart" uri="{C3380CC4-5D6E-409C-BE32-E72D297353CC}">
              <c16:uniqueId val="{00000002-4707-9A4E-B146-605A947509A2}"/>
            </c:ext>
          </c:extLst>
        </c:ser>
        <c:ser>
          <c:idx val="9"/>
          <c:order val="9"/>
          <c:spPr>
            <a:ln>
              <a:solidFill>
                <a:srgbClr val="FF6600"/>
              </a:solidFill>
            </a:ln>
          </c:spPr>
          <c:xVal>
            <c:numRef>
              <c:f>compelation!$AJ$5:$AQ$5</c:f>
              <c:numCache>
                <c:formatCode>m/d/yy</c:formatCode>
                <c:ptCount val="8"/>
                <c:pt idx="0">
                  <c:v>42348</c:v>
                </c:pt>
                <c:pt idx="1">
                  <c:v>42494</c:v>
                </c:pt>
                <c:pt idx="2">
                  <c:v>42507</c:v>
                </c:pt>
                <c:pt idx="3">
                  <c:v>42507</c:v>
                </c:pt>
                <c:pt idx="4">
                  <c:v>42562</c:v>
                </c:pt>
                <c:pt idx="5">
                  <c:v>42562</c:v>
                </c:pt>
                <c:pt idx="6">
                  <c:v>42633</c:v>
                </c:pt>
                <c:pt idx="7">
                  <c:v>42710</c:v>
                </c:pt>
              </c:numCache>
            </c:numRef>
          </c:xVal>
          <c:yVal>
            <c:numRef>
              <c:f>compelation!$AJ$13:$AQ$13</c:f>
              <c:numCache>
                <c:formatCode>General</c:formatCode>
                <c:ptCount val="8"/>
                <c:pt idx="1">
                  <c:v>1</c:v>
                </c:pt>
                <c:pt idx="2">
                  <c:v>0.9</c:v>
                </c:pt>
                <c:pt idx="3">
                  <c:v>0.9</c:v>
                </c:pt>
                <c:pt idx="5">
                  <c:v>1</c:v>
                </c:pt>
                <c:pt idx="6">
                  <c:v>1.1000000000000001</c:v>
                </c:pt>
                <c:pt idx="7">
                  <c:v>1</c:v>
                </c:pt>
              </c:numCache>
            </c:numRef>
          </c:yVal>
          <c:smooth val="1"/>
          <c:extLst>
            <c:ext xmlns:c16="http://schemas.microsoft.com/office/drawing/2014/chart" uri="{C3380CC4-5D6E-409C-BE32-E72D297353CC}">
              <c16:uniqueId val="{00000003-4707-9A4E-B146-605A947509A2}"/>
            </c:ext>
          </c:extLst>
        </c:ser>
        <c:ser>
          <c:idx val="10"/>
          <c:order val="10"/>
          <c:spPr>
            <a:ln>
              <a:solidFill>
                <a:srgbClr val="FF0000"/>
              </a:solidFill>
            </a:ln>
          </c:spPr>
          <c:xVal>
            <c:numRef>
              <c:f>compelation!$AW$5:$BD$5</c:f>
              <c:numCache>
                <c:formatCode>m/d/yy</c:formatCode>
                <c:ptCount val="8"/>
                <c:pt idx="0">
                  <c:v>42346</c:v>
                </c:pt>
                <c:pt idx="1">
                  <c:v>42493</c:v>
                </c:pt>
                <c:pt idx="2">
                  <c:v>42493</c:v>
                </c:pt>
                <c:pt idx="3">
                  <c:v>42494</c:v>
                </c:pt>
                <c:pt idx="4">
                  <c:v>42509</c:v>
                </c:pt>
                <c:pt idx="5">
                  <c:v>42564</c:v>
                </c:pt>
                <c:pt idx="6">
                  <c:v>42635</c:v>
                </c:pt>
                <c:pt idx="7">
                  <c:v>42711</c:v>
                </c:pt>
              </c:numCache>
            </c:numRef>
          </c:xVal>
          <c:yVal>
            <c:numRef>
              <c:f>compelation!$AW$13:$BD$13</c:f>
              <c:numCache>
                <c:formatCode>General</c:formatCode>
                <c:ptCount val="8"/>
                <c:pt idx="1">
                  <c:v>0.6</c:v>
                </c:pt>
                <c:pt idx="2">
                  <c:v>0.7</c:v>
                </c:pt>
                <c:pt idx="3">
                  <c:v>0.6</c:v>
                </c:pt>
                <c:pt idx="4">
                  <c:v>0.7</c:v>
                </c:pt>
                <c:pt idx="5">
                  <c:v>0.8</c:v>
                </c:pt>
                <c:pt idx="6">
                  <c:v>0.8</c:v>
                </c:pt>
                <c:pt idx="7">
                  <c:v>0.7</c:v>
                </c:pt>
              </c:numCache>
            </c:numRef>
          </c:yVal>
          <c:smooth val="1"/>
          <c:extLst>
            <c:ext xmlns:c16="http://schemas.microsoft.com/office/drawing/2014/chart" uri="{C3380CC4-5D6E-409C-BE32-E72D297353CC}">
              <c16:uniqueId val="{00000004-4707-9A4E-B146-605A947509A2}"/>
            </c:ext>
          </c:extLst>
        </c:ser>
        <c:ser>
          <c:idx val="11"/>
          <c:order val="11"/>
          <c:spPr>
            <a:ln>
              <a:solidFill>
                <a:srgbClr val="800000"/>
              </a:solidFill>
            </a:ln>
          </c:spPr>
          <c:xVal>
            <c:numRef>
              <c:f>compelation!$BJ$5:$BO$5</c:f>
              <c:numCache>
                <c:formatCode>m/d/yy</c:formatCode>
                <c:ptCount val="6"/>
                <c:pt idx="0">
                  <c:v>42346</c:v>
                </c:pt>
                <c:pt idx="1">
                  <c:v>42494</c:v>
                </c:pt>
                <c:pt idx="2">
                  <c:v>42509</c:v>
                </c:pt>
                <c:pt idx="3">
                  <c:v>42564</c:v>
                </c:pt>
                <c:pt idx="4">
                  <c:v>42635</c:v>
                </c:pt>
                <c:pt idx="5">
                  <c:v>42711</c:v>
                </c:pt>
              </c:numCache>
            </c:numRef>
          </c:xVal>
          <c:yVal>
            <c:numRef>
              <c:f>compelation!$BJ$13:$BO$13</c:f>
              <c:numCache>
                <c:formatCode>General</c:formatCode>
                <c:ptCount val="6"/>
                <c:pt idx="1">
                  <c:v>0.3</c:v>
                </c:pt>
                <c:pt idx="2">
                  <c:v>0.3</c:v>
                </c:pt>
                <c:pt idx="3">
                  <c:v>0.2</c:v>
                </c:pt>
                <c:pt idx="4">
                  <c:v>0.3</c:v>
                </c:pt>
                <c:pt idx="5">
                  <c:v>0.4</c:v>
                </c:pt>
              </c:numCache>
            </c:numRef>
          </c:yVal>
          <c:smooth val="1"/>
          <c:extLst>
            <c:ext xmlns:c16="http://schemas.microsoft.com/office/drawing/2014/chart" uri="{C3380CC4-5D6E-409C-BE32-E72D297353CC}">
              <c16:uniqueId val="{00000005-4707-9A4E-B146-605A947509A2}"/>
            </c:ext>
          </c:extLst>
        </c:ser>
        <c:ser>
          <c:idx val="0"/>
          <c:order val="0"/>
          <c:spPr>
            <a:ln>
              <a:solidFill>
                <a:srgbClr val="3366FF"/>
              </a:solidFill>
            </a:ln>
          </c:spPr>
          <c:marker>
            <c:spPr>
              <a:solidFill>
                <a:srgbClr val="3366FF"/>
              </a:solidFill>
              <a:ln>
                <a:solidFill>
                  <a:srgbClr val="3366FF"/>
                </a:solidFill>
              </a:ln>
            </c:spPr>
          </c:marker>
          <c:xVal>
            <c:numRef>
              <c:f>compelation!$B$5:$G$5</c:f>
              <c:numCache>
                <c:formatCode>m/d/yy</c:formatCode>
                <c:ptCount val="6"/>
                <c:pt idx="0">
                  <c:v>42345</c:v>
                </c:pt>
                <c:pt idx="1">
                  <c:v>42492</c:v>
                </c:pt>
                <c:pt idx="2">
                  <c:v>42508</c:v>
                </c:pt>
                <c:pt idx="3">
                  <c:v>42562</c:v>
                </c:pt>
                <c:pt idx="4">
                  <c:v>42633</c:v>
                </c:pt>
                <c:pt idx="5">
                  <c:v>42713</c:v>
                </c:pt>
              </c:numCache>
            </c:numRef>
          </c:xVal>
          <c:yVal>
            <c:numRef>
              <c:f>compelation!$B$13:$G$13</c:f>
              <c:numCache>
                <c:formatCode>General</c:formatCode>
                <c:ptCount val="6"/>
                <c:pt idx="1">
                  <c:v>0.5</c:v>
                </c:pt>
                <c:pt idx="2">
                  <c:v>0.2</c:v>
                </c:pt>
                <c:pt idx="3">
                  <c:v>0.2</c:v>
                </c:pt>
                <c:pt idx="4">
                  <c:v>0.3</c:v>
                </c:pt>
                <c:pt idx="5">
                  <c:v>0.2</c:v>
                </c:pt>
              </c:numCache>
            </c:numRef>
          </c:yVal>
          <c:smooth val="1"/>
          <c:extLst>
            <c:ext xmlns:c16="http://schemas.microsoft.com/office/drawing/2014/chart" uri="{C3380CC4-5D6E-409C-BE32-E72D297353CC}">
              <c16:uniqueId val="{00000006-4707-9A4E-B146-605A947509A2}"/>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compelation!$M$13:$S$13</c:f>
              <c:numCache>
                <c:formatCode>General</c:formatCode>
                <c:ptCount val="7"/>
                <c:pt idx="1">
                  <c:v>0.5</c:v>
                </c:pt>
                <c:pt idx="2">
                  <c:v>0.1</c:v>
                </c:pt>
                <c:pt idx="3">
                  <c:v>0.2</c:v>
                </c:pt>
                <c:pt idx="4">
                  <c:v>0</c:v>
                </c:pt>
                <c:pt idx="5">
                  <c:v>0.1</c:v>
                </c:pt>
                <c:pt idx="6">
                  <c:v>0.2</c:v>
                </c:pt>
              </c:numCache>
            </c:numRef>
          </c:yVal>
          <c:smooth val="1"/>
          <c:extLst>
            <c:ext xmlns:c16="http://schemas.microsoft.com/office/drawing/2014/chart" uri="{C3380CC4-5D6E-409C-BE32-E72D297353CC}">
              <c16:uniqueId val="{00000007-4707-9A4E-B146-605A947509A2}"/>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compelation!$X$13:$AE$13</c:f>
              <c:numCache>
                <c:formatCode>General</c:formatCode>
                <c:ptCount val="8"/>
                <c:pt idx="1">
                  <c:v>0.5</c:v>
                </c:pt>
                <c:pt idx="2">
                  <c:v>0.3</c:v>
                </c:pt>
                <c:pt idx="3">
                  <c:v>0.8</c:v>
                </c:pt>
                <c:pt idx="4">
                  <c:v>0.2</c:v>
                </c:pt>
                <c:pt idx="5">
                  <c:v>0.3</c:v>
                </c:pt>
                <c:pt idx="6">
                  <c:v>0.2</c:v>
                </c:pt>
                <c:pt idx="7">
                  <c:v>0.1</c:v>
                </c:pt>
              </c:numCache>
            </c:numRef>
          </c:yVal>
          <c:smooth val="1"/>
          <c:extLst>
            <c:ext xmlns:c16="http://schemas.microsoft.com/office/drawing/2014/chart" uri="{C3380CC4-5D6E-409C-BE32-E72D297353CC}">
              <c16:uniqueId val="{00000008-4707-9A4E-B146-605A947509A2}"/>
            </c:ext>
          </c:extLst>
        </c:ser>
        <c:ser>
          <c:idx val="3"/>
          <c:order val="3"/>
          <c:spPr>
            <a:ln>
              <a:solidFill>
                <a:srgbClr val="FF6600"/>
              </a:solidFill>
            </a:ln>
          </c:spPr>
          <c:marker>
            <c:spPr>
              <a:solidFill>
                <a:srgbClr val="FF6600"/>
              </a:solidFill>
              <a:ln>
                <a:solidFill>
                  <a:srgbClr val="FF6600"/>
                </a:solidFill>
              </a:ln>
            </c:spPr>
          </c:marker>
          <c:xVal>
            <c:numRef>
              <c:f>compelation!$AJ$5:$AR$5</c:f>
              <c:numCache>
                <c:formatCode>m/d/yy</c:formatCode>
                <c:ptCount val="9"/>
                <c:pt idx="0">
                  <c:v>42348</c:v>
                </c:pt>
                <c:pt idx="1">
                  <c:v>42494</c:v>
                </c:pt>
                <c:pt idx="2">
                  <c:v>42507</c:v>
                </c:pt>
                <c:pt idx="3">
                  <c:v>42507</c:v>
                </c:pt>
                <c:pt idx="4">
                  <c:v>42562</c:v>
                </c:pt>
                <c:pt idx="5">
                  <c:v>42562</c:v>
                </c:pt>
                <c:pt idx="6">
                  <c:v>42633</c:v>
                </c:pt>
                <c:pt idx="7">
                  <c:v>42710</c:v>
                </c:pt>
                <c:pt idx="8">
                  <c:v>42781</c:v>
                </c:pt>
              </c:numCache>
            </c:numRef>
          </c:xVal>
          <c:yVal>
            <c:numRef>
              <c:f>compelation!$AJ$13:$AR$13</c:f>
              <c:numCache>
                <c:formatCode>General</c:formatCode>
                <c:ptCount val="9"/>
                <c:pt idx="1">
                  <c:v>1</c:v>
                </c:pt>
                <c:pt idx="2">
                  <c:v>0.9</c:v>
                </c:pt>
                <c:pt idx="3">
                  <c:v>0.9</c:v>
                </c:pt>
                <c:pt idx="5">
                  <c:v>1</c:v>
                </c:pt>
                <c:pt idx="6">
                  <c:v>1.1000000000000001</c:v>
                </c:pt>
                <c:pt idx="7">
                  <c:v>1</c:v>
                </c:pt>
                <c:pt idx="8">
                  <c:v>0.9</c:v>
                </c:pt>
              </c:numCache>
            </c:numRef>
          </c:yVal>
          <c:smooth val="1"/>
          <c:extLst>
            <c:ext xmlns:c16="http://schemas.microsoft.com/office/drawing/2014/chart" uri="{C3380CC4-5D6E-409C-BE32-E72D297353CC}">
              <c16:uniqueId val="{00000009-4707-9A4E-B146-605A947509A2}"/>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compelation!$AW$13:$BE$13</c:f>
              <c:numCache>
                <c:formatCode>General</c:formatCode>
                <c:ptCount val="9"/>
                <c:pt idx="1">
                  <c:v>0.6</c:v>
                </c:pt>
                <c:pt idx="2">
                  <c:v>0.7</c:v>
                </c:pt>
                <c:pt idx="3">
                  <c:v>0.6</c:v>
                </c:pt>
                <c:pt idx="4">
                  <c:v>0.7</c:v>
                </c:pt>
                <c:pt idx="5">
                  <c:v>0.8</c:v>
                </c:pt>
                <c:pt idx="6">
                  <c:v>0.8</c:v>
                </c:pt>
                <c:pt idx="7">
                  <c:v>0.7</c:v>
                </c:pt>
                <c:pt idx="8">
                  <c:v>0.8</c:v>
                </c:pt>
              </c:numCache>
            </c:numRef>
          </c:yVal>
          <c:smooth val="1"/>
          <c:extLst>
            <c:ext xmlns:c16="http://schemas.microsoft.com/office/drawing/2014/chart" uri="{C3380CC4-5D6E-409C-BE32-E72D297353CC}">
              <c16:uniqueId val="{0000000A-4707-9A4E-B146-605A947509A2}"/>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compelation!$BJ$13:$BP$13</c:f>
              <c:numCache>
                <c:formatCode>General</c:formatCode>
                <c:ptCount val="7"/>
                <c:pt idx="1">
                  <c:v>0.3</c:v>
                </c:pt>
                <c:pt idx="2">
                  <c:v>0.3</c:v>
                </c:pt>
                <c:pt idx="3">
                  <c:v>0.2</c:v>
                </c:pt>
                <c:pt idx="4">
                  <c:v>0.3</c:v>
                </c:pt>
                <c:pt idx="5">
                  <c:v>0.4</c:v>
                </c:pt>
                <c:pt idx="6">
                  <c:v>0.3</c:v>
                </c:pt>
              </c:numCache>
            </c:numRef>
          </c:yVal>
          <c:smooth val="1"/>
          <c:extLst>
            <c:ext xmlns:c16="http://schemas.microsoft.com/office/drawing/2014/chart" uri="{C3380CC4-5D6E-409C-BE32-E72D297353CC}">
              <c16:uniqueId val="{0000000B-4707-9A4E-B146-605A947509A2}"/>
            </c:ext>
          </c:extLst>
        </c:ser>
        <c:dLbls>
          <c:showLegendKey val="0"/>
          <c:showVal val="0"/>
          <c:showCatName val="0"/>
          <c:showSerName val="0"/>
          <c:showPercent val="0"/>
          <c:showBubbleSize val="0"/>
        </c:dLbls>
        <c:axId val="-2114048312"/>
        <c:axId val="-2114051848"/>
      </c:scatterChart>
      <c:valAx>
        <c:axId val="-2114048312"/>
        <c:scaling>
          <c:orientation val="minMax"/>
          <c:min val="42400"/>
        </c:scaling>
        <c:delete val="0"/>
        <c:axPos val="t"/>
        <c:numFmt formatCode="m/d/yy" sourceLinked="1"/>
        <c:majorTickMark val="out"/>
        <c:minorTickMark val="none"/>
        <c:tickLblPos val="nextTo"/>
        <c:crossAx val="-2114051848"/>
        <c:crosses val="max"/>
        <c:crossBetween val="midCat"/>
        <c:majorUnit val="100"/>
      </c:valAx>
      <c:valAx>
        <c:axId val="-2114051848"/>
        <c:scaling>
          <c:orientation val="minMax"/>
        </c:scaling>
        <c:delete val="0"/>
        <c:axPos val="l"/>
        <c:majorGridlines/>
        <c:title>
          <c:tx>
            <c:rich>
              <a:bodyPr rot="-5400000" vert="horz"/>
              <a:lstStyle/>
              <a:p>
                <a:pPr>
                  <a:defRPr/>
                </a:pPr>
                <a:r>
                  <a:rPr lang="en-US"/>
                  <a:t>Nitrate (mg/L)</a:t>
                </a:r>
              </a:p>
            </c:rich>
          </c:tx>
          <c:overlay val="0"/>
        </c:title>
        <c:numFmt formatCode="General" sourceLinked="1"/>
        <c:majorTickMark val="out"/>
        <c:minorTickMark val="none"/>
        <c:tickLblPos val="nextTo"/>
        <c:crossAx val="-2114048312"/>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master!$C$2:$C$11</c:f>
              <c:numCache>
                <c:formatCode>m/d/yy</c:formatCode>
                <c:ptCount val="10"/>
                <c:pt idx="0">
                  <c:v>42345</c:v>
                </c:pt>
                <c:pt idx="1">
                  <c:v>42492</c:v>
                </c:pt>
                <c:pt idx="2">
                  <c:v>42508</c:v>
                </c:pt>
                <c:pt idx="3">
                  <c:v>42562</c:v>
                </c:pt>
                <c:pt idx="4">
                  <c:v>42633</c:v>
                </c:pt>
                <c:pt idx="5">
                  <c:v>42713</c:v>
                </c:pt>
                <c:pt idx="6">
                  <c:v>42781</c:v>
                </c:pt>
                <c:pt idx="7">
                  <c:v>42864</c:v>
                </c:pt>
                <c:pt idx="8">
                  <c:v>42978</c:v>
                </c:pt>
                <c:pt idx="9">
                  <c:v>43069</c:v>
                </c:pt>
              </c:numCache>
            </c:numRef>
          </c:xVal>
          <c:yVal>
            <c:numRef>
              <c:f>master!$H$2:$H$11</c:f>
              <c:numCache>
                <c:formatCode>General</c:formatCode>
                <c:ptCount val="10"/>
                <c:pt idx="0">
                  <c:v>943</c:v>
                </c:pt>
                <c:pt idx="1">
                  <c:v>956.5</c:v>
                </c:pt>
                <c:pt idx="2">
                  <c:v>952.3</c:v>
                </c:pt>
                <c:pt idx="3">
                  <c:v>950.2</c:v>
                </c:pt>
                <c:pt idx="4">
                  <c:v>937</c:v>
                </c:pt>
                <c:pt idx="5">
                  <c:v>956.1</c:v>
                </c:pt>
                <c:pt idx="6">
                  <c:v>949.1</c:v>
                </c:pt>
                <c:pt idx="7">
                  <c:v>1052</c:v>
                </c:pt>
                <c:pt idx="8">
                  <c:v>972.8</c:v>
                </c:pt>
                <c:pt idx="9">
                  <c:v>993.4</c:v>
                </c:pt>
              </c:numCache>
            </c:numRef>
          </c:yVal>
          <c:smooth val="0"/>
          <c:extLst>
            <c:ext xmlns:c16="http://schemas.microsoft.com/office/drawing/2014/chart" uri="{C3380CC4-5D6E-409C-BE32-E72D297353CC}">
              <c16:uniqueId val="{00000000-C22D-794C-95FF-FCC6424411A3}"/>
            </c:ext>
          </c:extLst>
        </c:ser>
        <c:ser>
          <c:idx val="1"/>
          <c:order val="1"/>
          <c:spPr>
            <a:ln w="47625">
              <a:noFill/>
            </a:ln>
            <a:effectLst/>
          </c:spPr>
          <c:marker>
            <c:symbol val="circle"/>
            <c:size val="8"/>
            <c:spPr>
              <a:solidFill>
                <a:srgbClr val="3366FF"/>
              </a:solidFill>
              <a:ln>
                <a:noFill/>
              </a:ln>
              <a:effectLst/>
            </c:spPr>
          </c:marker>
          <c:xVal>
            <c:numRef>
              <c:f>master!$C$14:$C$23</c:f>
              <c:numCache>
                <c:formatCode>m/d/yy</c:formatCode>
                <c:ptCount val="10"/>
                <c:pt idx="0">
                  <c:v>42345</c:v>
                </c:pt>
                <c:pt idx="1">
                  <c:v>42492</c:v>
                </c:pt>
                <c:pt idx="2">
                  <c:v>42508</c:v>
                </c:pt>
                <c:pt idx="3">
                  <c:v>42562</c:v>
                </c:pt>
                <c:pt idx="4">
                  <c:v>42633</c:v>
                </c:pt>
                <c:pt idx="5">
                  <c:v>42713</c:v>
                </c:pt>
                <c:pt idx="6">
                  <c:v>42781</c:v>
                </c:pt>
                <c:pt idx="7">
                  <c:v>42864</c:v>
                </c:pt>
                <c:pt idx="8">
                  <c:v>42979</c:v>
                </c:pt>
                <c:pt idx="9">
                  <c:v>43069</c:v>
                </c:pt>
              </c:numCache>
            </c:numRef>
          </c:xVal>
          <c:yVal>
            <c:numRef>
              <c:f>master!$H$14:$H$23</c:f>
              <c:numCache>
                <c:formatCode>General</c:formatCode>
                <c:ptCount val="10"/>
                <c:pt idx="0">
                  <c:v>623.6</c:v>
                </c:pt>
                <c:pt idx="2">
                  <c:v>605.1</c:v>
                </c:pt>
                <c:pt idx="3">
                  <c:v>618.5</c:v>
                </c:pt>
                <c:pt idx="4">
                  <c:v>616.9</c:v>
                </c:pt>
                <c:pt idx="5">
                  <c:v>626.5</c:v>
                </c:pt>
                <c:pt idx="6">
                  <c:v>630.29999999999995</c:v>
                </c:pt>
                <c:pt idx="7">
                  <c:v>608.20000000000005</c:v>
                </c:pt>
                <c:pt idx="8">
                  <c:v>622.20000000000005</c:v>
                </c:pt>
                <c:pt idx="9">
                  <c:v>622.5</c:v>
                </c:pt>
              </c:numCache>
            </c:numRef>
          </c:yVal>
          <c:smooth val="0"/>
          <c:extLst>
            <c:ext xmlns:c16="http://schemas.microsoft.com/office/drawing/2014/chart" uri="{C3380CC4-5D6E-409C-BE32-E72D297353CC}">
              <c16:uniqueId val="{00000001-C22D-794C-95FF-FCC6424411A3}"/>
            </c:ext>
          </c:extLst>
        </c:ser>
        <c:ser>
          <c:idx val="2"/>
          <c:order val="2"/>
          <c:spPr>
            <a:ln w="47625">
              <a:noFill/>
            </a:ln>
            <a:effectLst/>
          </c:spPr>
          <c:marker>
            <c:symbol val="circle"/>
            <c:size val="8"/>
            <c:spPr>
              <a:solidFill>
                <a:srgbClr val="008000"/>
              </a:solidFill>
              <a:ln>
                <a:noFill/>
              </a:ln>
              <a:effectLst/>
            </c:spPr>
          </c:marker>
          <c:xVal>
            <c:numRef>
              <c:f>master!$C$26:$C$36</c:f>
              <c:numCache>
                <c:formatCode>m/d/yy</c:formatCode>
                <c:ptCount val="11"/>
                <c:pt idx="0">
                  <c:v>42347</c:v>
                </c:pt>
                <c:pt idx="1">
                  <c:v>42495</c:v>
                </c:pt>
                <c:pt idx="2">
                  <c:v>42495</c:v>
                </c:pt>
                <c:pt idx="3">
                  <c:v>42506</c:v>
                </c:pt>
                <c:pt idx="4">
                  <c:v>42563</c:v>
                </c:pt>
                <c:pt idx="5">
                  <c:v>42634</c:v>
                </c:pt>
                <c:pt idx="6">
                  <c:v>42712</c:v>
                </c:pt>
                <c:pt idx="7">
                  <c:v>42782</c:v>
                </c:pt>
                <c:pt idx="8">
                  <c:v>42866</c:v>
                </c:pt>
                <c:pt idx="9">
                  <c:v>42977</c:v>
                </c:pt>
                <c:pt idx="10">
                  <c:v>43066</c:v>
                </c:pt>
              </c:numCache>
            </c:numRef>
          </c:xVal>
          <c:yVal>
            <c:numRef>
              <c:f>master!$H$26:$H$36</c:f>
              <c:numCache>
                <c:formatCode>General</c:formatCode>
                <c:ptCount val="11"/>
                <c:pt idx="0">
                  <c:v>3044</c:v>
                </c:pt>
                <c:pt idx="1">
                  <c:v>3026</c:v>
                </c:pt>
                <c:pt idx="2">
                  <c:v>3040</c:v>
                </c:pt>
                <c:pt idx="3">
                  <c:v>3048</c:v>
                </c:pt>
                <c:pt idx="4">
                  <c:v>3036</c:v>
                </c:pt>
                <c:pt idx="5">
                  <c:v>2998</c:v>
                </c:pt>
                <c:pt idx="6">
                  <c:v>3036</c:v>
                </c:pt>
                <c:pt idx="7">
                  <c:v>3029</c:v>
                </c:pt>
                <c:pt idx="8">
                  <c:v>3039</c:v>
                </c:pt>
                <c:pt idx="9">
                  <c:v>3048</c:v>
                </c:pt>
                <c:pt idx="10">
                  <c:v>3057</c:v>
                </c:pt>
              </c:numCache>
            </c:numRef>
          </c:yVal>
          <c:smooth val="0"/>
          <c:extLst>
            <c:ext xmlns:c16="http://schemas.microsoft.com/office/drawing/2014/chart" uri="{C3380CC4-5D6E-409C-BE32-E72D297353CC}">
              <c16:uniqueId val="{00000002-C22D-794C-95FF-FCC6424411A3}"/>
            </c:ext>
          </c:extLst>
        </c:ser>
        <c:ser>
          <c:idx val="3"/>
          <c:order val="3"/>
          <c:spPr>
            <a:ln w="47625">
              <a:noFill/>
            </a:ln>
            <a:effectLst/>
          </c:spPr>
          <c:marker>
            <c:symbol val="circle"/>
            <c:size val="8"/>
            <c:spPr>
              <a:solidFill>
                <a:srgbClr val="FFFF00"/>
              </a:solidFill>
              <a:ln>
                <a:noFill/>
              </a:ln>
              <a:effectLst/>
            </c:spPr>
          </c:marker>
          <c:xVal>
            <c:numRef>
              <c:f>master!$C$39:$C$51</c:f>
              <c:numCache>
                <c:formatCode>m/d/yy</c:formatCode>
                <c:ptCount val="13"/>
                <c:pt idx="0">
                  <c:v>42348</c:v>
                </c:pt>
                <c:pt idx="1">
                  <c:v>42494</c:v>
                </c:pt>
                <c:pt idx="2">
                  <c:v>42507</c:v>
                </c:pt>
                <c:pt idx="3">
                  <c:v>42507</c:v>
                </c:pt>
                <c:pt idx="4">
                  <c:v>42562</c:v>
                </c:pt>
                <c:pt idx="5">
                  <c:v>42562</c:v>
                </c:pt>
                <c:pt idx="6">
                  <c:v>42633</c:v>
                </c:pt>
                <c:pt idx="7">
                  <c:v>42710</c:v>
                </c:pt>
                <c:pt idx="8">
                  <c:v>42781</c:v>
                </c:pt>
                <c:pt idx="9">
                  <c:v>42864</c:v>
                </c:pt>
                <c:pt idx="10">
                  <c:v>42979</c:v>
                </c:pt>
                <c:pt idx="11">
                  <c:v>43024</c:v>
                </c:pt>
                <c:pt idx="12">
                  <c:v>43069</c:v>
                </c:pt>
              </c:numCache>
            </c:numRef>
          </c:xVal>
          <c:yVal>
            <c:numRef>
              <c:f>master!$H$39:$H$51</c:f>
              <c:numCache>
                <c:formatCode>General</c:formatCode>
                <c:ptCount val="13"/>
                <c:pt idx="0">
                  <c:v>1758</c:v>
                </c:pt>
                <c:pt idx="1">
                  <c:v>1763</c:v>
                </c:pt>
                <c:pt idx="2">
                  <c:v>1765</c:v>
                </c:pt>
                <c:pt idx="3">
                  <c:v>1770</c:v>
                </c:pt>
                <c:pt idx="4">
                  <c:v>1918</c:v>
                </c:pt>
                <c:pt idx="5">
                  <c:v>1768</c:v>
                </c:pt>
                <c:pt idx="6">
                  <c:v>1760</c:v>
                </c:pt>
                <c:pt idx="7">
                  <c:v>1774</c:v>
                </c:pt>
                <c:pt idx="8">
                  <c:v>1767</c:v>
                </c:pt>
                <c:pt idx="9">
                  <c:v>1777</c:v>
                </c:pt>
                <c:pt idx="10">
                  <c:v>1777</c:v>
                </c:pt>
                <c:pt idx="11">
                  <c:v>1773</c:v>
                </c:pt>
                <c:pt idx="12">
                  <c:v>1778</c:v>
                </c:pt>
              </c:numCache>
            </c:numRef>
          </c:yVal>
          <c:smooth val="0"/>
          <c:extLst>
            <c:ext xmlns:c16="http://schemas.microsoft.com/office/drawing/2014/chart" uri="{C3380CC4-5D6E-409C-BE32-E72D297353CC}">
              <c16:uniqueId val="{00000003-C22D-794C-95FF-FCC6424411A3}"/>
            </c:ext>
          </c:extLst>
        </c:ser>
        <c:ser>
          <c:idx val="4"/>
          <c:order val="4"/>
          <c:spPr>
            <a:ln w="47625">
              <a:noFill/>
            </a:ln>
            <a:effectLst/>
          </c:spPr>
          <c:marker>
            <c:symbol val="circle"/>
            <c:size val="8"/>
            <c:spPr>
              <a:solidFill>
                <a:srgbClr val="FF6600"/>
              </a:solidFill>
              <a:ln>
                <a:noFill/>
              </a:ln>
              <a:effectLst/>
            </c:spPr>
          </c:marker>
          <c:xVal>
            <c:numRef>
              <c:f>master!$C$54:$C$65</c:f>
              <c:numCache>
                <c:formatCode>m/d/yy</c:formatCode>
                <c:ptCount val="12"/>
                <c:pt idx="0">
                  <c:v>42346</c:v>
                </c:pt>
                <c:pt idx="1">
                  <c:v>42493</c:v>
                </c:pt>
                <c:pt idx="2">
                  <c:v>42493</c:v>
                </c:pt>
                <c:pt idx="3">
                  <c:v>42494</c:v>
                </c:pt>
                <c:pt idx="4">
                  <c:v>42509</c:v>
                </c:pt>
                <c:pt idx="5">
                  <c:v>42564</c:v>
                </c:pt>
                <c:pt idx="6">
                  <c:v>42635</c:v>
                </c:pt>
                <c:pt idx="7">
                  <c:v>42711</c:v>
                </c:pt>
                <c:pt idx="8">
                  <c:v>42780</c:v>
                </c:pt>
                <c:pt idx="9">
                  <c:v>42865</c:v>
                </c:pt>
                <c:pt idx="10">
                  <c:v>42976</c:v>
                </c:pt>
                <c:pt idx="11">
                  <c:v>43067</c:v>
                </c:pt>
              </c:numCache>
            </c:numRef>
          </c:xVal>
          <c:yVal>
            <c:numRef>
              <c:f>master!$H$54:$H$65</c:f>
              <c:numCache>
                <c:formatCode>General</c:formatCode>
                <c:ptCount val="12"/>
                <c:pt idx="0">
                  <c:v>1562</c:v>
                </c:pt>
                <c:pt idx="1">
                  <c:v>1560</c:v>
                </c:pt>
                <c:pt idx="2">
                  <c:v>1559</c:v>
                </c:pt>
                <c:pt idx="3">
                  <c:v>1540</c:v>
                </c:pt>
                <c:pt idx="4">
                  <c:v>1534</c:v>
                </c:pt>
                <c:pt idx="5">
                  <c:v>1542</c:v>
                </c:pt>
                <c:pt idx="6">
                  <c:v>1536</c:v>
                </c:pt>
                <c:pt idx="7">
                  <c:v>1540</c:v>
                </c:pt>
                <c:pt idx="8">
                  <c:v>1540</c:v>
                </c:pt>
                <c:pt idx="9">
                  <c:v>1539</c:v>
                </c:pt>
                <c:pt idx="10">
                  <c:v>1538</c:v>
                </c:pt>
                <c:pt idx="11">
                  <c:v>1544</c:v>
                </c:pt>
              </c:numCache>
            </c:numRef>
          </c:yVal>
          <c:smooth val="0"/>
          <c:extLst>
            <c:ext xmlns:c16="http://schemas.microsoft.com/office/drawing/2014/chart" uri="{C3380CC4-5D6E-409C-BE32-E72D297353CC}">
              <c16:uniqueId val="{00000004-C22D-794C-95FF-FCC6424411A3}"/>
            </c:ext>
          </c:extLst>
        </c:ser>
        <c:ser>
          <c:idx val="5"/>
          <c:order val="5"/>
          <c:spPr>
            <a:ln w="47625">
              <a:noFill/>
            </a:ln>
            <a:effectLst/>
          </c:spPr>
          <c:marker>
            <c:symbol val="circle"/>
            <c:size val="8"/>
            <c:spPr>
              <a:solidFill>
                <a:srgbClr val="FF0000"/>
              </a:solidFill>
              <a:ln>
                <a:noFill/>
              </a:ln>
              <a:effectLst/>
            </c:spPr>
          </c:marker>
          <c:xVal>
            <c:numRef>
              <c:f>master!$C$68:$C$77</c:f>
              <c:numCache>
                <c:formatCode>m/d/yy</c:formatCode>
                <c:ptCount val="10"/>
                <c:pt idx="0">
                  <c:v>42346</c:v>
                </c:pt>
                <c:pt idx="1">
                  <c:v>42494</c:v>
                </c:pt>
                <c:pt idx="2">
                  <c:v>42509</c:v>
                </c:pt>
                <c:pt idx="3">
                  <c:v>42564</c:v>
                </c:pt>
                <c:pt idx="4">
                  <c:v>42635</c:v>
                </c:pt>
                <c:pt idx="5">
                  <c:v>42711</c:v>
                </c:pt>
                <c:pt idx="6">
                  <c:v>42780</c:v>
                </c:pt>
                <c:pt idx="7">
                  <c:v>42866</c:v>
                </c:pt>
                <c:pt idx="8">
                  <c:v>42976</c:v>
                </c:pt>
                <c:pt idx="9">
                  <c:v>43067</c:v>
                </c:pt>
              </c:numCache>
            </c:numRef>
          </c:xVal>
          <c:yVal>
            <c:numRef>
              <c:f>master!$H$68:$H$77</c:f>
              <c:numCache>
                <c:formatCode>General</c:formatCode>
                <c:ptCount val="10"/>
                <c:pt idx="0">
                  <c:v>7894</c:v>
                </c:pt>
                <c:pt idx="1">
                  <c:v>7825</c:v>
                </c:pt>
                <c:pt idx="2">
                  <c:v>7883</c:v>
                </c:pt>
                <c:pt idx="3">
                  <c:v>7875</c:v>
                </c:pt>
                <c:pt idx="4">
                  <c:v>7987</c:v>
                </c:pt>
                <c:pt idx="5">
                  <c:v>7978</c:v>
                </c:pt>
                <c:pt idx="6">
                  <c:v>7937</c:v>
                </c:pt>
                <c:pt idx="7">
                  <c:v>7952</c:v>
                </c:pt>
                <c:pt idx="8">
                  <c:v>7945</c:v>
                </c:pt>
                <c:pt idx="9">
                  <c:v>7974</c:v>
                </c:pt>
              </c:numCache>
            </c:numRef>
          </c:yVal>
          <c:smooth val="0"/>
          <c:extLst>
            <c:ext xmlns:c16="http://schemas.microsoft.com/office/drawing/2014/chart" uri="{C3380CC4-5D6E-409C-BE32-E72D297353CC}">
              <c16:uniqueId val="{00000005-C22D-794C-95FF-FCC6424411A3}"/>
            </c:ext>
          </c:extLst>
        </c:ser>
        <c:dLbls>
          <c:showLegendKey val="0"/>
          <c:showVal val="0"/>
          <c:showCatName val="0"/>
          <c:showSerName val="0"/>
          <c:showPercent val="0"/>
          <c:showBubbleSize val="0"/>
        </c:dLbls>
        <c:axId val="-2124569160"/>
        <c:axId val="-2117100824"/>
      </c:scatterChart>
      <c:valAx>
        <c:axId val="-2124569160"/>
        <c:scaling>
          <c:orientation val="minMax"/>
          <c:max val="43100"/>
          <c:min val="42300"/>
        </c:scaling>
        <c:delete val="0"/>
        <c:axPos val="b"/>
        <c:numFmt formatCode="m/d/yy" sourceLinked="1"/>
        <c:majorTickMark val="out"/>
        <c:minorTickMark val="none"/>
        <c:tickLblPos val="nextTo"/>
        <c:crossAx val="-2117100824"/>
        <c:crosses val="autoZero"/>
        <c:crossBetween val="midCat"/>
      </c:valAx>
      <c:valAx>
        <c:axId val="-2117100824"/>
        <c:scaling>
          <c:orientation val="minMax"/>
        </c:scaling>
        <c:delete val="0"/>
        <c:axPos val="l"/>
        <c:title>
          <c:tx>
            <c:rich>
              <a:bodyPr rot="-5400000" vert="horz"/>
              <a:lstStyle/>
              <a:p>
                <a:pPr>
                  <a:defRPr/>
                </a:pPr>
                <a:r>
                  <a:rPr lang="en-US"/>
                  <a:t>Conductiity</a:t>
                </a:r>
                <a:r>
                  <a:rPr lang="en-US" baseline="0"/>
                  <a:t> (uS)</a:t>
                </a:r>
                <a:endParaRPr lang="en-US"/>
              </a:p>
            </c:rich>
          </c:tx>
          <c:layout>
            <c:manualLayout>
              <c:xMode val="edge"/>
              <c:yMode val="edge"/>
              <c:x val="1.20194975628046E-2"/>
              <c:y val="0.36270443980646999"/>
            </c:manualLayout>
          </c:layout>
          <c:overlay val="0"/>
        </c:title>
        <c:numFmt formatCode="General" sourceLinked="1"/>
        <c:majorTickMark val="out"/>
        <c:minorTickMark val="none"/>
        <c:tickLblPos val="nextTo"/>
        <c:crossAx val="-2124569160"/>
        <c:crosses val="autoZero"/>
        <c:crossBetween val="midCat"/>
      </c:valAx>
      <c:spPr>
        <a:ln>
          <a:solidFill>
            <a:schemeClr val="bg1">
              <a:lumMod val="85000"/>
            </a:schemeClr>
          </a:solidFill>
        </a:ln>
      </c:spPr>
    </c:plotArea>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6"/>
          <c:order val="6"/>
          <c:spPr>
            <a:ln>
              <a:solidFill>
                <a:srgbClr val="3366FF"/>
              </a:solidFill>
            </a:ln>
          </c:spPr>
          <c:xVal>
            <c:numRef>
              <c:f>compelation!$B$5:$G$5</c:f>
              <c:numCache>
                <c:formatCode>m/d/yy</c:formatCode>
                <c:ptCount val="6"/>
                <c:pt idx="0">
                  <c:v>42345</c:v>
                </c:pt>
                <c:pt idx="1">
                  <c:v>42492</c:v>
                </c:pt>
                <c:pt idx="2">
                  <c:v>42508</c:v>
                </c:pt>
                <c:pt idx="3">
                  <c:v>42562</c:v>
                </c:pt>
                <c:pt idx="4">
                  <c:v>42633</c:v>
                </c:pt>
                <c:pt idx="5">
                  <c:v>42713</c:v>
                </c:pt>
              </c:numCache>
            </c:numRef>
          </c:xVal>
          <c:yVal>
            <c:numRef>
              <c:f>compelation!$B$14:$G$14</c:f>
              <c:numCache>
                <c:formatCode>General</c:formatCode>
                <c:ptCount val="6"/>
                <c:pt idx="1">
                  <c:v>0.06</c:v>
                </c:pt>
                <c:pt idx="2">
                  <c:v>0.08</c:v>
                </c:pt>
                <c:pt idx="3">
                  <c:v>0.09</c:v>
                </c:pt>
                <c:pt idx="4">
                  <c:v>0.08</c:v>
                </c:pt>
                <c:pt idx="5">
                  <c:v>7.0000000000000007E-2</c:v>
                </c:pt>
              </c:numCache>
            </c:numRef>
          </c:yVal>
          <c:smooth val="1"/>
          <c:extLst>
            <c:ext xmlns:c16="http://schemas.microsoft.com/office/drawing/2014/chart" uri="{C3380CC4-5D6E-409C-BE32-E72D297353CC}">
              <c16:uniqueId val="{00000000-B4FB-D14F-AB30-6BFA67BFEEA7}"/>
            </c:ext>
          </c:extLst>
        </c:ser>
        <c:ser>
          <c:idx val="7"/>
          <c:order val="7"/>
          <c:spPr>
            <a:ln>
              <a:solidFill>
                <a:srgbClr val="008000"/>
              </a:solidFill>
            </a:ln>
          </c:spPr>
          <c:xVal>
            <c:numRef>
              <c:f>compelation!$M$5:$R$5</c:f>
              <c:numCache>
                <c:formatCode>m/d/yy</c:formatCode>
                <c:ptCount val="6"/>
                <c:pt idx="0">
                  <c:v>42345</c:v>
                </c:pt>
                <c:pt idx="1">
                  <c:v>42492</c:v>
                </c:pt>
                <c:pt idx="2">
                  <c:v>42508</c:v>
                </c:pt>
                <c:pt idx="3">
                  <c:v>42562</c:v>
                </c:pt>
                <c:pt idx="4">
                  <c:v>42633</c:v>
                </c:pt>
                <c:pt idx="5">
                  <c:v>42713</c:v>
                </c:pt>
              </c:numCache>
            </c:numRef>
          </c:xVal>
          <c:yVal>
            <c:numRef>
              <c:f>compelation!$M$14:$R$14</c:f>
              <c:numCache>
                <c:formatCode>General</c:formatCode>
                <c:ptCount val="6"/>
                <c:pt idx="1">
                  <c:v>0</c:v>
                </c:pt>
                <c:pt idx="2">
                  <c:v>0.02</c:v>
                </c:pt>
                <c:pt idx="3">
                  <c:v>0.02</c:v>
                </c:pt>
                <c:pt idx="4">
                  <c:v>0.02</c:v>
                </c:pt>
                <c:pt idx="5">
                  <c:v>0.03</c:v>
                </c:pt>
              </c:numCache>
            </c:numRef>
          </c:yVal>
          <c:smooth val="1"/>
          <c:extLst>
            <c:ext xmlns:c16="http://schemas.microsoft.com/office/drawing/2014/chart" uri="{C3380CC4-5D6E-409C-BE32-E72D297353CC}">
              <c16:uniqueId val="{00000001-B4FB-D14F-AB30-6BFA67BFEEA7}"/>
            </c:ext>
          </c:extLst>
        </c:ser>
        <c:ser>
          <c:idx val="8"/>
          <c:order val="8"/>
          <c:spPr>
            <a:ln>
              <a:solidFill>
                <a:srgbClr val="FFFF00"/>
              </a:solidFill>
            </a:ln>
          </c:spPr>
          <c:xVal>
            <c:numRef>
              <c:f>compelation!$X$5:$AD$5</c:f>
              <c:numCache>
                <c:formatCode>m/d/yy</c:formatCode>
                <c:ptCount val="7"/>
                <c:pt idx="0">
                  <c:v>42347</c:v>
                </c:pt>
                <c:pt idx="1">
                  <c:v>42495</c:v>
                </c:pt>
                <c:pt idx="2">
                  <c:v>42495</c:v>
                </c:pt>
                <c:pt idx="3">
                  <c:v>42506</c:v>
                </c:pt>
                <c:pt idx="4">
                  <c:v>42563</c:v>
                </c:pt>
                <c:pt idx="5">
                  <c:v>42634</c:v>
                </c:pt>
                <c:pt idx="6">
                  <c:v>42712</c:v>
                </c:pt>
              </c:numCache>
            </c:numRef>
          </c:xVal>
          <c:yVal>
            <c:numRef>
              <c:f>compelation!$X$14:$AD$14</c:f>
              <c:numCache>
                <c:formatCode>General</c:formatCode>
                <c:ptCount val="7"/>
                <c:pt idx="1">
                  <c:v>0.27</c:v>
                </c:pt>
                <c:pt idx="2">
                  <c:v>0.22</c:v>
                </c:pt>
                <c:pt idx="3">
                  <c:v>0.24</c:v>
                </c:pt>
                <c:pt idx="4">
                  <c:v>0.21</c:v>
                </c:pt>
                <c:pt idx="5">
                  <c:v>0.31</c:v>
                </c:pt>
                <c:pt idx="6">
                  <c:v>0.28000000000000003</c:v>
                </c:pt>
              </c:numCache>
            </c:numRef>
          </c:yVal>
          <c:smooth val="1"/>
          <c:extLst>
            <c:ext xmlns:c16="http://schemas.microsoft.com/office/drawing/2014/chart" uri="{C3380CC4-5D6E-409C-BE32-E72D297353CC}">
              <c16:uniqueId val="{00000002-B4FB-D14F-AB30-6BFA67BFEEA7}"/>
            </c:ext>
          </c:extLst>
        </c:ser>
        <c:ser>
          <c:idx val="9"/>
          <c:order val="9"/>
          <c:spPr>
            <a:ln>
              <a:solidFill>
                <a:srgbClr val="FF6600"/>
              </a:solidFill>
            </a:ln>
          </c:spPr>
          <c:xVal>
            <c:numRef>
              <c:f>compelation!$AJ$5:$AQ$5</c:f>
              <c:numCache>
                <c:formatCode>m/d/yy</c:formatCode>
                <c:ptCount val="8"/>
                <c:pt idx="0">
                  <c:v>42348</c:v>
                </c:pt>
                <c:pt idx="1">
                  <c:v>42494</c:v>
                </c:pt>
                <c:pt idx="2">
                  <c:v>42507</c:v>
                </c:pt>
                <c:pt idx="3">
                  <c:v>42507</c:v>
                </c:pt>
                <c:pt idx="4">
                  <c:v>42562</c:v>
                </c:pt>
                <c:pt idx="5">
                  <c:v>42562</c:v>
                </c:pt>
                <c:pt idx="6">
                  <c:v>42633</c:v>
                </c:pt>
                <c:pt idx="7">
                  <c:v>42710</c:v>
                </c:pt>
              </c:numCache>
            </c:numRef>
          </c:xVal>
          <c:yVal>
            <c:numRef>
              <c:f>compelation!$AJ$14:$AQ$14</c:f>
              <c:numCache>
                <c:formatCode>General</c:formatCode>
                <c:ptCount val="8"/>
                <c:pt idx="1">
                  <c:v>1.2</c:v>
                </c:pt>
                <c:pt idx="2">
                  <c:v>1.34</c:v>
                </c:pt>
                <c:pt idx="3">
                  <c:v>1.68</c:v>
                </c:pt>
                <c:pt idx="5">
                  <c:v>1.64</c:v>
                </c:pt>
                <c:pt idx="6">
                  <c:v>1.64</c:v>
                </c:pt>
                <c:pt idx="7">
                  <c:v>1.56</c:v>
                </c:pt>
              </c:numCache>
            </c:numRef>
          </c:yVal>
          <c:smooth val="1"/>
          <c:extLst>
            <c:ext xmlns:c16="http://schemas.microsoft.com/office/drawing/2014/chart" uri="{C3380CC4-5D6E-409C-BE32-E72D297353CC}">
              <c16:uniqueId val="{00000003-B4FB-D14F-AB30-6BFA67BFEEA7}"/>
            </c:ext>
          </c:extLst>
        </c:ser>
        <c:ser>
          <c:idx val="10"/>
          <c:order val="10"/>
          <c:spPr>
            <a:ln>
              <a:solidFill>
                <a:srgbClr val="FF0000"/>
              </a:solidFill>
            </a:ln>
          </c:spPr>
          <c:xVal>
            <c:numRef>
              <c:f>compelation!$AW$5:$BD$5</c:f>
              <c:numCache>
                <c:formatCode>m/d/yy</c:formatCode>
                <c:ptCount val="8"/>
                <c:pt idx="0">
                  <c:v>42346</c:v>
                </c:pt>
                <c:pt idx="1">
                  <c:v>42493</c:v>
                </c:pt>
                <c:pt idx="2">
                  <c:v>42493</c:v>
                </c:pt>
                <c:pt idx="3">
                  <c:v>42494</c:v>
                </c:pt>
                <c:pt idx="4">
                  <c:v>42509</c:v>
                </c:pt>
                <c:pt idx="5">
                  <c:v>42564</c:v>
                </c:pt>
                <c:pt idx="6">
                  <c:v>42635</c:v>
                </c:pt>
                <c:pt idx="7">
                  <c:v>42711</c:v>
                </c:pt>
              </c:numCache>
            </c:numRef>
          </c:xVal>
          <c:yVal>
            <c:numRef>
              <c:f>compelation!$AW$14:$BD$14</c:f>
              <c:numCache>
                <c:formatCode>General</c:formatCode>
                <c:ptCount val="8"/>
                <c:pt idx="1">
                  <c:v>0.4</c:v>
                </c:pt>
                <c:pt idx="2">
                  <c:v>0.43</c:v>
                </c:pt>
                <c:pt idx="3">
                  <c:v>0.36</c:v>
                </c:pt>
                <c:pt idx="4">
                  <c:v>0.48</c:v>
                </c:pt>
                <c:pt idx="5">
                  <c:v>0.47</c:v>
                </c:pt>
                <c:pt idx="6">
                  <c:v>0.5</c:v>
                </c:pt>
                <c:pt idx="7">
                  <c:v>0.46</c:v>
                </c:pt>
              </c:numCache>
            </c:numRef>
          </c:yVal>
          <c:smooth val="1"/>
          <c:extLst>
            <c:ext xmlns:c16="http://schemas.microsoft.com/office/drawing/2014/chart" uri="{C3380CC4-5D6E-409C-BE32-E72D297353CC}">
              <c16:uniqueId val="{00000004-B4FB-D14F-AB30-6BFA67BFEEA7}"/>
            </c:ext>
          </c:extLst>
        </c:ser>
        <c:ser>
          <c:idx val="11"/>
          <c:order val="11"/>
          <c:spPr>
            <a:ln>
              <a:solidFill>
                <a:srgbClr val="800000"/>
              </a:solidFill>
            </a:ln>
          </c:spPr>
          <c:xVal>
            <c:numRef>
              <c:f>compelation!$BJ$5:$BO$5</c:f>
              <c:numCache>
                <c:formatCode>m/d/yy</c:formatCode>
                <c:ptCount val="6"/>
                <c:pt idx="0">
                  <c:v>42346</c:v>
                </c:pt>
                <c:pt idx="1">
                  <c:v>42494</c:v>
                </c:pt>
                <c:pt idx="2">
                  <c:v>42509</c:v>
                </c:pt>
                <c:pt idx="3">
                  <c:v>42564</c:v>
                </c:pt>
                <c:pt idx="4">
                  <c:v>42635</c:v>
                </c:pt>
                <c:pt idx="5">
                  <c:v>42711</c:v>
                </c:pt>
              </c:numCache>
            </c:numRef>
          </c:xVal>
          <c:yVal>
            <c:numRef>
              <c:f>compelation!$BJ$14:$BO$14</c:f>
              <c:numCache>
                <c:formatCode>General</c:formatCode>
                <c:ptCount val="6"/>
                <c:pt idx="1">
                  <c:v>0.12</c:v>
                </c:pt>
                <c:pt idx="2">
                  <c:v>0.13</c:v>
                </c:pt>
                <c:pt idx="3">
                  <c:v>0.13</c:v>
                </c:pt>
                <c:pt idx="4">
                  <c:v>0.06</c:v>
                </c:pt>
                <c:pt idx="5">
                  <c:v>0.08</c:v>
                </c:pt>
              </c:numCache>
            </c:numRef>
          </c:yVal>
          <c:smooth val="1"/>
          <c:extLst>
            <c:ext xmlns:c16="http://schemas.microsoft.com/office/drawing/2014/chart" uri="{C3380CC4-5D6E-409C-BE32-E72D297353CC}">
              <c16:uniqueId val="{00000005-B4FB-D14F-AB30-6BFA67BFEEA7}"/>
            </c:ext>
          </c:extLst>
        </c:ser>
        <c:ser>
          <c:idx val="0"/>
          <c:order val="0"/>
          <c:spPr>
            <a:ln>
              <a:solidFill>
                <a:srgbClr val="3366FF"/>
              </a:solidFill>
            </a:ln>
          </c:spPr>
          <c:marker>
            <c:spPr>
              <a:solidFill>
                <a:srgbClr val="3366FF"/>
              </a:solidFill>
              <a:ln>
                <a:solidFill>
                  <a:srgbClr val="3366FF"/>
                </a:solidFill>
              </a:ln>
            </c:spPr>
          </c:marker>
          <c:xVal>
            <c:numRef>
              <c:f>compelation!$B$5:$H$5</c:f>
              <c:numCache>
                <c:formatCode>m/d/yy</c:formatCode>
                <c:ptCount val="7"/>
                <c:pt idx="0">
                  <c:v>42345</c:v>
                </c:pt>
                <c:pt idx="1">
                  <c:v>42492</c:v>
                </c:pt>
                <c:pt idx="2">
                  <c:v>42508</c:v>
                </c:pt>
                <c:pt idx="3">
                  <c:v>42562</c:v>
                </c:pt>
                <c:pt idx="4">
                  <c:v>42633</c:v>
                </c:pt>
                <c:pt idx="5">
                  <c:v>42713</c:v>
                </c:pt>
                <c:pt idx="6">
                  <c:v>42781</c:v>
                </c:pt>
              </c:numCache>
            </c:numRef>
          </c:xVal>
          <c:yVal>
            <c:numRef>
              <c:f>compelation!$B$14:$H$14</c:f>
              <c:numCache>
                <c:formatCode>General</c:formatCode>
                <c:ptCount val="7"/>
                <c:pt idx="1">
                  <c:v>0.06</c:v>
                </c:pt>
                <c:pt idx="2">
                  <c:v>0.08</c:v>
                </c:pt>
                <c:pt idx="3">
                  <c:v>0.09</c:v>
                </c:pt>
                <c:pt idx="4">
                  <c:v>0.08</c:v>
                </c:pt>
                <c:pt idx="5">
                  <c:v>7.0000000000000007E-2</c:v>
                </c:pt>
                <c:pt idx="6">
                  <c:v>0.06</c:v>
                </c:pt>
              </c:numCache>
            </c:numRef>
          </c:yVal>
          <c:smooth val="1"/>
          <c:extLst>
            <c:ext xmlns:c16="http://schemas.microsoft.com/office/drawing/2014/chart" uri="{C3380CC4-5D6E-409C-BE32-E72D297353CC}">
              <c16:uniqueId val="{00000006-B4FB-D14F-AB30-6BFA67BFEEA7}"/>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compelation!$M$14:$S$14</c:f>
              <c:numCache>
                <c:formatCode>General</c:formatCode>
                <c:ptCount val="7"/>
                <c:pt idx="1">
                  <c:v>0</c:v>
                </c:pt>
                <c:pt idx="2">
                  <c:v>0.02</c:v>
                </c:pt>
                <c:pt idx="3">
                  <c:v>0.02</c:v>
                </c:pt>
                <c:pt idx="4">
                  <c:v>0.02</c:v>
                </c:pt>
                <c:pt idx="5">
                  <c:v>0.03</c:v>
                </c:pt>
                <c:pt idx="6">
                  <c:v>0.02</c:v>
                </c:pt>
              </c:numCache>
            </c:numRef>
          </c:yVal>
          <c:smooth val="1"/>
          <c:extLst>
            <c:ext xmlns:c16="http://schemas.microsoft.com/office/drawing/2014/chart" uri="{C3380CC4-5D6E-409C-BE32-E72D297353CC}">
              <c16:uniqueId val="{00000007-B4FB-D14F-AB30-6BFA67BFEEA7}"/>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compelation!$X$14:$AE$14</c:f>
              <c:numCache>
                <c:formatCode>General</c:formatCode>
                <c:ptCount val="8"/>
                <c:pt idx="1">
                  <c:v>0.27</c:v>
                </c:pt>
                <c:pt idx="2">
                  <c:v>0.22</c:v>
                </c:pt>
                <c:pt idx="3">
                  <c:v>0.24</c:v>
                </c:pt>
                <c:pt idx="4">
                  <c:v>0.21</c:v>
                </c:pt>
                <c:pt idx="5">
                  <c:v>0.31</c:v>
                </c:pt>
                <c:pt idx="6">
                  <c:v>0.28000000000000003</c:v>
                </c:pt>
                <c:pt idx="7">
                  <c:v>0.2</c:v>
                </c:pt>
              </c:numCache>
            </c:numRef>
          </c:yVal>
          <c:smooth val="1"/>
          <c:extLst>
            <c:ext xmlns:c16="http://schemas.microsoft.com/office/drawing/2014/chart" uri="{C3380CC4-5D6E-409C-BE32-E72D297353CC}">
              <c16:uniqueId val="{00000008-B4FB-D14F-AB30-6BFA67BFEEA7}"/>
            </c:ext>
          </c:extLst>
        </c:ser>
        <c:ser>
          <c:idx val="3"/>
          <c:order val="3"/>
          <c:spPr>
            <a:ln>
              <a:solidFill>
                <a:srgbClr val="FF6600"/>
              </a:solidFill>
            </a:ln>
          </c:spPr>
          <c:marker>
            <c:spPr>
              <a:solidFill>
                <a:srgbClr val="FF6600"/>
              </a:solidFill>
              <a:ln>
                <a:solidFill>
                  <a:srgbClr val="FF6600"/>
                </a:solidFill>
              </a:ln>
            </c:spPr>
          </c:marker>
          <c:xVal>
            <c:numRef>
              <c:f>compelation!$AJ$5:$AR$5</c:f>
              <c:numCache>
                <c:formatCode>m/d/yy</c:formatCode>
                <c:ptCount val="9"/>
                <c:pt idx="0">
                  <c:v>42348</c:v>
                </c:pt>
                <c:pt idx="1">
                  <c:v>42494</c:v>
                </c:pt>
                <c:pt idx="2">
                  <c:v>42507</c:v>
                </c:pt>
                <c:pt idx="3">
                  <c:v>42507</c:v>
                </c:pt>
                <c:pt idx="4">
                  <c:v>42562</c:v>
                </c:pt>
                <c:pt idx="5">
                  <c:v>42562</c:v>
                </c:pt>
                <c:pt idx="6">
                  <c:v>42633</c:v>
                </c:pt>
                <c:pt idx="7">
                  <c:v>42710</c:v>
                </c:pt>
                <c:pt idx="8">
                  <c:v>42781</c:v>
                </c:pt>
              </c:numCache>
            </c:numRef>
          </c:xVal>
          <c:yVal>
            <c:numRef>
              <c:f>compelation!$AJ$14:$AR$14</c:f>
              <c:numCache>
                <c:formatCode>General</c:formatCode>
                <c:ptCount val="9"/>
                <c:pt idx="1">
                  <c:v>1.2</c:v>
                </c:pt>
                <c:pt idx="2">
                  <c:v>1.34</c:v>
                </c:pt>
                <c:pt idx="3">
                  <c:v>1.68</c:v>
                </c:pt>
                <c:pt idx="5">
                  <c:v>1.64</c:v>
                </c:pt>
                <c:pt idx="6">
                  <c:v>1.64</c:v>
                </c:pt>
                <c:pt idx="7">
                  <c:v>1.56</c:v>
                </c:pt>
                <c:pt idx="8">
                  <c:v>1.24</c:v>
                </c:pt>
              </c:numCache>
            </c:numRef>
          </c:yVal>
          <c:smooth val="1"/>
          <c:extLst>
            <c:ext xmlns:c16="http://schemas.microsoft.com/office/drawing/2014/chart" uri="{C3380CC4-5D6E-409C-BE32-E72D297353CC}">
              <c16:uniqueId val="{00000009-B4FB-D14F-AB30-6BFA67BFEEA7}"/>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compelation!$AW$14:$BE$14</c:f>
              <c:numCache>
                <c:formatCode>General</c:formatCode>
                <c:ptCount val="9"/>
                <c:pt idx="1">
                  <c:v>0.4</c:v>
                </c:pt>
                <c:pt idx="2">
                  <c:v>0.43</c:v>
                </c:pt>
                <c:pt idx="3">
                  <c:v>0.36</c:v>
                </c:pt>
                <c:pt idx="4">
                  <c:v>0.48</c:v>
                </c:pt>
                <c:pt idx="5">
                  <c:v>0.47</c:v>
                </c:pt>
                <c:pt idx="6">
                  <c:v>0.5</c:v>
                </c:pt>
                <c:pt idx="7">
                  <c:v>0.46</c:v>
                </c:pt>
                <c:pt idx="8">
                  <c:v>0.49</c:v>
                </c:pt>
              </c:numCache>
            </c:numRef>
          </c:yVal>
          <c:smooth val="1"/>
          <c:extLst>
            <c:ext xmlns:c16="http://schemas.microsoft.com/office/drawing/2014/chart" uri="{C3380CC4-5D6E-409C-BE32-E72D297353CC}">
              <c16:uniqueId val="{0000000A-B4FB-D14F-AB30-6BFA67BFEEA7}"/>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compelation!$BJ$14:$BP$14</c:f>
              <c:numCache>
                <c:formatCode>General</c:formatCode>
                <c:ptCount val="7"/>
                <c:pt idx="1">
                  <c:v>0.12</c:v>
                </c:pt>
                <c:pt idx="2">
                  <c:v>0.13</c:v>
                </c:pt>
                <c:pt idx="3">
                  <c:v>0.13</c:v>
                </c:pt>
                <c:pt idx="4">
                  <c:v>0.06</c:v>
                </c:pt>
                <c:pt idx="5">
                  <c:v>0.08</c:v>
                </c:pt>
                <c:pt idx="6">
                  <c:v>0.08</c:v>
                </c:pt>
              </c:numCache>
            </c:numRef>
          </c:yVal>
          <c:smooth val="1"/>
          <c:extLst>
            <c:ext xmlns:c16="http://schemas.microsoft.com/office/drawing/2014/chart" uri="{C3380CC4-5D6E-409C-BE32-E72D297353CC}">
              <c16:uniqueId val="{0000000B-B4FB-D14F-AB30-6BFA67BFEEA7}"/>
            </c:ext>
          </c:extLst>
        </c:ser>
        <c:dLbls>
          <c:showLegendKey val="0"/>
          <c:showVal val="0"/>
          <c:showCatName val="0"/>
          <c:showSerName val="0"/>
          <c:showPercent val="0"/>
          <c:showBubbleSize val="0"/>
        </c:dLbls>
        <c:axId val="-2086896936"/>
        <c:axId val="-2086827544"/>
      </c:scatterChart>
      <c:valAx>
        <c:axId val="-2086896936"/>
        <c:scaling>
          <c:orientation val="minMax"/>
          <c:min val="42400"/>
        </c:scaling>
        <c:delete val="0"/>
        <c:axPos val="t"/>
        <c:numFmt formatCode="m/d/yy" sourceLinked="1"/>
        <c:majorTickMark val="out"/>
        <c:minorTickMark val="none"/>
        <c:tickLblPos val="nextTo"/>
        <c:crossAx val="-2086827544"/>
        <c:crosses val="max"/>
        <c:crossBetween val="midCat"/>
        <c:majorUnit val="100"/>
      </c:valAx>
      <c:valAx>
        <c:axId val="-2086827544"/>
        <c:scaling>
          <c:orientation val="minMax"/>
        </c:scaling>
        <c:delete val="0"/>
        <c:axPos val="l"/>
        <c:majorGridlines/>
        <c:title>
          <c:tx>
            <c:rich>
              <a:bodyPr rot="-5400000" vert="horz"/>
              <a:lstStyle/>
              <a:p>
                <a:pPr>
                  <a:defRPr/>
                </a:pPr>
                <a:r>
                  <a:rPr lang="en-US"/>
                  <a:t>Ammonia (mg/L)</a:t>
                </a:r>
              </a:p>
            </c:rich>
          </c:tx>
          <c:overlay val="0"/>
        </c:title>
        <c:numFmt formatCode="General" sourceLinked="1"/>
        <c:majorTickMark val="out"/>
        <c:minorTickMark val="none"/>
        <c:tickLblPos val="nextTo"/>
        <c:crossAx val="-2086896936"/>
        <c:crosses val="autoZero"/>
        <c:crossBetween val="midCat"/>
      </c:valAx>
    </c:plotArea>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compelation!$B$5:$G$5</c:f>
              <c:numCache>
                <c:formatCode>m/d/yy</c:formatCode>
                <c:ptCount val="6"/>
                <c:pt idx="0">
                  <c:v>42345</c:v>
                </c:pt>
                <c:pt idx="1">
                  <c:v>42492</c:v>
                </c:pt>
                <c:pt idx="2">
                  <c:v>42508</c:v>
                </c:pt>
                <c:pt idx="3">
                  <c:v>42562</c:v>
                </c:pt>
                <c:pt idx="4">
                  <c:v>42633</c:v>
                </c:pt>
                <c:pt idx="5">
                  <c:v>42713</c:v>
                </c:pt>
              </c:numCache>
            </c:numRef>
          </c:xVal>
          <c:yVal>
            <c:numRef>
              <c:f>compelation!$B$16:$G$16</c:f>
              <c:numCache>
                <c:formatCode>General</c:formatCode>
                <c:ptCount val="6"/>
                <c:pt idx="1">
                  <c:v>8</c:v>
                </c:pt>
                <c:pt idx="2">
                  <c:v>0</c:v>
                </c:pt>
                <c:pt idx="3">
                  <c:v>0</c:v>
                </c:pt>
                <c:pt idx="4">
                  <c:v>0</c:v>
                </c:pt>
                <c:pt idx="5">
                  <c:v>0</c:v>
                </c:pt>
              </c:numCache>
            </c:numRef>
          </c:yVal>
          <c:smooth val="1"/>
          <c:extLst>
            <c:ext xmlns:c16="http://schemas.microsoft.com/office/drawing/2014/chart" uri="{C3380CC4-5D6E-409C-BE32-E72D297353CC}">
              <c16:uniqueId val="{00000000-3941-9148-B6AD-80900E035FB4}"/>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compelation!$M$16:$S$16</c:f>
              <c:numCache>
                <c:formatCode>General</c:formatCode>
                <c:ptCount val="7"/>
                <c:pt idx="1">
                  <c:v>62</c:v>
                </c:pt>
                <c:pt idx="2">
                  <c:v>7</c:v>
                </c:pt>
                <c:pt idx="3">
                  <c:v>16</c:v>
                </c:pt>
                <c:pt idx="4">
                  <c:v>32</c:v>
                </c:pt>
                <c:pt idx="5">
                  <c:v>29</c:v>
                </c:pt>
                <c:pt idx="6">
                  <c:v>16</c:v>
                </c:pt>
              </c:numCache>
            </c:numRef>
          </c:yVal>
          <c:smooth val="1"/>
          <c:extLst>
            <c:ext xmlns:c16="http://schemas.microsoft.com/office/drawing/2014/chart" uri="{C3380CC4-5D6E-409C-BE32-E72D297353CC}">
              <c16:uniqueId val="{00000001-3941-9148-B6AD-80900E035FB4}"/>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compelation!$X$16:$AE$16</c:f>
              <c:numCache>
                <c:formatCode>General</c:formatCode>
                <c:ptCount val="8"/>
                <c:pt idx="1">
                  <c:v>14</c:v>
                </c:pt>
                <c:pt idx="2">
                  <c:v>0</c:v>
                </c:pt>
                <c:pt idx="3">
                  <c:v>7</c:v>
                </c:pt>
                <c:pt idx="4">
                  <c:v>0</c:v>
                </c:pt>
                <c:pt idx="5">
                  <c:v>8</c:v>
                </c:pt>
                <c:pt idx="6">
                  <c:v>0</c:v>
                </c:pt>
                <c:pt idx="7">
                  <c:v>14</c:v>
                </c:pt>
              </c:numCache>
            </c:numRef>
          </c:yVal>
          <c:smooth val="1"/>
          <c:extLst>
            <c:ext xmlns:c16="http://schemas.microsoft.com/office/drawing/2014/chart" uri="{C3380CC4-5D6E-409C-BE32-E72D297353CC}">
              <c16:uniqueId val="{00000002-3941-9148-B6AD-80900E035FB4}"/>
            </c:ext>
          </c:extLst>
        </c:ser>
        <c:ser>
          <c:idx val="3"/>
          <c:order val="3"/>
          <c:spPr>
            <a:ln>
              <a:solidFill>
                <a:srgbClr val="FF6600"/>
              </a:solidFill>
            </a:ln>
          </c:spPr>
          <c:marker>
            <c:spPr>
              <a:solidFill>
                <a:srgbClr val="FF6600"/>
              </a:solidFill>
              <a:ln>
                <a:solidFill>
                  <a:srgbClr val="FF6600"/>
                </a:solidFill>
              </a:ln>
            </c:spPr>
          </c:marker>
          <c:xVal>
            <c:numRef>
              <c:f>compelation!$AJ$5:$AR$5</c:f>
              <c:numCache>
                <c:formatCode>m/d/yy</c:formatCode>
                <c:ptCount val="9"/>
                <c:pt idx="0">
                  <c:v>42348</c:v>
                </c:pt>
                <c:pt idx="1">
                  <c:v>42494</c:v>
                </c:pt>
                <c:pt idx="2">
                  <c:v>42507</c:v>
                </c:pt>
                <c:pt idx="3">
                  <c:v>42507</c:v>
                </c:pt>
                <c:pt idx="4">
                  <c:v>42562</c:v>
                </c:pt>
                <c:pt idx="5">
                  <c:v>42562</c:v>
                </c:pt>
                <c:pt idx="6">
                  <c:v>42633</c:v>
                </c:pt>
                <c:pt idx="7">
                  <c:v>42710</c:v>
                </c:pt>
                <c:pt idx="8">
                  <c:v>42781</c:v>
                </c:pt>
              </c:numCache>
            </c:numRef>
          </c:xVal>
          <c:yVal>
            <c:numRef>
              <c:f>compelation!$AJ$16:$AR$16</c:f>
              <c:numCache>
                <c:formatCode>General</c:formatCode>
                <c:ptCount val="9"/>
                <c:pt idx="1">
                  <c:v>978</c:v>
                </c:pt>
                <c:pt idx="2">
                  <c:v>1264</c:v>
                </c:pt>
                <c:pt idx="3">
                  <c:v>1080</c:v>
                </c:pt>
                <c:pt idx="5">
                  <c:v>546</c:v>
                </c:pt>
                <c:pt idx="6">
                  <c:v>992</c:v>
                </c:pt>
                <c:pt idx="7">
                  <c:v>537</c:v>
                </c:pt>
                <c:pt idx="8">
                  <c:v>864</c:v>
                </c:pt>
              </c:numCache>
            </c:numRef>
          </c:yVal>
          <c:smooth val="1"/>
          <c:extLst>
            <c:ext xmlns:c16="http://schemas.microsoft.com/office/drawing/2014/chart" uri="{C3380CC4-5D6E-409C-BE32-E72D297353CC}">
              <c16:uniqueId val="{00000003-3941-9148-B6AD-80900E035FB4}"/>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compelation!$AW$16:$BE$16</c:f>
              <c:numCache>
                <c:formatCode>General</c:formatCode>
                <c:ptCount val="9"/>
                <c:pt idx="1">
                  <c:v>268</c:v>
                </c:pt>
                <c:pt idx="2">
                  <c:v>196</c:v>
                </c:pt>
                <c:pt idx="3">
                  <c:v>218</c:v>
                </c:pt>
                <c:pt idx="4">
                  <c:v>354</c:v>
                </c:pt>
                <c:pt idx="5">
                  <c:v>336</c:v>
                </c:pt>
                <c:pt idx="6">
                  <c:v>397</c:v>
                </c:pt>
                <c:pt idx="7">
                  <c:v>329</c:v>
                </c:pt>
                <c:pt idx="8">
                  <c:v>336</c:v>
                </c:pt>
              </c:numCache>
            </c:numRef>
          </c:yVal>
          <c:smooth val="1"/>
          <c:extLst>
            <c:ext xmlns:c16="http://schemas.microsoft.com/office/drawing/2014/chart" uri="{C3380CC4-5D6E-409C-BE32-E72D297353CC}">
              <c16:uniqueId val="{00000004-3941-9148-B6AD-80900E035FB4}"/>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compelation!$BJ$16:$BP$16</c:f>
              <c:numCache>
                <c:formatCode>General</c:formatCode>
                <c:ptCount val="7"/>
                <c:pt idx="1">
                  <c:v>61</c:v>
                </c:pt>
                <c:pt idx="2">
                  <c:v>86</c:v>
                </c:pt>
                <c:pt idx="3">
                  <c:v>98</c:v>
                </c:pt>
                <c:pt idx="4">
                  <c:v>73</c:v>
                </c:pt>
                <c:pt idx="5">
                  <c:v>55</c:v>
                </c:pt>
                <c:pt idx="6">
                  <c:v>74</c:v>
                </c:pt>
              </c:numCache>
            </c:numRef>
          </c:yVal>
          <c:smooth val="1"/>
          <c:extLst>
            <c:ext xmlns:c16="http://schemas.microsoft.com/office/drawing/2014/chart" uri="{C3380CC4-5D6E-409C-BE32-E72D297353CC}">
              <c16:uniqueId val="{00000005-3941-9148-B6AD-80900E035FB4}"/>
            </c:ext>
          </c:extLst>
        </c:ser>
        <c:dLbls>
          <c:showLegendKey val="0"/>
          <c:showVal val="0"/>
          <c:showCatName val="0"/>
          <c:showSerName val="0"/>
          <c:showPercent val="0"/>
          <c:showBubbleSize val="0"/>
        </c:dLbls>
        <c:axId val="-2088256696"/>
        <c:axId val="-2088251672"/>
      </c:scatterChart>
      <c:valAx>
        <c:axId val="-2088256696"/>
        <c:scaling>
          <c:orientation val="minMax"/>
          <c:min val="42400"/>
        </c:scaling>
        <c:delete val="0"/>
        <c:axPos val="t"/>
        <c:numFmt formatCode="m/d/yy" sourceLinked="1"/>
        <c:majorTickMark val="out"/>
        <c:minorTickMark val="none"/>
        <c:tickLblPos val="nextTo"/>
        <c:crossAx val="-2088251672"/>
        <c:crosses val="max"/>
        <c:crossBetween val="midCat"/>
        <c:majorUnit val="100"/>
      </c:valAx>
      <c:valAx>
        <c:axId val="-2088251672"/>
        <c:scaling>
          <c:orientation val="minMax"/>
        </c:scaling>
        <c:delete val="0"/>
        <c:axPos val="l"/>
        <c:majorGridlines/>
        <c:title>
          <c:tx>
            <c:rich>
              <a:bodyPr rot="-5400000" vert="horz"/>
              <a:lstStyle/>
              <a:p>
                <a:pPr>
                  <a:defRPr/>
                </a:pPr>
                <a:r>
                  <a:rPr lang="en-US"/>
                  <a:t>Sulfide (ug/L)</a:t>
                </a:r>
              </a:p>
            </c:rich>
          </c:tx>
          <c:overlay val="0"/>
        </c:title>
        <c:numFmt formatCode="General" sourceLinked="1"/>
        <c:majorTickMark val="out"/>
        <c:minorTickMark val="none"/>
        <c:tickLblPos val="nextTo"/>
        <c:crossAx val="-2088256696"/>
        <c:crosses val="autoZero"/>
        <c:crossBetween val="midCat"/>
      </c:valAx>
    </c:plotArea>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a:solidFill>
                <a:srgbClr val="3366FF"/>
              </a:solidFill>
            </a:ln>
          </c:spPr>
          <c:marker>
            <c:spPr>
              <a:solidFill>
                <a:srgbClr val="3366FF"/>
              </a:solidFill>
              <a:ln>
                <a:solidFill>
                  <a:srgbClr val="3366FF"/>
                </a:solidFill>
              </a:ln>
            </c:spPr>
          </c:marker>
          <c:xVal>
            <c:numRef>
              <c:f>compelation!$B$5:$H$5</c:f>
              <c:numCache>
                <c:formatCode>m/d/yy</c:formatCode>
                <c:ptCount val="7"/>
                <c:pt idx="0">
                  <c:v>42345</c:v>
                </c:pt>
                <c:pt idx="1">
                  <c:v>42492</c:v>
                </c:pt>
                <c:pt idx="2">
                  <c:v>42508</c:v>
                </c:pt>
                <c:pt idx="3">
                  <c:v>42562</c:v>
                </c:pt>
                <c:pt idx="4">
                  <c:v>42633</c:v>
                </c:pt>
                <c:pt idx="5">
                  <c:v>42713</c:v>
                </c:pt>
                <c:pt idx="6">
                  <c:v>42781</c:v>
                </c:pt>
              </c:numCache>
            </c:numRef>
          </c:xVal>
          <c:yVal>
            <c:numRef>
              <c:f>compelation!$B$10:$H$10</c:f>
              <c:numCache>
                <c:formatCode>General</c:formatCode>
                <c:ptCount val="7"/>
                <c:pt idx="0">
                  <c:v>-99</c:v>
                </c:pt>
                <c:pt idx="1">
                  <c:v>-113</c:v>
                </c:pt>
                <c:pt idx="2">
                  <c:v>-132</c:v>
                </c:pt>
                <c:pt idx="3">
                  <c:v>-42</c:v>
                </c:pt>
                <c:pt idx="4">
                  <c:v>-59</c:v>
                </c:pt>
                <c:pt idx="5">
                  <c:v>-96</c:v>
                </c:pt>
                <c:pt idx="6">
                  <c:v>-120</c:v>
                </c:pt>
              </c:numCache>
            </c:numRef>
          </c:yVal>
          <c:smooth val="1"/>
          <c:extLst>
            <c:ext xmlns:c16="http://schemas.microsoft.com/office/drawing/2014/chart" uri="{C3380CC4-5D6E-409C-BE32-E72D297353CC}">
              <c16:uniqueId val="{00000000-83A8-0D4F-87E4-D5309A905442}"/>
            </c:ext>
          </c:extLst>
        </c:ser>
        <c:ser>
          <c:idx val="1"/>
          <c:order val="1"/>
          <c:spPr>
            <a:ln>
              <a:solidFill>
                <a:srgbClr val="008000"/>
              </a:solidFill>
            </a:ln>
          </c:spPr>
          <c:marker>
            <c:spPr>
              <a:solidFill>
                <a:srgbClr val="008000"/>
              </a:solidFill>
              <a:ln>
                <a:solidFill>
                  <a:srgbClr val="008000"/>
                </a:solidFill>
              </a:ln>
            </c:spPr>
          </c:marker>
          <c:xVal>
            <c:numRef>
              <c:f>compelation!$M$5:$S$5</c:f>
              <c:numCache>
                <c:formatCode>m/d/yy</c:formatCode>
                <c:ptCount val="7"/>
                <c:pt idx="0">
                  <c:v>42345</c:v>
                </c:pt>
                <c:pt idx="1">
                  <c:v>42492</c:v>
                </c:pt>
                <c:pt idx="2">
                  <c:v>42508</c:v>
                </c:pt>
                <c:pt idx="3">
                  <c:v>42562</c:v>
                </c:pt>
                <c:pt idx="4">
                  <c:v>42633</c:v>
                </c:pt>
                <c:pt idx="5">
                  <c:v>42713</c:v>
                </c:pt>
                <c:pt idx="6">
                  <c:v>42781</c:v>
                </c:pt>
              </c:numCache>
            </c:numRef>
          </c:xVal>
          <c:yVal>
            <c:numRef>
              <c:f>compelation!$M$10:$S$10</c:f>
              <c:numCache>
                <c:formatCode>General</c:formatCode>
                <c:ptCount val="7"/>
                <c:pt idx="0">
                  <c:v>-192</c:v>
                </c:pt>
                <c:pt idx="2">
                  <c:v>-101</c:v>
                </c:pt>
                <c:pt idx="3">
                  <c:v>-150</c:v>
                </c:pt>
                <c:pt idx="4">
                  <c:v>-98</c:v>
                </c:pt>
                <c:pt idx="5">
                  <c:v>-93</c:v>
                </c:pt>
                <c:pt idx="6">
                  <c:v>-97</c:v>
                </c:pt>
              </c:numCache>
            </c:numRef>
          </c:yVal>
          <c:smooth val="1"/>
          <c:extLst>
            <c:ext xmlns:c16="http://schemas.microsoft.com/office/drawing/2014/chart" uri="{C3380CC4-5D6E-409C-BE32-E72D297353CC}">
              <c16:uniqueId val="{00000001-83A8-0D4F-87E4-D5309A905442}"/>
            </c:ext>
          </c:extLst>
        </c:ser>
        <c:ser>
          <c:idx val="2"/>
          <c:order val="2"/>
          <c:spPr>
            <a:ln>
              <a:solidFill>
                <a:srgbClr val="FFFF00"/>
              </a:solidFill>
            </a:ln>
          </c:spPr>
          <c:marker>
            <c:spPr>
              <a:solidFill>
                <a:srgbClr val="FFFF00"/>
              </a:solidFill>
              <a:ln>
                <a:solidFill>
                  <a:srgbClr val="FFFF00"/>
                </a:solidFill>
              </a:ln>
            </c:spPr>
          </c:marker>
          <c:xVal>
            <c:numRef>
              <c:f>compelation!$X$5:$AE$5</c:f>
              <c:numCache>
                <c:formatCode>m/d/yy</c:formatCode>
                <c:ptCount val="8"/>
                <c:pt idx="0">
                  <c:v>42347</c:v>
                </c:pt>
                <c:pt idx="1">
                  <c:v>42495</c:v>
                </c:pt>
                <c:pt idx="2">
                  <c:v>42495</c:v>
                </c:pt>
                <c:pt idx="3">
                  <c:v>42506</c:v>
                </c:pt>
                <c:pt idx="4">
                  <c:v>42563</c:v>
                </c:pt>
                <c:pt idx="5">
                  <c:v>42634</c:v>
                </c:pt>
                <c:pt idx="6">
                  <c:v>42712</c:v>
                </c:pt>
                <c:pt idx="7">
                  <c:v>42782</c:v>
                </c:pt>
              </c:numCache>
            </c:numRef>
          </c:xVal>
          <c:yVal>
            <c:numRef>
              <c:f>compelation!$X$10:$AE$10</c:f>
              <c:numCache>
                <c:formatCode>General</c:formatCode>
                <c:ptCount val="8"/>
                <c:pt idx="0">
                  <c:v>-20</c:v>
                </c:pt>
                <c:pt idx="1">
                  <c:v>-53</c:v>
                </c:pt>
                <c:pt idx="2">
                  <c:v>-22</c:v>
                </c:pt>
                <c:pt idx="3">
                  <c:v>14</c:v>
                </c:pt>
                <c:pt idx="4">
                  <c:v>52</c:v>
                </c:pt>
                <c:pt idx="5">
                  <c:v>-42</c:v>
                </c:pt>
                <c:pt idx="6">
                  <c:v>-30</c:v>
                </c:pt>
                <c:pt idx="7">
                  <c:v>-57</c:v>
                </c:pt>
              </c:numCache>
            </c:numRef>
          </c:yVal>
          <c:smooth val="1"/>
          <c:extLst>
            <c:ext xmlns:c16="http://schemas.microsoft.com/office/drawing/2014/chart" uri="{C3380CC4-5D6E-409C-BE32-E72D297353CC}">
              <c16:uniqueId val="{00000002-83A8-0D4F-87E4-D5309A905442}"/>
            </c:ext>
          </c:extLst>
        </c:ser>
        <c:ser>
          <c:idx val="3"/>
          <c:order val="3"/>
          <c:spPr>
            <a:ln>
              <a:solidFill>
                <a:srgbClr val="FF6600"/>
              </a:solidFill>
            </a:ln>
          </c:spPr>
          <c:marker>
            <c:spPr>
              <a:solidFill>
                <a:srgbClr val="FF6600"/>
              </a:solidFill>
              <a:ln>
                <a:solidFill>
                  <a:srgbClr val="FF6600"/>
                </a:solidFill>
              </a:ln>
            </c:spPr>
          </c:marker>
          <c:xVal>
            <c:numRef>
              <c:f>compelation!$AJ$5:$AR$5</c:f>
              <c:numCache>
                <c:formatCode>m/d/yy</c:formatCode>
                <c:ptCount val="9"/>
                <c:pt idx="0">
                  <c:v>42348</c:v>
                </c:pt>
                <c:pt idx="1">
                  <c:v>42494</c:v>
                </c:pt>
                <c:pt idx="2">
                  <c:v>42507</c:v>
                </c:pt>
                <c:pt idx="3">
                  <c:v>42507</c:v>
                </c:pt>
                <c:pt idx="4">
                  <c:v>42562</c:v>
                </c:pt>
                <c:pt idx="5">
                  <c:v>42562</c:v>
                </c:pt>
                <c:pt idx="6">
                  <c:v>42633</c:v>
                </c:pt>
                <c:pt idx="7">
                  <c:v>42710</c:v>
                </c:pt>
                <c:pt idx="8">
                  <c:v>42781</c:v>
                </c:pt>
              </c:numCache>
            </c:numRef>
          </c:xVal>
          <c:yVal>
            <c:numRef>
              <c:f>compelation!$AJ$10:$AR$10</c:f>
              <c:numCache>
                <c:formatCode>General</c:formatCode>
                <c:ptCount val="9"/>
                <c:pt idx="0">
                  <c:v>-276</c:v>
                </c:pt>
                <c:pt idx="1">
                  <c:v>-241</c:v>
                </c:pt>
                <c:pt idx="2">
                  <c:v>-171</c:v>
                </c:pt>
                <c:pt idx="3">
                  <c:v>-163</c:v>
                </c:pt>
                <c:pt idx="4">
                  <c:v>-169</c:v>
                </c:pt>
                <c:pt idx="5">
                  <c:v>-250</c:v>
                </c:pt>
                <c:pt idx="6">
                  <c:v>-254</c:v>
                </c:pt>
                <c:pt idx="7">
                  <c:v>-278</c:v>
                </c:pt>
                <c:pt idx="8">
                  <c:v>-200</c:v>
                </c:pt>
              </c:numCache>
            </c:numRef>
          </c:yVal>
          <c:smooth val="1"/>
          <c:extLst>
            <c:ext xmlns:c16="http://schemas.microsoft.com/office/drawing/2014/chart" uri="{C3380CC4-5D6E-409C-BE32-E72D297353CC}">
              <c16:uniqueId val="{00000003-83A8-0D4F-87E4-D5309A905442}"/>
            </c:ext>
          </c:extLst>
        </c:ser>
        <c:ser>
          <c:idx val="4"/>
          <c:order val="4"/>
          <c:spPr>
            <a:ln>
              <a:solidFill>
                <a:srgbClr val="FF0000"/>
              </a:solidFill>
            </a:ln>
          </c:spPr>
          <c:marker>
            <c:spPr>
              <a:solidFill>
                <a:srgbClr val="FF0000"/>
              </a:solidFill>
              <a:ln>
                <a:solidFill>
                  <a:srgbClr val="FF0000"/>
                </a:solidFill>
              </a:ln>
            </c:spPr>
          </c:marker>
          <c:xVal>
            <c:numRef>
              <c:f>compelation!$AW$5:$BE$5</c:f>
              <c:numCache>
                <c:formatCode>m/d/yy</c:formatCode>
                <c:ptCount val="9"/>
                <c:pt idx="0">
                  <c:v>42346</c:v>
                </c:pt>
                <c:pt idx="1">
                  <c:v>42493</c:v>
                </c:pt>
                <c:pt idx="2">
                  <c:v>42493</c:v>
                </c:pt>
                <c:pt idx="3">
                  <c:v>42494</c:v>
                </c:pt>
                <c:pt idx="4">
                  <c:v>42509</c:v>
                </c:pt>
                <c:pt idx="5">
                  <c:v>42564</c:v>
                </c:pt>
                <c:pt idx="6">
                  <c:v>42635</c:v>
                </c:pt>
                <c:pt idx="7">
                  <c:v>42711</c:v>
                </c:pt>
                <c:pt idx="8">
                  <c:v>42780</c:v>
                </c:pt>
              </c:numCache>
            </c:numRef>
          </c:xVal>
          <c:yVal>
            <c:numRef>
              <c:f>compelation!$AW$10:$BE$10</c:f>
              <c:numCache>
                <c:formatCode>General</c:formatCode>
                <c:ptCount val="9"/>
                <c:pt idx="0">
                  <c:v>-312</c:v>
                </c:pt>
                <c:pt idx="1">
                  <c:v>-240</c:v>
                </c:pt>
                <c:pt idx="2">
                  <c:v>-173</c:v>
                </c:pt>
                <c:pt idx="3">
                  <c:v>-208</c:v>
                </c:pt>
                <c:pt idx="4">
                  <c:v>-133</c:v>
                </c:pt>
                <c:pt idx="5">
                  <c:v>-312</c:v>
                </c:pt>
                <c:pt idx="6">
                  <c:v>-232</c:v>
                </c:pt>
                <c:pt idx="7">
                  <c:v>-233</c:v>
                </c:pt>
                <c:pt idx="8">
                  <c:v>-133</c:v>
                </c:pt>
              </c:numCache>
            </c:numRef>
          </c:yVal>
          <c:smooth val="1"/>
          <c:extLst>
            <c:ext xmlns:c16="http://schemas.microsoft.com/office/drawing/2014/chart" uri="{C3380CC4-5D6E-409C-BE32-E72D297353CC}">
              <c16:uniqueId val="{00000004-83A8-0D4F-87E4-D5309A905442}"/>
            </c:ext>
          </c:extLst>
        </c:ser>
        <c:ser>
          <c:idx val="5"/>
          <c:order val="5"/>
          <c:spPr>
            <a:ln>
              <a:solidFill>
                <a:srgbClr val="800000"/>
              </a:solidFill>
            </a:ln>
          </c:spPr>
          <c:marker>
            <c:spPr>
              <a:solidFill>
                <a:srgbClr val="800000"/>
              </a:solidFill>
              <a:ln>
                <a:solidFill>
                  <a:srgbClr val="800000"/>
                </a:solidFill>
              </a:ln>
            </c:spPr>
          </c:marker>
          <c:xVal>
            <c:numRef>
              <c:f>compelation!$BJ$5:$BP$5</c:f>
              <c:numCache>
                <c:formatCode>m/d/yy</c:formatCode>
                <c:ptCount val="7"/>
                <c:pt idx="0">
                  <c:v>42346</c:v>
                </c:pt>
                <c:pt idx="1">
                  <c:v>42494</c:v>
                </c:pt>
                <c:pt idx="2">
                  <c:v>42509</c:v>
                </c:pt>
                <c:pt idx="3">
                  <c:v>42564</c:v>
                </c:pt>
                <c:pt idx="4">
                  <c:v>42635</c:v>
                </c:pt>
                <c:pt idx="5">
                  <c:v>42711</c:v>
                </c:pt>
                <c:pt idx="6">
                  <c:v>42780</c:v>
                </c:pt>
              </c:numCache>
            </c:numRef>
          </c:xVal>
          <c:yVal>
            <c:numRef>
              <c:f>compelation!$BJ$10:$BP$10</c:f>
              <c:numCache>
                <c:formatCode>General</c:formatCode>
                <c:ptCount val="7"/>
                <c:pt idx="0">
                  <c:v>-350</c:v>
                </c:pt>
                <c:pt idx="1">
                  <c:v>-324</c:v>
                </c:pt>
                <c:pt idx="2">
                  <c:v>-134</c:v>
                </c:pt>
                <c:pt idx="3">
                  <c:v>-314</c:v>
                </c:pt>
                <c:pt idx="4">
                  <c:v>-250</c:v>
                </c:pt>
                <c:pt idx="5">
                  <c:v>-205</c:v>
                </c:pt>
                <c:pt idx="6">
                  <c:v>-213</c:v>
                </c:pt>
              </c:numCache>
            </c:numRef>
          </c:yVal>
          <c:smooth val="1"/>
          <c:extLst>
            <c:ext xmlns:c16="http://schemas.microsoft.com/office/drawing/2014/chart" uri="{C3380CC4-5D6E-409C-BE32-E72D297353CC}">
              <c16:uniqueId val="{00000005-83A8-0D4F-87E4-D5309A905442}"/>
            </c:ext>
          </c:extLst>
        </c:ser>
        <c:dLbls>
          <c:showLegendKey val="0"/>
          <c:showVal val="0"/>
          <c:showCatName val="0"/>
          <c:showSerName val="0"/>
          <c:showPercent val="0"/>
          <c:showBubbleSize val="0"/>
        </c:dLbls>
        <c:axId val="-2088542664"/>
        <c:axId val="-2088537688"/>
      </c:scatterChart>
      <c:valAx>
        <c:axId val="-2088542664"/>
        <c:scaling>
          <c:orientation val="minMax"/>
          <c:min val="42300"/>
        </c:scaling>
        <c:delete val="0"/>
        <c:axPos val="t"/>
        <c:numFmt formatCode="m/d/yy" sourceLinked="1"/>
        <c:majorTickMark val="out"/>
        <c:minorTickMark val="none"/>
        <c:tickLblPos val="nextTo"/>
        <c:crossAx val="-2088537688"/>
        <c:crosses val="max"/>
        <c:crossBetween val="midCat"/>
        <c:majorUnit val="100"/>
      </c:valAx>
      <c:valAx>
        <c:axId val="-2088537688"/>
        <c:scaling>
          <c:orientation val="minMax"/>
        </c:scaling>
        <c:delete val="0"/>
        <c:axPos val="l"/>
        <c:majorGridlines/>
        <c:title>
          <c:tx>
            <c:rich>
              <a:bodyPr rot="-5400000" vert="horz"/>
              <a:lstStyle/>
              <a:p>
                <a:pPr>
                  <a:defRPr/>
                </a:pPr>
                <a:r>
                  <a:rPr lang="en-US"/>
                  <a:t>ORP (mV)</a:t>
                </a:r>
              </a:p>
            </c:rich>
          </c:tx>
          <c:overlay val="0"/>
        </c:title>
        <c:numFmt formatCode="General" sourceLinked="1"/>
        <c:majorTickMark val="out"/>
        <c:minorTickMark val="none"/>
        <c:tickLblPos val="nextTo"/>
        <c:crossAx val="-2088542664"/>
        <c:crosses val="autoZero"/>
        <c:crossBetween val="midCat"/>
      </c:valAx>
    </c:plotArea>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'Cell counts'!$A$2</c:f>
              <c:strCache>
                <c:ptCount val="1"/>
                <c:pt idx="0">
                  <c:v>DeMMO 1</c:v>
                </c:pt>
              </c:strCache>
            </c:strRef>
          </c:tx>
          <c:spPr>
            <a:ln>
              <a:solidFill>
                <a:srgbClr val="000090"/>
              </a:solidFill>
            </a:ln>
          </c:spPr>
          <c:marker>
            <c:symbol val="diamond"/>
            <c:size val="9"/>
            <c:spPr>
              <a:solidFill>
                <a:srgbClr val="000090"/>
              </a:solidFill>
              <a:ln>
                <a:solidFill>
                  <a:srgbClr val="000090"/>
                </a:solidFill>
              </a:ln>
            </c:spPr>
          </c:marker>
          <c:errBars>
            <c:errDir val="y"/>
            <c:errBarType val="both"/>
            <c:errValType val="cust"/>
            <c:noEndCap val="1"/>
            <c:plus>
              <c:numRef>
                <c:f>'Cell counts'!$J$2</c:f>
                <c:numCache>
                  <c:formatCode>General</c:formatCode>
                  <c:ptCount val="1"/>
                  <c:pt idx="0">
                    <c:v>871.68976570396842</c:v>
                  </c:pt>
                </c:numCache>
              </c:numRef>
            </c:plus>
            <c:minus>
              <c:numRef>
                <c:f>'Cell counts'!$J$2</c:f>
                <c:numCache>
                  <c:formatCode>General</c:formatCode>
                  <c:ptCount val="1"/>
                  <c:pt idx="0">
                    <c:v>871.68976570396842</c:v>
                  </c:pt>
                </c:numCache>
              </c:numRef>
            </c:minus>
            <c:spPr>
              <a:ln>
                <a:solidFill>
                  <a:srgbClr val="000090"/>
                </a:solidFill>
              </a:ln>
            </c:spPr>
          </c:errBars>
          <c:xVal>
            <c:strRef>
              <c:f>'Cell counts'!$B$1:$H$1</c:f>
              <c:strCache>
                <c:ptCount val="7"/>
                <c:pt idx="0">
                  <c:v>5/1/16</c:v>
                </c:pt>
                <c:pt idx="1">
                  <c:v>7/1/16</c:v>
                </c:pt>
                <c:pt idx="2">
                  <c:v>9/1/16</c:v>
                </c:pt>
                <c:pt idx="3">
                  <c:v>12/1/16</c:v>
                </c:pt>
                <c:pt idx="4">
                  <c:v>2/1/17</c:v>
                </c:pt>
                <c:pt idx="5">
                  <c:v>5/1/2017</c:v>
                </c:pt>
                <c:pt idx="6">
                  <c:v>8/17/17</c:v>
                </c:pt>
              </c:strCache>
            </c:strRef>
          </c:xVal>
          <c:yVal>
            <c:numRef>
              <c:f>'Cell counts'!$B$2:$H$2</c:f>
              <c:numCache>
                <c:formatCode>0</c:formatCode>
                <c:ptCount val="7"/>
                <c:pt idx="0">
                  <c:v>3182</c:v>
                </c:pt>
                <c:pt idx="1">
                  <c:v>1754.8513289999999</c:v>
                </c:pt>
                <c:pt idx="3">
                  <c:v>1101.5300549999999</c:v>
                </c:pt>
                <c:pt idx="4">
                  <c:v>1868.8027139999999</c:v>
                </c:pt>
                <c:pt idx="5" formatCode="General">
                  <c:v>2233</c:v>
                </c:pt>
                <c:pt idx="6" formatCode="General">
                  <c:v>1181</c:v>
                </c:pt>
              </c:numCache>
            </c:numRef>
          </c:yVal>
          <c:smooth val="1"/>
          <c:extLst>
            <c:ext xmlns:c16="http://schemas.microsoft.com/office/drawing/2014/chart" uri="{C3380CC4-5D6E-409C-BE32-E72D297353CC}">
              <c16:uniqueId val="{00000000-3992-472B-BE0E-FB050775DB5D}"/>
            </c:ext>
          </c:extLst>
        </c:ser>
        <c:ser>
          <c:idx val="1"/>
          <c:order val="1"/>
          <c:tx>
            <c:strRef>
              <c:f>'Cell counts'!$A$3</c:f>
              <c:strCache>
                <c:ptCount val="1"/>
                <c:pt idx="0">
                  <c:v>DeMMO 2</c:v>
                </c:pt>
              </c:strCache>
            </c:strRef>
          </c:tx>
          <c:spPr>
            <a:ln>
              <a:solidFill>
                <a:srgbClr val="3366FF"/>
              </a:solidFill>
            </a:ln>
          </c:spPr>
          <c:marker>
            <c:spPr>
              <a:solidFill>
                <a:srgbClr val="3366FF"/>
              </a:solidFill>
              <a:ln>
                <a:solidFill>
                  <a:srgbClr val="3366FF"/>
                </a:solidFill>
              </a:ln>
            </c:spPr>
          </c:marker>
          <c:errBars>
            <c:errDir val="y"/>
            <c:errBarType val="both"/>
            <c:errValType val="cust"/>
            <c:noEndCap val="1"/>
            <c:plus>
              <c:numRef>
                <c:f>'Cell counts'!$J$3</c:f>
                <c:numCache>
                  <c:formatCode>General</c:formatCode>
                  <c:ptCount val="1"/>
                  <c:pt idx="0">
                    <c:v>6530.9791778978606</c:v>
                  </c:pt>
                </c:numCache>
              </c:numRef>
            </c:plus>
            <c:minus>
              <c:numRef>
                <c:f>'Cell counts'!$J$3</c:f>
                <c:numCache>
                  <c:formatCode>General</c:formatCode>
                  <c:ptCount val="1"/>
                  <c:pt idx="0">
                    <c:v>6530.9791778978606</c:v>
                  </c:pt>
                </c:numCache>
              </c:numRef>
            </c:minus>
            <c:spPr>
              <a:ln>
                <a:solidFill>
                  <a:srgbClr val="3366FF"/>
                </a:solidFill>
              </a:ln>
            </c:spPr>
          </c:errBars>
          <c:xVal>
            <c:strRef>
              <c:f>'Cell counts'!$B$1:$H$1</c:f>
              <c:strCache>
                <c:ptCount val="7"/>
                <c:pt idx="0">
                  <c:v>5/1/16</c:v>
                </c:pt>
                <c:pt idx="1">
                  <c:v>7/1/16</c:v>
                </c:pt>
                <c:pt idx="2">
                  <c:v>9/1/16</c:v>
                </c:pt>
                <c:pt idx="3">
                  <c:v>12/1/16</c:v>
                </c:pt>
                <c:pt idx="4">
                  <c:v>2/1/17</c:v>
                </c:pt>
                <c:pt idx="5">
                  <c:v>5/1/2017</c:v>
                </c:pt>
                <c:pt idx="6">
                  <c:v>8/17/17</c:v>
                </c:pt>
              </c:strCache>
            </c:strRef>
          </c:xVal>
          <c:yVal>
            <c:numRef>
              <c:f>'Cell counts'!$B$3:$H$3</c:f>
              <c:numCache>
                <c:formatCode>0</c:formatCode>
                <c:ptCount val="7"/>
                <c:pt idx="0">
                  <c:v>3159</c:v>
                </c:pt>
                <c:pt idx="1">
                  <c:v>8964</c:v>
                </c:pt>
                <c:pt idx="3">
                  <c:v>5634.262925</c:v>
                </c:pt>
                <c:pt idx="4">
                  <c:v>18084.0847995</c:v>
                </c:pt>
                <c:pt idx="5" formatCode="General">
                  <c:v>14282</c:v>
                </c:pt>
                <c:pt idx="6" formatCode="General">
                  <c:v>52133</c:v>
                </c:pt>
              </c:numCache>
            </c:numRef>
          </c:yVal>
          <c:smooth val="1"/>
          <c:extLst>
            <c:ext xmlns:c16="http://schemas.microsoft.com/office/drawing/2014/chart" uri="{C3380CC4-5D6E-409C-BE32-E72D297353CC}">
              <c16:uniqueId val="{00000001-3992-472B-BE0E-FB050775DB5D}"/>
            </c:ext>
          </c:extLst>
        </c:ser>
        <c:ser>
          <c:idx val="2"/>
          <c:order val="2"/>
          <c:tx>
            <c:strRef>
              <c:f>'Cell counts'!$A$4</c:f>
              <c:strCache>
                <c:ptCount val="1"/>
                <c:pt idx="0">
                  <c:v>DeMMO 3</c:v>
                </c:pt>
              </c:strCache>
            </c:strRef>
          </c:tx>
          <c:spPr>
            <a:ln>
              <a:solidFill>
                <a:srgbClr val="008000"/>
              </a:solidFill>
            </a:ln>
            <a:effectLst/>
          </c:spPr>
          <c:marker>
            <c:spPr>
              <a:solidFill>
                <a:srgbClr val="008000"/>
              </a:solidFill>
              <a:ln>
                <a:solidFill>
                  <a:srgbClr val="008000"/>
                </a:solidFill>
              </a:ln>
              <a:effectLst/>
            </c:spPr>
          </c:marker>
          <c:errBars>
            <c:errDir val="y"/>
            <c:errBarType val="both"/>
            <c:errValType val="cust"/>
            <c:noEndCap val="1"/>
            <c:plus>
              <c:numRef>
                <c:f>'Cell counts'!$J$4</c:f>
                <c:numCache>
                  <c:formatCode>General</c:formatCode>
                  <c:ptCount val="1"/>
                  <c:pt idx="0">
                    <c:v>33501.278486242627</c:v>
                  </c:pt>
                </c:numCache>
              </c:numRef>
            </c:plus>
            <c:minus>
              <c:numRef>
                <c:f>'Cell counts'!$J$4</c:f>
                <c:numCache>
                  <c:formatCode>General</c:formatCode>
                  <c:ptCount val="1"/>
                  <c:pt idx="0">
                    <c:v>33501.278486242627</c:v>
                  </c:pt>
                </c:numCache>
              </c:numRef>
            </c:minus>
            <c:spPr>
              <a:ln>
                <a:solidFill>
                  <a:srgbClr val="008000"/>
                </a:solidFill>
              </a:ln>
            </c:spPr>
          </c:errBars>
          <c:xVal>
            <c:strRef>
              <c:f>'Cell counts'!$B$1:$H$1</c:f>
              <c:strCache>
                <c:ptCount val="7"/>
                <c:pt idx="0">
                  <c:v>5/1/16</c:v>
                </c:pt>
                <c:pt idx="1">
                  <c:v>7/1/16</c:v>
                </c:pt>
                <c:pt idx="2">
                  <c:v>9/1/16</c:v>
                </c:pt>
                <c:pt idx="3">
                  <c:v>12/1/16</c:v>
                </c:pt>
                <c:pt idx="4">
                  <c:v>2/1/17</c:v>
                </c:pt>
                <c:pt idx="5">
                  <c:v>5/1/2017</c:v>
                </c:pt>
                <c:pt idx="6">
                  <c:v>8/17/17</c:v>
                </c:pt>
              </c:strCache>
            </c:strRef>
          </c:xVal>
          <c:yVal>
            <c:numRef>
              <c:f>'Cell counts'!$B$4:$H$4</c:f>
              <c:numCache>
                <c:formatCode>0</c:formatCode>
                <c:ptCount val="7"/>
                <c:pt idx="0">
                  <c:v>9557</c:v>
                </c:pt>
                <c:pt idx="1">
                  <c:v>8916.6958762499999</c:v>
                </c:pt>
                <c:pt idx="2">
                  <c:v>81032.09599999999</c:v>
                </c:pt>
                <c:pt idx="3">
                  <c:v>3129.8647080000001</c:v>
                </c:pt>
                <c:pt idx="4">
                  <c:v>3978.8025262500005</c:v>
                </c:pt>
                <c:pt idx="5" formatCode="General">
                  <c:v>3229</c:v>
                </c:pt>
                <c:pt idx="6" formatCode="General">
                  <c:v>2357</c:v>
                </c:pt>
              </c:numCache>
            </c:numRef>
          </c:yVal>
          <c:smooth val="1"/>
          <c:extLst>
            <c:ext xmlns:c16="http://schemas.microsoft.com/office/drawing/2014/chart" uri="{C3380CC4-5D6E-409C-BE32-E72D297353CC}">
              <c16:uniqueId val="{00000002-3992-472B-BE0E-FB050775DB5D}"/>
            </c:ext>
          </c:extLst>
        </c:ser>
        <c:ser>
          <c:idx val="3"/>
          <c:order val="3"/>
          <c:tx>
            <c:strRef>
              <c:f>'Cell counts'!$A$5</c:f>
              <c:strCache>
                <c:ptCount val="1"/>
                <c:pt idx="0">
                  <c:v>DeMMO 4</c:v>
                </c:pt>
              </c:strCache>
            </c:strRef>
          </c:tx>
          <c:spPr>
            <a:ln>
              <a:solidFill>
                <a:srgbClr val="FFFF00"/>
              </a:solidFill>
            </a:ln>
          </c:spPr>
          <c:marker>
            <c:symbol val="diamond"/>
            <c:size val="9"/>
            <c:spPr>
              <a:solidFill>
                <a:srgbClr val="FFFF00"/>
              </a:solidFill>
              <a:ln>
                <a:solidFill>
                  <a:srgbClr val="FFFF00"/>
                </a:solidFill>
              </a:ln>
            </c:spPr>
          </c:marker>
          <c:xVal>
            <c:strRef>
              <c:f>'Cell counts'!$B$1:$H$1</c:f>
              <c:strCache>
                <c:ptCount val="7"/>
                <c:pt idx="0">
                  <c:v>5/1/16</c:v>
                </c:pt>
                <c:pt idx="1">
                  <c:v>7/1/16</c:v>
                </c:pt>
                <c:pt idx="2">
                  <c:v>9/1/16</c:v>
                </c:pt>
                <c:pt idx="3">
                  <c:v>12/1/16</c:v>
                </c:pt>
                <c:pt idx="4">
                  <c:v>2/1/17</c:v>
                </c:pt>
                <c:pt idx="5">
                  <c:v>5/1/2017</c:v>
                </c:pt>
                <c:pt idx="6">
                  <c:v>8/17/17</c:v>
                </c:pt>
              </c:strCache>
            </c:strRef>
          </c:xVal>
          <c:yVal>
            <c:numRef>
              <c:f>'Cell counts'!$B$5:$H$5</c:f>
              <c:numCache>
                <c:formatCode>0</c:formatCode>
                <c:ptCount val="7"/>
                <c:pt idx="0">
                  <c:v>30767</c:v>
                </c:pt>
                <c:pt idx="1">
                  <c:v>10256</c:v>
                </c:pt>
                <c:pt idx="3">
                  <c:v>6058.4153029999998</c:v>
                </c:pt>
                <c:pt idx="4">
                  <c:v>7660.0653249999996</c:v>
                </c:pt>
                <c:pt idx="5" formatCode="General">
                  <c:v>20195</c:v>
                </c:pt>
                <c:pt idx="6" formatCode="General">
                  <c:v>15573</c:v>
                </c:pt>
              </c:numCache>
            </c:numRef>
          </c:yVal>
          <c:smooth val="1"/>
          <c:extLst>
            <c:ext xmlns:c16="http://schemas.microsoft.com/office/drawing/2014/chart" uri="{C3380CC4-5D6E-409C-BE32-E72D297353CC}">
              <c16:uniqueId val="{00000003-3992-472B-BE0E-FB050775DB5D}"/>
            </c:ext>
          </c:extLst>
        </c:ser>
        <c:ser>
          <c:idx val="4"/>
          <c:order val="4"/>
          <c:tx>
            <c:strRef>
              <c:f>'Cell counts'!$A$6</c:f>
              <c:strCache>
                <c:ptCount val="1"/>
                <c:pt idx="0">
                  <c:v>DeMMO 5</c:v>
                </c:pt>
              </c:strCache>
            </c:strRef>
          </c:tx>
          <c:spPr>
            <a:ln>
              <a:solidFill>
                <a:srgbClr val="FF6600"/>
              </a:solidFill>
            </a:ln>
          </c:spPr>
          <c:marker>
            <c:spPr>
              <a:solidFill>
                <a:srgbClr val="FF6600"/>
              </a:solidFill>
              <a:ln>
                <a:solidFill>
                  <a:srgbClr val="FF6600"/>
                </a:solidFill>
              </a:ln>
            </c:spPr>
          </c:marker>
          <c:errBars>
            <c:errDir val="y"/>
            <c:errBarType val="both"/>
            <c:errValType val="cust"/>
            <c:noEndCap val="1"/>
            <c:plus>
              <c:numRef>
                <c:f>'Cell counts'!$J$6</c:f>
                <c:numCache>
                  <c:formatCode>General</c:formatCode>
                  <c:ptCount val="1"/>
                  <c:pt idx="0">
                    <c:v>2997.164593057706</c:v>
                  </c:pt>
                </c:numCache>
              </c:numRef>
            </c:plus>
            <c:minus>
              <c:numRef>
                <c:f>'Cell counts'!$J$6</c:f>
                <c:numCache>
                  <c:formatCode>General</c:formatCode>
                  <c:ptCount val="1"/>
                  <c:pt idx="0">
                    <c:v>2997.164593057706</c:v>
                  </c:pt>
                </c:numCache>
              </c:numRef>
            </c:minus>
          </c:errBars>
          <c:xVal>
            <c:strRef>
              <c:f>'Cell counts'!$B$1:$H$1</c:f>
              <c:strCache>
                <c:ptCount val="7"/>
                <c:pt idx="0">
                  <c:v>5/1/16</c:v>
                </c:pt>
                <c:pt idx="1">
                  <c:v>7/1/16</c:v>
                </c:pt>
                <c:pt idx="2">
                  <c:v>9/1/16</c:v>
                </c:pt>
                <c:pt idx="3">
                  <c:v>12/1/16</c:v>
                </c:pt>
                <c:pt idx="4">
                  <c:v>2/1/17</c:v>
                </c:pt>
                <c:pt idx="5">
                  <c:v>5/1/2017</c:v>
                </c:pt>
                <c:pt idx="6">
                  <c:v>8/17/17</c:v>
                </c:pt>
              </c:strCache>
            </c:strRef>
          </c:xVal>
          <c:yVal>
            <c:numRef>
              <c:f>'Cell counts'!$B$6:$H$6</c:f>
              <c:numCache>
                <c:formatCode>0</c:formatCode>
                <c:ptCount val="7"/>
                <c:pt idx="0">
                  <c:v>2152</c:v>
                </c:pt>
                <c:pt idx="1">
                  <c:v>9116</c:v>
                </c:pt>
                <c:pt idx="3">
                  <c:v>5602.6097630000004</c:v>
                </c:pt>
                <c:pt idx="4">
                  <c:v>7520.7914099999998</c:v>
                </c:pt>
                <c:pt idx="5" formatCode="General">
                  <c:v>8458</c:v>
                </c:pt>
                <c:pt idx="6" formatCode="General">
                  <c:v>6742</c:v>
                </c:pt>
              </c:numCache>
            </c:numRef>
          </c:yVal>
          <c:smooth val="1"/>
          <c:extLst>
            <c:ext xmlns:c16="http://schemas.microsoft.com/office/drawing/2014/chart" uri="{C3380CC4-5D6E-409C-BE32-E72D297353CC}">
              <c16:uniqueId val="{00000004-3992-472B-BE0E-FB050775DB5D}"/>
            </c:ext>
          </c:extLst>
        </c:ser>
        <c:ser>
          <c:idx val="5"/>
          <c:order val="5"/>
          <c:tx>
            <c:strRef>
              <c:f>'Cell counts'!$A$7</c:f>
              <c:strCache>
                <c:ptCount val="1"/>
                <c:pt idx="0">
                  <c:v>DeMMO 6</c:v>
                </c:pt>
              </c:strCache>
            </c:strRef>
          </c:tx>
          <c:marker>
            <c:spPr>
              <a:solidFill>
                <a:srgbClr val="FF0000"/>
              </a:solidFill>
            </c:spPr>
          </c:marker>
          <c:errBars>
            <c:errDir val="y"/>
            <c:errBarType val="both"/>
            <c:errValType val="cust"/>
            <c:noEndCap val="0"/>
            <c:plus>
              <c:numRef>
                <c:f>'Cell counts'!$J$7</c:f>
                <c:numCache>
                  <c:formatCode>General</c:formatCode>
                  <c:ptCount val="1"/>
                  <c:pt idx="0">
                    <c:v>152363.13824646492</c:v>
                  </c:pt>
                </c:numCache>
              </c:numRef>
            </c:plus>
            <c:minus>
              <c:numRef>
                <c:f>'Cell counts'!$J$7</c:f>
                <c:numCache>
                  <c:formatCode>General</c:formatCode>
                  <c:ptCount val="1"/>
                  <c:pt idx="0">
                    <c:v>152363.13824646492</c:v>
                  </c:pt>
                </c:numCache>
              </c:numRef>
            </c:minus>
            <c:spPr>
              <a:ln>
                <a:solidFill>
                  <a:srgbClr val="FF0000"/>
                </a:solidFill>
              </a:ln>
            </c:spPr>
          </c:errBars>
          <c:xVal>
            <c:strRef>
              <c:f>'Cell counts'!$B$1:$H$1</c:f>
              <c:strCache>
                <c:ptCount val="7"/>
                <c:pt idx="0">
                  <c:v>5/1/16</c:v>
                </c:pt>
                <c:pt idx="1">
                  <c:v>7/1/16</c:v>
                </c:pt>
                <c:pt idx="2">
                  <c:v>9/1/16</c:v>
                </c:pt>
                <c:pt idx="3">
                  <c:v>12/1/16</c:v>
                </c:pt>
                <c:pt idx="4">
                  <c:v>2/1/17</c:v>
                </c:pt>
                <c:pt idx="5">
                  <c:v>5/1/2017</c:v>
                </c:pt>
                <c:pt idx="6">
                  <c:v>8/17/17</c:v>
                </c:pt>
              </c:strCache>
            </c:strRef>
          </c:xVal>
          <c:yVal>
            <c:numRef>
              <c:f>'Cell counts'!$B$7:$H$7</c:f>
              <c:numCache>
                <c:formatCode>0</c:formatCode>
                <c:ptCount val="7"/>
                <c:pt idx="0">
                  <c:v>420813</c:v>
                </c:pt>
                <c:pt idx="1">
                  <c:v>242463.2248</c:v>
                </c:pt>
                <c:pt idx="2">
                  <c:v>152884.77489999999</c:v>
                </c:pt>
                <c:pt idx="3">
                  <c:v>403387.90289999999</c:v>
                </c:pt>
                <c:pt idx="4">
                  <c:v>73815.174950000001</c:v>
                </c:pt>
                <c:pt idx="5" formatCode="General">
                  <c:v>14138</c:v>
                </c:pt>
                <c:pt idx="6" formatCode="General">
                  <c:v>39693</c:v>
                </c:pt>
              </c:numCache>
            </c:numRef>
          </c:yVal>
          <c:smooth val="1"/>
          <c:extLst>
            <c:ext xmlns:c16="http://schemas.microsoft.com/office/drawing/2014/chart" uri="{C3380CC4-5D6E-409C-BE32-E72D297353CC}">
              <c16:uniqueId val="{00000005-3992-472B-BE0E-FB050775DB5D}"/>
            </c:ext>
          </c:extLst>
        </c:ser>
        <c:dLbls>
          <c:showLegendKey val="0"/>
          <c:showVal val="0"/>
          <c:showCatName val="0"/>
          <c:showSerName val="0"/>
          <c:showPercent val="0"/>
          <c:showBubbleSize val="0"/>
        </c:dLbls>
        <c:axId val="-2117421416"/>
        <c:axId val="-2118052600"/>
      </c:scatterChart>
      <c:valAx>
        <c:axId val="-2117421416"/>
        <c:scaling>
          <c:orientation val="minMax"/>
        </c:scaling>
        <c:delete val="0"/>
        <c:axPos val="b"/>
        <c:numFmt formatCode="mmm\-yy" sourceLinked="1"/>
        <c:majorTickMark val="out"/>
        <c:minorTickMark val="none"/>
        <c:tickLblPos val="nextTo"/>
        <c:crossAx val="-2118052600"/>
        <c:crosses val="autoZero"/>
        <c:crossBetween val="midCat"/>
      </c:valAx>
      <c:valAx>
        <c:axId val="-2118052600"/>
        <c:scaling>
          <c:logBase val="10"/>
          <c:orientation val="minMax"/>
          <c:min val="100"/>
        </c:scaling>
        <c:delete val="0"/>
        <c:axPos val="l"/>
        <c:majorGridlines/>
        <c:numFmt formatCode="0" sourceLinked="1"/>
        <c:majorTickMark val="out"/>
        <c:minorTickMark val="none"/>
        <c:tickLblPos val="nextTo"/>
        <c:crossAx val="-2117421416"/>
        <c:crosses val="autoZero"/>
        <c:crossBetween val="midCat"/>
      </c:valAx>
    </c:plotArea>
    <c:legend>
      <c:legendPos val="b"/>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91018372703412"/>
                  <c:y val="4.1192038495188099E-2"/>
                </c:manualLayout>
              </c:layout>
              <c:numFmt formatCode="General" sourceLinked="0"/>
            </c:trendlineLbl>
          </c:trendline>
          <c:xVal>
            <c:numRef>
              <c:f>'May 2016 wk2'!$B$33:$B$35</c:f>
              <c:numCache>
                <c:formatCode>General</c:formatCode>
                <c:ptCount val="3"/>
                <c:pt idx="0">
                  <c:v>4.01</c:v>
                </c:pt>
                <c:pt idx="1">
                  <c:v>7</c:v>
                </c:pt>
                <c:pt idx="2">
                  <c:v>10.01</c:v>
                </c:pt>
              </c:numCache>
            </c:numRef>
          </c:xVal>
          <c:yVal>
            <c:numRef>
              <c:f>'May 2016 wk2'!$C$33:$C$35</c:f>
              <c:numCache>
                <c:formatCode>General</c:formatCode>
                <c:ptCount val="3"/>
                <c:pt idx="0">
                  <c:v>3.66</c:v>
                </c:pt>
                <c:pt idx="1">
                  <c:v>7.15</c:v>
                </c:pt>
                <c:pt idx="2">
                  <c:v>10.95</c:v>
                </c:pt>
              </c:numCache>
            </c:numRef>
          </c:yVal>
          <c:smooth val="0"/>
          <c:extLst>
            <c:ext xmlns:c16="http://schemas.microsoft.com/office/drawing/2014/chart" uri="{C3380CC4-5D6E-409C-BE32-E72D297353CC}">
              <c16:uniqueId val="{00000000-17C1-4E5E-BD2E-023263B58B97}"/>
            </c:ext>
          </c:extLst>
        </c:ser>
        <c:dLbls>
          <c:showLegendKey val="0"/>
          <c:showVal val="0"/>
          <c:showCatName val="0"/>
          <c:showSerName val="0"/>
          <c:showPercent val="0"/>
          <c:showBubbleSize val="0"/>
        </c:dLbls>
        <c:axId val="-2087206472"/>
        <c:axId val="-2086892200"/>
      </c:scatterChart>
      <c:valAx>
        <c:axId val="-2087206472"/>
        <c:scaling>
          <c:orientation val="minMax"/>
        </c:scaling>
        <c:delete val="0"/>
        <c:axPos val="b"/>
        <c:numFmt formatCode="General" sourceLinked="1"/>
        <c:majorTickMark val="out"/>
        <c:minorTickMark val="none"/>
        <c:tickLblPos val="nextTo"/>
        <c:crossAx val="-2086892200"/>
        <c:crosses val="autoZero"/>
        <c:crossBetween val="midCat"/>
      </c:valAx>
      <c:valAx>
        <c:axId val="-2086892200"/>
        <c:scaling>
          <c:orientation val="minMax"/>
        </c:scaling>
        <c:delete val="0"/>
        <c:axPos val="l"/>
        <c:majorGridlines/>
        <c:numFmt formatCode="General" sourceLinked="1"/>
        <c:majorTickMark val="out"/>
        <c:minorTickMark val="none"/>
        <c:tickLblPos val="nextTo"/>
        <c:crossAx val="-20872064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a:t>
            </a:r>
          </a:p>
        </c:rich>
      </c:tx>
      <c:overlay val="0"/>
    </c:title>
    <c:autoTitleDeleted val="0"/>
    <c:plotArea>
      <c:layout/>
      <c:scatterChart>
        <c:scatterStyle val="lineMarker"/>
        <c:varyColors val="0"/>
        <c:ser>
          <c:idx val="0"/>
          <c:order val="0"/>
          <c:tx>
            <c:strRef>
              <c:f>'By Parameter'!$B$5</c:f>
              <c:strCache>
                <c:ptCount val="1"/>
                <c:pt idx="0">
                  <c:v>11938</c:v>
                </c:pt>
              </c:strCache>
            </c:strRef>
          </c:tx>
          <c:spPr>
            <a:ln w="28575">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Parameter'!$B$6:$B$13</c:f>
              <c:numCache>
                <c:formatCode>General</c:formatCode>
                <c:ptCount val="8"/>
                <c:pt idx="0">
                  <c:v>32.799999999999997</c:v>
                </c:pt>
                <c:pt idx="2">
                  <c:v>32.6</c:v>
                </c:pt>
                <c:pt idx="3">
                  <c:v>32</c:v>
                </c:pt>
                <c:pt idx="4">
                  <c:v>32.1</c:v>
                </c:pt>
                <c:pt idx="7">
                  <c:v>31.1</c:v>
                </c:pt>
              </c:numCache>
            </c:numRef>
          </c:yVal>
          <c:smooth val="0"/>
          <c:extLst>
            <c:ext xmlns:c16="http://schemas.microsoft.com/office/drawing/2014/chart" uri="{C3380CC4-5D6E-409C-BE32-E72D297353CC}">
              <c16:uniqueId val="{00000000-2509-4020-A331-962DFC58D791}"/>
            </c:ext>
          </c:extLst>
        </c:ser>
        <c:ser>
          <c:idx val="1"/>
          <c:order val="1"/>
          <c:tx>
            <c:strRef>
              <c:f>'By Parameter'!$C$5</c:f>
              <c:strCache>
                <c:ptCount val="1"/>
                <c:pt idx="0">
                  <c:v>DUSEL B</c:v>
                </c:pt>
              </c:strCache>
            </c:strRef>
          </c:tx>
          <c:spPr>
            <a:ln w="28575">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Parameter'!$C$6:$C$13</c:f>
              <c:numCache>
                <c:formatCode>General</c:formatCode>
                <c:ptCount val="8"/>
                <c:pt idx="0">
                  <c:v>21</c:v>
                </c:pt>
                <c:pt idx="3">
                  <c:v>21.3</c:v>
                </c:pt>
                <c:pt idx="7">
                  <c:v>21.6</c:v>
                </c:pt>
              </c:numCache>
            </c:numRef>
          </c:yVal>
          <c:smooth val="0"/>
          <c:extLst>
            <c:ext xmlns:c16="http://schemas.microsoft.com/office/drawing/2014/chart" uri="{C3380CC4-5D6E-409C-BE32-E72D297353CC}">
              <c16:uniqueId val="{00000001-2509-4020-A331-962DFC58D791}"/>
            </c:ext>
          </c:extLst>
        </c:ser>
        <c:ser>
          <c:idx val="2"/>
          <c:order val="2"/>
          <c:tx>
            <c:strRef>
              <c:f>'By Parameter'!$D$5</c:f>
              <c:strCache>
                <c:ptCount val="1"/>
                <c:pt idx="0">
                  <c:v>24228</c:v>
                </c:pt>
              </c:strCache>
            </c:strRef>
          </c:tx>
          <c:spPr>
            <a:ln w="28575">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Parameter'!$D$6:$D$13</c:f>
              <c:numCache>
                <c:formatCode>General</c:formatCode>
                <c:ptCount val="8"/>
                <c:pt idx="0">
                  <c:v>22.9</c:v>
                </c:pt>
                <c:pt idx="1">
                  <c:v>22.7</c:v>
                </c:pt>
                <c:pt idx="5">
                  <c:v>22.6</c:v>
                </c:pt>
                <c:pt idx="6">
                  <c:v>22.6</c:v>
                </c:pt>
              </c:numCache>
            </c:numRef>
          </c:yVal>
          <c:smooth val="0"/>
          <c:extLst>
            <c:ext xmlns:c16="http://schemas.microsoft.com/office/drawing/2014/chart" uri="{C3380CC4-5D6E-409C-BE32-E72D297353CC}">
              <c16:uniqueId val="{00000002-2509-4020-A331-962DFC58D791}"/>
            </c:ext>
          </c:extLst>
        </c:ser>
        <c:ser>
          <c:idx val="3"/>
          <c:order val="3"/>
          <c:tx>
            <c:strRef>
              <c:f>'By Parameter'!$E$5</c:f>
              <c:strCache>
                <c:ptCount val="1"/>
                <c:pt idx="0">
                  <c:v>24790</c:v>
                </c:pt>
              </c:strCache>
            </c:strRef>
          </c:tx>
          <c:spPr>
            <a:ln w="28575">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Parameter'!$E$6:$E$13</c:f>
              <c:numCache>
                <c:formatCode>General</c:formatCode>
                <c:ptCount val="8"/>
                <c:pt idx="0">
                  <c:v>16.3</c:v>
                </c:pt>
                <c:pt idx="3">
                  <c:v>16.3</c:v>
                </c:pt>
                <c:pt idx="4">
                  <c:v>16.7</c:v>
                </c:pt>
                <c:pt idx="5">
                  <c:v>16.100000000000001</c:v>
                </c:pt>
              </c:numCache>
            </c:numRef>
          </c:yVal>
          <c:smooth val="0"/>
          <c:extLst>
            <c:ext xmlns:c16="http://schemas.microsoft.com/office/drawing/2014/chart" uri="{C3380CC4-5D6E-409C-BE32-E72D297353CC}">
              <c16:uniqueId val="{00000003-2509-4020-A331-962DFC58D791}"/>
            </c:ext>
          </c:extLst>
        </c:ser>
        <c:ser>
          <c:idx val="4"/>
          <c:order val="4"/>
          <c:tx>
            <c:strRef>
              <c:f>'By Parameter'!$F$5</c:f>
              <c:strCache>
                <c:ptCount val="1"/>
                <c:pt idx="0">
                  <c:v>19223</c:v>
                </c:pt>
              </c:strCache>
            </c:strRef>
          </c:tx>
          <c:spPr>
            <a:ln w="28575">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Parameter'!$F$6:$F$13</c:f>
              <c:numCache>
                <c:formatCode>General</c:formatCode>
                <c:ptCount val="8"/>
                <c:pt idx="0">
                  <c:v>12.7</c:v>
                </c:pt>
                <c:pt idx="7">
                  <c:v>12.6</c:v>
                </c:pt>
              </c:numCache>
            </c:numRef>
          </c:yVal>
          <c:smooth val="0"/>
          <c:extLst>
            <c:ext xmlns:c16="http://schemas.microsoft.com/office/drawing/2014/chart" uri="{C3380CC4-5D6E-409C-BE32-E72D297353CC}">
              <c16:uniqueId val="{00000004-2509-4020-A331-962DFC58D791}"/>
            </c:ext>
          </c:extLst>
        </c:ser>
        <c:ser>
          <c:idx val="5"/>
          <c:order val="5"/>
          <c:tx>
            <c:strRef>
              <c:f>'By Parameter'!$G$5</c:f>
              <c:strCache>
                <c:ptCount val="1"/>
                <c:pt idx="0">
                  <c:v>Hole 10-1</c:v>
                </c:pt>
              </c:strCache>
            </c:strRef>
          </c:tx>
          <c:spPr>
            <a:ln w="25400">
              <a:noFill/>
            </a:ln>
          </c:spPr>
          <c:xVal>
            <c:numRef>
              <c:f>'By Parameter'!$A$6:$A$13</c:f>
              <c:numCache>
                <c:formatCode>General</c:formatCode>
                <c:ptCount val="8"/>
                <c:pt idx="0">
                  <c:v>1</c:v>
                </c:pt>
                <c:pt idx="1">
                  <c:v>147</c:v>
                </c:pt>
                <c:pt idx="2">
                  <c:v>148</c:v>
                </c:pt>
                <c:pt idx="3">
                  <c:v>149</c:v>
                </c:pt>
                <c:pt idx="4">
                  <c:v>150</c:v>
                </c:pt>
                <c:pt idx="5">
                  <c:v>160</c:v>
                </c:pt>
                <c:pt idx="6">
                  <c:v>161</c:v>
                </c:pt>
                <c:pt idx="7">
                  <c:v>164</c:v>
                </c:pt>
              </c:numCache>
            </c:numRef>
          </c:xVal>
          <c:yVal>
            <c:numRef>
              <c:f>'By Parameter'!$G$6:$G$13</c:f>
              <c:numCache>
                <c:formatCode>General</c:formatCode>
                <c:ptCount val="8"/>
                <c:pt idx="0">
                  <c:v>9.9</c:v>
                </c:pt>
                <c:pt idx="2">
                  <c:v>10.9</c:v>
                </c:pt>
                <c:pt idx="7">
                  <c:v>9.9</c:v>
                </c:pt>
              </c:numCache>
            </c:numRef>
          </c:yVal>
          <c:smooth val="0"/>
          <c:extLst>
            <c:ext xmlns:c16="http://schemas.microsoft.com/office/drawing/2014/chart" uri="{C3380CC4-5D6E-409C-BE32-E72D297353CC}">
              <c16:uniqueId val="{00000005-2509-4020-A331-962DFC58D791}"/>
            </c:ext>
          </c:extLst>
        </c:ser>
        <c:dLbls>
          <c:showLegendKey val="0"/>
          <c:showVal val="0"/>
          <c:showCatName val="0"/>
          <c:showSerName val="0"/>
          <c:showPercent val="0"/>
          <c:showBubbleSize val="0"/>
        </c:dLbls>
        <c:axId val="-2125152296"/>
        <c:axId val="-2117410792"/>
      </c:scatterChart>
      <c:valAx>
        <c:axId val="-2125152296"/>
        <c:scaling>
          <c:orientation val="minMax"/>
        </c:scaling>
        <c:delete val="0"/>
        <c:axPos val="b"/>
        <c:title>
          <c:tx>
            <c:rich>
              <a:bodyPr/>
              <a:lstStyle/>
              <a:p>
                <a:pPr>
                  <a:defRPr/>
                </a:pPr>
                <a:r>
                  <a:rPr lang="en-US"/>
                  <a:t>Monitoring Day</a:t>
                </a:r>
              </a:p>
            </c:rich>
          </c:tx>
          <c:overlay val="0"/>
        </c:title>
        <c:numFmt formatCode="General" sourceLinked="1"/>
        <c:majorTickMark val="out"/>
        <c:minorTickMark val="none"/>
        <c:tickLblPos val="nextTo"/>
        <c:crossAx val="-2117410792"/>
        <c:crosses val="autoZero"/>
        <c:crossBetween val="midCat"/>
      </c:valAx>
      <c:valAx>
        <c:axId val="-2117410792"/>
        <c:scaling>
          <c:orientation val="minMax"/>
        </c:scaling>
        <c:delete val="0"/>
        <c:axPos val="l"/>
        <c:title>
          <c:tx>
            <c:rich>
              <a:bodyPr rot="-5400000" vert="horz"/>
              <a:lstStyle/>
              <a:p>
                <a:pPr>
                  <a:defRPr/>
                </a:pPr>
                <a:r>
                  <a:rPr lang="en-US"/>
                  <a:t>°C</a:t>
                </a:r>
              </a:p>
            </c:rich>
          </c:tx>
          <c:overlay val="0"/>
        </c:title>
        <c:numFmt formatCode="General" sourceLinked="1"/>
        <c:majorTickMark val="out"/>
        <c:minorTickMark val="none"/>
        <c:tickLblPos val="nextTo"/>
        <c:crossAx val="-2125152296"/>
        <c:crosses val="autoZero"/>
        <c:crossBetween val="midCat"/>
      </c:valAx>
    </c:plotArea>
    <c:legend>
      <c:legendPos val="r"/>
      <c:overlay val="0"/>
    </c:legend>
    <c:plotVisOnly val="1"/>
    <c:dispBlanksAs val="gap"/>
    <c:showDLblsOverMax val="0"/>
  </c:chart>
  <c:printSettings>
    <c:headerFooter/>
    <c:pageMargins b="0.75" l="0.7" r="0.7" t="0.75" header="0.3" footer="0.3"/>
    <c:pageSetup orientation="landscape" horizontalDpi="-2"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master!$C$2:$C$11</c:f>
              <c:numCache>
                <c:formatCode>m/d/yy</c:formatCode>
                <c:ptCount val="10"/>
                <c:pt idx="0">
                  <c:v>42345</c:v>
                </c:pt>
                <c:pt idx="1">
                  <c:v>42492</c:v>
                </c:pt>
                <c:pt idx="2">
                  <c:v>42508</c:v>
                </c:pt>
                <c:pt idx="3">
                  <c:v>42562</c:v>
                </c:pt>
                <c:pt idx="4">
                  <c:v>42633</c:v>
                </c:pt>
                <c:pt idx="5">
                  <c:v>42713</c:v>
                </c:pt>
                <c:pt idx="6">
                  <c:v>42781</c:v>
                </c:pt>
                <c:pt idx="7">
                  <c:v>42864</c:v>
                </c:pt>
                <c:pt idx="8">
                  <c:v>42978</c:v>
                </c:pt>
                <c:pt idx="9">
                  <c:v>43069</c:v>
                </c:pt>
              </c:numCache>
            </c:numRef>
          </c:xVal>
          <c:yVal>
            <c:numRef>
              <c:f>master!$J$2:$J$11</c:f>
              <c:numCache>
                <c:formatCode>General</c:formatCode>
                <c:ptCount val="10"/>
                <c:pt idx="0">
                  <c:v>7.65</c:v>
                </c:pt>
                <c:pt idx="1">
                  <c:v>7.93</c:v>
                </c:pt>
                <c:pt idx="2">
                  <c:v>8.24</c:v>
                </c:pt>
                <c:pt idx="3">
                  <c:v>7.62</c:v>
                </c:pt>
                <c:pt idx="4">
                  <c:v>6.66</c:v>
                </c:pt>
                <c:pt idx="5">
                  <c:v>7.37</c:v>
                </c:pt>
                <c:pt idx="6">
                  <c:v>7.52</c:v>
                </c:pt>
                <c:pt idx="7">
                  <c:v>6.49</c:v>
                </c:pt>
                <c:pt idx="8">
                  <c:v>7.75</c:v>
                </c:pt>
                <c:pt idx="9">
                  <c:v>7.35</c:v>
                </c:pt>
              </c:numCache>
            </c:numRef>
          </c:yVal>
          <c:smooth val="0"/>
          <c:extLst>
            <c:ext xmlns:c16="http://schemas.microsoft.com/office/drawing/2014/chart" uri="{C3380CC4-5D6E-409C-BE32-E72D297353CC}">
              <c16:uniqueId val="{00000000-5349-1843-8B9D-5185C1A2AB1C}"/>
            </c:ext>
          </c:extLst>
        </c:ser>
        <c:ser>
          <c:idx val="1"/>
          <c:order val="1"/>
          <c:spPr>
            <a:ln w="47625">
              <a:noFill/>
            </a:ln>
            <a:effectLst/>
          </c:spPr>
          <c:marker>
            <c:symbol val="circle"/>
            <c:size val="8"/>
            <c:spPr>
              <a:solidFill>
                <a:srgbClr val="3366FF"/>
              </a:solidFill>
              <a:ln>
                <a:noFill/>
              </a:ln>
              <a:effectLst/>
            </c:spPr>
          </c:marker>
          <c:xVal>
            <c:numRef>
              <c:f>master!$C$14:$C$23</c:f>
              <c:numCache>
                <c:formatCode>m/d/yy</c:formatCode>
                <c:ptCount val="10"/>
                <c:pt idx="0">
                  <c:v>42345</c:v>
                </c:pt>
                <c:pt idx="1">
                  <c:v>42492</c:v>
                </c:pt>
                <c:pt idx="2">
                  <c:v>42508</c:v>
                </c:pt>
                <c:pt idx="3">
                  <c:v>42562</c:v>
                </c:pt>
                <c:pt idx="4">
                  <c:v>42633</c:v>
                </c:pt>
                <c:pt idx="5">
                  <c:v>42713</c:v>
                </c:pt>
                <c:pt idx="6">
                  <c:v>42781</c:v>
                </c:pt>
                <c:pt idx="7">
                  <c:v>42864</c:v>
                </c:pt>
                <c:pt idx="8">
                  <c:v>42979</c:v>
                </c:pt>
                <c:pt idx="9">
                  <c:v>43069</c:v>
                </c:pt>
              </c:numCache>
            </c:numRef>
          </c:xVal>
          <c:yVal>
            <c:numRef>
              <c:f>master!$J$14:$J$23</c:f>
              <c:numCache>
                <c:formatCode>General</c:formatCode>
                <c:ptCount val="10"/>
                <c:pt idx="0">
                  <c:v>8.26</c:v>
                </c:pt>
                <c:pt idx="2">
                  <c:v>7.94</c:v>
                </c:pt>
                <c:pt idx="3">
                  <c:v>8.1199999999999992</c:v>
                </c:pt>
                <c:pt idx="4">
                  <c:v>7.5</c:v>
                </c:pt>
                <c:pt idx="5">
                  <c:v>7.72</c:v>
                </c:pt>
                <c:pt idx="6">
                  <c:v>7.67</c:v>
                </c:pt>
                <c:pt idx="7">
                  <c:v>7.27</c:v>
                </c:pt>
                <c:pt idx="8">
                  <c:v>7.84</c:v>
                </c:pt>
                <c:pt idx="9">
                  <c:v>7.9</c:v>
                </c:pt>
              </c:numCache>
            </c:numRef>
          </c:yVal>
          <c:smooth val="0"/>
          <c:extLst>
            <c:ext xmlns:c16="http://schemas.microsoft.com/office/drawing/2014/chart" uri="{C3380CC4-5D6E-409C-BE32-E72D297353CC}">
              <c16:uniqueId val="{00000001-5349-1843-8B9D-5185C1A2AB1C}"/>
            </c:ext>
          </c:extLst>
        </c:ser>
        <c:ser>
          <c:idx val="2"/>
          <c:order val="2"/>
          <c:spPr>
            <a:ln w="47625">
              <a:noFill/>
            </a:ln>
            <a:effectLst/>
          </c:spPr>
          <c:marker>
            <c:symbol val="circle"/>
            <c:size val="8"/>
            <c:spPr>
              <a:solidFill>
                <a:srgbClr val="008000"/>
              </a:solidFill>
              <a:ln>
                <a:noFill/>
              </a:ln>
              <a:effectLst/>
            </c:spPr>
          </c:marker>
          <c:xVal>
            <c:numRef>
              <c:f>master!$C$26:$C$36</c:f>
              <c:numCache>
                <c:formatCode>m/d/yy</c:formatCode>
                <c:ptCount val="11"/>
                <c:pt idx="0">
                  <c:v>42347</c:v>
                </c:pt>
                <c:pt idx="1">
                  <c:v>42495</c:v>
                </c:pt>
                <c:pt idx="2">
                  <c:v>42495</c:v>
                </c:pt>
                <c:pt idx="3">
                  <c:v>42506</c:v>
                </c:pt>
                <c:pt idx="4">
                  <c:v>42563</c:v>
                </c:pt>
                <c:pt idx="5">
                  <c:v>42634</c:v>
                </c:pt>
                <c:pt idx="6">
                  <c:v>42712</c:v>
                </c:pt>
                <c:pt idx="7">
                  <c:v>42782</c:v>
                </c:pt>
                <c:pt idx="8">
                  <c:v>42866</c:v>
                </c:pt>
                <c:pt idx="9">
                  <c:v>42977</c:v>
                </c:pt>
                <c:pt idx="10">
                  <c:v>43066</c:v>
                </c:pt>
              </c:numCache>
            </c:numRef>
          </c:xVal>
          <c:yVal>
            <c:numRef>
              <c:f>master!$J$26:$J$36</c:f>
              <c:numCache>
                <c:formatCode>General</c:formatCode>
                <c:ptCount val="11"/>
                <c:pt idx="0">
                  <c:v>7.35</c:v>
                </c:pt>
                <c:pt idx="1">
                  <c:v>7.19</c:v>
                </c:pt>
                <c:pt idx="2">
                  <c:v>7.27</c:v>
                </c:pt>
                <c:pt idx="3">
                  <c:v>7.94</c:v>
                </c:pt>
                <c:pt idx="4">
                  <c:v>7.42</c:v>
                </c:pt>
                <c:pt idx="5">
                  <c:v>7.03</c:v>
                </c:pt>
                <c:pt idx="6">
                  <c:v>7.27</c:v>
                </c:pt>
                <c:pt idx="7">
                  <c:v>7.04</c:v>
                </c:pt>
                <c:pt idx="8">
                  <c:v>6.89</c:v>
                </c:pt>
                <c:pt idx="9">
                  <c:v>6.23</c:v>
                </c:pt>
                <c:pt idx="10">
                  <c:v>6.54</c:v>
                </c:pt>
              </c:numCache>
            </c:numRef>
          </c:yVal>
          <c:smooth val="0"/>
          <c:extLst>
            <c:ext xmlns:c16="http://schemas.microsoft.com/office/drawing/2014/chart" uri="{C3380CC4-5D6E-409C-BE32-E72D297353CC}">
              <c16:uniqueId val="{00000002-5349-1843-8B9D-5185C1A2AB1C}"/>
            </c:ext>
          </c:extLst>
        </c:ser>
        <c:ser>
          <c:idx val="3"/>
          <c:order val="3"/>
          <c:spPr>
            <a:ln w="47625">
              <a:noFill/>
            </a:ln>
            <a:effectLst/>
          </c:spPr>
          <c:marker>
            <c:symbol val="circle"/>
            <c:size val="8"/>
            <c:spPr>
              <a:solidFill>
                <a:srgbClr val="FFFF00"/>
              </a:solidFill>
              <a:ln>
                <a:noFill/>
              </a:ln>
              <a:effectLst/>
            </c:spPr>
          </c:marker>
          <c:xVal>
            <c:numRef>
              <c:f>master!$C$39:$C$51</c:f>
              <c:numCache>
                <c:formatCode>m/d/yy</c:formatCode>
                <c:ptCount val="13"/>
                <c:pt idx="0">
                  <c:v>42348</c:v>
                </c:pt>
                <c:pt idx="1">
                  <c:v>42494</c:v>
                </c:pt>
                <c:pt idx="2">
                  <c:v>42507</c:v>
                </c:pt>
                <c:pt idx="3">
                  <c:v>42507</c:v>
                </c:pt>
                <c:pt idx="4">
                  <c:v>42562</c:v>
                </c:pt>
                <c:pt idx="5">
                  <c:v>42562</c:v>
                </c:pt>
                <c:pt idx="6">
                  <c:v>42633</c:v>
                </c:pt>
                <c:pt idx="7">
                  <c:v>42710</c:v>
                </c:pt>
                <c:pt idx="8">
                  <c:v>42781</c:v>
                </c:pt>
                <c:pt idx="9">
                  <c:v>42864</c:v>
                </c:pt>
                <c:pt idx="10">
                  <c:v>42979</c:v>
                </c:pt>
                <c:pt idx="11">
                  <c:v>43024</c:v>
                </c:pt>
                <c:pt idx="12">
                  <c:v>43069</c:v>
                </c:pt>
              </c:numCache>
            </c:numRef>
          </c:xVal>
          <c:yVal>
            <c:numRef>
              <c:f>master!$J$39:$J$51</c:f>
              <c:numCache>
                <c:formatCode>General</c:formatCode>
                <c:ptCount val="13"/>
                <c:pt idx="0">
                  <c:v>8.83</c:v>
                </c:pt>
                <c:pt idx="1">
                  <c:v>8.6199999999999992</c:v>
                </c:pt>
                <c:pt idx="2" formatCode="0.00">
                  <c:v>8.6248868405892516</c:v>
                </c:pt>
                <c:pt idx="3" formatCode="0.00">
                  <c:v>8.5672784132993165</c:v>
                </c:pt>
                <c:pt idx="4">
                  <c:v>7.82</c:v>
                </c:pt>
                <c:pt idx="5">
                  <c:v>8.07</c:v>
                </c:pt>
                <c:pt idx="6">
                  <c:v>8.4</c:v>
                </c:pt>
                <c:pt idx="7">
                  <c:v>8.8800000000000008</c:v>
                </c:pt>
                <c:pt idx="8">
                  <c:v>7.28</c:v>
                </c:pt>
                <c:pt idx="9">
                  <c:v>8.2200000000000006</c:v>
                </c:pt>
                <c:pt idx="10">
                  <c:v>8.36</c:v>
                </c:pt>
                <c:pt idx="11">
                  <c:v>8.3800000000000008</c:v>
                </c:pt>
                <c:pt idx="12">
                  <c:v>8.34</c:v>
                </c:pt>
              </c:numCache>
            </c:numRef>
          </c:yVal>
          <c:smooth val="0"/>
          <c:extLst>
            <c:ext xmlns:c16="http://schemas.microsoft.com/office/drawing/2014/chart" uri="{C3380CC4-5D6E-409C-BE32-E72D297353CC}">
              <c16:uniqueId val="{00000003-5349-1843-8B9D-5185C1A2AB1C}"/>
            </c:ext>
          </c:extLst>
        </c:ser>
        <c:ser>
          <c:idx val="4"/>
          <c:order val="4"/>
          <c:spPr>
            <a:ln w="47625">
              <a:noFill/>
            </a:ln>
            <a:effectLst/>
          </c:spPr>
          <c:marker>
            <c:symbol val="circle"/>
            <c:size val="8"/>
            <c:spPr>
              <a:solidFill>
                <a:srgbClr val="FF6600"/>
              </a:solidFill>
              <a:ln>
                <a:noFill/>
              </a:ln>
              <a:effectLst/>
            </c:spPr>
          </c:marker>
          <c:xVal>
            <c:numRef>
              <c:f>master!$C$54:$C$65</c:f>
              <c:numCache>
                <c:formatCode>m/d/yy</c:formatCode>
                <c:ptCount val="12"/>
                <c:pt idx="0">
                  <c:v>42346</c:v>
                </c:pt>
                <c:pt idx="1">
                  <c:v>42493</c:v>
                </c:pt>
                <c:pt idx="2">
                  <c:v>42493</c:v>
                </c:pt>
                <c:pt idx="3">
                  <c:v>42494</c:v>
                </c:pt>
                <c:pt idx="4">
                  <c:v>42509</c:v>
                </c:pt>
                <c:pt idx="5">
                  <c:v>42564</c:v>
                </c:pt>
                <c:pt idx="6">
                  <c:v>42635</c:v>
                </c:pt>
                <c:pt idx="7">
                  <c:v>42711</c:v>
                </c:pt>
                <c:pt idx="8">
                  <c:v>42780</c:v>
                </c:pt>
                <c:pt idx="9">
                  <c:v>42865</c:v>
                </c:pt>
                <c:pt idx="10">
                  <c:v>42976</c:v>
                </c:pt>
                <c:pt idx="11">
                  <c:v>43067</c:v>
                </c:pt>
              </c:numCache>
            </c:numRef>
          </c:xVal>
          <c:yVal>
            <c:numRef>
              <c:f>master!$J$54:$J$65</c:f>
              <c:numCache>
                <c:formatCode>General</c:formatCode>
                <c:ptCount val="12"/>
                <c:pt idx="0">
                  <c:v>9.1199999999999992</c:v>
                </c:pt>
                <c:pt idx="1">
                  <c:v>8.61</c:v>
                </c:pt>
                <c:pt idx="2">
                  <c:v>8.69</c:v>
                </c:pt>
                <c:pt idx="3">
                  <c:v>8.69</c:v>
                </c:pt>
                <c:pt idx="4">
                  <c:v>8.61</c:v>
                </c:pt>
                <c:pt idx="5">
                  <c:v>8.75</c:v>
                </c:pt>
                <c:pt idx="6">
                  <c:v>8.83</c:v>
                </c:pt>
                <c:pt idx="7">
                  <c:v>9.07</c:v>
                </c:pt>
                <c:pt idx="8">
                  <c:v>8.3800000000000008</c:v>
                </c:pt>
                <c:pt idx="9">
                  <c:v>8.7799999999999994</c:v>
                </c:pt>
                <c:pt idx="10">
                  <c:v>8.35</c:v>
                </c:pt>
                <c:pt idx="11">
                  <c:v>7.63</c:v>
                </c:pt>
              </c:numCache>
            </c:numRef>
          </c:yVal>
          <c:smooth val="0"/>
          <c:extLst>
            <c:ext xmlns:c16="http://schemas.microsoft.com/office/drawing/2014/chart" uri="{C3380CC4-5D6E-409C-BE32-E72D297353CC}">
              <c16:uniqueId val="{00000004-5349-1843-8B9D-5185C1A2AB1C}"/>
            </c:ext>
          </c:extLst>
        </c:ser>
        <c:ser>
          <c:idx val="5"/>
          <c:order val="5"/>
          <c:spPr>
            <a:ln w="47625">
              <a:noFill/>
            </a:ln>
            <a:effectLst/>
          </c:spPr>
          <c:marker>
            <c:symbol val="circle"/>
            <c:size val="8"/>
            <c:spPr>
              <a:solidFill>
                <a:srgbClr val="FF0000"/>
              </a:solidFill>
              <a:ln>
                <a:noFill/>
              </a:ln>
              <a:effectLst/>
            </c:spPr>
          </c:marker>
          <c:xVal>
            <c:numRef>
              <c:f>master!$C$68:$C$77</c:f>
              <c:numCache>
                <c:formatCode>m/d/yy</c:formatCode>
                <c:ptCount val="10"/>
                <c:pt idx="0">
                  <c:v>42346</c:v>
                </c:pt>
                <c:pt idx="1">
                  <c:v>42494</c:v>
                </c:pt>
                <c:pt idx="2">
                  <c:v>42509</c:v>
                </c:pt>
                <c:pt idx="3">
                  <c:v>42564</c:v>
                </c:pt>
                <c:pt idx="4">
                  <c:v>42635</c:v>
                </c:pt>
                <c:pt idx="5">
                  <c:v>42711</c:v>
                </c:pt>
                <c:pt idx="6">
                  <c:v>42780</c:v>
                </c:pt>
                <c:pt idx="7">
                  <c:v>42866</c:v>
                </c:pt>
                <c:pt idx="8">
                  <c:v>42976</c:v>
                </c:pt>
                <c:pt idx="9">
                  <c:v>43067</c:v>
                </c:pt>
              </c:numCache>
            </c:numRef>
          </c:xVal>
          <c:yVal>
            <c:numRef>
              <c:f>master!$J$68:$J$77</c:f>
              <c:numCache>
                <c:formatCode>General</c:formatCode>
                <c:ptCount val="10"/>
                <c:pt idx="0">
                  <c:v>9.3699999999999992</c:v>
                </c:pt>
                <c:pt idx="1">
                  <c:v>9.3000000000000007</c:v>
                </c:pt>
                <c:pt idx="2">
                  <c:v>8.9700000000000006</c:v>
                </c:pt>
                <c:pt idx="3">
                  <c:v>9.18</c:v>
                </c:pt>
                <c:pt idx="4">
                  <c:v>8.14</c:v>
                </c:pt>
                <c:pt idx="5">
                  <c:v>8.64</c:v>
                </c:pt>
                <c:pt idx="6">
                  <c:v>8.11</c:v>
                </c:pt>
                <c:pt idx="7">
                  <c:v>8.2899999999999991</c:v>
                </c:pt>
                <c:pt idx="8">
                  <c:v>8.1300000000000008</c:v>
                </c:pt>
                <c:pt idx="9">
                  <c:v>6.68</c:v>
                </c:pt>
              </c:numCache>
            </c:numRef>
          </c:yVal>
          <c:smooth val="0"/>
          <c:extLst>
            <c:ext xmlns:c16="http://schemas.microsoft.com/office/drawing/2014/chart" uri="{C3380CC4-5D6E-409C-BE32-E72D297353CC}">
              <c16:uniqueId val="{00000005-5349-1843-8B9D-5185C1A2AB1C}"/>
            </c:ext>
          </c:extLst>
        </c:ser>
        <c:dLbls>
          <c:showLegendKey val="0"/>
          <c:showVal val="0"/>
          <c:showCatName val="0"/>
          <c:showSerName val="0"/>
          <c:showPercent val="0"/>
          <c:showBubbleSize val="0"/>
        </c:dLbls>
        <c:axId val="-2119666712"/>
        <c:axId val="-2119989432"/>
      </c:scatterChart>
      <c:valAx>
        <c:axId val="-2119666712"/>
        <c:scaling>
          <c:orientation val="minMax"/>
          <c:max val="43100"/>
          <c:min val="42300"/>
        </c:scaling>
        <c:delete val="0"/>
        <c:axPos val="b"/>
        <c:numFmt formatCode="m/d/yy" sourceLinked="1"/>
        <c:majorTickMark val="out"/>
        <c:minorTickMark val="none"/>
        <c:tickLblPos val="nextTo"/>
        <c:crossAx val="-2119989432"/>
        <c:crosses val="autoZero"/>
        <c:crossBetween val="midCat"/>
      </c:valAx>
      <c:valAx>
        <c:axId val="-2119989432"/>
        <c:scaling>
          <c:orientation val="minMax"/>
          <c:max val="9.5"/>
          <c:min val="6"/>
        </c:scaling>
        <c:delete val="0"/>
        <c:axPos val="l"/>
        <c:title>
          <c:tx>
            <c:rich>
              <a:bodyPr rot="-5400000" vert="horz"/>
              <a:lstStyle/>
              <a:p>
                <a:pPr>
                  <a:defRPr/>
                </a:pPr>
                <a:r>
                  <a:rPr lang="en-US"/>
                  <a:t>pH</a:t>
                </a:r>
              </a:p>
            </c:rich>
          </c:tx>
          <c:layout>
            <c:manualLayout>
              <c:xMode val="edge"/>
              <c:yMode val="edge"/>
              <c:x val="8.8448943882014699E-3"/>
              <c:y val="0.51933094583056605"/>
            </c:manualLayout>
          </c:layout>
          <c:overlay val="0"/>
        </c:title>
        <c:numFmt formatCode="General" sourceLinked="1"/>
        <c:majorTickMark val="out"/>
        <c:minorTickMark val="none"/>
        <c:tickLblPos val="nextTo"/>
        <c:crossAx val="-2119666712"/>
        <c:crosses val="autoZero"/>
        <c:crossBetween val="midCat"/>
      </c:valAx>
      <c:spPr>
        <a:ln>
          <a:solidFill>
            <a:schemeClr val="bg1">
              <a:lumMod val="85000"/>
            </a:schemeClr>
          </a:solidFill>
        </a:ln>
      </c:spPr>
    </c:plotArea>
    <c:legend>
      <c:legendPos val="r"/>
      <c:layout>
        <c:manualLayout>
          <c:xMode val="edge"/>
          <c:yMode val="edge"/>
          <c:x val="0.180301212348456"/>
          <c:y val="0.79744355374252895"/>
          <c:w val="0.35303212098487702"/>
          <c:h val="0.11595626600891799"/>
        </c:manualLayout>
      </c:layout>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master!$C$2:$C$11</c:f>
              <c:numCache>
                <c:formatCode>m/d/yy</c:formatCode>
                <c:ptCount val="10"/>
                <c:pt idx="0">
                  <c:v>42345</c:v>
                </c:pt>
                <c:pt idx="1">
                  <c:v>42492</c:v>
                </c:pt>
                <c:pt idx="2">
                  <c:v>42508</c:v>
                </c:pt>
                <c:pt idx="3">
                  <c:v>42562</c:v>
                </c:pt>
                <c:pt idx="4">
                  <c:v>42633</c:v>
                </c:pt>
                <c:pt idx="5">
                  <c:v>42713</c:v>
                </c:pt>
                <c:pt idx="6">
                  <c:v>42781</c:v>
                </c:pt>
                <c:pt idx="7">
                  <c:v>42864</c:v>
                </c:pt>
                <c:pt idx="8">
                  <c:v>42978</c:v>
                </c:pt>
                <c:pt idx="9">
                  <c:v>43069</c:v>
                </c:pt>
              </c:numCache>
            </c:numRef>
          </c:xVal>
          <c:yVal>
            <c:numRef>
              <c:f>master!$K$2:$K$11</c:f>
              <c:numCache>
                <c:formatCode>General</c:formatCode>
                <c:ptCount val="10"/>
                <c:pt idx="0">
                  <c:v>-99</c:v>
                </c:pt>
                <c:pt idx="1">
                  <c:v>-113</c:v>
                </c:pt>
                <c:pt idx="2">
                  <c:v>-132</c:v>
                </c:pt>
                <c:pt idx="3">
                  <c:v>-42</c:v>
                </c:pt>
                <c:pt idx="4">
                  <c:v>-59</c:v>
                </c:pt>
                <c:pt idx="5">
                  <c:v>-96</c:v>
                </c:pt>
                <c:pt idx="6">
                  <c:v>-120</c:v>
                </c:pt>
                <c:pt idx="7">
                  <c:v>-47</c:v>
                </c:pt>
                <c:pt idx="8">
                  <c:v>-93</c:v>
                </c:pt>
                <c:pt idx="9">
                  <c:v>-94</c:v>
                </c:pt>
              </c:numCache>
            </c:numRef>
          </c:yVal>
          <c:smooth val="0"/>
          <c:extLst>
            <c:ext xmlns:c16="http://schemas.microsoft.com/office/drawing/2014/chart" uri="{C3380CC4-5D6E-409C-BE32-E72D297353CC}">
              <c16:uniqueId val="{00000000-7874-8A43-AB46-E2C4244D02D1}"/>
            </c:ext>
          </c:extLst>
        </c:ser>
        <c:ser>
          <c:idx val="1"/>
          <c:order val="1"/>
          <c:spPr>
            <a:ln w="47625">
              <a:noFill/>
            </a:ln>
            <a:effectLst/>
          </c:spPr>
          <c:marker>
            <c:symbol val="circle"/>
            <c:size val="8"/>
            <c:spPr>
              <a:solidFill>
                <a:srgbClr val="3366FF"/>
              </a:solidFill>
              <a:ln>
                <a:noFill/>
              </a:ln>
              <a:effectLst/>
            </c:spPr>
          </c:marker>
          <c:xVal>
            <c:numRef>
              <c:f>master!$C$14:$C$23</c:f>
              <c:numCache>
                <c:formatCode>m/d/yy</c:formatCode>
                <c:ptCount val="10"/>
                <c:pt idx="0">
                  <c:v>42345</c:v>
                </c:pt>
                <c:pt idx="1">
                  <c:v>42492</c:v>
                </c:pt>
                <c:pt idx="2">
                  <c:v>42508</c:v>
                </c:pt>
                <c:pt idx="3">
                  <c:v>42562</c:v>
                </c:pt>
                <c:pt idx="4">
                  <c:v>42633</c:v>
                </c:pt>
                <c:pt idx="5">
                  <c:v>42713</c:v>
                </c:pt>
                <c:pt idx="6">
                  <c:v>42781</c:v>
                </c:pt>
                <c:pt idx="7">
                  <c:v>42864</c:v>
                </c:pt>
                <c:pt idx="8">
                  <c:v>42979</c:v>
                </c:pt>
                <c:pt idx="9">
                  <c:v>43069</c:v>
                </c:pt>
              </c:numCache>
            </c:numRef>
          </c:xVal>
          <c:yVal>
            <c:numRef>
              <c:f>master!$K$14:$K$23</c:f>
              <c:numCache>
                <c:formatCode>General</c:formatCode>
                <c:ptCount val="10"/>
                <c:pt idx="0">
                  <c:v>-192</c:v>
                </c:pt>
                <c:pt idx="2">
                  <c:v>-101</c:v>
                </c:pt>
                <c:pt idx="3">
                  <c:v>-150</c:v>
                </c:pt>
                <c:pt idx="4">
                  <c:v>-98</c:v>
                </c:pt>
                <c:pt idx="5">
                  <c:v>-93</c:v>
                </c:pt>
                <c:pt idx="6">
                  <c:v>-97</c:v>
                </c:pt>
                <c:pt idx="7">
                  <c:v>-93</c:v>
                </c:pt>
                <c:pt idx="8">
                  <c:v>-151</c:v>
                </c:pt>
                <c:pt idx="9">
                  <c:v>-152</c:v>
                </c:pt>
              </c:numCache>
            </c:numRef>
          </c:yVal>
          <c:smooth val="0"/>
          <c:extLst>
            <c:ext xmlns:c16="http://schemas.microsoft.com/office/drawing/2014/chart" uri="{C3380CC4-5D6E-409C-BE32-E72D297353CC}">
              <c16:uniqueId val="{00000001-7874-8A43-AB46-E2C4244D02D1}"/>
            </c:ext>
          </c:extLst>
        </c:ser>
        <c:ser>
          <c:idx val="2"/>
          <c:order val="2"/>
          <c:spPr>
            <a:ln w="47625">
              <a:noFill/>
            </a:ln>
            <a:effectLst/>
          </c:spPr>
          <c:marker>
            <c:symbol val="circle"/>
            <c:size val="8"/>
            <c:spPr>
              <a:solidFill>
                <a:srgbClr val="008000"/>
              </a:solidFill>
              <a:ln>
                <a:noFill/>
              </a:ln>
              <a:effectLst/>
            </c:spPr>
          </c:marker>
          <c:xVal>
            <c:numRef>
              <c:f>master!$C$26:$C$36</c:f>
              <c:numCache>
                <c:formatCode>m/d/yy</c:formatCode>
                <c:ptCount val="11"/>
                <c:pt idx="0">
                  <c:v>42347</c:v>
                </c:pt>
                <c:pt idx="1">
                  <c:v>42495</c:v>
                </c:pt>
                <c:pt idx="2">
                  <c:v>42495</c:v>
                </c:pt>
                <c:pt idx="3">
                  <c:v>42506</c:v>
                </c:pt>
                <c:pt idx="4">
                  <c:v>42563</c:v>
                </c:pt>
                <c:pt idx="5">
                  <c:v>42634</c:v>
                </c:pt>
                <c:pt idx="6">
                  <c:v>42712</c:v>
                </c:pt>
                <c:pt idx="7">
                  <c:v>42782</c:v>
                </c:pt>
                <c:pt idx="8">
                  <c:v>42866</c:v>
                </c:pt>
                <c:pt idx="9">
                  <c:v>42977</c:v>
                </c:pt>
                <c:pt idx="10">
                  <c:v>43066</c:v>
                </c:pt>
              </c:numCache>
            </c:numRef>
          </c:xVal>
          <c:yVal>
            <c:numRef>
              <c:f>master!$K$26:$K$36</c:f>
              <c:numCache>
                <c:formatCode>General</c:formatCode>
                <c:ptCount val="11"/>
                <c:pt idx="0">
                  <c:v>-20</c:v>
                </c:pt>
                <c:pt idx="1">
                  <c:v>-53</c:v>
                </c:pt>
                <c:pt idx="2">
                  <c:v>-22</c:v>
                </c:pt>
                <c:pt idx="3">
                  <c:v>14</c:v>
                </c:pt>
                <c:pt idx="4">
                  <c:v>52</c:v>
                </c:pt>
                <c:pt idx="5">
                  <c:v>-42</c:v>
                </c:pt>
                <c:pt idx="6">
                  <c:v>-30</c:v>
                </c:pt>
                <c:pt idx="7">
                  <c:v>-57</c:v>
                </c:pt>
                <c:pt idx="8">
                  <c:v>-39</c:v>
                </c:pt>
                <c:pt idx="9">
                  <c:v>-45</c:v>
                </c:pt>
                <c:pt idx="10">
                  <c:v>-68</c:v>
                </c:pt>
              </c:numCache>
            </c:numRef>
          </c:yVal>
          <c:smooth val="0"/>
          <c:extLst>
            <c:ext xmlns:c16="http://schemas.microsoft.com/office/drawing/2014/chart" uri="{C3380CC4-5D6E-409C-BE32-E72D297353CC}">
              <c16:uniqueId val="{00000002-7874-8A43-AB46-E2C4244D02D1}"/>
            </c:ext>
          </c:extLst>
        </c:ser>
        <c:ser>
          <c:idx val="3"/>
          <c:order val="3"/>
          <c:spPr>
            <a:ln w="47625">
              <a:noFill/>
            </a:ln>
            <a:effectLst/>
          </c:spPr>
          <c:marker>
            <c:symbol val="circle"/>
            <c:size val="8"/>
            <c:spPr>
              <a:solidFill>
                <a:srgbClr val="FFFF00"/>
              </a:solidFill>
              <a:ln>
                <a:noFill/>
              </a:ln>
              <a:effectLst/>
            </c:spPr>
          </c:marker>
          <c:xVal>
            <c:numRef>
              <c:f>master!$C$39:$C$51</c:f>
              <c:numCache>
                <c:formatCode>m/d/yy</c:formatCode>
                <c:ptCount val="13"/>
                <c:pt idx="0">
                  <c:v>42348</c:v>
                </c:pt>
                <c:pt idx="1">
                  <c:v>42494</c:v>
                </c:pt>
                <c:pt idx="2">
                  <c:v>42507</c:v>
                </c:pt>
                <c:pt idx="3">
                  <c:v>42507</c:v>
                </c:pt>
                <c:pt idx="4">
                  <c:v>42562</c:v>
                </c:pt>
                <c:pt idx="5">
                  <c:v>42562</c:v>
                </c:pt>
                <c:pt idx="6">
                  <c:v>42633</c:v>
                </c:pt>
                <c:pt idx="7">
                  <c:v>42710</c:v>
                </c:pt>
                <c:pt idx="8">
                  <c:v>42781</c:v>
                </c:pt>
                <c:pt idx="9">
                  <c:v>42864</c:v>
                </c:pt>
                <c:pt idx="10">
                  <c:v>42979</c:v>
                </c:pt>
                <c:pt idx="11">
                  <c:v>43024</c:v>
                </c:pt>
                <c:pt idx="12">
                  <c:v>43069</c:v>
                </c:pt>
              </c:numCache>
            </c:numRef>
          </c:xVal>
          <c:yVal>
            <c:numRef>
              <c:f>master!$K$39:$K$51</c:f>
              <c:numCache>
                <c:formatCode>General</c:formatCode>
                <c:ptCount val="13"/>
                <c:pt idx="0">
                  <c:v>-276</c:v>
                </c:pt>
                <c:pt idx="1">
                  <c:v>-241</c:v>
                </c:pt>
                <c:pt idx="2">
                  <c:v>-171</c:v>
                </c:pt>
                <c:pt idx="3">
                  <c:v>-163</c:v>
                </c:pt>
                <c:pt idx="4">
                  <c:v>-169</c:v>
                </c:pt>
                <c:pt idx="5">
                  <c:v>-250</c:v>
                </c:pt>
                <c:pt idx="6">
                  <c:v>-254</c:v>
                </c:pt>
                <c:pt idx="7">
                  <c:v>-278</c:v>
                </c:pt>
                <c:pt idx="8">
                  <c:v>-200</c:v>
                </c:pt>
                <c:pt idx="9">
                  <c:v>-172</c:v>
                </c:pt>
                <c:pt idx="10">
                  <c:v>-255</c:v>
                </c:pt>
                <c:pt idx="11">
                  <c:v>-154</c:v>
                </c:pt>
                <c:pt idx="12">
                  <c:v>-241</c:v>
                </c:pt>
              </c:numCache>
            </c:numRef>
          </c:yVal>
          <c:smooth val="0"/>
          <c:extLst>
            <c:ext xmlns:c16="http://schemas.microsoft.com/office/drawing/2014/chart" uri="{C3380CC4-5D6E-409C-BE32-E72D297353CC}">
              <c16:uniqueId val="{00000003-7874-8A43-AB46-E2C4244D02D1}"/>
            </c:ext>
          </c:extLst>
        </c:ser>
        <c:ser>
          <c:idx val="4"/>
          <c:order val="4"/>
          <c:spPr>
            <a:ln w="47625">
              <a:noFill/>
            </a:ln>
            <a:effectLst/>
          </c:spPr>
          <c:marker>
            <c:symbol val="circle"/>
            <c:size val="8"/>
            <c:spPr>
              <a:solidFill>
                <a:srgbClr val="FF6600"/>
              </a:solidFill>
              <a:ln>
                <a:noFill/>
              </a:ln>
              <a:effectLst/>
            </c:spPr>
          </c:marker>
          <c:xVal>
            <c:numRef>
              <c:f>master!$C$54:$C$65</c:f>
              <c:numCache>
                <c:formatCode>m/d/yy</c:formatCode>
                <c:ptCount val="12"/>
                <c:pt idx="0">
                  <c:v>42346</c:v>
                </c:pt>
                <c:pt idx="1">
                  <c:v>42493</c:v>
                </c:pt>
                <c:pt idx="2">
                  <c:v>42493</c:v>
                </c:pt>
                <c:pt idx="3">
                  <c:v>42494</c:v>
                </c:pt>
                <c:pt idx="4">
                  <c:v>42509</c:v>
                </c:pt>
                <c:pt idx="5">
                  <c:v>42564</c:v>
                </c:pt>
                <c:pt idx="6">
                  <c:v>42635</c:v>
                </c:pt>
                <c:pt idx="7">
                  <c:v>42711</c:v>
                </c:pt>
                <c:pt idx="8">
                  <c:v>42780</c:v>
                </c:pt>
                <c:pt idx="9">
                  <c:v>42865</c:v>
                </c:pt>
                <c:pt idx="10">
                  <c:v>42976</c:v>
                </c:pt>
                <c:pt idx="11">
                  <c:v>43067</c:v>
                </c:pt>
              </c:numCache>
            </c:numRef>
          </c:xVal>
          <c:yVal>
            <c:numRef>
              <c:f>master!$K$54:$K$65</c:f>
              <c:numCache>
                <c:formatCode>General</c:formatCode>
                <c:ptCount val="12"/>
                <c:pt idx="0">
                  <c:v>-312</c:v>
                </c:pt>
                <c:pt idx="1">
                  <c:v>-240</c:v>
                </c:pt>
                <c:pt idx="2">
                  <c:v>-173</c:v>
                </c:pt>
                <c:pt idx="3">
                  <c:v>-208</c:v>
                </c:pt>
                <c:pt idx="4">
                  <c:v>-133</c:v>
                </c:pt>
                <c:pt idx="5">
                  <c:v>-312</c:v>
                </c:pt>
                <c:pt idx="6">
                  <c:v>-232</c:v>
                </c:pt>
                <c:pt idx="7">
                  <c:v>-233</c:v>
                </c:pt>
                <c:pt idx="8">
                  <c:v>-133</c:v>
                </c:pt>
                <c:pt idx="9">
                  <c:v>-223</c:v>
                </c:pt>
                <c:pt idx="10">
                  <c:v>-163</c:v>
                </c:pt>
                <c:pt idx="11">
                  <c:v>-199</c:v>
                </c:pt>
              </c:numCache>
            </c:numRef>
          </c:yVal>
          <c:smooth val="0"/>
          <c:extLst>
            <c:ext xmlns:c16="http://schemas.microsoft.com/office/drawing/2014/chart" uri="{C3380CC4-5D6E-409C-BE32-E72D297353CC}">
              <c16:uniqueId val="{00000004-7874-8A43-AB46-E2C4244D02D1}"/>
            </c:ext>
          </c:extLst>
        </c:ser>
        <c:ser>
          <c:idx val="5"/>
          <c:order val="5"/>
          <c:spPr>
            <a:ln w="47625">
              <a:noFill/>
            </a:ln>
            <a:effectLst/>
          </c:spPr>
          <c:marker>
            <c:symbol val="circle"/>
            <c:size val="8"/>
            <c:spPr>
              <a:solidFill>
                <a:srgbClr val="FF0000"/>
              </a:solidFill>
              <a:ln>
                <a:noFill/>
              </a:ln>
              <a:effectLst/>
            </c:spPr>
          </c:marker>
          <c:xVal>
            <c:numRef>
              <c:f>master!$C$68:$C$77</c:f>
              <c:numCache>
                <c:formatCode>m/d/yy</c:formatCode>
                <c:ptCount val="10"/>
                <c:pt idx="0">
                  <c:v>42346</c:v>
                </c:pt>
                <c:pt idx="1">
                  <c:v>42494</c:v>
                </c:pt>
                <c:pt idx="2">
                  <c:v>42509</c:v>
                </c:pt>
                <c:pt idx="3">
                  <c:v>42564</c:v>
                </c:pt>
                <c:pt idx="4">
                  <c:v>42635</c:v>
                </c:pt>
                <c:pt idx="5">
                  <c:v>42711</c:v>
                </c:pt>
                <c:pt idx="6">
                  <c:v>42780</c:v>
                </c:pt>
                <c:pt idx="7">
                  <c:v>42866</c:v>
                </c:pt>
                <c:pt idx="8">
                  <c:v>42976</c:v>
                </c:pt>
                <c:pt idx="9">
                  <c:v>43067</c:v>
                </c:pt>
              </c:numCache>
            </c:numRef>
          </c:xVal>
          <c:yVal>
            <c:numRef>
              <c:f>master!$K$68:$K$77</c:f>
              <c:numCache>
                <c:formatCode>General</c:formatCode>
                <c:ptCount val="10"/>
                <c:pt idx="0">
                  <c:v>-350</c:v>
                </c:pt>
                <c:pt idx="1">
                  <c:v>-324</c:v>
                </c:pt>
                <c:pt idx="2">
                  <c:v>-134</c:v>
                </c:pt>
                <c:pt idx="3">
                  <c:v>-314</c:v>
                </c:pt>
                <c:pt idx="4">
                  <c:v>-250</c:v>
                </c:pt>
                <c:pt idx="5">
                  <c:v>-205</c:v>
                </c:pt>
                <c:pt idx="6">
                  <c:v>-213</c:v>
                </c:pt>
                <c:pt idx="7">
                  <c:v>-257</c:v>
                </c:pt>
                <c:pt idx="8">
                  <c:v>-207</c:v>
                </c:pt>
                <c:pt idx="9">
                  <c:v>-188</c:v>
                </c:pt>
              </c:numCache>
            </c:numRef>
          </c:yVal>
          <c:smooth val="0"/>
          <c:extLst>
            <c:ext xmlns:c16="http://schemas.microsoft.com/office/drawing/2014/chart" uri="{C3380CC4-5D6E-409C-BE32-E72D297353CC}">
              <c16:uniqueId val="{00000005-7874-8A43-AB46-E2C4244D02D1}"/>
            </c:ext>
          </c:extLst>
        </c:ser>
        <c:dLbls>
          <c:showLegendKey val="0"/>
          <c:showVal val="0"/>
          <c:showCatName val="0"/>
          <c:showSerName val="0"/>
          <c:showPercent val="0"/>
          <c:showBubbleSize val="0"/>
        </c:dLbls>
        <c:axId val="-2083137304"/>
        <c:axId val="-2083128072"/>
      </c:scatterChart>
      <c:valAx>
        <c:axId val="-2083137304"/>
        <c:scaling>
          <c:orientation val="minMax"/>
          <c:max val="43100"/>
          <c:min val="42300"/>
        </c:scaling>
        <c:delete val="0"/>
        <c:axPos val="b"/>
        <c:numFmt formatCode="m/d/yy" sourceLinked="1"/>
        <c:majorTickMark val="out"/>
        <c:minorTickMark val="none"/>
        <c:tickLblPos val="nextTo"/>
        <c:crossAx val="-2083128072"/>
        <c:crosses val="autoZero"/>
        <c:crossBetween val="midCat"/>
      </c:valAx>
      <c:valAx>
        <c:axId val="-2083128072"/>
        <c:scaling>
          <c:orientation val="minMax"/>
        </c:scaling>
        <c:delete val="0"/>
        <c:axPos val="l"/>
        <c:title>
          <c:tx>
            <c:rich>
              <a:bodyPr rot="-5400000" vert="horz"/>
              <a:lstStyle/>
              <a:p>
                <a:pPr>
                  <a:defRPr/>
                </a:pPr>
                <a:r>
                  <a:rPr lang="en-US"/>
                  <a:t>Conductiity</a:t>
                </a:r>
                <a:r>
                  <a:rPr lang="en-US" baseline="0"/>
                  <a:t> (uS)</a:t>
                </a:r>
                <a:endParaRPr lang="en-US"/>
              </a:p>
            </c:rich>
          </c:tx>
          <c:layout>
            <c:manualLayout>
              <c:xMode val="edge"/>
              <c:yMode val="edge"/>
              <c:x val="1.20194975628046E-2"/>
              <c:y val="0.36270443980646999"/>
            </c:manualLayout>
          </c:layout>
          <c:overlay val="0"/>
        </c:title>
        <c:numFmt formatCode="General" sourceLinked="1"/>
        <c:majorTickMark val="out"/>
        <c:minorTickMark val="none"/>
        <c:tickLblPos val="nextTo"/>
        <c:crossAx val="-2083137304"/>
        <c:crosses val="autoZero"/>
        <c:crossBetween val="midCat"/>
      </c:valAx>
      <c:spPr>
        <a:ln>
          <a:solidFill>
            <a:schemeClr val="bg1">
              <a:lumMod val="85000"/>
            </a:schemeClr>
          </a:solidFill>
        </a:ln>
      </c:spPr>
    </c:plotArea>
    <c:legend>
      <c:legendPos val="r"/>
      <c:layout>
        <c:manualLayout>
          <c:xMode val="edge"/>
          <c:yMode val="edge"/>
          <c:x val="0.48506311711036099"/>
          <c:y val="0.76431102362204695"/>
          <c:w val="0.34033370828646398"/>
          <c:h val="0.11595626600891799"/>
        </c:manualLayout>
      </c:layout>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master!$C$2:$C$10</c:f>
              <c:numCache>
                <c:formatCode>m/d/yy</c:formatCode>
                <c:ptCount val="9"/>
                <c:pt idx="0">
                  <c:v>42345</c:v>
                </c:pt>
                <c:pt idx="1">
                  <c:v>42492</c:v>
                </c:pt>
                <c:pt idx="2">
                  <c:v>42508</c:v>
                </c:pt>
                <c:pt idx="3">
                  <c:v>42562</c:v>
                </c:pt>
                <c:pt idx="4">
                  <c:v>42633</c:v>
                </c:pt>
                <c:pt idx="5">
                  <c:v>42713</c:v>
                </c:pt>
                <c:pt idx="6">
                  <c:v>42781</c:v>
                </c:pt>
                <c:pt idx="7">
                  <c:v>42864</c:v>
                </c:pt>
                <c:pt idx="8">
                  <c:v>42978</c:v>
                </c:pt>
              </c:numCache>
            </c:numRef>
          </c:xVal>
          <c:yVal>
            <c:numRef>
              <c:f>master!$M$2:$M$10</c:f>
              <c:numCache>
                <c:formatCode>General</c:formatCode>
                <c:ptCount val="9"/>
                <c:pt idx="1">
                  <c:v>0.06</c:v>
                </c:pt>
                <c:pt idx="2">
                  <c:v>0.08</c:v>
                </c:pt>
                <c:pt idx="3">
                  <c:v>0.09</c:v>
                </c:pt>
                <c:pt idx="4">
                  <c:v>0.08</c:v>
                </c:pt>
                <c:pt idx="5">
                  <c:v>7.0000000000000007E-2</c:v>
                </c:pt>
                <c:pt idx="6">
                  <c:v>0.06</c:v>
                </c:pt>
                <c:pt idx="7">
                  <c:v>0.05</c:v>
                </c:pt>
                <c:pt idx="8">
                  <c:v>0.05</c:v>
                </c:pt>
              </c:numCache>
            </c:numRef>
          </c:yVal>
          <c:smooth val="0"/>
          <c:extLst>
            <c:ext xmlns:c16="http://schemas.microsoft.com/office/drawing/2014/chart" uri="{C3380CC4-5D6E-409C-BE32-E72D297353CC}">
              <c16:uniqueId val="{00000000-E90B-9244-AE1B-13BD4B7E6EC2}"/>
            </c:ext>
          </c:extLst>
        </c:ser>
        <c:ser>
          <c:idx val="1"/>
          <c:order val="1"/>
          <c:spPr>
            <a:ln w="47625">
              <a:noFill/>
            </a:ln>
            <a:effectLst/>
          </c:spPr>
          <c:marker>
            <c:symbol val="circle"/>
            <c:size val="8"/>
            <c:spPr>
              <a:solidFill>
                <a:srgbClr val="3366FF"/>
              </a:solidFill>
              <a:ln>
                <a:noFill/>
              </a:ln>
              <a:effectLst/>
            </c:spPr>
          </c:marker>
          <c:xVal>
            <c:numRef>
              <c:f>master!$C$14:$C$22</c:f>
              <c:numCache>
                <c:formatCode>m/d/yy</c:formatCode>
                <c:ptCount val="9"/>
                <c:pt idx="0">
                  <c:v>42345</c:v>
                </c:pt>
                <c:pt idx="1">
                  <c:v>42492</c:v>
                </c:pt>
                <c:pt idx="2">
                  <c:v>42508</c:v>
                </c:pt>
                <c:pt idx="3">
                  <c:v>42562</c:v>
                </c:pt>
                <c:pt idx="4">
                  <c:v>42633</c:v>
                </c:pt>
                <c:pt idx="5">
                  <c:v>42713</c:v>
                </c:pt>
                <c:pt idx="6">
                  <c:v>42781</c:v>
                </c:pt>
                <c:pt idx="7">
                  <c:v>42864</c:v>
                </c:pt>
                <c:pt idx="8">
                  <c:v>42979</c:v>
                </c:pt>
              </c:numCache>
            </c:numRef>
          </c:xVal>
          <c:yVal>
            <c:numRef>
              <c:f>master!$M$14:$M$22</c:f>
              <c:numCache>
                <c:formatCode>General</c:formatCode>
                <c:ptCount val="9"/>
                <c:pt idx="1">
                  <c:v>0</c:v>
                </c:pt>
                <c:pt idx="2">
                  <c:v>0.02</c:v>
                </c:pt>
                <c:pt idx="3">
                  <c:v>0.02</c:v>
                </c:pt>
                <c:pt idx="4">
                  <c:v>0.02</c:v>
                </c:pt>
                <c:pt idx="5">
                  <c:v>0.03</c:v>
                </c:pt>
                <c:pt idx="6">
                  <c:v>0.02</c:v>
                </c:pt>
                <c:pt idx="7">
                  <c:v>0.01</c:v>
                </c:pt>
                <c:pt idx="8">
                  <c:v>0.03</c:v>
                </c:pt>
              </c:numCache>
            </c:numRef>
          </c:yVal>
          <c:smooth val="0"/>
          <c:extLst>
            <c:ext xmlns:c16="http://schemas.microsoft.com/office/drawing/2014/chart" uri="{C3380CC4-5D6E-409C-BE32-E72D297353CC}">
              <c16:uniqueId val="{00000001-E90B-9244-AE1B-13BD4B7E6EC2}"/>
            </c:ext>
          </c:extLst>
        </c:ser>
        <c:ser>
          <c:idx val="2"/>
          <c:order val="2"/>
          <c:spPr>
            <a:ln w="47625">
              <a:noFill/>
            </a:ln>
            <a:effectLst/>
          </c:spPr>
          <c:marker>
            <c:symbol val="circle"/>
            <c:size val="8"/>
            <c:spPr>
              <a:solidFill>
                <a:srgbClr val="008000"/>
              </a:solidFill>
              <a:ln>
                <a:noFill/>
              </a:ln>
              <a:effectLst/>
            </c:spPr>
          </c:marker>
          <c:xVal>
            <c:numRef>
              <c:f>master!$C$26:$C$35</c:f>
              <c:numCache>
                <c:formatCode>m/d/yy</c:formatCode>
                <c:ptCount val="10"/>
                <c:pt idx="0">
                  <c:v>42347</c:v>
                </c:pt>
                <c:pt idx="1">
                  <c:v>42495</c:v>
                </c:pt>
                <c:pt idx="2">
                  <c:v>42495</c:v>
                </c:pt>
                <c:pt idx="3">
                  <c:v>42506</c:v>
                </c:pt>
                <c:pt idx="4">
                  <c:v>42563</c:v>
                </c:pt>
                <c:pt idx="5">
                  <c:v>42634</c:v>
                </c:pt>
                <c:pt idx="6">
                  <c:v>42712</c:v>
                </c:pt>
                <c:pt idx="7">
                  <c:v>42782</c:v>
                </c:pt>
                <c:pt idx="8">
                  <c:v>42866</c:v>
                </c:pt>
                <c:pt idx="9">
                  <c:v>42977</c:v>
                </c:pt>
              </c:numCache>
            </c:numRef>
          </c:xVal>
          <c:yVal>
            <c:numRef>
              <c:f>master!$M$26:$M$35</c:f>
              <c:numCache>
                <c:formatCode>General</c:formatCode>
                <c:ptCount val="10"/>
                <c:pt idx="1">
                  <c:v>0.27</c:v>
                </c:pt>
                <c:pt idx="2">
                  <c:v>0.22</c:v>
                </c:pt>
                <c:pt idx="3">
                  <c:v>0.24</c:v>
                </c:pt>
                <c:pt idx="4">
                  <c:v>0.21</c:v>
                </c:pt>
                <c:pt idx="5">
                  <c:v>0.31</c:v>
                </c:pt>
                <c:pt idx="6">
                  <c:v>0.28000000000000003</c:v>
                </c:pt>
                <c:pt idx="7">
                  <c:v>0.2</c:v>
                </c:pt>
                <c:pt idx="8">
                  <c:v>0.21</c:v>
                </c:pt>
                <c:pt idx="9">
                  <c:v>0.24</c:v>
                </c:pt>
              </c:numCache>
            </c:numRef>
          </c:yVal>
          <c:smooth val="0"/>
          <c:extLst>
            <c:ext xmlns:c16="http://schemas.microsoft.com/office/drawing/2014/chart" uri="{C3380CC4-5D6E-409C-BE32-E72D297353CC}">
              <c16:uniqueId val="{00000002-E90B-9244-AE1B-13BD4B7E6EC2}"/>
            </c:ext>
          </c:extLst>
        </c:ser>
        <c:ser>
          <c:idx val="3"/>
          <c:order val="3"/>
          <c:spPr>
            <a:ln w="47625">
              <a:noFill/>
            </a:ln>
            <a:effectLst/>
          </c:spPr>
          <c:marker>
            <c:symbol val="circle"/>
            <c:size val="8"/>
            <c:spPr>
              <a:solidFill>
                <a:srgbClr val="FFFF00"/>
              </a:solidFill>
              <a:ln>
                <a:noFill/>
              </a:ln>
              <a:effectLst/>
            </c:spPr>
          </c:marker>
          <c:xVal>
            <c:numRef>
              <c:f>master!$C$39:$C$49</c:f>
              <c:numCache>
                <c:formatCode>m/d/yy</c:formatCode>
                <c:ptCount val="11"/>
                <c:pt idx="0">
                  <c:v>42348</c:v>
                </c:pt>
                <c:pt idx="1">
                  <c:v>42494</c:v>
                </c:pt>
                <c:pt idx="2">
                  <c:v>42507</c:v>
                </c:pt>
                <c:pt idx="3">
                  <c:v>42507</c:v>
                </c:pt>
                <c:pt idx="4">
                  <c:v>42562</c:v>
                </c:pt>
                <c:pt idx="5">
                  <c:v>42562</c:v>
                </c:pt>
                <c:pt idx="6">
                  <c:v>42633</c:v>
                </c:pt>
                <c:pt idx="7">
                  <c:v>42710</c:v>
                </c:pt>
                <c:pt idx="8">
                  <c:v>42781</c:v>
                </c:pt>
                <c:pt idx="9">
                  <c:v>42864</c:v>
                </c:pt>
                <c:pt idx="10">
                  <c:v>42979</c:v>
                </c:pt>
              </c:numCache>
            </c:numRef>
          </c:xVal>
          <c:yVal>
            <c:numRef>
              <c:f>master!$M$39:$M$49</c:f>
              <c:numCache>
                <c:formatCode>General</c:formatCode>
                <c:ptCount val="11"/>
                <c:pt idx="1">
                  <c:v>1.2</c:v>
                </c:pt>
                <c:pt idx="2">
                  <c:v>1.34</c:v>
                </c:pt>
                <c:pt idx="3">
                  <c:v>1.68</c:v>
                </c:pt>
                <c:pt idx="5">
                  <c:v>1.64</c:v>
                </c:pt>
                <c:pt idx="6">
                  <c:v>1.64</c:v>
                </c:pt>
                <c:pt idx="7">
                  <c:v>1.56</c:v>
                </c:pt>
                <c:pt idx="8">
                  <c:v>1.24</c:v>
                </c:pt>
                <c:pt idx="9">
                  <c:v>1</c:v>
                </c:pt>
                <c:pt idx="10">
                  <c:v>1.24</c:v>
                </c:pt>
              </c:numCache>
            </c:numRef>
          </c:yVal>
          <c:smooth val="0"/>
          <c:extLst>
            <c:ext xmlns:c16="http://schemas.microsoft.com/office/drawing/2014/chart" uri="{C3380CC4-5D6E-409C-BE32-E72D297353CC}">
              <c16:uniqueId val="{00000003-E90B-9244-AE1B-13BD4B7E6EC2}"/>
            </c:ext>
          </c:extLst>
        </c:ser>
        <c:ser>
          <c:idx val="4"/>
          <c:order val="4"/>
          <c:spPr>
            <a:ln w="47625">
              <a:noFill/>
            </a:ln>
            <a:effectLst/>
          </c:spPr>
          <c:marker>
            <c:symbol val="circle"/>
            <c:size val="8"/>
            <c:spPr>
              <a:solidFill>
                <a:srgbClr val="FF6600"/>
              </a:solidFill>
              <a:ln>
                <a:noFill/>
              </a:ln>
              <a:effectLst/>
            </c:spPr>
          </c:marker>
          <c:xVal>
            <c:numRef>
              <c:f>master!$M$54:$M$64</c:f>
              <c:numCache>
                <c:formatCode>General</c:formatCode>
                <c:ptCount val="11"/>
                <c:pt idx="1">
                  <c:v>0.4</c:v>
                </c:pt>
                <c:pt idx="2">
                  <c:v>0.43</c:v>
                </c:pt>
                <c:pt idx="3">
                  <c:v>0.36</c:v>
                </c:pt>
                <c:pt idx="4">
                  <c:v>0.48</c:v>
                </c:pt>
                <c:pt idx="5">
                  <c:v>0.47</c:v>
                </c:pt>
                <c:pt idx="6">
                  <c:v>0.5</c:v>
                </c:pt>
                <c:pt idx="7">
                  <c:v>0.46</c:v>
                </c:pt>
                <c:pt idx="8">
                  <c:v>0.49</c:v>
                </c:pt>
                <c:pt idx="9">
                  <c:v>0.47</c:v>
                </c:pt>
                <c:pt idx="10">
                  <c:v>0.43</c:v>
                </c:pt>
              </c:numCache>
            </c:numRef>
          </c:xVal>
          <c:yVal>
            <c:numRef>
              <c:f>master!$K$54:$K$64</c:f>
              <c:numCache>
                <c:formatCode>General</c:formatCode>
                <c:ptCount val="11"/>
                <c:pt idx="0">
                  <c:v>-312</c:v>
                </c:pt>
                <c:pt idx="1">
                  <c:v>-240</c:v>
                </c:pt>
                <c:pt idx="2">
                  <c:v>-173</c:v>
                </c:pt>
                <c:pt idx="3">
                  <c:v>-208</c:v>
                </c:pt>
                <c:pt idx="4">
                  <c:v>-133</c:v>
                </c:pt>
                <c:pt idx="5">
                  <c:v>-312</c:v>
                </c:pt>
                <c:pt idx="6">
                  <c:v>-232</c:v>
                </c:pt>
                <c:pt idx="7">
                  <c:v>-233</c:v>
                </c:pt>
                <c:pt idx="8">
                  <c:v>-133</c:v>
                </c:pt>
                <c:pt idx="9">
                  <c:v>-223</c:v>
                </c:pt>
                <c:pt idx="10">
                  <c:v>-163</c:v>
                </c:pt>
              </c:numCache>
            </c:numRef>
          </c:yVal>
          <c:smooth val="0"/>
          <c:extLst>
            <c:ext xmlns:c16="http://schemas.microsoft.com/office/drawing/2014/chart" uri="{C3380CC4-5D6E-409C-BE32-E72D297353CC}">
              <c16:uniqueId val="{00000004-E90B-9244-AE1B-13BD4B7E6EC2}"/>
            </c:ext>
          </c:extLst>
        </c:ser>
        <c:ser>
          <c:idx val="5"/>
          <c:order val="5"/>
          <c:spPr>
            <a:ln w="47625">
              <a:noFill/>
            </a:ln>
            <a:effectLst/>
          </c:spPr>
          <c:marker>
            <c:symbol val="circle"/>
            <c:size val="8"/>
            <c:spPr>
              <a:solidFill>
                <a:srgbClr val="FF0000"/>
              </a:solidFill>
              <a:ln>
                <a:noFill/>
              </a:ln>
              <a:effectLst/>
            </c:spPr>
          </c:marker>
          <c:xVal>
            <c:numRef>
              <c:f>master!$C$68:$C$76</c:f>
              <c:numCache>
                <c:formatCode>m/d/yy</c:formatCode>
                <c:ptCount val="9"/>
                <c:pt idx="0">
                  <c:v>42346</c:v>
                </c:pt>
                <c:pt idx="1">
                  <c:v>42494</c:v>
                </c:pt>
                <c:pt idx="2">
                  <c:v>42509</c:v>
                </c:pt>
                <c:pt idx="3">
                  <c:v>42564</c:v>
                </c:pt>
                <c:pt idx="4">
                  <c:v>42635</c:v>
                </c:pt>
                <c:pt idx="5">
                  <c:v>42711</c:v>
                </c:pt>
                <c:pt idx="6">
                  <c:v>42780</c:v>
                </c:pt>
                <c:pt idx="7">
                  <c:v>42866</c:v>
                </c:pt>
                <c:pt idx="8">
                  <c:v>42976</c:v>
                </c:pt>
              </c:numCache>
            </c:numRef>
          </c:xVal>
          <c:yVal>
            <c:numRef>
              <c:f>master!$M$68:$M$76</c:f>
              <c:numCache>
                <c:formatCode>General</c:formatCode>
                <c:ptCount val="9"/>
                <c:pt idx="1">
                  <c:v>0.12</c:v>
                </c:pt>
                <c:pt idx="2">
                  <c:v>0.13</c:v>
                </c:pt>
                <c:pt idx="3">
                  <c:v>0.13</c:v>
                </c:pt>
                <c:pt idx="4">
                  <c:v>0.06</c:v>
                </c:pt>
                <c:pt idx="5">
                  <c:v>0.08</c:v>
                </c:pt>
                <c:pt idx="6">
                  <c:v>0.08</c:v>
                </c:pt>
                <c:pt idx="7">
                  <c:v>0.06</c:v>
                </c:pt>
                <c:pt idx="8">
                  <c:v>0.03</c:v>
                </c:pt>
              </c:numCache>
            </c:numRef>
          </c:yVal>
          <c:smooth val="0"/>
          <c:extLst>
            <c:ext xmlns:c16="http://schemas.microsoft.com/office/drawing/2014/chart" uri="{C3380CC4-5D6E-409C-BE32-E72D297353CC}">
              <c16:uniqueId val="{00000005-E90B-9244-AE1B-13BD4B7E6EC2}"/>
            </c:ext>
          </c:extLst>
        </c:ser>
        <c:dLbls>
          <c:showLegendKey val="0"/>
          <c:showVal val="0"/>
          <c:showCatName val="0"/>
          <c:showSerName val="0"/>
          <c:showPercent val="0"/>
          <c:showBubbleSize val="0"/>
        </c:dLbls>
        <c:axId val="-2086888872"/>
        <c:axId val="-2086883720"/>
      </c:scatterChart>
      <c:valAx>
        <c:axId val="-2086888872"/>
        <c:scaling>
          <c:orientation val="minMax"/>
          <c:min val="42300"/>
        </c:scaling>
        <c:delete val="0"/>
        <c:axPos val="b"/>
        <c:numFmt formatCode="m/d/yy" sourceLinked="1"/>
        <c:majorTickMark val="out"/>
        <c:minorTickMark val="none"/>
        <c:tickLblPos val="nextTo"/>
        <c:crossAx val="-2086883720"/>
        <c:crosses val="autoZero"/>
        <c:crossBetween val="midCat"/>
      </c:valAx>
      <c:valAx>
        <c:axId val="-2086883720"/>
        <c:scaling>
          <c:orientation val="minMax"/>
          <c:min val="0"/>
        </c:scaling>
        <c:delete val="0"/>
        <c:axPos val="l"/>
        <c:title>
          <c:tx>
            <c:rich>
              <a:bodyPr rot="-5400000" vert="horz"/>
              <a:lstStyle/>
              <a:p>
                <a:pPr>
                  <a:defRPr/>
                </a:pPr>
                <a:r>
                  <a:rPr lang="en-US"/>
                  <a:t>NH4</a:t>
                </a:r>
              </a:p>
            </c:rich>
          </c:tx>
          <c:layout>
            <c:manualLayout>
              <c:xMode val="edge"/>
              <c:yMode val="edge"/>
              <c:x val="1.20194975628046E-2"/>
              <c:y val="0.36270443980646999"/>
            </c:manualLayout>
          </c:layout>
          <c:overlay val="0"/>
        </c:title>
        <c:numFmt formatCode="General" sourceLinked="1"/>
        <c:majorTickMark val="out"/>
        <c:minorTickMark val="none"/>
        <c:tickLblPos val="nextTo"/>
        <c:crossAx val="-2086888872"/>
        <c:crosses val="autoZero"/>
        <c:crossBetween val="midCat"/>
      </c:valAx>
      <c:spPr>
        <a:ln>
          <a:solidFill>
            <a:schemeClr val="bg1">
              <a:lumMod val="85000"/>
            </a:schemeClr>
          </a:solidFill>
        </a:ln>
      </c:spPr>
    </c:plotArea>
    <c:legend>
      <c:legendPos val="r"/>
      <c:layout>
        <c:manualLayout>
          <c:xMode val="edge"/>
          <c:yMode val="edge"/>
          <c:x val="0.48506311711036099"/>
          <c:y val="0.76431102362204695"/>
          <c:w val="0.34033370828646398"/>
          <c:h val="0.11595626600891799"/>
        </c:manualLayout>
      </c:layout>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571003624546901"/>
          <c:y val="3.69879518072289E-2"/>
          <c:w val="0.75044869391326097"/>
          <c:h val="0.88201041792852797"/>
        </c:manualLayout>
      </c:layout>
      <c:scatterChart>
        <c:scatterStyle val="lineMarker"/>
        <c:varyColors val="0"/>
        <c:ser>
          <c:idx val="0"/>
          <c:order val="0"/>
          <c:spPr>
            <a:ln w="47625">
              <a:noFill/>
            </a:ln>
            <a:effectLst/>
          </c:spPr>
          <c:marker>
            <c:symbol val="circle"/>
            <c:size val="8"/>
            <c:spPr>
              <a:solidFill>
                <a:srgbClr val="0000FF"/>
              </a:solidFill>
              <a:ln>
                <a:noFill/>
              </a:ln>
              <a:effectLst/>
            </c:spPr>
          </c:marker>
          <c:xVal>
            <c:numRef>
              <c:f>master!$C$2:$C$10</c:f>
              <c:numCache>
                <c:formatCode>m/d/yy</c:formatCode>
                <c:ptCount val="9"/>
                <c:pt idx="0">
                  <c:v>42345</c:v>
                </c:pt>
                <c:pt idx="1">
                  <c:v>42492</c:v>
                </c:pt>
                <c:pt idx="2">
                  <c:v>42508</c:v>
                </c:pt>
                <c:pt idx="3">
                  <c:v>42562</c:v>
                </c:pt>
                <c:pt idx="4">
                  <c:v>42633</c:v>
                </c:pt>
                <c:pt idx="5">
                  <c:v>42713</c:v>
                </c:pt>
                <c:pt idx="6">
                  <c:v>42781</c:v>
                </c:pt>
                <c:pt idx="7">
                  <c:v>42864</c:v>
                </c:pt>
                <c:pt idx="8">
                  <c:v>42978</c:v>
                </c:pt>
              </c:numCache>
            </c:numRef>
          </c:xVal>
          <c:yVal>
            <c:numRef>
              <c:f>master!$N$2:$N$10</c:f>
              <c:numCache>
                <c:formatCode>General</c:formatCode>
                <c:ptCount val="9"/>
                <c:pt idx="0">
                  <c:v>0</c:v>
                </c:pt>
                <c:pt idx="1">
                  <c:v>2.2799999999999998</c:v>
                </c:pt>
                <c:pt idx="2">
                  <c:v>2.6</c:v>
                </c:pt>
                <c:pt idx="3">
                  <c:v>2.12</c:v>
                </c:pt>
                <c:pt idx="4">
                  <c:v>2.4900000000000002</c:v>
                </c:pt>
                <c:pt idx="5">
                  <c:v>2.27</c:v>
                </c:pt>
                <c:pt idx="6">
                  <c:v>2.33</c:v>
                </c:pt>
                <c:pt idx="7">
                  <c:v>1.6</c:v>
                </c:pt>
                <c:pt idx="8">
                  <c:v>1.91</c:v>
                </c:pt>
              </c:numCache>
            </c:numRef>
          </c:yVal>
          <c:smooth val="0"/>
          <c:extLst>
            <c:ext xmlns:c16="http://schemas.microsoft.com/office/drawing/2014/chart" uri="{C3380CC4-5D6E-409C-BE32-E72D297353CC}">
              <c16:uniqueId val="{00000000-6212-5C4E-8860-0D6DEE5CD398}"/>
            </c:ext>
          </c:extLst>
        </c:ser>
        <c:ser>
          <c:idx val="1"/>
          <c:order val="1"/>
          <c:spPr>
            <a:ln w="47625">
              <a:noFill/>
            </a:ln>
            <a:effectLst/>
          </c:spPr>
          <c:marker>
            <c:symbol val="circle"/>
            <c:size val="8"/>
            <c:spPr>
              <a:solidFill>
                <a:srgbClr val="3366FF"/>
              </a:solidFill>
              <a:ln>
                <a:noFill/>
              </a:ln>
              <a:effectLst/>
            </c:spPr>
          </c:marker>
          <c:xVal>
            <c:numRef>
              <c:f>master!$C$14:$C$22</c:f>
              <c:numCache>
                <c:formatCode>m/d/yy</c:formatCode>
                <c:ptCount val="9"/>
                <c:pt idx="0">
                  <c:v>42345</c:v>
                </c:pt>
                <c:pt idx="1">
                  <c:v>42492</c:v>
                </c:pt>
                <c:pt idx="2">
                  <c:v>42508</c:v>
                </c:pt>
                <c:pt idx="3">
                  <c:v>42562</c:v>
                </c:pt>
                <c:pt idx="4">
                  <c:v>42633</c:v>
                </c:pt>
                <c:pt idx="5">
                  <c:v>42713</c:v>
                </c:pt>
                <c:pt idx="6">
                  <c:v>42781</c:v>
                </c:pt>
                <c:pt idx="7">
                  <c:v>42864</c:v>
                </c:pt>
                <c:pt idx="8">
                  <c:v>42979</c:v>
                </c:pt>
              </c:numCache>
            </c:numRef>
          </c:xVal>
          <c:yVal>
            <c:numRef>
              <c:f>master!$N$14:$N$22</c:f>
              <c:numCache>
                <c:formatCode>General</c:formatCode>
                <c:ptCount val="9"/>
                <c:pt idx="0">
                  <c:v>0</c:v>
                </c:pt>
                <c:pt idx="1">
                  <c:v>0.28000000000000003</c:v>
                </c:pt>
                <c:pt idx="2">
                  <c:v>0.28999999999999998</c:v>
                </c:pt>
                <c:pt idx="3">
                  <c:v>0.31</c:v>
                </c:pt>
                <c:pt idx="4">
                  <c:v>0.25</c:v>
                </c:pt>
                <c:pt idx="5">
                  <c:v>0.31</c:v>
                </c:pt>
                <c:pt idx="6">
                  <c:v>0.32</c:v>
                </c:pt>
                <c:pt idx="7">
                  <c:v>0.3</c:v>
                </c:pt>
                <c:pt idx="8">
                  <c:v>0.3</c:v>
                </c:pt>
              </c:numCache>
            </c:numRef>
          </c:yVal>
          <c:smooth val="0"/>
          <c:extLst>
            <c:ext xmlns:c16="http://schemas.microsoft.com/office/drawing/2014/chart" uri="{C3380CC4-5D6E-409C-BE32-E72D297353CC}">
              <c16:uniqueId val="{00000001-6212-5C4E-8860-0D6DEE5CD398}"/>
            </c:ext>
          </c:extLst>
        </c:ser>
        <c:ser>
          <c:idx val="2"/>
          <c:order val="2"/>
          <c:spPr>
            <a:ln w="47625">
              <a:noFill/>
            </a:ln>
            <a:effectLst/>
          </c:spPr>
          <c:marker>
            <c:symbol val="circle"/>
            <c:size val="8"/>
            <c:spPr>
              <a:solidFill>
                <a:srgbClr val="008000"/>
              </a:solidFill>
              <a:ln>
                <a:noFill/>
              </a:ln>
              <a:effectLst/>
            </c:spPr>
          </c:marker>
          <c:xVal>
            <c:numRef>
              <c:f>master!$C$26:$C$35</c:f>
              <c:numCache>
                <c:formatCode>m/d/yy</c:formatCode>
                <c:ptCount val="10"/>
                <c:pt idx="0">
                  <c:v>42347</c:v>
                </c:pt>
                <c:pt idx="1">
                  <c:v>42495</c:v>
                </c:pt>
                <c:pt idx="2">
                  <c:v>42495</c:v>
                </c:pt>
                <c:pt idx="3">
                  <c:v>42506</c:v>
                </c:pt>
                <c:pt idx="4">
                  <c:v>42563</c:v>
                </c:pt>
                <c:pt idx="5">
                  <c:v>42634</c:v>
                </c:pt>
                <c:pt idx="6">
                  <c:v>42712</c:v>
                </c:pt>
                <c:pt idx="7">
                  <c:v>42782</c:v>
                </c:pt>
                <c:pt idx="8">
                  <c:v>42866</c:v>
                </c:pt>
                <c:pt idx="9">
                  <c:v>42977</c:v>
                </c:pt>
              </c:numCache>
            </c:numRef>
          </c:xVal>
          <c:yVal>
            <c:numRef>
              <c:f>master!$N$26:$N$35</c:f>
              <c:numCache>
                <c:formatCode>General</c:formatCode>
                <c:ptCount val="10"/>
                <c:pt idx="0">
                  <c:v>0</c:v>
                </c:pt>
                <c:pt idx="1">
                  <c:v>2.3199999999999998</c:v>
                </c:pt>
                <c:pt idx="2">
                  <c:v>2.4500000000000002</c:v>
                </c:pt>
                <c:pt idx="3">
                  <c:v>1.8</c:v>
                </c:pt>
                <c:pt idx="4">
                  <c:v>2.83</c:v>
                </c:pt>
                <c:pt idx="5">
                  <c:v>2.71</c:v>
                </c:pt>
                <c:pt idx="6">
                  <c:v>2.92</c:v>
                </c:pt>
                <c:pt idx="7">
                  <c:v>2.58</c:v>
                </c:pt>
                <c:pt idx="8">
                  <c:v>2.2999999999999998</c:v>
                </c:pt>
                <c:pt idx="9">
                  <c:v>2.72</c:v>
                </c:pt>
              </c:numCache>
            </c:numRef>
          </c:yVal>
          <c:smooth val="0"/>
          <c:extLst>
            <c:ext xmlns:c16="http://schemas.microsoft.com/office/drawing/2014/chart" uri="{C3380CC4-5D6E-409C-BE32-E72D297353CC}">
              <c16:uniqueId val="{00000002-6212-5C4E-8860-0D6DEE5CD398}"/>
            </c:ext>
          </c:extLst>
        </c:ser>
        <c:ser>
          <c:idx val="3"/>
          <c:order val="3"/>
          <c:spPr>
            <a:ln w="47625">
              <a:noFill/>
            </a:ln>
            <a:effectLst/>
          </c:spPr>
          <c:marker>
            <c:symbol val="circle"/>
            <c:size val="8"/>
            <c:spPr>
              <a:solidFill>
                <a:srgbClr val="FFFF00"/>
              </a:solidFill>
              <a:ln>
                <a:noFill/>
              </a:ln>
              <a:effectLst/>
            </c:spPr>
          </c:marker>
          <c:xVal>
            <c:numRef>
              <c:f>master!$C$39:$C$49</c:f>
              <c:numCache>
                <c:formatCode>m/d/yy</c:formatCode>
                <c:ptCount val="11"/>
                <c:pt idx="0">
                  <c:v>42348</c:v>
                </c:pt>
                <c:pt idx="1">
                  <c:v>42494</c:v>
                </c:pt>
                <c:pt idx="2">
                  <c:v>42507</c:v>
                </c:pt>
                <c:pt idx="3">
                  <c:v>42507</c:v>
                </c:pt>
                <c:pt idx="4">
                  <c:v>42562</c:v>
                </c:pt>
                <c:pt idx="5">
                  <c:v>42562</c:v>
                </c:pt>
                <c:pt idx="6">
                  <c:v>42633</c:v>
                </c:pt>
                <c:pt idx="7">
                  <c:v>42710</c:v>
                </c:pt>
                <c:pt idx="8">
                  <c:v>42781</c:v>
                </c:pt>
                <c:pt idx="9">
                  <c:v>42864</c:v>
                </c:pt>
                <c:pt idx="10">
                  <c:v>42979</c:v>
                </c:pt>
              </c:numCache>
            </c:numRef>
          </c:xVal>
          <c:yVal>
            <c:numRef>
              <c:f>master!$M$39:$M$49</c:f>
              <c:numCache>
                <c:formatCode>General</c:formatCode>
                <c:ptCount val="11"/>
                <c:pt idx="1">
                  <c:v>1.2</c:v>
                </c:pt>
                <c:pt idx="2">
                  <c:v>1.34</c:v>
                </c:pt>
                <c:pt idx="3">
                  <c:v>1.68</c:v>
                </c:pt>
                <c:pt idx="5">
                  <c:v>1.64</c:v>
                </c:pt>
                <c:pt idx="6">
                  <c:v>1.64</c:v>
                </c:pt>
                <c:pt idx="7">
                  <c:v>1.56</c:v>
                </c:pt>
                <c:pt idx="8">
                  <c:v>1.24</c:v>
                </c:pt>
                <c:pt idx="9">
                  <c:v>1</c:v>
                </c:pt>
                <c:pt idx="10">
                  <c:v>1.24</c:v>
                </c:pt>
              </c:numCache>
            </c:numRef>
          </c:yVal>
          <c:smooth val="0"/>
          <c:extLst>
            <c:ext xmlns:c16="http://schemas.microsoft.com/office/drawing/2014/chart" uri="{C3380CC4-5D6E-409C-BE32-E72D297353CC}">
              <c16:uniqueId val="{00000003-6212-5C4E-8860-0D6DEE5CD398}"/>
            </c:ext>
          </c:extLst>
        </c:ser>
        <c:ser>
          <c:idx val="4"/>
          <c:order val="4"/>
          <c:spPr>
            <a:ln w="47625">
              <a:noFill/>
            </a:ln>
            <a:effectLst/>
          </c:spPr>
          <c:marker>
            <c:symbol val="circle"/>
            <c:size val="8"/>
            <c:spPr>
              <a:solidFill>
                <a:srgbClr val="FF6600"/>
              </a:solidFill>
              <a:ln>
                <a:noFill/>
              </a:ln>
              <a:effectLst/>
            </c:spPr>
          </c:marker>
          <c:xVal>
            <c:numRef>
              <c:f>master!$C$54:$C$64</c:f>
              <c:numCache>
                <c:formatCode>m/d/yy</c:formatCode>
                <c:ptCount val="11"/>
                <c:pt idx="0">
                  <c:v>42346</c:v>
                </c:pt>
                <c:pt idx="1">
                  <c:v>42493</c:v>
                </c:pt>
                <c:pt idx="2">
                  <c:v>42493</c:v>
                </c:pt>
                <c:pt idx="3">
                  <c:v>42494</c:v>
                </c:pt>
                <c:pt idx="4">
                  <c:v>42509</c:v>
                </c:pt>
                <c:pt idx="5">
                  <c:v>42564</c:v>
                </c:pt>
                <c:pt idx="6">
                  <c:v>42635</c:v>
                </c:pt>
                <c:pt idx="7">
                  <c:v>42711</c:v>
                </c:pt>
                <c:pt idx="8">
                  <c:v>42780</c:v>
                </c:pt>
                <c:pt idx="9">
                  <c:v>42865</c:v>
                </c:pt>
                <c:pt idx="10">
                  <c:v>42976</c:v>
                </c:pt>
              </c:numCache>
            </c:numRef>
          </c:xVal>
          <c:yVal>
            <c:numRef>
              <c:f>master!$N$54:$N$64</c:f>
              <c:numCache>
                <c:formatCode>General</c:formatCode>
                <c:ptCount val="11"/>
                <c:pt idx="0">
                  <c:v>0</c:v>
                </c:pt>
                <c:pt idx="1">
                  <c:v>0.03</c:v>
                </c:pt>
                <c:pt idx="2">
                  <c:v>0</c:v>
                </c:pt>
                <c:pt idx="3">
                  <c:v>0.13</c:v>
                </c:pt>
                <c:pt idx="4">
                  <c:v>0</c:v>
                </c:pt>
                <c:pt idx="5">
                  <c:v>0</c:v>
                </c:pt>
                <c:pt idx="6">
                  <c:v>0.01</c:v>
                </c:pt>
                <c:pt idx="7">
                  <c:v>0</c:v>
                </c:pt>
                <c:pt idx="8">
                  <c:v>0</c:v>
                </c:pt>
                <c:pt idx="9">
                  <c:v>0.01</c:v>
                </c:pt>
                <c:pt idx="10">
                  <c:v>0</c:v>
                </c:pt>
              </c:numCache>
            </c:numRef>
          </c:yVal>
          <c:smooth val="0"/>
          <c:extLst>
            <c:ext xmlns:c16="http://schemas.microsoft.com/office/drawing/2014/chart" uri="{C3380CC4-5D6E-409C-BE32-E72D297353CC}">
              <c16:uniqueId val="{00000004-6212-5C4E-8860-0D6DEE5CD398}"/>
            </c:ext>
          </c:extLst>
        </c:ser>
        <c:ser>
          <c:idx val="5"/>
          <c:order val="5"/>
          <c:spPr>
            <a:ln w="47625">
              <a:noFill/>
            </a:ln>
            <a:effectLst/>
          </c:spPr>
          <c:marker>
            <c:symbol val="circle"/>
            <c:size val="8"/>
            <c:spPr>
              <a:solidFill>
                <a:srgbClr val="FF0000"/>
              </a:solidFill>
              <a:ln>
                <a:noFill/>
              </a:ln>
              <a:effectLst/>
            </c:spPr>
          </c:marker>
          <c:xVal>
            <c:numRef>
              <c:f>master!$C$68:$C$76</c:f>
              <c:numCache>
                <c:formatCode>m/d/yy</c:formatCode>
                <c:ptCount val="9"/>
                <c:pt idx="0">
                  <c:v>42346</c:v>
                </c:pt>
                <c:pt idx="1">
                  <c:v>42494</c:v>
                </c:pt>
                <c:pt idx="2">
                  <c:v>42509</c:v>
                </c:pt>
                <c:pt idx="3">
                  <c:v>42564</c:v>
                </c:pt>
                <c:pt idx="4">
                  <c:v>42635</c:v>
                </c:pt>
                <c:pt idx="5">
                  <c:v>42711</c:v>
                </c:pt>
                <c:pt idx="6">
                  <c:v>42780</c:v>
                </c:pt>
                <c:pt idx="7">
                  <c:v>42866</c:v>
                </c:pt>
                <c:pt idx="8">
                  <c:v>42976</c:v>
                </c:pt>
              </c:numCache>
            </c:numRef>
          </c:xVal>
          <c:yVal>
            <c:numRef>
              <c:f>master!$N$68:$N$76</c:f>
              <c:numCache>
                <c:formatCode>General</c:formatCode>
                <c:ptCount val="9"/>
                <c:pt idx="0">
                  <c:v>0</c:v>
                </c:pt>
                <c:pt idx="1">
                  <c:v>0.18</c:v>
                </c:pt>
                <c:pt idx="2">
                  <c:v>0.08</c:v>
                </c:pt>
                <c:pt idx="3">
                  <c:v>0.09</c:v>
                </c:pt>
                <c:pt idx="4">
                  <c:v>2.0299999999999998</c:v>
                </c:pt>
                <c:pt idx="5">
                  <c:v>1.23</c:v>
                </c:pt>
                <c:pt idx="6">
                  <c:v>1.43</c:v>
                </c:pt>
                <c:pt idx="7">
                  <c:v>1.74</c:v>
                </c:pt>
                <c:pt idx="8">
                  <c:v>1.51</c:v>
                </c:pt>
              </c:numCache>
            </c:numRef>
          </c:yVal>
          <c:smooth val="0"/>
          <c:extLst>
            <c:ext xmlns:c16="http://schemas.microsoft.com/office/drawing/2014/chart" uri="{C3380CC4-5D6E-409C-BE32-E72D297353CC}">
              <c16:uniqueId val="{00000005-6212-5C4E-8860-0D6DEE5CD398}"/>
            </c:ext>
          </c:extLst>
        </c:ser>
        <c:dLbls>
          <c:showLegendKey val="0"/>
          <c:showVal val="0"/>
          <c:showCatName val="0"/>
          <c:showSerName val="0"/>
          <c:showPercent val="0"/>
          <c:showBubbleSize val="0"/>
        </c:dLbls>
        <c:axId val="-2086950168"/>
        <c:axId val="-2086845544"/>
      </c:scatterChart>
      <c:valAx>
        <c:axId val="-2086950168"/>
        <c:scaling>
          <c:orientation val="minMax"/>
          <c:min val="42300"/>
        </c:scaling>
        <c:delete val="0"/>
        <c:axPos val="b"/>
        <c:numFmt formatCode="m/d/yy" sourceLinked="1"/>
        <c:majorTickMark val="out"/>
        <c:minorTickMark val="none"/>
        <c:tickLblPos val="nextTo"/>
        <c:crossAx val="-2086845544"/>
        <c:crosses val="autoZero"/>
        <c:crossBetween val="midCat"/>
      </c:valAx>
      <c:valAx>
        <c:axId val="-2086845544"/>
        <c:scaling>
          <c:orientation val="minMax"/>
          <c:min val="0"/>
        </c:scaling>
        <c:delete val="0"/>
        <c:axPos val="l"/>
        <c:title>
          <c:tx>
            <c:rich>
              <a:bodyPr rot="-5400000" vert="horz"/>
              <a:lstStyle/>
              <a:p>
                <a:pPr>
                  <a:defRPr/>
                </a:pPr>
                <a:r>
                  <a:rPr lang="en-US"/>
                  <a:t>NH4</a:t>
                </a:r>
              </a:p>
            </c:rich>
          </c:tx>
          <c:layout>
            <c:manualLayout>
              <c:xMode val="edge"/>
              <c:yMode val="edge"/>
              <c:x val="1.20194975628046E-2"/>
              <c:y val="0.36270443980646999"/>
            </c:manualLayout>
          </c:layout>
          <c:overlay val="0"/>
        </c:title>
        <c:numFmt formatCode="General" sourceLinked="1"/>
        <c:majorTickMark val="out"/>
        <c:minorTickMark val="none"/>
        <c:tickLblPos val="nextTo"/>
        <c:crossAx val="-2086950168"/>
        <c:crosses val="autoZero"/>
        <c:crossBetween val="midCat"/>
      </c:valAx>
      <c:spPr>
        <a:ln>
          <a:solidFill>
            <a:schemeClr val="bg1">
              <a:lumMod val="85000"/>
            </a:schemeClr>
          </a:solidFill>
        </a:ln>
      </c:spPr>
    </c:plotArea>
    <c:legend>
      <c:legendPos val="r"/>
      <c:layout>
        <c:manualLayout>
          <c:xMode val="edge"/>
          <c:yMode val="edge"/>
          <c:x val="0.21839645044369499"/>
          <c:y val="0.58358813205578197"/>
          <c:w val="0.34033370828646398"/>
          <c:h val="0.11595626600891799"/>
        </c:manualLayout>
      </c:layout>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carbon!$C$17</c:f>
              <c:strCache>
                <c:ptCount val="1"/>
                <c:pt idx="0">
                  <c:v>mM DIC</c:v>
                </c:pt>
              </c:strCache>
            </c:strRef>
          </c:tx>
          <c:spPr>
            <a:solidFill>
              <a:srgbClr val="12B2EB"/>
            </a:solidFill>
          </c:spPr>
          <c:invertIfNegative val="0"/>
          <c:cat>
            <c:strRef>
              <c:f>carbon!$B$18:$B$23</c:f>
              <c:strCache>
                <c:ptCount val="6"/>
                <c:pt idx="0">
                  <c:v>D1</c:v>
                </c:pt>
                <c:pt idx="1">
                  <c:v>D2</c:v>
                </c:pt>
                <c:pt idx="2">
                  <c:v>D3</c:v>
                </c:pt>
                <c:pt idx="3">
                  <c:v>D4</c:v>
                </c:pt>
                <c:pt idx="4">
                  <c:v>D5</c:v>
                </c:pt>
                <c:pt idx="5">
                  <c:v>D6</c:v>
                </c:pt>
              </c:strCache>
            </c:strRef>
          </c:cat>
          <c:val>
            <c:numRef>
              <c:f>carbon!$C$18:$C$23</c:f>
              <c:numCache>
                <c:formatCode>0.00</c:formatCode>
                <c:ptCount val="6"/>
                <c:pt idx="0">
                  <c:v>4.2091814393904654</c:v>
                </c:pt>
                <c:pt idx="1">
                  <c:v>4.7278856898033492</c:v>
                </c:pt>
                <c:pt idx="2">
                  <c:v>9.9557733044060317</c:v>
                </c:pt>
                <c:pt idx="3">
                  <c:v>13.504190439788648</c:v>
                </c:pt>
                <c:pt idx="4">
                  <c:v>13.386853983474948</c:v>
                </c:pt>
                <c:pt idx="5">
                  <c:v>2.3585436094900301</c:v>
                </c:pt>
              </c:numCache>
            </c:numRef>
          </c:val>
          <c:extLst>
            <c:ext xmlns:c16="http://schemas.microsoft.com/office/drawing/2014/chart" uri="{C3380CC4-5D6E-409C-BE32-E72D297353CC}">
              <c16:uniqueId val="{00000000-D28E-2C46-AFDC-8C454306027C}"/>
            </c:ext>
          </c:extLst>
        </c:ser>
        <c:ser>
          <c:idx val="1"/>
          <c:order val="1"/>
          <c:tx>
            <c:strRef>
              <c:f>carbon!$D$17</c:f>
              <c:strCache>
                <c:ptCount val="1"/>
                <c:pt idx="0">
                  <c:v>DOC mM</c:v>
                </c:pt>
              </c:strCache>
            </c:strRef>
          </c:tx>
          <c:spPr>
            <a:solidFill>
              <a:schemeClr val="tx2">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carbon!$D$18:$D$23</c:f>
              <c:numCache>
                <c:formatCode>0.000</c:formatCode>
                <c:ptCount val="6"/>
                <c:pt idx="0">
                  <c:v>3.5520833333333335E-2</c:v>
                </c:pt>
                <c:pt idx="1">
                  <c:v>3.5166666666666659E-2</c:v>
                </c:pt>
                <c:pt idx="2">
                  <c:v>2.0641666666666666E-2</c:v>
                </c:pt>
                <c:pt idx="3">
                  <c:v>1.7491666666666666E-2</c:v>
                </c:pt>
                <c:pt idx="4">
                  <c:v>1.5895833333333335E-2</c:v>
                </c:pt>
                <c:pt idx="5">
                  <c:v>2.0031249999999997E-2</c:v>
                </c:pt>
              </c:numCache>
            </c:numRef>
          </c:val>
          <c:extLst>
            <c:ext xmlns:c16="http://schemas.microsoft.com/office/drawing/2014/chart" uri="{C3380CC4-5D6E-409C-BE32-E72D297353CC}">
              <c16:uniqueId val="{00000001-D28E-2C46-AFDC-8C454306027C}"/>
            </c:ext>
          </c:extLst>
        </c:ser>
        <c:ser>
          <c:idx val="2"/>
          <c:order val="2"/>
          <c:tx>
            <c:strRef>
              <c:f>carbon!$E$17</c:f>
              <c:strCache>
                <c:ptCount val="1"/>
                <c:pt idx="0">
                  <c:v>CO2 (mM)</c:v>
                </c:pt>
              </c:strCache>
            </c:strRef>
          </c:tx>
          <c:spPr>
            <a:solidFill>
              <a:schemeClr val="accent3">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carbon!$E$18:$E$23</c:f>
              <c:numCache>
                <c:formatCode>General</c:formatCode>
                <c:ptCount val="6"/>
                <c:pt idx="0">
                  <c:v>0.2755674407705635</c:v>
                </c:pt>
                <c:pt idx="1">
                  <c:v>0.21855206878839184</c:v>
                </c:pt>
                <c:pt idx="2">
                  <c:v>1.1213771573762068</c:v>
                </c:pt>
                <c:pt idx="3">
                  <c:v>0.16246253734429156</c:v>
                </c:pt>
                <c:pt idx="4">
                  <c:v>5.6168088204875191E-2</c:v>
                </c:pt>
                <c:pt idx="5">
                  <c:v>2.2508049678025558E-2</c:v>
                </c:pt>
              </c:numCache>
            </c:numRef>
          </c:val>
          <c:extLst>
            <c:ext xmlns:c16="http://schemas.microsoft.com/office/drawing/2014/chart" uri="{C3380CC4-5D6E-409C-BE32-E72D297353CC}">
              <c16:uniqueId val="{00000002-D28E-2C46-AFDC-8C454306027C}"/>
            </c:ext>
          </c:extLst>
        </c:ser>
        <c:ser>
          <c:idx val="3"/>
          <c:order val="3"/>
          <c:tx>
            <c:strRef>
              <c:f>carbon!$F$17</c:f>
              <c:strCache>
                <c:ptCount val="1"/>
                <c:pt idx="0">
                  <c:v>CH4 (mM)</c:v>
                </c:pt>
              </c:strCache>
            </c:strRef>
          </c:tx>
          <c:spPr>
            <a:solidFill>
              <a:schemeClr val="accent4">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carbon!$F$18:$F$23</c:f>
              <c:numCache>
                <c:formatCode>General</c:formatCode>
                <c:ptCount val="6"/>
                <c:pt idx="0">
                  <c:v>6.3995726027494778E-4</c:v>
                </c:pt>
                <c:pt idx="1">
                  <c:v>4.172951561385218E-4</c:v>
                </c:pt>
                <c:pt idx="2">
                  <c:v>5.4022360483053132E-3</c:v>
                </c:pt>
                <c:pt idx="3">
                  <c:v>5.9643889079119647E-2</c:v>
                </c:pt>
                <c:pt idx="4">
                  <c:v>2.9440868802272507E-2</c:v>
                </c:pt>
                <c:pt idx="5">
                  <c:v>0.44887654361989898</c:v>
                </c:pt>
              </c:numCache>
            </c:numRef>
          </c:val>
          <c:extLst>
            <c:ext xmlns:c16="http://schemas.microsoft.com/office/drawing/2014/chart" uri="{C3380CC4-5D6E-409C-BE32-E72D297353CC}">
              <c16:uniqueId val="{00000003-D28E-2C46-AFDC-8C454306027C}"/>
            </c:ext>
          </c:extLst>
        </c:ser>
        <c:dLbls>
          <c:showLegendKey val="0"/>
          <c:showVal val="0"/>
          <c:showCatName val="0"/>
          <c:showSerName val="0"/>
          <c:showPercent val="0"/>
          <c:showBubbleSize val="0"/>
        </c:dLbls>
        <c:gapWidth val="150"/>
        <c:overlap val="100"/>
        <c:axId val="-2088058232"/>
        <c:axId val="-2088055112"/>
      </c:barChart>
      <c:catAx>
        <c:axId val="-2088058232"/>
        <c:scaling>
          <c:orientation val="maxMin"/>
        </c:scaling>
        <c:delete val="0"/>
        <c:axPos val="l"/>
        <c:numFmt formatCode="General" sourceLinked="0"/>
        <c:majorTickMark val="out"/>
        <c:minorTickMark val="none"/>
        <c:tickLblPos val="nextTo"/>
        <c:crossAx val="-2088055112"/>
        <c:crosses val="autoZero"/>
        <c:auto val="1"/>
        <c:lblAlgn val="ctr"/>
        <c:lblOffset val="100"/>
        <c:noMultiLvlLbl val="0"/>
      </c:catAx>
      <c:valAx>
        <c:axId val="-2088055112"/>
        <c:scaling>
          <c:orientation val="minMax"/>
        </c:scaling>
        <c:delete val="0"/>
        <c:axPos val="t"/>
        <c:majorGridlines/>
        <c:numFmt formatCode="0.00" sourceLinked="1"/>
        <c:majorTickMark val="out"/>
        <c:minorTickMark val="none"/>
        <c:tickLblPos val="nextTo"/>
        <c:crossAx val="-2088058232"/>
        <c:crosses val="autoZero"/>
        <c:crossBetween val="between"/>
      </c:valAx>
    </c:plotArea>
    <c:legend>
      <c:legendPos val="b"/>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percentStacked"/>
        <c:varyColors val="0"/>
        <c:ser>
          <c:idx val="0"/>
          <c:order val="0"/>
          <c:tx>
            <c:strRef>
              <c:f>carbon!$C$17</c:f>
              <c:strCache>
                <c:ptCount val="1"/>
                <c:pt idx="0">
                  <c:v>mM DIC</c:v>
                </c:pt>
              </c:strCache>
            </c:strRef>
          </c:tx>
          <c:spPr>
            <a:solidFill>
              <a:srgbClr val="12B2EB"/>
            </a:solidFill>
          </c:spPr>
          <c:invertIfNegative val="0"/>
          <c:cat>
            <c:strRef>
              <c:f>carbon!$B$18:$B$23</c:f>
              <c:strCache>
                <c:ptCount val="6"/>
                <c:pt idx="0">
                  <c:v>D1</c:v>
                </c:pt>
                <c:pt idx="1">
                  <c:v>D2</c:v>
                </c:pt>
                <c:pt idx="2">
                  <c:v>D3</c:v>
                </c:pt>
                <c:pt idx="3">
                  <c:v>D4</c:v>
                </c:pt>
                <c:pt idx="4">
                  <c:v>D5</c:v>
                </c:pt>
                <c:pt idx="5">
                  <c:v>D6</c:v>
                </c:pt>
              </c:strCache>
            </c:strRef>
          </c:cat>
          <c:val>
            <c:numRef>
              <c:f>carbon!$C$18:$C$23</c:f>
              <c:numCache>
                <c:formatCode>0.00</c:formatCode>
                <c:ptCount val="6"/>
                <c:pt idx="0">
                  <c:v>4.2091814393904654</c:v>
                </c:pt>
                <c:pt idx="1">
                  <c:v>4.7278856898033492</c:v>
                </c:pt>
                <c:pt idx="2">
                  <c:v>9.9557733044060317</c:v>
                </c:pt>
                <c:pt idx="3">
                  <c:v>13.504190439788648</c:v>
                </c:pt>
                <c:pt idx="4">
                  <c:v>13.386853983474948</c:v>
                </c:pt>
                <c:pt idx="5">
                  <c:v>2.3585436094900301</c:v>
                </c:pt>
              </c:numCache>
            </c:numRef>
          </c:val>
          <c:extLst>
            <c:ext xmlns:c16="http://schemas.microsoft.com/office/drawing/2014/chart" uri="{C3380CC4-5D6E-409C-BE32-E72D297353CC}">
              <c16:uniqueId val="{00000000-FC3C-6E48-89B1-02508D7E9E5B}"/>
            </c:ext>
          </c:extLst>
        </c:ser>
        <c:ser>
          <c:idx val="1"/>
          <c:order val="1"/>
          <c:tx>
            <c:strRef>
              <c:f>carbon!$D$17</c:f>
              <c:strCache>
                <c:ptCount val="1"/>
                <c:pt idx="0">
                  <c:v>DOC mM</c:v>
                </c:pt>
              </c:strCache>
            </c:strRef>
          </c:tx>
          <c:spPr>
            <a:solidFill>
              <a:schemeClr val="tx2">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carbon!$D$18:$D$23</c:f>
              <c:numCache>
                <c:formatCode>0.000</c:formatCode>
                <c:ptCount val="6"/>
                <c:pt idx="0">
                  <c:v>3.5520833333333335E-2</c:v>
                </c:pt>
                <c:pt idx="1">
                  <c:v>3.5166666666666659E-2</c:v>
                </c:pt>
                <c:pt idx="2">
                  <c:v>2.0641666666666666E-2</c:v>
                </c:pt>
                <c:pt idx="3">
                  <c:v>1.7491666666666666E-2</c:v>
                </c:pt>
                <c:pt idx="4">
                  <c:v>1.5895833333333335E-2</c:v>
                </c:pt>
                <c:pt idx="5">
                  <c:v>2.0031249999999997E-2</c:v>
                </c:pt>
              </c:numCache>
            </c:numRef>
          </c:val>
          <c:extLst>
            <c:ext xmlns:c16="http://schemas.microsoft.com/office/drawing/2014/chart" uri="{C3380CC4-5D6E-409C-BE32-E72D297353CC}">
              <c16:uniqueId val="{00000001-FC3C-6E48-89B1-02508D7E9E5B}"/>
            </c:ext>
          </c:extLst>
        </c:ser>
        <c:ser>
          <c:idx val="2"/>
          <c:order val="2"/>
          <c:tx>
            <c:strRef>
              <c:f>carbon!$E$17</c:f>
              <c:strCache>
                <c:ptCount val="1"/>
                <c:pt idx="0">
                  <c:v>CO2 (mM)</c:v>
                </c:pt>
              </c:strCache>
            </c:strRef>
          </c:tx>
          <c:spPr>
            <a:solidFill>
              <a:schemeClr val="accent3">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carbon!$E$18:$E$23</c:f>
              <c:numCache>
                <c:formatCode>General</c:formatCode>
                <c:ptCount val="6"/>
                <c:pt idx="0">
                  <c:v>0.2755674407705635</c:v>
                </c:pt>
                <c:pt idx="1">
                  <c:v>0.21855206878839184</c:v>
                </c:pt>
                <c:pt idx="2">
                  <c:v>1.1213771573762068</c:v>
                </c:pt>
                <c:pt idx="3">
                  <c:v>0.16246253734429156</c:v>
                </c:pt>
                <c:pt idx="4">
                  <c:v>5.6168088204875191E-2</c:v>
                </c:pt>
                <c:pt idx="5">
                  <c:v>2.2508049678025558E-2</c:v>
                </c:pt>
              </c:numCache>
            </c:numRef>
          </c:val>
          <c:extLst>
            <c:ext xmlns:c16="http://schemas.microsoft.com/office/drawing/2014/chart" uri="{C3380CC4-5D6E-409C-BE32-E72D297353CC}">
              <c16:uniqueId val="{00000002-FC3C-6E48-89B1-02508D7E9E5B}"/>
            </c:ext>
          </c:extLst>
        </c:ser>
        <c:ser>
          <c:idx val="3"/>
          <c:order val="3"/>
          <c:tx>
            <c:strRef>
              <c:f>carbon!$F$17</c:f>
              <c:strCache>
                <c:ptCount val="1"/>
                <c:pt idx="0">
                  <c:v>CH4 (mM)</c:v>
                </c:pt>
              </c:strCache>
            </c:strRef>
          </c:tx>
          <c:spPr>
            <a:solidFill>
              <a:schemeClr val="accent4">
                <a:lumMod val="75000"/>
              </a:schemeClr>
            </a:solidFill>
          </c:spPr>
          <c:invertIfNegative val="0"/>
          <c:cat>
            <c:strRef>
              <c:f>carbon!$B$18:$B$23</c:f>
              <c:strCache>
                <c:ptCount val="6"/>
                <c:pt idx="0">
                  <c:v>D1</c:v>
                </c:pt>
                <c:pt idx="1">
                  <c:v>D2</c:v>
                </c:pt>
                <c:pt idx="2">
                  <c:v>D3</c:v>
                </c:pt>
                <c:pt idx="3">
                  <c:v>D4</c:v>
                </c:pt>
                <c:pt idx="4">
                  <c:v>D5</c:v>
                </c:pt>
                <c:pt idx="5">
                  <c:v>D6</c:v>
                </c:pt>
              </c:strCache>
            </c:strRef>
          </c:cat>
          <c:val>
            <c:numRef>
              <c:f>carbon!$F$18:$F$23</c:f>
              <c:numCache>
                <c:formatCode>General</c:formatCode>
                <c:ptCount val="6"/>
                <c:pt idx="0">
                  <c:v>6.3995726027494778E-4</c:v>
                </c:pt>
                <c:pt idx="1">
                  <c:v>4.172951561385218E-4</c:v>
                </c:pt>
                <c:pt idx="2">
                  <c:v>5.4022360483053132E-3</c:v>
                </c:pt>
                <c:pt idx="3">
                  <c:v>5.9643889079119647E-2</c:v>
                </c:pt>
                <c:pt idx="4">
                  <c:v>2.9440868802272507E-2</c:v>
                </c:pt>
                <c:pt idx="5">
                  <c:v>0.44887654361989898</c:v>
                </c:pt>
              </c:numCache>
            </c:numRef>
          </c:val>
          <c:extLst>
            <c:ext xmlns:c16="http://schemas.microsoft.com/office/drawing/2014/chart" uri="{C3380CC4-5D6E-409C-BE32-E72D297353CC}">
              <c16:uniqueId val="{00000003-FC3C-6E48-89B1-02508D7E9E5B}"/>
            </c:ext>
          </c:extLst>
        </c:ser>
        <c:dLbls>
          <c:showLegendKey val="0"/>
          <c:showVal val="0"/>
          <c:showCatName val="0"/>
          <c:showSerName val="0"/>
          <c:showPercent val="0"/>
          <c:showBubbleSize val="0"/>
        </c:dLbls>
        <c:gapWidth val="150"/>
        <c:overlap val="100"/>
        <c:axId val="-2124600472"/>
        <c:axId val="-2088389720"/>
      </c:barChart>
      <c:catAx>
        <c:axId val="-2124600472"/>
        <c:scaling>
          <c:orientation val="maxMin"/>
        </c:scaling>
        <c:delete val="0"/>
        <c:axPos val="l"/>
        <c:numFmt formatCode="General" sourceLinked="0"/>
        <c:majorTickMark val="out"/>
        <c:minorTickMark val="none"/>
        <c:tickLblPos val="nextTo"/>
        <c:crossAx val="-2088389720"/>
        <c:crosses val="autoZero"/>
        <c:auto val="1"/>
        <c:lblAlgn val="ctr"/>
        <c:lblOffset val="100"/>
        <c:noMultiLvlLbl val="0"/>
      </c:catAx>
      <c:valAx>
        <c:axId val="-2088389720"/>
        <c:scaling>
          <c:orientation val="minMax"/>
        </c:scaling>
        <c:delete val="0"/>
        <c:axPos val="t"/>
        <c:majorGridlines/>
        <c:numFmt formatCode="0%" sourceLinked="1"/>
        <c:majorTickMark val="out"/>
        <c:minorTickMark val="none"/>
        <c:tickLblPos val="nextTo"/>
        <c:crossAx val="-2124600472"/>
        <c:crosses val="autoZero"/>
        <c:crossBetween val="between"/>
      </c:valAx>
    </c:plotArea>
    <c:legend>
      <c:legendPos val="b"/>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stacked"/>
        <c:varyColors val="0"/>
        <c:ser>
          <c:idx val="0"/>
          <c:order val="0"/>
          <c:tx>
            <c:strRef>
              <c:f>carbon!$G$17</c:f>
              <c:strCache>
                <c:ptCount val="1"/>
                <c:pt idx="0">
                  <c:v>Cell Density</c:v>
                </c:pt>
              </c:strCache>
            </c:strRef>
          </c:tx>
          <c:spPr>
            <a:solidFill>
              <a:schemeClr val="accent5">
                <a:lumMod val="75000"/>
              </a:schemeClr>
            </a:solidFill>
          </c:spPr>
          <c:invertIfNegative val="0"/>
          <c:errBars>
            <c:errBarType val="both"/>
            <c:errValType val="cust"/>
            <c:noEndCap val="0"/>
            <c:plus>
              <c:numRef>
                <c:f>carbon!$P$10:$P$15</c:f>
                <c:numCache>
                  <c:formatCode>General</c:formatCode>
                  <c:ptCount val="6"/>
                  <c:pt idx="0">
                    <c:v>2310.8167284276251</c:v>
                  </c:pt>
                  <c:pt idx="1">
                    <c:v>20674.600241428059</c:v>
                  </c:pt>
                  <c:pt idx="2">
                    <c:v>3679.1732184593557</c:v>
                  </c:pt>
                  <c:pt idx="3">
                    <c:v>28071.096331246048</c:v>
                  </c:pt>
                  <c:pt idx="4">
                    <c:v>17911.276210147353</c:v>
                  </c:pt>
                  <c:pt idx="5">
                    <c:v>197431.35921534617</c:v>
                  </c:pt>
                </c:numCache>
              </c:numRef>
            </c:plus>
            <c:minus>
              <c:numRef>
                <c:f>carbon!$P$10:$P$15</c:f>
                <c:numCache>
                  <c:formatCode>General</c:formatCode>
                  <c:ptCount val="6"/>
                  <c:pt idx="0">
                    <c:v>2310.8167284276251</c:v>
                  </c:pt>
                  <c:pt idx="1">
                    <c:v>20674.600241428059</c:v>
                  </c:pt>
                  <c:pt idx="2">
                    <c:v>3679.1732184593557</c:v>
                  </c:pt>
                  <c:pt idx="3">
                    <c:v>28071.096331246048</c:v>
                  </c:pt>
                  <c:pt idx="4">
                    <c:v>17911.276210147353</c:v>
                  </c:pt>
                  <c:pt idx="5">
                    <c:v>197431.35921534617</c:v>
                  </c:pt>
                </c:numCache>
              </c:numRef>
            </c:minus>
          </c:errBars>
          <c:cat>
            <c:strRef>
              <c:f>carbon!$B$18:$B$23</c:f>
              <c:strCache>
                <c:ptCount val="6"/>
                <c:pt idx="0">
                  <c:v>D1</c:v>
                </c:pt>
                <c:pt idx="1">
                  <c:v>D2</c:v>
                </c:pt>
                <c:pt idx="2">
                  <c:v>D3</c:v>
                </c:pt>
                <c:pt idx="3">
                  <c:v>D4</c:v>
                </c:pt>
                <c:pt idx="4">
                  <c:v>D5</c:v>
                </c:pt>
                <c:pt idx="5">
                  <c:v>D6</c:v>
                </c:pt>
              </c:strCache>
            </c:strRef>
          </c:cat>
          <c:val>
            <c:numRef>
              <c:f>carbon!$G$18:$G$23</c:f>
              <c:numCache>
                <c:formatCode>General</c:formatCode>
                <c:ptCount val="6"/>
                <c:pt idx="0">
                  <c:v>2755.5714285714284</c:v>
                </c:pt>
                <c:pt idx="1">
                  <c:v>22465.857142857141</c:v>
                </c:pt>
                <c:pt idx="2">
                  <c:v>6075.7142857142853</c:v>
                </c:pt>
                <c:pt idx="3">
                  <c:v>25065.714285714286</c:v>
                </c:pt>
                <c:pt idx="4">
                  <c:v>13751.857142857143</c:v>
                </c:pt>
                <c:pt idx="5">
                  <c:v>231552.57142857142</c:v>
                </c:pt>
              </c:numCache>
            </c:numRef>
          </c:val>
          <c:extLst>
            <c:ext xmlns:c16="http://schemas.microsoft.com/office/drawing/2014/chart" uri="{C3380CC4-5D6E-409C-BE32-E72D297353CC}">
              <c16:uniqueId val="{00000000-1FDD-9048-9E88-4D866E87C544}"/>
            </c:ext>
          </c:extLst>
        </c:ser>
        <c:dLbls>
          <c:showLegendKey val="0"/>
          <c:showVal val="0"/>
          <c:showCatName val="0"/>
          <c:showSerName val="0"/>
          <c:showPercent val="0"/>
          <c:showBubbleSize val="0"/>
        </c:dLbls>
        <c:gapWidth val="150"/>
        <c:overlap val="100"/>
        <c:axId val="-2088134904"/>
        <c:axId val="-2084281416"/>
      </c:barChart>
      <c:catAx>
        <c:axId val="-2088134904"/>
        <c:scaling>
          <c:orientation val="maxMin"/>
        </c:scaling>
        <c:delete val="0"/>
        <c:axPos val="l"/>
        <c:numFmt formatCode="General" sourceLinked="0"/>
        <c:majorTickMark val="out"/>
        <c:minorTickMark val="none"/>
        <c:tickLblPos val="nextTo"/>
        <c:crossAx val="-2084281416"/>
        <c:crosses val="autoZero"/>
        <c:auto val="1"/>
        <c:lblAlgn val="ctr"/>
        <c:lblOffset val="100"/>
        <c:noMultiLvlLbl val="0"/>
      </c:catAx>
      <c:valAx>
        <c:axId val="-2084281416"/>
        <c:scaling>
          <c:logBase val="10"/>
          <c:orientation val="minMax"/>
          <c:min val="1000"/>
        </c:scaling>
        <c:delete val="0"/>
        <c:axPos val="t"/>
        <c:majorGridlines/>
        <c:numFmt formatCode="0.E+00" sourceLinked="0"/>
        <c:majorTickMark val="out"/>
        <c:minorTickMark val="none"/>
        <c:tickLblPos val="nextTo"/>
        <c:crossAx val="-2088134904"/>
        <c:crosses val="autoZero"/>
        <c:crossBetween val="between"/>
      </c:valAx>
      <c:spPr>
        <a:ln>
          <a:solidFill>
            <a:schemeClr val="tx1"/>
          </a:solidFill>
        </a:ln>
      </c:spPr>
    </c:plotArea>
    <c:plotVisOnly val="1"/>
    <c:dispBlanksAs val="gap"/>
    <c:showDLblsOverMax val="0"/>
  </c:chart>
  <c:txPr>
    <a:bodyPr/>
    <a:lstStyle/>
    <a:p>
      <a:pPr>
        <a:defRPr>
          <a:latin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58420</xdr:colOff>
      <xdr:row>100</xdr:row>
      <xdr:rowOff>10160</xdr:rowOff>
    </xdr:from>
    <xdr:to>
      <xdr:col>7</xdr:col>
      <xdr:colOff>254000</xdr:colOff>
      <xdr:row>127</xdr:row>
      <xdr:rowOff>116840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100</xdr:row>
      <xdr:rowOff>2540</xdr:rowOff>
    </xdr:from>
    <xdr:to>
      <xdr:col>14</xdr:col>
      <xdr:colOff>172720</xdr:colOff>
      <xdr:row>127</xdr:row>
      <xdr:rowOff>119380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274320</xdr:colOff>
      <xdr:row>99</xdr:row>
      <xdr:rowOff>109220</xdr:rowOff>
    </xdr:from>
    <xdr:to>
      <xdr:col>22</xdr:col>
      <xdr:colOff>337820</xdr:colOff>
      <xdr:row>127</xdr:row>
      <xdr:rowOff>60960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434340</xdr:colOff>
      <xdr:row>99</xdr:row>
      <xdr:rowOff>91440</xdr:rowOff>
    </xdr:from>
    <xdr:to>
      <xdr:col>30</xdr:col>
      <xdr:colOff>86360</xdr:colOff>
      <xdr:row>127</xdr:row>
      <xdr:rowOff>43180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350520</xdr:colOff>
      <xdr:row>100</xdr:row>
      <xdr:rowOff>116840</xdr:rowOff>
    </xdr:from>
    <xdr:to>
      <xdr:col>37</xdr:col>
      <xdr:colOff>553720</xdr:colOff>
      <xdr:row>128</xdr:row>
      <xdr:rowOff>68580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25400</xdr:colOff>
      <xdr:row>99</xdr:row>
      <xdr:rowOff>76200</xdr:rowOff>
    </xdr:from>
    <xdr:to>
      <xdr:col>43</xdr:col>
      <xdr:colOff>584200</xdr:colOff>
      <xdr:row>126</xdr:row>
      <xdr:rowOff>139700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xdr:colOff>
      <xdr:row>23</xdr:row>
      <xdr:rowOff>127000</xdr:rowOff>
    </xdr:from>
    <xdr:to>
      <xdr:col>9</xdr:col>
      <xdr:colOff>228600</xdr:colOff>
      <xdr:row>48</xdr:row>
      <xdr:rowOff>63500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9</xdr:col>
      <xdr:colOff>196850</xdr:colOff>
      <xdr:row>73</xdr:row>
      <xdr:rowOff>88900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317500</xdr:colOff>
      <xdr:row>23</xdr:row>
      <xdr:rowOff>12700</xdr:rowOff>
    </xdr:from>
    <xdr:to>
      <xdr:col>40</xdr:col>
      <xdr:colOff>698500</xdr:colOff>
      <xdr:row>62</xdr:row>
      <xdr:rowOff>88900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596900</xdr:colOff>
      <xdr:row>23</xdr:row>
      <xdr:rowOff>0</xdr:rowOff>
    </xdr:from>
    <xdr:to>
      <xdr:col>18</xdr:col>
      <xdr:colOff>609600</xdr:colOff>
      <xdr:row>62</xdr:row>
      <xdr:rowOff>88900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609600</xdr:colOff>
      <xdr:row>23</xdr:row>
      <xdr:rowOff>25400</xdr:rowOff>
    </xdr:from>
    <xdr:to>
      <xdr:col>22</xdr:col>
      <xdr:colOff>825500</xdr:colOff>
      <xdr:row>62</xdr:row>
      <xdr:rowOff>127000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774700</xdr:colOff>
      <xdr:row>23</xdr:row>
      <xdr:rowOff>50800</xdr:rowOff>
    </xdr:from>
    <xdr:to>
      <xdr:col>27</xdr:col>
      <xdr:colOff>215900</xdr:colOff>
      <xdr:row>63</xdr:row>
      <xdr:rowOff>12700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0</xdr:colOff>
      <xdr:row>23</xdr:row>
      <xdr:rowOff>0</xdr:rowOff>
    </xdr:from>
    <xdr:to>
      <xdr:col>31</xdr:col>
      <xdr:colOff>317500</xdr:colOff>
      <xdr:row>63</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336550</xdr:colOff>
      <xdr:row>22</xdr:row>
      <xdr:rowOff>139700</xdr:rowOff>
    </xdr:from>
    <xdr:to>
      <xdr:col>35</xdr:col>
      <xdr:colOff>533400</xdr:colOff>
      <xdr:row>63</xdr:row>
      <xdr:rowOff>25400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101600</xdr:colOff>
      <xdr:row>44</xdr:row>
      <xdr:rowOff>63500</xdr:rowOff>
    </xdr:from>
    <xdr:to>
      <xdr:col>10</xdr:col>
      <xdr:colOff>50800</xdr:colOff>
      <xdr:row>77</xdr:row>
      <xdr:rowOff>38100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45</xdr:row>
      <xdr:rowOff>12700</xdr:rowOff>
    </xdr:from>
    <xdr:to>
      <xdr:col>20</xdr:col>
      <xdr:colOff>254000</xdr:colOff>
      <xdr:row>77</xdr:row>
      <xdr:rowOff>139700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393700</xdr:colOff>
      <xdr:row>45</xdr:row>
      <xdr:rowOff>88900</xdr:rowOff>
    </xdr:from>
    <xdr:to>
      <xdr:col>25</xdr:col>
      <xdr:colOff>508000</xdr:colOff>
      <xdr:row>78</xdr:row>
      <xdr:rowOff>63500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45</xdr:row>
      <xdr:rowOff>0</xdr:rowOff>
    </xdr:from>
    <xdr:to>
      <xdr:col>34</xdr:col>
      <xdr:colOff>38100</xdr:colOff>
      <xdr:row>77</xdr:row>
      <xdr:rowOff>127000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101600</xdr:colOff>
      <xdr:row>45</xdr:row>
      <xdr:rowOff>0</xdr:rowOff>
    </xdr:from>
    <xdr:to>
      <xdr:col>39</xdr:col>
      <xdr:colOff>215900</xdr:colOff>
      <xdr:row>77</xdr:row>
      <xdr:rowOff>127000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241300</xdr:colOff>
      <xdr:row>45</xdr:row>
      <xdr:rowOff>63500</xdr:rowOff>
    </xdr:from>
    <xdr:to>
      <xdr:col>47</xdr:col>
      <xdr:colOff>469900</xdr:colOff>
      <xdr:row>78</xdr:row>
      <xdr:rowOff>38100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0</xdr:colOff>
      <xdr:row>45</xdr:row>
      <xdr:rowOff>0</xdr:rowOff>
    </xdr:from>
    <xdr:to>
      <xdr:col>56</xdr:col>
      <xdr:colOff>317500</xdr:colOff>
      <xdr:row>77</xdr:row>
      <xdr:rowOff>127000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317500</xdr:colOff>
      <xdr:row>45</xdr:row>
      <xdr:rowOff>25400</xdr:rowOff>
    </xdr:from>
    <xdr:to>
      <xdr:col>63</xdr:col>
      <xdr:colOff>292100</xdr:colOff>
      <xdr:row>78</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257175</xdr:colOff>
      <xdr:row>10</xdr:row>
      <xdr:rowOff>139700</xdr:rowOff>
    </xdr:from>
    <xdr:to>
      <xdr:col>18</xdr:col>
      <xdr:colOff>180975</xdr:colOff>
      <xdr:row>39</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219075</xdr:colOff>
      <xdr:row>31</xdr:row>
      <xdr:rowOff>14287</xdr:rowOff>
    </xdr:from>
    <xdr:to>
      <xdr:col>8</xdr:col>
      <xdr:colOff>733425</xdr:colOff>
      <xdr:row>48</xdr:row>
      <xdr:rowOff>4762</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419100</xdr:colOff>
      <xdr:row>1</xdr:row>
      <xdr:rowOff>14287</xdr:rowOff>
    </xdr:from>
    <xdr:to>
      <xdr:col>15</xdr:col>
      <xdr:colOff>114300</xdr:colOff>
      <xdr:row>18</xdr:row>
      <xdr:rowOff>4762</xdr:rowOff>
    </xdr:to>
    <xdr:graphicFrame macro="">
      <xdr:nvGraphicFramePr>
        <xdr:cNvPr id="4" name="Chart 3">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hyperlink" Target="mailto:axford@northwestern.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44"/>
  <sheetViews>
    <sheetView tabSelected="1" workbookViewId="0">
      <pane xSplit="3" ySplit="1" topLeftCell="V35" activePane="bottomRight" state="frozen"/>
      <selection pane="topRight" activeCell="D1" sqref="D1"/>
      <selection pane="bottomLeft" activeCell="A2" sqref="A2"/>
      <selection pane="bottomRight" activeCell="AO93" sqref="AO93"/>
    </sheetView>
  </sheetViews>
  <sheetFormatPr baseColWidth="10" defaultRowHeight="13"/>
  <cols>
    <col min="1" max="1" width="5.33203125" customWidth="1"/>
    <col min="2" max="2" width="8.33203125" style="117" customWidth="1"/>
    <col min="3" max="3" width="10.83203125" style="117"/>
    <col min="4" max="4" width="6.6640625" customWidth="1"/>
    <col min="5" max="5" width="7" customWidth="1"/>
    <col min="6" max="11" width="8.1640625" customWidth="1"/>
    <col min="12" max="12" width="7" customWidth="1"/>
    <col min="13" max="13" width="8.5" customWidth="1"/>
    <col min="14" max="16" width="8.1640625" customWidth="1"/>
    <col min="17" max="17" width="7.1640625" customWidth="1"/>
    <col min="18" max="19" width="5.6640625" customWidth="1"/>
    <col min="20" max="20" width="7.83203125" customWidth="1"/>
    <col min="21" max="31" width="6.33203125" customWidth="1"/>
    <col min="32" max="32" width="7.5" customWidth="1"/>
    <col min="33" max="33" width="9.5" customWidth="1"/>
    <col min="34" max="37" width="8.1640625" customWidth="1"/>
    <col min="38" max="39" width="7.6640625" customWidth="1"/>
    <col min="41" max="41" width="8.33203125" customWidth="1"/>
    <col min="42" max="42" width="9.33203125" customWidth="1"/>
    <col min="43" max="43" width="9" customWidth="1"/>
    <col min="44" max="44" width="8.1640625" customWidth="1"/>
    <col min="45" max="45" width="7.33203125" customWidth="1"/>
    <col min="46" max="46" width="8" customWidth="1"/>
    <col min="47" max="47" width="8.6640625" customWidth="1"/>
  </cols>
  <sheetData>
    <row r="1" spans="1:52" s="74" customFormat="1" ht="30" customHeight="1">
      <c r="A1" s="70">
        <v>42343</v>
      </c>
      <c r="B1" s="76" t="s">
        <v>415</v>
      </c>
      <c r="C1" s="76" t="s">
        <v>187</v>
      </c>
      <c r="D1" s="74" t="s">
        <v>416</v>
      </c>
      <c r="E1" s="74" t="s">
        <v>518</v>
      </c>
      <c r="F1" s="74" t="s">
        <v>282</v>
      </c>
      <c r="G1" s="74" t="s">
        <v>408</v>
      </c>
      <c r="H1" s="74" t="s">
        <v>213</v>
      </c>
      <c r="I1" s="119" t="s">
        <v>289</v>
      </c>
      <c r="J1" s="74" t="s">
        <v>192</v>
      </c>
      <c r="K1" s="74" t="s">
        <v>193</v>
      </c>
      <c r="L1" s="74" t="s">
        <v>435</v>
      </c>
      <c r="M1" s="74" t="s">
        <v>436</v>
      </c>
      <c r="N1" s="74" t="s">
        <v>437</v>
      </c>
      <c r="O1" s="74" t="s">
        <v>438</v>
      </c>
      <c r="P1" s="74" t="s">
        <v>205</v>
      </c>
      <c r="Q1" s="74" t="s">
        <v>433</v>
      </c>
      <c r="R1" s="74" t="s">
        <v>423</v>
      </c>
      <c r="S1" s="74" t="s">
        <v>424</v>
      </c>
      <c r="T1" s="74" t="s">
        <v>421</v>
      </c>
      <c r="U1" s="74" t="s">
        <v>427</v>
      </c>
      <c r="V1" s="74" t="s">
        <v>422</v>
      </c>
      <c r="W1" s="74" t="s">
        <v>432</v>
      </c>
      <c r="X1" s="74" t="s">
        <v>431</v>
      </c>
      <c r="Y1" s="74" t="s">
        <v>425</v>
      </c>
      <c r="Z1" s="74" t="s">
        <v>428</v>
      </c>
      <c r="AA1" s="74" t="s">
        <v>418</v>
      </c>
      <c r="AB1" s="74" t="s">
        <v>419</v>
      </c>
      <c r="AC1" s="74" t="s">
        <v>420</v>
      </c>
      <c r="AD1" s="74" t="s">
        <v>11</v>
      </c>
      <c r="AE1" s="74" t="s">
        <v>426</v>
      </c>
      <c r="AF1" s="74" t="s">
        <v>429</v>
      </c>
      <c r="AG1" s="74" t="s">
        <v>430</v>
      </c>
      <c r="AH1" s="74" t="s">
        <v>434</v>
      </c>
      <c r="AI1" s="74" t="s">
        <v>308</v>
      </c>
      <c r="AJ1" s="74" t="s">
        <v>309</v>
      </c>
      <c r="AK1" s="74" t="s">
        <v>271</v>
      </c>
      <c r="AL1" t="s">
        <v>327</v>
      </c>
      <c r="AM1" t="s">
        <v>439</v>
      </c>
      <c r="AN1" s="74" t="s">
        <v>497</v>
      </c>
      <c r="AO1" s="133" t="s">
        <v>483</v>
      </c>
      <c r="AP1" s="133" t="s">
        <v>484</v>
      </c>
      <c r="AQ1" s="133" t="s">
        <v>485</v>
      </c>
      <c r="AR1" s="133" t="s">
        <v>486</v>
      </c>
      <c r="AS1" s="133" t="s">
        <v>487</v>
      </c>
      <c r="AT1" s="133" t="s">
        <v>488</v>
      </c>
      <c r="AU1" s="133" t="s">
        <v>489</v>
      </c>
      <c r="AV1" s="133" t="s">
        <v>490</v>
      </c>
      <c r="AW1" s="133" t="s">
        <v>491</v>
      </c>
      <c r="AX1" s="133" t="s">
        <v>492</v>
      </c>
      <c r="AY1" s="133" t="s">
        <v>493</v>
      </c>
      <c r="AZ1" s="133" t="s">
        <v>494</v>
      </c>
    </row>
    <row r="2" spans="1:52" s="134" customFormat="1" ht="16">
      <c r="A2" s="134" t="s">
        <v>351</v>
      </c>
      <c r="B2" s="136"/>
      <c r="C2" s="137">
        <v>42345</v>
      </c>
      <c r="D2" s="134">
        <f t="shared" ref="D2:D39" si="0">C2-DATE(YEAR(C2),1,0)</f>
        <v>341</v>
      </c>
      <c r="E2" s="138">
        <f>DATEDIF($A$1,C2,"d")</f>
        <v>2</v>
      </c>
      <c r="F2" s="140" t="s">
        <v>496</v>
      </c>
      <c r="G2" s="134">
        <v>9.9</v>
      </c>
      <c r="H2" s="134">
        <v>943</v>
      </c>
      <c r="I2" s="134">
        <v>684.1</v>
      </c>
      <c r="J2" s="134">
        <v>7.65</v>
      </c>
      <c r="K2" s="134">
        <v>-99</v>
      </c>
      <c r="L2" s="134" t="s">
        <v>417</v>
      </c>
      <c r="N2" s="134" t="s">
        <v>417</v>
      </c>
      <c r="O2" s="134" t="s">
        <v>417</v>
      </c>
      <c r="P2" s="134" t="s">
        <v>417</v>
      </c>
      <c r="Q2" s="134">
        <v>310</v>
      </c>
      <c r="R2" s="134">
        <v>10.9</v>
      </c>
      <c r="U2" s="134">
        <v>37.700000000000003</v>
      </c>
      <c r="V2" s="134">
        <v>121</v>
      </c>
      <c r="W2" s="134">
        <v>27.3</v>
      </c>
      <c r="X2" s="134">
        <v>8.3000000000000007</v>
      </c>
      <c r="Y2" s="134">
        <v>6.21</v>
      </c>
      <c r="Z2" s="134">
        <v>0.19700000000000001</v>
      </c>
      <c r="AC2" s="134">
        <v>4.3999999999999997E-2</v>
      </c>
      <c r="AD2" s="134">
        <v>0.2</v>
      </c>
      <c r="AE2" s="134">
        <v>4.8000000000000001E-2</v>
      </c>
      <c r="AF2" s="134">
        <v>1.2E-2</v>
      </c>
      <c r="AI2" s="156">
        <v>-125.7</v>
      </c>
      <c r="AJ2" s="156">
        <v>-17.100000000000001</v>
      </c>
      <c r="AL2" s="157"/>
      <c r="AM2" s="157"/>
    </row>
    <row r="3" spans="1:52" s="134" customFormat="1">
      <c r="A3" s="134" t="s">
        <v>351</v>
      </c>
      <c r="B3" s="136"/>
      <c r="C3" s="137">
        <v>42492</v>
      </c>
      <c r="D3" s="134">
        <f t="shared" si="0"/>
        <v>123</v>
      </c>
      <c r="E3" s="138">
        <f t="shared" ref="E3:E76" si="1">DATEDIF($A$1,C3,"d")</f>
        <v>149</v>
      </c>
      <c r="F3" s="140" t="s">
        <v>496</v>
      </c>
      <c r="G3" s="134">
        <v>10.9</v>
      </c>
      <c r="H3" s="134">
        <v>956.5</v>
      </c>
      <c r="I3" s="134">
        <v>684</v>
      </c>
      <c r="J3" s="134">
        <v>7.93</v>
      </c>
      <c r="K3" s="134">
        <v>-113</v>
      </c>
      <c r="L3" s="134">
        <v>0.5</v>
      </c>
      <c r="M3" s="134">
        <v>0.06</v>
      </c>
      <c r="N3" s="134">
        <v>2.2799999999999998</v>
      </c>
      <c r="O3" s="134">
        <v>8</v>
      </c>
      <c r="P3" s="134">
        <v>0.2</v>
      </c>
      <c r="Q3" s="134">
        <v>355</v>
      </c>
      <c r="R3" s="134">
        <v>11.6</v>
      </c>
      <c r="S3" s="134">
        <v>0.5</v>
      </c>
      <c r="U3" s="134">
        <v>36.700000000000003</v>
      </c>
      <c r="V3" s="134">
        <v>118</v>
      </c>
      <c r="W3" s="134">
        <v>26.9</v>
      </c>
      <c r="X3" s="134">
        <v>7.8</v>
      </c>
      <c r="Y3" s="134">
        <v>5.13</v>
      </c>
      <c r="Z3" s="134">
        <v>0.184</v>
      </c>
      <c r="AC3" s="134">
        <v>4.2999999999999997E-2</v>
      </c>
      <c r="AD3" s="134">
        <v>0.2</v>
      </c>
      <c r="AE3" s="134">
        <v>4.4999999999999998E-2</v>
      </c>
      <c r="AF3" s="134">
        <v>1.4999999999999999E-2</v>
      </c>
      <c r="AL3" s="157"/>
      <c r="AM3" s="157"/>
    </row>
    <row r="4" spans="1:52" s="134" customFormat="1">
      <c r="A4" s="134" t="s">
        <v>351</v>
      </c>
      <c r="B4" s="136"/>
      <c r="C4" s="137">
        <v>42508</v>
      </c>
      <c r="D4" s="134">
        <f t="shared" si="0"/>
        <v>139</v>
      </c>
      <c r="E4" s="138">
        <f t="shared" si="1"/>
        <v>165</v>
      </c>
      <c r="F4" s="140" t="s">
        <v>496</v>
      </c>
      <c r="G4" s="134">
        <v>9.9</v>
      </c>
      <c r="H4" s="134">
        <v>952.3</v>
      </c>
      <c r="I4" s="134">
        <v>687</v>
      </c>
      <c r="J4" s="134">
        <v>8.24</v>
      </c>
      <c r="K4" s="134">
        <v>-132</v>
      </c>
      <c r="L4" s="134">
        <v>0.2</v>
      </c>
      <c r="M4" s="134">
        <v>0.08</v>
      </c>
      <c r="N4" s="134">
        <v>2.6</v>
      </c>
      <c r="O4" s="134">
        <v>0</v>
      </c>
      <c r="P4" s="134">
        <v>5.3999999999999999E-2</v>
      </c>
      <c r="Q4" s="134">
        <v>340</v>
      </c>
      <c r="R4" s="134">
        <v>11.4</v>
      </c>
      <c r="S4" s="134">
        <v>0.27</v>
      </c>
      <c r="U4" s="134">
        <v>35.9</v>
      </c>
      <c r="V4" s="134">
        <v>115</v>
      </c>
      <c r="W4" s="134">
        <v>25.3</v>
      </c>
      <c r="X4" s="134">
        <v>7.7</v>
      </c>
      <c r="Y4" s="134">
        <v>4.92</v>
      </c>
      <c r="Z4" s="134">
        <v>0.17899999999999999</v>
      </c>
      <c r="AC4" s="134">
        <v>4.2000000000000003E-2</v>
      </c>
      <c r="AD4" s="134">
        <v>0.19</v>
      </c>
      <c r="AE4" s="134">
        <v>0.04</v>
      </c>
      <c r="AF4" s="134">
        <v>0.01</v>
      </c>
      <c r="AI4" s="151">
        <v>-123.87661699500914</v>
      </c>
      <c r="AJ4" s="151">
        <v>-17.152393239718361</v>
      </c>
      <c r="AK4" s="134">
        <v>0.48599999999999999</v>
      </c>
      <c r="AL4" s="157"/>
      <c r="AM4" s="157"/>
      <c r="AN4" s="134">
        <v>3182</v>
      </c>
      <c r="AO4" s="158">
        <v>534.91593072592002</v>
      </c>
      <c r="AP4" s="158">
        <v>0</v>
      </c>
      <c r="AQ4" s="158">
        <v>0.79866035620740206</v>
      </c>
      <c r="AR4" s="158">
        <v>0.46502133181372413</v>
      </c>
      <c r="AS4" s="158">
        <v>4.2808894694143215E-2</v>
      </c>
      <c r="AT4" s="158">
        <v>0.25019009986762575</v>
      </c>
      <c r="AU4" s="158">
        <v>84.855132122970332</v>
      </c>
      <c r="AV4" s="158">
        <v>0</v>
      </c>
      <c r="AW4" s="158">
        <v>0.5625504915295938</v>
      </c>
      <c r="AX4" s="158">
        <v>0.37624911092077185</v>
      </c>
      <c r="AY4" s="158">
        <v>5.8162545463105609E-3</v>
      </c>
      <c r="AZ4" s="158">
        <v>0.23275453465715068</v>
      </c>
    </row>
    <row r="5" spans="1:52" s="134" customFormat="1">
      <c r="A5" s="134" t="s">
        <v>351</v>
      </c>
      <c r="B5" s="136"/>
      <c r="C5" s="137">
        <v>42562</v>
      </c>
      <c r="D5" s="134">
        <f t="shared" si="0"/>
        <v>193</v>
      </c>
      <c r="E5" s="138">
        <f t="shared" si="1"/>
        <v>219</v>
      </c>
      <c r="F5" s="134">
        <v>2933</v>
      </c>
      <c r="G5" s="134">
        <v>10.199999999999999</v>
      </c>
      <c r="H5" s="134">
        <v>950.2</v>
      </c>
      <c r="I5" s="134">
        <v>680.4</v>
      </c>
      <c r="J5" s="134">
        <v>7.62</v>
      </c>
      <c r="K5" s="134">
        <v>-42</v>
      </c>
      <c r="L5" s="134">
        <v>0.2</v>
      </c>
      <c r="M5" s="134">
        <v>0.09</v>
      </c>
      <c r="N5" s="134">
        <v>2.12</v>
      </c>
      <c r="O5" s="134">
        <v>0</v>
      </c>
      <c r="P5" s="134">
        <v>0.1</v>
      </c>
      <c r="Q5" s="134">
        <v>312</v>
      </c>
      <c r="R5" s="134">
        <v>10.9</v>
      </c>
      <c r="S5" s="134">
        <v>0.47</v>
      </c>
      <c r="U5" s="134">
        <v>37.799999999999997</v>
      </c>
      <c r="V5" s="134">
        <v>123</v>
      </c>
      <c r="W5" s="134">
        <v>27.2</v>
      </c>
      <c r="X5" s="134">
        <v>7.9</v>
      </c>
      <c r="Y5" s="134">
        <v>5.0199999999999996</v>
      </c>
      <c r="Z5" s="134">
        <v>0.17899999999999999</v>
      </c>
      <c r="AC5" s="134">
        <v>4.1000000000000002E-2</v>
      </c>
      <c r="AD5" s="134">
        <v>0.19</v>
      </c>
      <c r="AE5" s="134">
        <v>3.7999999999999999E-2</v>
      </c>
      <c r="AF5" s="134">
        <v>1.7999999999999999E-2</v>
      </c>
      <c r="AH5" s="134">
        <v>0.01</v>
      </c>
      <c r="AI5" s="151">
        <v>-123.83554244577333</v>
      </c>
      <c r="AJ5" s="151">
        <v>-17.149916904470238</v>
      </c>
      <c r="AK5" s="134">
        <v>0.42</v>
      </c>
      <c r="AL5" s="157">
        <v>4.0099087664581701</v>
      </c>
      <c r="AM5" s="157">
        <v>-9.9572422041779145</v>
      </c>
      <c r="AN5" s="134">
        <v>1755</v>
      </c>
      <c r="AO5" s="158">
        <v>624.92819727590063</v>
      </c>
      <c r="AP5" s="158">
        <v>0</v>
      </c>
      <c r="AQ5" s="158">
        <v>0.5126894906991678</v>
      </c>
      <c r="AR5" s="158">
        <v>3.8319221182255621E-2</v>
      </c>
      <c r="AS5" s="158">
        <v>6.553896895397307E-2</v>
      </c>
      <c r="AT5" s="158">
        <v>3.5237934923260723E-2</v>
      </c>
      <c r="AU5" s="158">
        <v>65.082950923271966</v>
      </c>
      <c r="AV5" s="158">
        <v>0</v>
      </c>
      <c r="AW5" s="158">
        <v>4.0491652686801931E-2</v>
      </c>
      <c r="AX5" s="158">
        <v>9.2511798600247476E-3</v>
      </c>
      <c r="AY5" s="158">
        <v>6.4183249826864656E-3</v>
      </c>
      <c r="AZ5" s="158">
        <v>3.8947945159891065E-3</v>
      </c>
    </row>
    <row r="6" spans="1:52" s="134" customFormat="1">
      <c r="A6" s="134" t="s">
        <v>351</v>
      </c>
      <c r="B6" s="136"/>
      <c r="C6" s="137">
        <v>42633</v>
      </c>
      <c r="D6" s="134">
        <f t="shared" si="0"/>
        <v>264</v>
      </c>
      <c r="E6" s="138">
        <f t="shared" si="1"/>
        <v>290</v>
      </c>
      <c r="F6" s="138">
        <f>AVERAGE(2880, 2880, 2860)</f>
        <v>2873.3333333333335</v>
      </c>
      <c r="G6" s="134">
        <v>10.1</v>
      </c>
      <c r="H6" s="134">
        <v>937</v>
      </c>
      <c r="I6" s="134">
        <v>674.3</v>
      </c>
      <c r="J6" s="134">
        <v>6.66</v>
      </c>
      <c r="K6" s="134">
        <v>-59</v>
      </c>
      <c r="L6" s="134">
        <v>0.3</v>
      </c>
      <c r="M6" s="134">
        <v>0.08</v>
      </c>
      <c r="N6" s="134">
        <v>2.4900000000000002</v>
      </c>
      <c r="O6" s="134">
        <v>0</v>
      </c>
      <c r="P6" s="134">
        <v>0.11700000000000001</v>
      </c>
      <c r="Q6" s="134">
        <v>302</v>
      </c>
      <c r="R6" s="134">
        <v>10.6</v>
      </c>
      <c r="S6" s="134">
        <v>0.32</v>
      </c>
      <c r="U6" s="134">
        <v>37.200000000000003</v>
      </c>
      <c r="V6" s="134">
        <v>117</v>
      </c>
      <c r="W6" s="134">
        <v>27.2</v>
      </c>
      <c r="X6" s="134">
        <v>7.9</v>
      </c>
      <c r="Y6" s="134">
        <v>4.67</v>
      </c>
      <c r="Z6" s="134">
        <v>0.183</v>
      </c>
      <c r="AA6" s="134">
        <v>0.05</v>
      </c>
      <c r="AB6" s="134">
        <v>0.04</v>
      </c>
      <c r="AC6" s="134">
        <v>4.2000000000000003E-2</v>
      </c>
      <c r="AD6" s="134">
        <v>0.2</v>
      </c>
      <c r="AE6" s="134">
        <v>4.2999999999999997E-2</v>
      </c>
      <c r="AI6" s="134">
        <v>-119</v>
      </c>
      <c r="AJ6" s="134">
        <v>-15.8</v>
      </c>
      <c r="AK6" s="134">
        <v>0.45</v>
      </c>
      <c r="AL6" s="157">
        <v>4.1339450771548094</v>
      </c>
      <c r="AM6" s="157">
        <v>-10.254492946759447</v>
      </c>
      <c r="AN6" s="155"/>
      <c r="AO6" s="158">
        <v>388.34361282322249</v>
      </c>
      <c r="AP6" s="158">
        <v>0</v>
      </c>
      <c r="AQ6" s="158">
        <v>0.20170364860611276</v>
      </c>
      <c r="AR6" s="158">
        <v>9.983370803382427E-2</v>
      </c>
      <c r="AS6" s="158">
        <v>2.0271040598754966E-2</v>
      </c>
      <c r="AT6" s="158">
        <v>8.298619131143695E-3</v>
      </c>
      <c r="AU6" s="158">
        <v>37.809949854238738</v>
      </c>
      <c r="AV6" s="158">
        <v>0</v>
      </c>
      <c r="AW6" s="158">
        <v>1.1696405496617809E-2</v>
      </c>
      <c r="AX6" s="158">
        <v>2.3860474718907294E-2</v>
      </c>
      <c r="AY6" s="158">
        <v>1.5328914345571776E-3</v>
      </c>
      <c r="AZ6" s="158">
        <v>8.4368446252390116E-4</v>
      </c>
    </row>
    <row r="7" spans="1:52" s="134" customFormat="1">
      <c r="A7" s="134" t="s">
        <v>351</v>
      </c>
      <c r="B7" s="136"/>
      <c r="C7" s="137">
        <v>42713</v>
      </c>
      <c r="D7" s="134">
        <f t="shared" si="0"/>
        <v>344</v>
      </c>
      <c r="E7" s="138">
        <f t="shared" si="1"/>
        <v>370</v>
      </c>
      <c r="F7" s="134">
        <v>2800</v>
      </c>
      <c r="G7" s="134">
        <v>10</v>
      </c>
      <c r="H7" s="134">
        <v>956.1</v>
      </c>
      <c r="I7" s="134">
        <v>688.7</v>
      </c>
      <c r="J7" s="134">
        <v>7.37</v>
      </c>
      <c r="K7" s="134">
        <v>-96</v>
      </c>
      <c r="L7" s="134">
        <v>0.2</v>
      </c>
      <c r="M7" s="134">
        <v>7.0000000000000007E-2</v>
      </c>
      <c r="N7" s="134">
        <v>2.27</v>
      </c>
      <c r="O7" s="134">
        <v>0</v>
      </c>
      <c r="P7" s="134">
        <v>0</v>
      </c>
      <c r="Q7" s="134">
        <v>297</v>
      </c>
      <c r="R7" s="134">
        <v>11.3</v>
      </c>
      <c r="S7" s="134">
        <v>0.4</v>
      </c>
      <c r="U7" s="134">
        <v>34.700000000000003</v>
      </c>
      <c r="V7" s="134">
        <v>110</v>
      </c>
      <c r="W7" s="134">
        <v>25.2</v>
      </c>
      <c r="X7" s="134">
        <v>7.2</v>
      </c>
      <c r="Y7" s="134">
        <v>4.6100000000000003</v>
      </c>
      <c r="Z7" s="134">
        <v>0.16</v>
      </c>
      <c r="AC7" s="134">
        <v>3.7999999999999999E-2</v>
      </c>
      <c r="AD7" s="134">
        <v>0.18</v>
      </c>
      <c r="AE7" s="134">
        <v>3.5999999999999997E-2</v>
      </c>
      <c r="AI7" s="139">
        <v>-124.49404537999999</v>
      </c>
      <c r="AJ7" s="139">
        <v>-16.621857200000001</v>
      </c>
      <c r="AK7" s="134">
        <v>0.4</v>
      </c>
      <c r="AL7" s="157">
        <v>4.2199680204314873</v>
      </c>
      <c r="AM7" s="157">
        <v>-12.396954214160711</v>
      </c>
      <c r="AN7" s="134">
        <v>1295</v>
      </c>
      <c r="AO7" s="155"/>
      <c r="AP7" s="155"/>
      <c r="AQ7" s="155"/>
      <c r="AR7" s="155"/>
      <c r="AS7" s="155"/>
      <c r="AT7" s="155"/>
      <c r="AU7" s="155"/>
      <c r="AV7" s="155"/>
      <c r="AW7" s="155"/>
      <c r="AX7" s="155"/>
      <c r="AY7" s="155"/>
      <c r="AZ7" s="155"/>
    </row>
    <row r="8" spans="1:52" s="134" customFormat="1">
      <c r="A8" s="134" t="s">
        <v>351</v>
      </c>
      <c r="B8" s="136"/>
      <c r="C8" s="137">
        <v>42781</v>
      </c>
      <c r="D8" s="134">
        <f t="shared" si="0"/>
        <v>46</v>
      </c>
      <c r="E8" s="138">
        <f t="shared" si="1"/>
        <v>438</v>
      </c>
      <c r="F8" s="134">
        <v>2787</v>
      </c>
      <c r="G8" s="134">
        <v>10</v>
      </c>
      <c r="H8" s="134">
        <v>949.1</v>
      </c>
      <c r="I8" s="134">
        <v>671.4</v>
      </c>
      <c r="J8" s="134">
        <v>7.52</v>
      </c>
      <c r="K8" s="134">
        <v>-120</v>
      </c>
      <c r="L8" s="134">
        <v>0.3</v>
      </c>
      <c r="M8" s="134">
        <v>0.06</v>
      </c>
      <c r="N8" s="134">
        <v>2.33</v>
      </c>
      <c r="O8" s="134">
        <v>0</v>
      </c>
      <c r="Q8" s="155">
        <v>325</v>
      </c>
      <c r="R8" s="155">
        <v>11.2</v>
      </c>
      <c r="S8" s="155">
        <v>0.44</v>
      </c>
      <c r="T8" s="155"/>
      <c r="U8" s="155">
        <v>37.799999999999997</v>
      </c>
      <c r="V8" s="155">
        <v>118</v>
      </c>
      <c r="W8" s="155">
        <v>28</v>
      </c>
      <c r="X8" s="155">
        <v>7.9</v>
      </c>
      <c r="Y8" s="155">
        <v>4.92</v>
      </c>
      <c r="Z8" s="155">
        <v>0.17499999999999999</v>
      </c>
      <c r="AA8" s="155"/>
      <c r="AB8" s="155"/>
      <c r="AC8" s="155">
        <v>3.7999999999999999E-2</v>
      </c>
      <c r="AD8" s="155">
        <v>0.18</v>
      </c>
      <c r="AE8" s="155">
        <v>4.4999999999999998E-2</v>
      </c>
      <c r="AF8" s="155">
        <v>1.0999999999999999E-2</v>
      </c>
      <c r="AG8" s="155"/>
      <c r="AH8" s="155"/>
      <c r="AI8" s="139">
        <v>-124.04979602</v>
      </c>
      <c r="AJ8" s="139">
        <v>-16.673591300000002</v>
      </c>
      <c r="AK8" s="134">
        <v>0.42599999999999999</v>
      </c>
      <c r="AL8" s="157">
        <v>4.3004482116887948</v>
      </c>
      <c r="AM8" s="157">
        <v>-11.634954310437331</v>
      </c>
      <c r="AN8" s="134">
        <v>1869</v>
      </c>
      <c r="AO8" s="158">
        <v>487.88777701485066</v>
      </c>
      <c r="AP8" s="158">
        <v>0</v>
      </c>
      <c r="AQ8" s="158">
        <v>0.45316977642216572</v>
      </c>
      <c r="AR8" s="158">
        <v>0.20643987467869648</v>
      </c>
      <c r="AS8" s="158">
        <v>3.979780744581897E-2</v>
      </c>
      <c r="AT8" s="158">
        <v>0.26327402429893476</v>
      </c>
      <c r="AU8" s="158">
        <v>52.30398115461184</v>
      </c>
      <c r="AV8" s="158">
        <v>0</v>
      </c>
      <c r="AW8" s="158">
        <v>9.4723981111698843E-2</v>
      </c>
      <c r="AX8" s="158">
        <v>3.3021003255128592E-2</v>
      </c>
      <c r="AY8" s="158">
        <v>3.2014197371699497E-3</v>
      </c>
      <c r="AZ8" s="158">
        <v>1.9191247200957145E-2</v>
      </c>
    </row>
    <row r="9" spans="1:52" s="134" customFormat="1">
      <c r="A9" s="134" t="s">
        <v>351</v>
      </c>
      <c r="B9" s="136"/>
      <c r="C9" s="137">
        <v>42864</v>
      </c>
      <c r="D9" s="134">
        <f t="shared" si="0"/>
        <v>129</v>
      </c>
      <c r="E9" s="138">
        <f t="shared" si="1"/>
        <v>521</v>
      </c>
      <c r="F9" s="138">
        <f>AVERAGE(3000,3000,3000)</f>
        <v>3000</v>
      </c>
      <c r="G9" s="134">
        <v>10.5</v>
      </c>
      <c r="H9" s="134">
        <v>1052</v>
      </c>
      <c r="I9" s="134">
        <v>758.5</v>
      </c>
      <c r="J9" s="134">
        <v>6.49</v>
      </c>
      <c r="K9" s="134">
        <v>-47</v>
      </c>
      <c r="L9" s="134">
        <v>0.1</v>
      </c>
      <c r="M9" s="134">
        <v>0.05</v>
      </c>
      <c r="N9" s="134">
        <v>1.6</v>
      </c>
      <c r="O9" s="134">
        <v>2</v>
      </c>
      <c r="P9" s="134">
        <v>1.9E-2</v>
      </c>
      <c r="Q9" s="134">
        <v>386</v>
      </c>
      <c r="R9" s="134">
        <v>12.8</v>
      </c>
      <c r="S9" s="134">
        <v>0.74</v>
      </c>
      <c r="U9" s="134">
        <v>40.9</v>
      </c>
      <c r="V9" s="134">
        <v>134</v>
      </c>
      <c r="W9" s="134">
        <v>30.7</v>
      </c>
      <c r="X9" s="134">
        <v>7.8</v>
      </c>
      <c r="Y9" s="134">
        <v>7</v>
      </c>
      <c r="Z9" s="134">
        <v>0.23599999999999999</v>
      </c>
      <c r="AC9" s="134">
        <v>4.2000000000000003E-2</v>
      </c>
      <c r="AD9" s="134">
        <v>0.26</v>
      </c>
      <c r="AE9" s="134">
        <v>4.8000000000000001E-2</v>
      </c>
      <c r="AF9" s="134">
        <v>1.6E-2</v>
      </c>
      <c r="AI9" s="139">
        <v>-122.84713771999998</v>
      </c>
      <c r="AJ9" s="139">
        <v>-16.734786499999998</v>
      </c>
      <c r="AK9" s="135">
        <v>0.40300000000000002</v>
      </c>
      <c r="AL9" s="145">
        <v>4.1500000000000004</v>
      </c>
      <c r="AM9" s="145">
        <v>-11.285</v>
      </c>
      <c r="AN9" s="134">
        <v>2233</v>
      </c>
      <c r="AO9" s="155"/>
      <c r="AP9" s="155"/>
      <c r="AQ9" s="155"/>
      <c r="AR9" s="155"/>
      <c r="AS9" s="155"/>
      <c r="AT9" s="155"/>
      <c r="AU9" s="155"/>
      <c r="AV9" s="155"/>
      <c r="AW9" s="155"/>
      <c r="AX9" s="155"/>
      <c r="AY9" s="155"/>
      <c r="AZ9" s="155"/>
    </row>
    <row r="10" spans="1:52" s="134" customFormat="1" ht="16">
      <c r="A10" s="135" t="s">
        <v>351</v>
      </c>
      <c r="B10" s="136"/>
      <c r="C10" s="137">
        <v>42978</v>
      </c>
      <c r="D10" s="135">
        <f t="shared" si="0"/>
        <v>243</v>
      </c>
      <c r="E10" s="138">
        <f t="shared" si="1"/>
        <v>635</v>
      </c>
      <c r="F10" s="134">
        <v>2800</v>
      </c>
      <c r="G10" s="134">
        <v>10.1</v>
      </c>
      <c r="H10" s="134">
        <v>972.8</v>
      </c>
      <c r="I10" s="134">
        <v>700.2</v>
      </c>
      <c r="J10" s="134">
        <v>7.75</v>
      </c>
      <c r="K10" s="134">
        <v>-93</v>
      </c>
      <c r="L10" s="134">
        <v>0.3</v>
      </c>
      <c r="M10" s="134">
        <v>0.05</v>
      </c>
      <c r="N10" s="134">
        <v>1.91</v>
      </c>
      <c r="O10" s="134">
        <v>2</v>
      </c>
      <c r="P10" s="134">
        <v>3.5000000000000003E-2</v>
      </c>
      <c r="Q10" s="155">
        <v>323</v>
      </c>
      <c r="R10" s="155">
        <v>12.5</v>
      </c>
      <c r="S10" s="155">
        <v>0.5</v>
      </c>
      <c r="T10" s="155"/>
      <c r="U10" s="155">
        <v>38.700000000000003</v>
      </c>
      <c r="V10" s="155">
        <v>120</v>
      </c>
      <c r="W10" s="155">
        <v>28.4</v>
      </c>
      <c r="X10" s="155">
        <v>8</v>
      </c>
      <c r="Y10" s="155">
        <v>4.92</v>
      </c>
      <c r="Z10" s="155">
        <v>0.218</v>
      </c>
      <c r="AA10" s="155"/>
      <c r="AB10" s="155"/>
      <c r="AC10" s="155">
        <v>4.2000000000000003E-2</v>
      </c>
      <c r="AD10" s="155">
        <v>0.24</v>
      </c>
      <c r="AE10" s="155">
        <v>4.1000000000000002E-2</v>
      </c>
      <c r="AI10" s="151">
        <v>-123.52796335371659</v>
      </c>
      <c r="AJ10" s="151">
        <v>-16.969367419969799</v>
      </c>
      <c r="AK10" s="134">
        <v>0.435</v>
      </c>
      <c r="AL10" s="134">
        <v>4.4000000000000004</v>
      </c>
      <c r="AM10" s="134">
        <v>-11.994999999999999</v>
      </c>
      <c r="AN10" s="134">
        <v>1181</v>
      </c>
      <c r="AO10" s="152">
        <v>542.93706753129686</v>
      </c>
      <c r="AP10" s="152">
        <v>0</v>
      </c>
      <c r="AQ10" s="152">
        <v>0.31623932301848523</v>
      </c>
      <c r="AR10" s="152">
        <v>0.1723571363893808</v>
      </c>
      <c r="AS10" s="152">
        <v>1.7820126890972052E-2</v>
      </c>
      <c r="AT10" s="152">
        <v>3.3027077524498287E-2</v>
      </c>
      <c r="AU10" s="153">
        <v>113.0844868270373</v>
      </c>
      <c r="AV10" s="153">
        <v>0</v>
      </c>
      <c r="AW10" s="153">
        <v>0.24667559795654986</v>
      </c>
      <c r="AX10" s="153">
        <v>8.5566153252763663E-2</v>
      </c>
      <c r="AY10" s="153">
        <v>3.7277529180444967E-3</v>
      </c>
      <c r="AZ10" s="153">
        <v>2.3340796021675627E-2</v>
      </c>
    </row>
    <row r="11" spans="1:52" s="134" customFormat="1" ht="16">
      <c r="A11" s="135" t="s">
        <v>351</v>
      </c>
      <c r="B11" s="136"/>
      <c r="C11" s="137">
        <v>43069</v>
      </c>
      <c r="D11" s="135">
        <f>C11-DATE(YEAR(C11),1,0)</f>
        <v>334</v>
      </c>
      <c r="E11" s="138">
        <f>DATEDIF($A$1,C11,"d")</f>
        <v>726</v>
      </c>
      <c r="F11" s="134">
        <v>516.6</v>
      </c>
      <c r="G11" s="134">
        <v>10.3</v>
      </c>
      <c r="H11" s="134">
        <v>993.4</v>
      </c>
      <c r="I11" s="134">
        <v>715.4</v>
      </c>
      <c r="J11" s="134">
        <v>7.35</v>
      </c>
      <c r="K11" s="134">
        <v>-94</v>
      </c>
      <c r="L11" s="134">
        <v>0.3</v>
      </c>
      <c r="M11" s="134">
        <v>7.0000000000000007E-2</v>
      </c>
      <c r="N11" s="134">
        <v>4.0599999999999996</v>
      </c>
      <c r="O11" s="134">
        <v>1</v>
      </c>
      <c r="P11" s="134">
        <v>2.5000000000000001E-2</v>
      </c>
      <c r="Q11" s="155">
        <v>330</v>
      </c>
      <c r="R11" s="155">
        <v>10.3</v>
      </c>
      <c r="S11" s="155">
        <v>0.28999999999999998</v>
      </c>
      <c r="T11" s="155"/>
      <c r="U11" s="155">
        <v>39.9</v>
      </c>
      <c r="V11" s="155">
        <v>127</v>
      </c>
      <c r="W11" s="155">
        <v>29.9</v>
      </c>
      <c r="X11" s="155">
        <v>8</v>
      </c>
      <c r="Y11" s="155">
        <v>5.42</v>
      </c>
      <c r="Z11" s="155">
        <v>0.23499999999999999</v>
      </c>
      <c r="AA11" s="155"/>
      <c r="AB11" s="155"/>
      <c r="AC11" s="155">
        <v>3.9E-2</v>
      </c>
      <c r="AD11" s="155">
        <v>0.26</v>
      </c>
      <c r="AE11" s="155">
        <v>4.4999999999999998E-2</v>
      </c>
      <c r="AI11" s="151">
        <v>-123.92339181089552</v>
      </c>
      <c r="AJ11" s="151">
        <v>-17.130646727848841</v>
      </c>
      <c r="AK11" s="134">
        <v>0.39</v>
      </c>
      <c r="AL11" s="157">
        <v>4.25</v>
      </c>
      <c r="AM11" s="157">
        <v>-11.835000000000001</v>
      </c>
      <c r="AN11" s="134">
        <v>7774</v>
      </c>
      <c r="AO11" s="152">
        <v>533.61573185225689</v>
      </c>
      <c r="AP11" s="152">
        <v>0</v>
      </c>
      <c r="AQ11" s="152">
        <v>0.61780418737844844</v>
      </c>
      <c r="AR11" s="152">
        <v>0.19740102326572043</v>
      </c>
      <c r="AS11" s="152">
        <v>4.946911486847428E-2</v>
      </c>
      <c r="AT11" s="152">
        <v>0.12179154751717836</v>
      </c>
      <c r="AU11" s="153">
        <v>37.536425205675748</v>
      </c>
      <c r="AV11" s="153">
        <v>0</v>
      </c>
      <c r="AW11" s="153">
        <v>2.0586819900766863E-2</v>
      </c>
      <c r="AX11" s="153">
        <v>1.4628266400153698E-2</v>
      </c>
      <c r="AY11" s="153">
        <v>3.1957091526342396E-3</v>
      </c>
      <c r="AZ11" s="153">
        <v>8.5692459285336871E-3</v>
      </c>
    </row>
    <row r="12" spans="1:52" s="134" customFormat="1">
      <c r="A12" s="135" t="s">
        <v>351</v>
      </c>
      <c r="B12" s="136"/>
      <c r="C12" s="137">
        <v>43208</v>
      </c>
      <c r="D12" s="135">
        <f>C12-DATE(YEAR(C12),1,0)</f>
        <v>108</v>
      </c>
      <c r="E12" s="138">
        <f>DATEDIF($A$1,C12,"d")</f>
        <v>865</v>
      </c>
      <c r="F12" s="135">
        <v>3000</v>
      </c>
      <c r="G12" s="135">
        <v>10.5</v>
      </c>
      <c r="H12">
        <v>1045</v>
      </c>
      <c r="I12">
        <v>756</v>
      </c>
      <c r="J12" s="184">
        <v>5.83</v>
      </c>
      <c r="K12" s="135">
        <v>-68</v>
      </c>
      <c r="L12" s="135">
        <v>0.3</v>
      </c>
      <c r="M12" s="135">
        <v>0.06</v>
      </c>
      <c r="N12" s="135">
        <v>2.3199999999999998</v>
      </c>
      <c r="O12" s="135">
        <v>6</v>
      </c>
      <c r="P12" s="135">
        <v>2.5000000000000001E-2</v>
      </c>
      <c r="Q12" s="178">
        <v>393</v>
      </c>
      <c r="R12" s="178">
        <v>15.8</v>
      </c>
      <c r="S12" s="178">
        <v>0.66</v>
      </c>
      <c r="T12" s="178"/>
      <c r="U12" s="178">
        <v>42</v>
      </c>
      <c r="V12" s="178">
        <v>138</v>
      </c>
      <c r="W12" s="178">
        <v>32.4</v>
      </c>
      <c r="X12" s="178">
        <v>8.3000000000000007</v>
      </c>
      <c r="Y12" s="178">
        <v>6.08</v>
      </c>
      <c r="Z12" s="178">
        <v>0.28799999999999998</v>
      </c>
      <c r="AA12" s="178"/>
      <c r="AB12" s="178"/>
      <c r="AC12" s="178">
        <v>3.9E-2</v>
      </c>
      <c r="AD12" s="178">
        <v>0.34</v>
      </c>
      <c r="AE12" s="178">
        <v>5.2999999999999999E-2</v>
      </c>
      <c r="AF12" s="178"/>
      <c r="AI12" s="158">
        <v>-123.57083362045789</v>
      </c>
      <c r="AJ12" s="158">
        <v>-17.065622638588</v>
      </c>
      <c r="AK12" s="135">
        <v>0.46800000000000003</v>
      </c>
      <c r="AL12" s="135">
        <v>3.8106112392933476</v>
      </c>
      <c r="AM12" s="135">
        <v>-11.147271747928139</v>
      </c>
    </row>
    <row r="13" spans="1:52">
      <c r="A13" s="135" t="s">
        <v>351</v>
      </c>
      <c r="C13" s="179">
        <v>43344</v>
      </c>
      <c r="D13" s="135">
        <f>C13-DATE(YEAR(C13),1,0)</f>
        <v>244</v>
      </c>
      <c r="E13" s="138">
        <f>DATEDIF($A$1,C13,"d")</f>
        <v>1001</v>
      </c>
      <c r="F13" s="54">
        <v>2966</v>
      </c>
      <c r="G13" s="54">
        <v>10.6</v>
      </c>
      <c r="H13">
        <v>980.3</v>
      </c>
      <c r="I13">
        <v>701.1</v>
      </c>
      <c r="J13" s="184">
        <v>5.95</v>
      </c>
      <c r="K13" s="54">
        <v>-78</v>
      </c>
      <c r="L13" s="54">
        <v>0.3</v>
      </c>
      <c r="M13" s="54">
        <v>0.08</v>
      </c>
      <c r="N13" s="54">
        <v>2.68</v>
      </c>
      <c r="O13" s="54">
        <v>0</v>
      </c>
      <c r="P13" s="54">
        <v>4.2000000000000003E-2</v>
      </c>
      <c r="Q13" s="178">
        <v>360</v>
      </c>
      <c r="R13" s="178">
        <v>12.6</v>
      </c>
      <c r="S13" s="178">
        <v>0.49</v>
      </c>
      <c r="T13" s="178"/>
      <c r="U13" s="178">
        <v>38.1</v>
      </c>
      <c r="V13" s="178">
        <v>121</v>
      </c>
      <c r="W13" s="178">
        <v>28.6</v>
      </c>
      <c r="X13" s="178">
        <v>8</v>
      </c>
      <c r="Y13" s="178">
        <v>5.2</v>
      </c>
      <c r="Z13" s="178">
        <v>0.223</v>
      </c>
      <c r="AA13" s="178"/>
      <c r="AB13" s="178"/>
      <c r="AC13" s="178">
        <v>3.6999999999999998E-2</v>
      </c>
      <c r="AD13" s="178">
        <v>0.28000000000000003</v>
      </c>
      <c r="AE13" s="178">
        <v>4.2999999999999997E-2</v>
      </c>
      <c r="AF13" s="178">
        <v>8.9999999999999993E-3</v>
      </c>
      <c r="AI13" s="187">
        <v>-124.33618077967988</v>
      </c>
      <c r="AJ13" s="188">
        <v>-17.451855818315906</v>
      </c>
      <c r="AK13" s="54">
        <v>0.42</v>
      </c>
      <c r="AL13" s="54">
        <v>4.4556626746537997</v>
      </c>
      <c r="AM13" s="54">
        <v>-11.208675145495162</v>
      </c>
    </row>
    <row r="14" spans="1:52" s="165" customFormat="1" ht="16">
      <c r="A14" s="165" t="s">
        <v>352</v>
      </c>
      <c r="B14" s="166"/>
      <c r="C14" s="167">
        <v>42345</v>
      </c>
      <c r="D14" s="165">
        <f t="shared" si="0"/>
        <v>341</v>
      </c>
      <c r="E14" s="168">
        <f t="shared" si="1"/>
        <v>2</v>
      </c>
      <c r="F14" s="169" t="s">
        <v>496</v>
      </c>
      <c r="G14" s="165">
        <v>12.7</v>
      </c>
      <c r="H14" s="165">
        <v>623.6</v>
      </c>
      <c r="I14" s="165">
        <v>440.9</v>
      </c>
      <c r="J14" s="165">
        <v>8.26</v>
      </c>
      <c r="K14" s="165">
        <v>-192</v>
      </c>
      <c r="L14" s="165" t="s">
        <v>417</v>
      </c>
      <c r="N14" s="165" t="s">
        <v>417</v>
      </c>
      <c r="O14" s="165" t="s">
        <v>417</v>
      </c>
      <c r="P14" s="165" t="s">
        <v>417</v>
      </c>
      <c r="Q14" s="165">
        <v>87.4</v>
      </c>
      <c r="R14" s="165">
        <v>16.399999999999999</v>
      </c>
      <c r="S14" s="165">
        <v>0.79</v>
      </c>
      <c r="U14" s="165">
        <v>29.3</v>
      </c>
      <c r="V14" s="165">
        <v>46.5</v>
      </c>
      <c r="W14" s="165">
        <v>39</v>
      </c>
      <c r="X14" s="165">
        <v>5.0999999999999996</v>
      </c>
      <c r="Y14" s="165">
        <v>0.42</v>
      </c>
      <c r="Z14" s="165">
        <v>4.8000000000000001E-2</v>
      </c>
      <c r="AB14" s="165">
        <v>0.06</v>
      </c>
      <c r="AC14" s="165">
        <v>0.13300000000000001</v>
      </c>
      <c r="AD14" s="165">
        <v>7.0000000000000007E-2</v>
      </c>
      <c r="AE14" s="165">
        <v>0.04</v>
      </c>
      <c r="AI14" s="174">
        <v>-129.19999999999999</v>
      </c>
      <c r="AJ14" s="174">
        <v>-17.600000000000001</v>
      </c>
      <c r="AL14" s="172"/>
      <c r="AM14" s="172"/>
    </row>
    <row r="15" spans="1:52" s="134" customFormat="1">
      <c r="A15" s="134" t="s">
        <v>352</v>
      </c>
      <c r="B15" s="136"/>
      <c r="C15" s="137">
        <v>42492</v>
      </c>
      <c r="D15" s="134">
        <f t="shared" si="0"/>
        <v>123</v>
      </c>
      <c r="E15" s="138">
        <f t="shared" si="1"/>
        <v>149</v>
      </c>
      <c r="F15" s="140" t="s">
        <v>496</v>
      </c>
      <c r="G15" s="140"/>
      <c r="H15" s="140"/>
      <c r="I15" s="140" t="s">
        <v>496</v>
      </c>
      <c r="J15" s="140"/>
      <c r="K15" s="140"/>
      <c r="L15" s="134">
        <v>0.5</v>
      </c>
      <c r="M15" s="134">
        <v>0</v>
      </c>
      <c r="N15" s="134">
        <v>0.28000000000000003</v>
      </c>
      <c r="O15" s="134">
        <v>62</v>
      </c>
      <c r="P15" s="186">
        <v>0.12</v>
      </c>
      <c r="Q15" s="134">
        <v>79.599999999999994</v>
      </c>
      <c r="R15" s="134">
        <v>16.100000000000001</v>
      </c>
      <c r="S15" s="134">
        <v>0.77</v>
      </c>
      <c r="U15" s="134">
        <v>28</v>
      </c>
      <c r="V15" s="134">
        <v>44.1</v>
      </c>
      <c r="W15" s="134">
        <v>36.9</v>
      </c>
      <c r="X15" s="134">
        <v>4.8</v>
      </c>
      <c r="Y15" s="134">
        <v>0.3</v>
      </c>
      <c r="Z15" s="134">
        <v>4.4999999999999998E-2</v>
      </c>
      <c r="AB15" s="134">
        <v>0.05</v>
      </c>
      <c r="AC15" s="134">
        <v>0.13600000000000001</v>
      </c>
      <c r="AD15" s="134">
        <v>7.0000000000000007E-2</v>
      </c>
      <c r="AE15" s="134">
        <v>3.7999999999999999E-2</v>
      </c>
      <c r="AK15" s="134">
        <v>0.47499999999999998</v>
      </c>
      <c r="AL15" s="157"/>
      <c r="AM15" s="157"/>
    </row>
    <row r="16" spans="1:52" s="134" customFormat="1">
      <c r="A16" s="134" t="s">
        <v>352</v>
      </c>
      <c r="B16" s="136"/>
      <c r="C16" s="137">
        <v>42508</v>
      </c>
      <c r="D16" s="134">
        <f t="shared" si="0"/>
        <v>139</v>
      </c>
      <c r="E16" s="138">
        <f t="shared" si="1"/>
        <v>165</v>
      </c>
      <c r="F16" s="134">
        <v>250</v>
      </c>
      <c r="G16" s="134">
        <v>12.6</v>
      </c>
      <c r="H16" s="134">
        <v>605.1</v>
      </c>
      <c r="I16" s="134">
        <v>427.5</v>
      </c>
      <c r="J16" s="134">
        <v>7.94</v>
      </c>
      <c r="K16" s="134">
        <v>-101</v>
      </c>
      <c r="L16" s="134">
        <v>0.1</v>
      </c>
      <c r="M16" s="134">
        <v>0.02</v>
      </c>
      <c r="N16" s="134">
        <v>0.28999999999999998</v>
      </c>
      <c r="O16" s="134">
        <v>7</v>
      </c>
      <c r="P16" s="134">
        <v>0.30399999999999999</v>
      </c>
      <c r="Q16" s="135">
        <v>80.900000000000006</v>
      </c>
      <c r="R16" s="135">
        <v>16</v>
      </c>
      <c r="S16" s="135">
        <v>0.77</v>
      </c>
      <c r="T16" s="135"/>
      <c r="U16" s="135">
        <v>27.6</v>
      </c>
      <c r="V16" s="135">
        <v>43.8</v>
      </c>
      <c r="W16" s="135">
        <v>36</v>
      </c>
      <c r="X16" s="135">
        <v>4.8</v>
      </c>
      <c r="Y16" s="135">
        <v>0.32</v>
      </c>
      <c r="Z16" s="135">
        <v>4.2000000000000003E-2</v>
      </c>
      <c r="AA16" s="135"/>
      <c r="AB16" s="135">
        <v>0.04</v>
      </c>
      <c r="AC16" s="135">
        <v>0.13300000000000001</v>
      </c>
      <c r="AD16" s="135">
        <v>0.06</v>
      </c>
      <c r="AE16" s="135">
        <v>3.4000000000000002E-2</v>
      </c>
      <c r="AF16" s="135"/>
      <c r="AG16" s="135"/>
      <c r="AI16" s="151">
        <v>-127.40725006643332</v>
      </c>
      <c r="AJ16" s="151">
        <v>-17.592838975999427</v>
      </c>
      <c r="AK16" s="134">
        <v>0.52100000000000002</v>
      </c>
      <c r="AL16" s="157"/>
      <c r="AM16" s="157"/>
      <c r="AN16" s="134">
        <v>3159</v>
      </c>
      <c r="AO16" s="158">
        <v>422.49255400698058</v>
      </c>
      <c r="AP16" s="158">
        <v>0</v>
      </c>
      <c r="AQ16" s="158">
        <v>0.28198849172253415</v>
      </c>
      <c r="AR16" s="158">
        <v>0.18818845846508983</v>
      </c>
      <c r="AS16" s="158">
        <v>1.0211716969125989E-2</v>
      </c>
      <c r="AT16" s="158">
        <v>0.10726022520117676</v>
      </c>
      <c r="AU16" s="158">
        <v>59.025238433195135</v>
      </c>
      <c r="AV16" s="158">
        <v>0</v>
      </c>
      <c r="AW16" s="158">
        <v>5.7880075865550461E-2</v>
      </c>
      <c r="AX16" s="158">
        <v>4.0161723413056835E-2</v>
      </c>
      <c r="AY16" s="158">
        <v>1.3731628207634054E-3</v>
      </c>
      <c r="AZ16" s="158">
        <v>1.5623220317367594E-2</v>
      </c>
    </row>
    <row r="17" spans="1:52" s="134" customFormat="1">
      <c r="A17" s="134" t="s">
        <v>352</v>
      </c>
      <c r="B17" s="136"/>
      <c r="C17" s="137">
        <v>42562</v>
      </c>
      <c r="D17" s="134">
        <f t="shared" si="0"/>
        <v>193</v>
      </c>
      <c r="E17" s="138">
        <f t="shared" si="1"/>
        <v>219</v>
      </c>
      <c r="F17" s="134">
        <v>295</v>
      </c>
      <c r="G17" s="134">
        <v>12.5</v>
      </c>
      <c r="H17" s="134">
        <v>618.5</v>
      </c>
      <c r="I17" s="134">
        <v>436.7</v>
      </c>
      <c r="J17" s="134">
        <v>8.1199999999999992</v>
      </c>
      <c r="K17" s="134">
        <v>-150</v>
      </c>
      <c r="L17" s="134">
        <v>0.2</v>
      </c>
      <c r="M17" s="134">
        <v>0.02</v>
      </c>
      <c r="N17" s="134">
        <v>0.31</v>
      </c>
      <c r="O17" s="134">
        <v>16</v>
      </c>
      <c r="P17" s="134">
        <v>0.215</v>
      </c>
      <c r="Q17" s="135">
        <v>84.5</v>
      </c>
      <c r="R17" s="135">
        <v>16.100000000000001</v>
      </c>
      <c r="S17" s="135">
        <v>0.81</v>
      </c>
      <c r="T17" s="135"/>
      <c r="U17" s="135">
        <v>29.9</v>
      </c>
      <c r="V17" s="135">
        <v>48.2</v>
      </c>
      <c r="W17" s="135">
        <v>39.799999999999997</v>
      </c>
      <c r="X17" s="135">
        <v>4.9000000000000004</v>
      </c>
      <c r="Y17" s="135">
        <v>0.4</v>
      </c>
      <c r="Z17" s="135">
        <v>4.3999999999999997E-2</v>
      </c>
      <c r="AA17" s="135"/>
      <c r="AB17" s="135"/>
      <c r="AC17" s="135">
        <v>0.13100000000000001</v>
      </c>
      <c r="AD17" s="135">
        <v>0.06</v>
      </c>
      <c r="AE17" s="135">
        <v>3.3000000000000002E-2</v>
      </c>
      <c r="AF17" s="135"/>
      <c r="AG17" s="135"/>
      <c r="AI17" s="151">
        <v>-127.65699504836903</v>
      </c>
      <c r="AJ17" s="151">
        <v>-17.660986155986489</v>
      </c>
      <c r="AK17" s="134">
        <v>0.42199999999999999</v>
      </c>
      <c r="AL17" s="157">
        <v>4.798496348710847</v>
      </c>
      <c r="AM17" s="157">
        <v>-9.7255679833042876</v>
      </c>
      <c r="AN17" s="134">
        <v>8964</v>
      </c>
      <c r="AO17" s="158">
        <v>476.19437960519895</v>
      </c>
      <c r="AP17" s="158">
        <v>0</v>
      </c>
      <c r="AQ17" s="158">
        <v>0.42892196390439152</v>
      </c>
      <c r="AR17" s="158">
        <v>5.2455400171188091E-2</v>
      </c>
      <c r="AS17" s="158">
        <v>1.6702375437820233E-2</v>
      </c>
      <c r="AT17" s="158">
        <v>3.9206451375818373E-2</v>
      </c>
      <c r="AU17" s="158">
        <v>49.993096271369346</v>
      </c>
      <c r="AV17" s="158">
        <v>0</v>
      </c>
      <c r="AW17" s="158">
        <v>2.1372502595278231E-2</v>
      </c>
      <c r="AX17" s="158">
        <v>8.3281803676938122E-3</v>
      </c>
      <c r="AY17" s="158">
        <v>8.5495419709200699E-4</v>
      </c>
      <c r="AZ17" s="158">
        <v>4.013372149044697E-3</v>
      </c>
    </row>
    <row r="18" spans="1:52" s="134" customFormat="1">
      <c r="A18" s="134" t="s">
        <v>352</v>
      </c>
      <c r="B18" s="136"/>
      <c r="C18" s="137">
        <v>42633</v>
      </c>
      <c r="D18" s="134">
        <f t="shared" si="0"/>
        <v>264</v>
      </c>
      <c r="E18" s="138">
        <f t="shared" si="1"/>
        <v>290</v>
      </c>
      <c r="F18" s="134">
        <v>320</v>
      </c>
      <c r="G18" s="134">
        <v>12.4</v>
      </c>
      <c r="H18" s="134">
        <v>616.9</v>
      </c>
      <c r="I18" s="134">
        <v>435.5</v>
      </c>
      <c r="J18" s="134">
        <v>7.5</v>
      </c>
      <c r="K18" s="134">
        <v>-98</v>
      </c>
      <c r="L18" s="134">
        <v>0</v>
      </c>
      <c r="M18" s="134">
        <v>0.02</v>
      </c>
      <c r="N18" s="134">
        <v>0.25</v>
      </c>
      <c r="O18" s="134">
        <v>32</v>
      </c>
      <c r="P18" s="134">
        <v>0.27600000000000002</v>
      </c>
      <c r="Q18" s="135">
        <v>82.3</v>
      </c>
      <c r="R18" s="135">
        <v>16</v>
      </c>
      <c r="S18" s="135">
        <v>0.82</v>
      </c>
      <c r="T18" s="135"/>
      <c r="U18" s="135">
        <v>28.9</v>
      </c>
      <c r="V18" s="135">
        <v>46</v>
      </c>
      <c r="W18" s="135">
        <v>38.9</v>
      </c>
      <c r="X18" s="135">
        <v>4.9000000000000004</v>
      </c>
      <c r="Y18" s="135">
        <v>0.36</v>
      </c>
      <c r="Z18" s="135">
        <v>5.1999999999999998E-2</v>
      </c>
      <c r="AA18" s="135">
        <v>0.04</v>
      </c>
      <c r="AB18" s="135">
        <v>0.04</v>
      </c>
      <c r="AC18" s="135">
        <v>0.13100000000000001</v>
      </c>
      <c r="AD18" s="135">
        <v>7.0000000000000007E-2</v>
      </c>
      <c r="AE18" s="135">
        <v>3.9E-2</v>
      </c>
      <c r="AF18" s="135"/>
      <c r="AG18" s="135"/>
      <c r="AI18" s="134">
        <v>-126</v>
      </c>
      <c r="AJ18" s="134">
        <v>-17.100000000000001</v>
      </c>
      <c r="AK18" s="134">
        <v>0.41199999999999998</v>
      </c>
      <c r="AL18" s="157">
        <v>4.9336808742134721</v>
      </c>
      <c r="AM18" s="157">
        <v>-9.5255208875714033</v>
      </c>
      <c r="AN18" s="155"/>
      <c r="AO18" s="158">
        <v>329.70036042944906</v>
      </c>
      <c r="AP18" s="158">
        <v>0</v>
      </c>
      <c r="AQ18" s="158">
        <v>0.20668378105066015</v>
      </c>
      <c r="AR18" s="158">
        <v>0.42233317154876854</v>
      </c>
      <c r="AS18" s="158">
        <v>1.1157733972579437E-2</v>
      </c>
      <c r="AT18" s="158">
        <v>0.31606464767049042</v>
      </c>
      <c r="AU18" s="158">
        <v>30.022917530661321</v>
      </c>
      <c r="AV18" s="158">
        <v>0</v>
      </c>
      <c r="AW18" s="158">
        <v>1.4374069816360139E-2</v>
      </c>
      <c r="AX18" s="158">
        <v>4.1216424393116596E-2</v>
      </c>
      <c r="AY18" s="158">
        <v>9.0078114928986847E-4</v>
      </c>
      <c r="AZ18" s="158">
        <v>2.9922968849318232E-2</v>
      </c>
    </row>
    <row r="19" spans="1:52" s="134" customFormat="1">
      <c r="A19" s="134" t="s">
        <v>352</v>
      </c>
      <c r="B19" s="136"/>
      <c r="C19" s="137">
        <v>42713</v>
      </c>
      <c r="D19" s="134">
        <f t="shared" si="0"/>
        <v>344</v>
      </c>
      <c r="E19" s="138">
        <f t="shared" si="1"/>
        <v>370</v>
      </c>
      <c r="F19" s="134">
        <v>300</v>
      </c>
      <c r="G19" s="134">
        <v>12.5</v>
      </c>
      <c r="H19" s="134">
        <v>626.5</v>
      </c>
      <c r="I19" s="134">
        <v>443.5</v>
      </c>
      <c r="J19" s="134">
        <v>7.72</v>
      </c>
      <c r="K19" s="134">
        <v>-93</v>
      </c>
      <c r="L19" s="134">
        <v>0.1</v>
      </c>
      <c r="M19" s="134">
        <v>0.03</v>
      </c>
      <c r="N19" s="134">
        <v>0.31</v>
      </c>
      <c r="O19" s="134">
        <v>29</v>
      </c>
      <c r="P19" s="134">
        <v>0.54</v>
      </c>
      <c r="Q19" s="135">
        <v>80.3</v>
      </c>
      <c r="R19" s="135">
        <v>16.100000000000001</v>
      </c>
      <c r="S19" s="135">
        <v>0.8</v>
      </c>
      <c r="T19" s="135"/>
      <c r="U19" s="135">
        <v>27.2</v>
      </c>
      <c r="V19" s="135">
        <v>43.7</v>
      </c>
      <c r="W19" s="135">
        <v>37.200000000000003</v>
      </c>
      <c r="X19" s="135">
        <v>4.5999999999999996</v>
      </c>
      <c r="Y19" s="135">
        <v>0.26</v>
      </c>
      <c r="Z19" s="135">
        <v>4.2999999999999997E-2</v>
      </c>
      <c r="AA19" s="135"/>
      <c r="AB19" s="135">
        <v>0.05</v>
      </c>
      <c r="AC19" s="135">
        <v>0.12</v>
      </c>
      <c r="AD19" s="135">
        <v>7.0000000000000007E-2</v>
      </c>
      <c r="AE19" s="135">
        <v>3.1E-2</v>
      </c>
      <c r="AF19" s="135"/>
      <c r="AG19" s="135"/>
      <c r="AI19" s="139">
        <v>-127.62530017999998</v>
      </c>
      <c r="AJ19" s="139">
        <v>-17.108801900000003</v>
      </c>
      <c r="AK19" s="134">
        <v>0.38700000000000001</v>
      </c>
      <c r="AL19" s="157">
        <v>4.837125381381898</v>
      </c>
      <c r="AM19" s="157">
        <v>-10.220543550192284</v>
      </c>
      <c r="AN19" s="134">
        <v>8873</v>
      </c>
      <c r="AO19" s="158">
        <v>383.80112807802186</v>
      </c>
      <c r="AP19" s="158">
        <v>0</v>
      </c>
      <c r="AQ19" s="158">
        <v>0.31255000803835847</v>
      </c>
      <c r="AR19" s="158">
        <v>9.1952721804592699E-2</v>
      </c>
      <c r="AS19" s="158">
        <v>1.7219207395181083E-2</v>
      </c>
      <c r="AT19" s="158">
        <v>9.0092763865521161E-2</v>
      </c>
      <c r="AU19" s="158">
        <v>57.384543234795416</v>
      </c>
      <c r="AV19" s="158">
        <v>0</v>
      </c>
      <c r="AW19" s="158">
        <v>7.4606394123173329E-3</v>
      </c>
      <c r="AX19" s="158">
        <v>7.6187062160083963E-3</v>
      </c>
      <c r="AY19" s="158">
        <v>1.4328703932322332E-3</v>
      </c>
      <c r="AZ19" s="158">
        <v>1.5605292999887744E-2</v>
      </c>
    </row>
    <row r="20" spans="1:52" s="134" customFormat="1">
      <c r="A20" s="134" t="s">
        <v>352</v>
      </c>
      <c r="B20" s="136"/>
      <c r="C20" s="137">
        <v>42781</v>
      </c>
      <c r="D20" s="134">
        <f t="shared" si="0"/>
        <v>46</v>
      </c>
      <c r="E20" s="138">
        <f t="shared" si="1"/>
        <v>438</v>
      </c>
      <c r="F20" s="134">
        <v>300</v>
      </c>
      <c r="G20" s="134">
        <v>12.5</v>
      </c>
      <c r="H20" s="134">
        <v>630.29999999999995</v>
      </c>
      <c r="I20" s="134">
        <v>444.8</v>
      </c>
      <c r="J20" s="134">
        <v>7.67</v>
      </c>
      <c r="K20" s="134">
        <v>-97</v>
      </c>
      <c r="L20" s="134">
        <v>0.2</v>
      </c>
      <c r="M20" s="134">
        <v>0.02</v>
      </c>
      <c r="N20" s="134">
        <v>0.32</v>
      </c>
      <c r="O20" s="134">
        <v>16</v>
      </c>
      <c r="P20" s="134">
        <v>0.56100000000000005</v>
      </c>
      <c r="Q20" s="159">
        <v>91.2</v>
      </c>
      <c r="R20" s="159">
        <v>17</v>
      </c>
      <c r="S20" s="159">
        <v>0.84</v>
      </c>
      <c r="T20" s="159"/>
      <c r="U20" s="159">
        <v>29.9</v>
      </c>
      <c r="V20" s="159">
        <v>47.1</v>
      </c>
      <c r="W20" s="159">
        <v>40.1</v>
      </c>
      <c r="X20" s="159">
        <v>5</v>
      </c>
      <c r="Y20" s="159">
        <v>0.35</v>
      </c>
      <c r="Z20" s="159">
        <v>5.1999999999999998E-2</v>
      </c>
      <c r="AA20" s="159"/>
      <c r="AB20" s="159">
        <v>0.05</v>
      </c>
      <c r="AC20" s="159">
        <v>0.125</v>
      </c>
      <c r="AD20" s="159">
        <v>0.06</v>
      </c>
      <c r="AE20" s="159">
        <v>3.9E-2</v>
      </c>
      <c r="AF20" s="159"/>
      <c r="AG20" s="159"/>
      <c r="AI20" s="139">
        <v>-127.26067652</v>
      </c>
      <c r="AJ20" s="139">
        <v>-17.187107600000001</v>
      </c>
      <c r="AK20" s="134">
        <v>0.41699999999999998</v>
      </c>
      <c r="AL20" s="157">
        <v>4.0208972243172267</v>
      </c>
      <c r="AM20" s="157">
        <v>-10.741504692365487</v>
      </c>
      <c r="AN20" s="134">
        <v>18084</v>
      </c>
      <c r="AO20" s="158">
        <v>444.24216472378117</v>
      </c>
      <c r="AP20" s="158">
        <v>0</v>
      </c>
      <c r="AQ20" s="158">
        <v>0.28937484895015197</v>
      </c>
      <c r="AR20" s="158">
        <v>0.21437643632329104</v>
      </c>
      <c r="AS20" s="158">
        <v>1.6743204259804224E-2</v>
      </c>
      <c r="AT20" s="158">
        <v>0.22689349657029223</v>
      </c>
      <c r="AU20" s="158">
        <v>94.409952212420393</v>
      </c>
      <c r="AV20" s="158">
        <v>0</v>
      </c>
      <c r="AW20" s="158">
        <v>4.9496468088234935E-2</v>
      </c>
      <c r="AX20" s="158">
        <v>4.3495576260394811E-2</v>
      </c>
      <c r="AY20" s="158">
        <v>1.365232579231831E-3</v>
      </c>
      <c r="AZ20" s="158">
        <v>2.0546260418838707E-2</v>
      </c>
    </row>
    <row r="21" spans="1:52" s="134" customFormat="1">
      <c r="A21" s="134" t="s">
        <v>352</v>
      </c>
      <c r="B21" s="136"/>
      <c r="C21" s="137">
        <v>42864</v>
      </c>
      <c r="D21" s="134">
        <f t="shared" si="0"/>
        <v>129</v>
      </c>
      <c r="E21" s="138">
        <f t="shared" si="1"/>
        <v>521</v>
      </c>
      <c r="F21" s="138">
        <f>AVERAGE(600,600,600)</f>
        <v>600</v>
      </c>
      <c r="G21" s="134">
        <v>12.5</v>
      </c>
      <c r="H21" s="134">
        <v>608.20000000000005</v>
      </c>
      <c r="I21" s="134">
        <v>429.6</v>
      </c>
      <c r="J21" s="134">
        <v>7.27</v>
      </c>
      <c r="K21" s="134">
        <v>-93</v>
      </c>
      <c r="L21" s="134">
        <v>0.3</v>
      </c>
      <c r="M21" s="134">
        <v>0.01</v>
      </c>
      <c r="N21" s="134">
        <v>0.3</v>
      </c>
      <c r="O21" s="134">
        <v>12</v>
      </c>
      <c r="P21" s="134">
        <v>0.47499999999999998</v>
      </c>
      <c r="Q21" s="135">
        <v>83.8</v>
      </c>
      <c r="R21" s="135">
        <v>16.7</v>
      </c>
      <c r="S21" s="135">
        <v>0.86</v>
      </c>
      <c r="T21" s="135"/>
      <c r="U21" s="135">
        <v>29.3</v>
      </c>
      <c r="V21" s="135">
        <v>45.8</v>
      </c>
      <c r="W21" s="135">
        <v>38.700000000000003</v>
      </c>
      <c r="X21" s="135">
        <v>4.9000000000000004</v>
      </c>
      <c r="Y21" s="135">
        <v>0.34</v>
      </c>
      <c r="Z21" s="135">
        <v>4.9000000000000002E-2</v>
      </c>
      <c r="AA21" s="135"/>
      <c r="AB21" s="135"/>
      <c r="AC21" s="135">
        <v>0.13600000000000001</v>
      </c>
      <c r="AD21" s="135">
        <v>7.0000000000000007E-2</v>
      </c>
      <c r="AE21" s="135">
        <v>3.6999999999999998E-2</v>
      </c>
      <c r="AF21" s="135"/>
      <c r="AG21" s="135"/>
      <c r="AI21" s="139">
        <v>-126.65200525999998</v>
      </c>
      <c r="AJ21" s="139">
        <v>-17.182477700000003</v>
      </c>
      <c r="AK21" s="135">
        <v>0.38800000000000001</v>
      </c>
      <c r="AL21" s="145">
        <v>4.8049999999999997</v>
      </c>
      <c r="AM21" s="145">
        <v>-10.475</v>
      </c>
      <c r="AN21" s="134">
        <v>14282</v>
      </c>
      <c r="AO21" s="158">
        <v>365.78146071737376</v>
      </c>
      <c r="AP21" s="158">
        <v>0</v>
      </c>
      <c r="AQ21" s="158">
        <v>0.4036455413739089</v>
      </c>
      <c r="AR21" s="158">
        <v>4.2600388769445163E-2</v>
      </c>
      <c r="AS21" s="158">
        <v>2.0610138135691541E-2</v>
      </c>
      <c r="AT21" s="158">
        <v>6.145695642215171E-2</v>
      </c>
      <c r="AU21" s="158">
        <v>16.117753983567596</v>
      </c>
      <c r="AV21" s="158">
        <v>0</v>
      </c>
      <c r="AW21" s="158">
        <v>9.4593367178090026E-2</v>
      </c>
      <c r="AX21" s="158">
        <v>2.3742161259903702E-3</v>
      </c>
      <c r="AY21" s="158">
        <v>9.408820288626862E-4</v>
      </c>
      <c r="AZ21" s="158">
        <v>2.8236545887849215E-3</v>
      </c>
    </row>
    <row r="22" spans="1:52" s="134" customFormat="1" ht="16">
      <c r="A22" s="135" t="s">
        <v>352</v>
      </c>
      <c r="B22" s="136"/>
      <c r="C22" s="137">
        <v>42979</v>
      </c>
      <c r="D22" s="135">
        <f t="shared" si="0"/>
        <v>244</v>
      </c>
      <c r="E22" s="138">
        <f t="shared" si="1"/>
        <v>636</v>
      </c>
      <c r="F22" s="138">
        <v>300</v>
      </c>
      <c r="G22" s="134">
        <v>12.5</v>
      </c>
      <c r="H22" s="134">
        <v>622.20000000000005</v>
      </c>
      <c r="I22" s="134">
        <v>439.4</v>
      </c>
      <c r="J22" s="134">
        <v>7.84</v>
      </c>
      <c r="K22" s="134">
        <v>-151</v>
      </c>
      <c r="L22" s="134">
        <v>0.4</v>
      </c>
      <c r="M22" s="134">
        <v>0.03</v>
      </c>
      <c r="N22" s="134">
        <v>0.3</v>
      </c>
      <c r="O22" s="134">
        <v>21</v>
      </c>
      <c r="P22" s="134" t="s">
        <v>278</v>
      </c>
      <c r="Q22" s="155">
        <v>85.5</v>
      </c>
      <c r="R22" s="155">
        <v>17.3</v>
      </c>
      <c r="S22" s="155">
        <v>0.89</v>
      </c>
      <c r="T22" s="155"/>
      <c r="U22" s="155">
        <v>30.2</v>
      </c>
      <c r="V22" s="155">
        <v>46.6</v>
      </c>
      <c r="W22" s="155">
        <v>39</v>
      </c>
      <c r="X22" s="155">
        <v>5</v>
      </c>
      <c r="Y22" s="155">
        <v>0.34</v>
      </c>
      <c r="Z22" s="155">
        <v>5.0999999999999997E-2</v>
      </c>
      <c r="AA22" s="155"/>
      <c r="AB22" s="155"/>
      <c r="AC22" s="155">
        <v>0.13300000000000001</v>
      </c>
      <c r="AD22" s="155">
        <v>0.08</v>
      </c>
      <c r="AE22" s="155">
        <v>3.3000000000000002E-2</v>
      </c>
      <c r="AF22" s="135"/>
      <c r="AG22" s="135"/>
      <c r="AI22" s="151">
        <v>-127.20497926845258</v>
      </c>
      <c r="AJ22" s="151">
        <v>-17.323571612594758</v>
      </c>
      <c r="AK22" s="135">
        <v>0.42099999999999999</v>
      </c>
      <c r="AL22" s="145">
        <v>4.8499999999999996</v>
      </c>
      <c r="AM22" s="145">
        <v>-10.93</v>
      </c>
      <c r="AN22" s="134">
        <v>52133</v>
      </c>
      <c r="AO22" s="152">
        <v>470.32491569950491</v>
      </c>
      <c r="AP22" s="152">
        <v>0</v>
      </c>
      <c r="AQ22" s="152">
        <v>0.5923910337828644</v>
      </c>
      <c r="AR22" s="152">
        <v>0.11298399685741398</v>
      </c>
      <c r="AS22" s="152">
        <v>2.1848779112651356E-2</v>
      </c>
      <c r="AT22" s="152">
        <v>1.6594184905241911E-2</v>
      </c>
      <c r="AU22" s="153">
        <v>44.926793660980174</v>
      </c>
      <c r="AV22" s="153">
        <v>0</v>
      </c>
      <c r="AW22" s="153">
        <v>7.3197682330397904E-2</v>
      </c>
      <c r="AX22" s="153">
        <v>1.508820313041179E-2</v>
      </c>
      <c r="AY22" s="153">
        <v>2.0355757607087685E-3</v>
      </c>
      <c r="AZ22" s="153">
        <v>2.9675980244149645E-3</v>
      </c>
    </row>
    <row r="23" spans="1:52" s="134" customFormat="1" ht="16">
      <c r="A23" s="135" t="s">
        <v>352</v>
      </c>
      <c r="B23" s="136"/>
      <c r="C23" s="137">
        <v>43069</v>
      </c>
      <c r="D23" s="135">
        <f>C23-DATE(YEAR(C23),1,0)</f>
        <v>334</v>
      </c>
      <c r="E23" s="138">
        <f>DATEDIF($A$1,C23,"d")</f>
        <v>726</v>
      </c>
      <c r="F23" s="138">
        <v>350</v>
      </c>
      <c r="G23" s="134">
        <v>12.4</v>
      </c>
      <c r="H23" s="134">
        <v>622.5</v>
      </c>
      <c r="I23" s="134">
        <v>439.7</v>
      </c>
      <c r="J23" s="134">
        <v>7.9</v>
      </c>
      <c r="K23" s="134">
        <v>-152</v>
      </c>
      <c r="L23" s="134">
        <v>0.2</v>
      </c>
      <c r="M23" s="134">
        <v>0.02</v>
      </c>
      <c r="N23" s="134">
        <v>0.28999999999999998</v>
      </c>
      <c r="O23" s="134">
        <v>21</v>
      </c>
      <c r="P23" s="134">
        <v>0.63</v>
      </c>
      <c r="Q23" s="155">
        <v>81.5</v>
      </c>
      <c r="R23" s="155">
        <v>16.7</v>
      </c>
      <c r="S23" s="155">
        <v>0.77</v>
      </c>
      <c r="T23" s="155"/>
      <c r="U23" s="155">
        <v>30.2</v>
      </c>
      <c r="V23" s="155">
        <v>47.6</v>
      </c>
      <c r="W23" s="155">
        <v>38.6</v>
      </c>
      <c r="X23" s="155">
        <v>5</v>
      </c>
      <c r="Y23" s="155">
        <v>0.31</v>
      </c>
      <c r="Z23" s="155">
        <v>4.5999999999999999E-2</v>
      </c>
      <c r="AA23" s="155"/>
      <c r="AB23" s="155">
        <v>0.05</v>
      </c>
      <c r="AC23" s="155">
        <v>0.13100000000000001</v>
      </c>
      <c r="AD23" s="155">
        <v>0.08</v>
      </c>
      <c r="AE23" s="155">
        <v>3.5999999999999997E-2</v>
      </c>
      <c r="AF23" s="135"/>
      <c r="AG23" s="135"/>
      <c r="AI23" s="151">
        <v>-127.69159947696232</v>
      </c>
      <c r="AJ23" s="151">
        <v>-17.571090570912713</v>
      </c>
      <c r="AK23" s="135">
        <v>0.35499999999999998</v>
      </c>
      <c r="AL23" s="145">
        <v>4.8499999999999996</v>
      </c>
      <c r="AM23" s="145">
        <v>-10.734999999999999</v>
      </c>
      <c r="AN23" s="134">
        <v>51766</v>
      </c>
      <c r="AO23" s="152">
        <v>334.51414382665433</v>
      </c>
      <c r="AP23" s="152">
        <v>0</v>
      </c>
      <c r="AQ23" s="152">
        <v>0.40729089750969005</v>
      </c>
      <c r="AR23" s="152">
        <v>0.30366064273355914</v>
      </c>
      <c r="AS23" s="152">
        <v>1.4598722751509368E-2</v>
      </c>
      <c r="AT23" s="152">
        <v>0.25928587603330661</v>
      </c>
      <c r="AU23" s="153">
        <v>7.4987069668370019</v>
      </c>
      <c r="AV23" s="153">
        <v>0</v>
      </c>
      <c r="AW23" s="153">
        <v>3.1705058124010571E-3</v>
      </c>
      <c r="AX23" s="153">
        <v>7.1740264247905031E-3</v>
      </c>
      <c r="AY23" s="153">
        <v>8.6047916672955533E-4</v>
      </c>
      <c r="AZ23" s="153">
        <v>5.6864153978042715E-3</v>
      </c>
    </row>
    <row r="24" spans="1:52" s="134" customFormat="1">
      <c r="A24" s="135" t="s">
        <v>352</v>
      </c>
      <c r="B24" s="136"/>
      <c r="C24" s="137">
        <v>43208</v>
      </c>
      <c r="D24" s="135">
        <f>C24-DATE(YEAR(C24),1,0)</f>
        <v>108</v>
      </c>
      <c r="E24" s="138">
        <f>DATEDIF($A$1,C24,"d")</f>
        <v>865</v>
      </c>
      <c r="F24" s="135">
        <v>300</v>
      </c>
      <c r="G24" s="135">
        <v>12</v>
      </c>
      <c r="H24" s="135">
        <v>609.4</v>
      </c>
      <c r="I24" s="135">
        <v>430.4</v>
      </c>
      <c r="J24" s="135">
        <v>7.44</v>
      </c>
      <c r="K24" s="135">
        <v>-100</v>
      </c>
      <c r="L24" s="135">
        <v>0.3</v>
      </c>
      <c r="M24" s="135">
        <v>0.03</v>
      </c>
      <c r="N24" s="135">
        <v>0.31</v>
      </c>
      <c r="O24" s="135">
        <v>0</v>
      </c>
      <c r="P24" s="135">
        <v>5.3999999999999999E-2</v>
      </c>
      <c r="Q24" s="178">
        <v>84.8</v>
      </c>
      <c r="R24" s="178">
        <v>18.5</v>
      </c>
      <c r="S24" s="178">
        <v>0.8</v>
      </c>
      <c r="T24" s="178"/>
      <c r="U24" s="178">
        <v>31.4</v>
      </c>
      <c r="V24" s="178">
        <v>49</v>
      </c>
      <c r="W24" s="178">
        <v>40.1</v>
      </c>
      <c r="X24" s="178">
        <v>5.4</v>
      </c>
      <c r="Y24" s="178">
        <v>0.35</v>
      </c>
      <c r="Z24" s="178">
        <v>5.1999999999999998E-2</v>
      </c>
      <c r="AA24" s="178"/>
      <c r="AB24" s="178">
        <v>0.05</v>
      </c>
      <c r="AC24" s="178">
        <v>0.14299999999999999</v>
      </c>
      <c r="AD24" s="178">
        <v>0.08</v>
      </c>
      <c r="AE24" s="178">
        <v>0.04</v>
      </c>
      <c r="AI24" s="158">
        <v>-127.15143661912839</v>
      </c>
      <c r="AJ24" s="158">
        <v>-17.548144048372563</v>
      </c>
      <c r="AK24" s="135">
        <v>0.39300000000000002</v>
      </c>
      <c r="AL24" s="135">
        <v>4.0205320748278446</v>
      </c>
      <c r="AM24" s="135">
        <v>-10.440407982920407</v>
      </c>
    </row>
    <row r="25" spans="1:52">
      <c r="A25" s="135" t="s">
        <v>352</v>
      </c>
      <c r="C25" s="180">
        <v>43344</v>
      </c>
      <c r="D25" s="135">
        <f>C25-DATE(YEAR(C25),1,0)</f>
        <v>244</v>
      </c>
      <c r="E25" s="181">
        <f>DATEDIF($A$1,C25,"d")</f>
        <v>1001</v>
      </c>
      <c r="F25" s="54">
        <v>275</v>
      </c>
      <c r="G25" s="54">
        <v>12.3</v>
      </c>
      <c r="H25" s="54">
        <v>623.79999999999995</v>
      </c>
      <c r="I25" s="54">
        <v>440.6</v>
      </c>
      <c r="J25" s="135">
        <v>6.23</v>
      </c>
      <c r="K25" s="54">
        <v>-49</v>
      </c>
      <c r="L25" s="54">
        <v>0.2</v>
      </c>
      <c r="M25" s="54">
        <v>0.03</v>
      </c>
      <c r="N25" s="54">
        <v>0.31</v>
      </c>
      <c r="O25" s="54">
        <v>0</v>
      </c>
      <c r="P25" s="54" t="s">
        <v>278</v>
      </c>
      <c r="Q25" s="178">
        <v>97.4</v>
      </c>
      <c r="R25" s="178">
        <v>20.399999999999999</v>
      </c>
      <c r="S25" s="178">
        <v>0.81</v>
      </c>
      <c r="T25" s="178">
        <v>0.113</v>
      </c>
      <c r="U25" s="178">
        <v>29.9</v>
      </c>
      <c r="V25" s="178">
        <v>45.9</v>
      </c>
      <c r="W25" s="178">
        <v>38.6</v>
      </c>
      <c r="X25" s="178">
        <v>5</v>
      </c>
      <c r="Y25" s="178">
        <v>0.32</v>
      </c>
      <c r="Z25" s="178">
        <v>4.5999999999999999E-2</v>
      </c>
      <c r="AA25" s="178"/>
      <c r="AB25" s="178"/>
      <c r="AC25" s="178">
        <v>0.126</v>
      </c>
      <c r="AD25" s="178">
        <v>0.06</v>
      </c>
      <c r="AE25" s="178">
        <v>3.4000000000000002E-2</v>
      </c>
      <c r="AI25" s="187">
        <v>-127.74731098543613</v>
      </c>
      <c r="AJ25" s="188">
        <v>-17.846508079418474</v>
      </c>
      <c r="AK25" s="54">
        <v>0.38100000000000001</v>
      </c>
      <c r="AL25" s="54">
        <v>5.0010823655182968</v>
      </c>
      <c r="AM25" s="54">
        <v>-10.416951239389004</v>
      </c>
    </row>
    <row r="26" spans="1:52" s="165" customFormat="1">
      <c r="A26" s="165" t="s">
        <v>354</v>
      </c>
      <c r="B26" s="166"/>
      <c r="C26" s="167">
        <v>42347</v>
      </c>
      <c r="D26" s="165">
        <f t="shared" si="0"/>
        <v>343</v>
      </c>
      <c r="E26" s="168">
        <f t="shared" si="1"/>
        <v>4</v>
      </c>
      <c r="F26" s="169" t="s">
        <v>496</v>
      </c>
      <c r="G26" s="165">
        <v>16.3</v>
      </c>
      <c r="H26" s="165">
        <v>3044</v>
      </c>
      <c r="I26" s="165">
        <v>2321</v>
      </c>
      <c r="J26" s="165">
        <v>7.35</v>
      </c>
      <c r="K26" s="165">
        <v>-20</v>
      </c>
      <c r="L26" s="165" t="s">
        <v>417</v>
      </c>
      <c r="N26" s="165" t="s">
        <v>417</v>
      </c>
      <c r="O26" s="165" t="s">
        <v>417</v>
      </c>
      <c r="P26" s="165" t="s">
        <v>417</v>
      </c>
      <c r="Q26" s="170">
        <v>1640</v>
      </c>
      <c r="R26" s="170">
        <v>7.87</v>
      </c>
      <c r="S26" s="170">
        <v>0.45</v>
      </c>
      <c r="T26" s="170"/>
      <c r="U26" s="170">
        <v>237</v>
      </c>
      <c r="V26" s="170">
        <v>357</v>
      </c>
      <c r="W26" s="170">
        <v>98.1</v>
      </c>
      <c r="X26" s="170">
        <v>6.2</v>
      </c>
      <c r="Y26" s="170">
        <v>1.53</v>
      </c>
      <c r="Z26" s="170">
        <v>0.26900000000000002</v>
      </c>
      <c r="AA26" s="170"/>
      <c r="AB26" s="170"/>
      <c r="AC26" s="170">
        <v>0.03</v>
      </c>
      <c r="AD26" s="170">
        <v>0.15</v>
      </c>
      <c r="AE26" s="170">
        <v>0.13700000000000001</v>
      </c>
      <c r="AF26" s="170"/>
      <c r="AG26" s="170"/>
      <c r="AI26" s="171">
        <v>-122.30514873098043</v>
      </c>
      <c r="AJ26" s="171">
        <v>-16.870435519215679</v>
      </c>
      <c r="AL26" s="172"/>
      <c r="AM26" s="172"/>
    </row>
    <row r="27" spans="1:52" s="134" customFormat="1">
      <c r="A27" s="134" t="s">
        <v>354</v>
      </c>
      <c r="B27" s="136" t="s">
        <v>409</v>
      </c>
      <c r="C27" s="137">
        <v>42495</v>
      </c>
      <c r="D27" s="134">
        <f t="shared" si="0"/>
        <v>126</v>
      </c>
      <c r="E27" s="138">
        <f t="shared" si="1"/>
        <v>152</v>
      </c>
      <c r="F27" s="140" t="s">
        <v>496</v>
      </c>
      <c r="G27" s="134">
        <v>16.3</v>
      </c>
      <c r="H27" s="134">
        <v>3026</v>
      </c>
      <c r="I27" s="134">
        <v>2309</v>
      </c>
      <c r="J27" s="134">
        <v>7.19</v>
      </c>
      <c r="K27" s="134">
        <v>-53</v>
      </c>
      <c r="L27" s="134">
        <v>0.5</v>
      </c>
      <c r="M27" s="134">
        <v>0.27</v>
      </c>
      <c r="N27" s="134">
        <v>2.3199999999999998</v>
      </c>
      <c r="O27" s="134">
        <v>14</v>
      </c>
      <c r="P27" s="134">
        <v>1.6</v>
      </c>
      <c r="Q27" s="135">
        <v>1780</v>
      </c>
      <c r="R27" s="135">
        <v>7.65</v>
      </c>
      <c r="S27" s="135">
        <v>0.49</v>
      </c>
      <c r="T27" s="135"/>
      <c r="U27" s="135">
        <v>232</v>
      </c>
      <c r="V27" s="135">
        <v>342</v>
      </c>
      <c r="W27" s="135">
        <v>98.6</v>
      </c>
      <c r="X27" s="135">
        <v>6.1</v>
      </c>
      <c r="Y27" s="135">
        <v>2.9</v>
      </c>
      <c r="Z27" s="135">
        <v>0.26300000000000001</v>
      </c>
      <c r="AA27" s="135">
        <v>0.05</v>
      </c>
      <c r="AB27" s="135">
        <v>0.05</v>
      </c>
      <c r="AC27" s="135">
        <v>2.9000000000000001E-2</v>
      </c>
      <c r="AD27" s="135">
        <v>0.14000000000000001</v>
      </c>
      <c r="AE27" s="135">
        <v>0.121</v>
      </c>
      <c r="AF27" s="135"/>
      <c r="AG27" s="135"/>
      <c r="AK27" s="134">
        <v>0.252</v>
      </c>
      <c r="AL27" s="157"/>
      <c r="AM27" s="157"/>
    </row>
    <row r="28" spans="1:52" s="134" customFormat="1">
      <c r="A28" s="134" t="s">
        <v>354</v>
      </c>
      <c r="B28" s="136" t="s">
        <v>410</v>
      </c>
      <c r="C28" s="137">
        <v>42495</v>
      </c>
      <c r="D28" s="134">
        <f t="shared" si="0"/>
        <v>126</v>
      </c>
      <c r="E28" s="138">
        <f t="shared" si="1"/>
        <v>152</v>
      </c>
      <c r="F28" s="140" t="s">
        <v>496</v>
      </c>
      <c r="G28" s="134">
        <v>16.7</v>
      </c>
      <c r="H28" s="134">
        <v>3040</v>
      </c>
      <c r="I28" s="134">
        <v>2323</v>
      </c>
      <c r="J28" s="134">
        <v>7.27</v>
      </c>
      <c r="K28" s="134">
        <v>-22</v>
      </c>
      <c r="L28" s="134">
        <v>0.3</v>
      </c>
      <c r="M28" s="134">
        <v>0.22</v>
      </c>
      <c r="N28" s="134">
        <v>2.4500000000000002</v>
      </c>
      <c r="O28" s="134">
        <v>0</v>
      </c>
      <c r="P28" s="134">
        <v>1.4</v>
      </c>
      <c r="Q28" s="140" t="s">
        <v>417</v>
      </c>
      <c r="R28" s="140" t="s">
        <v>417</v>
      </c>
      <c r="S28" s="140" t="s">
        <v>417</v>
      </c>
      <c r="T28" s="135"/>
      <c r="U28" s="135">
        <v>238</v>
      </c>
      <c r="V28" s="135">
        <v>355</v>
      </c>
      <c r="W28" s="135">
        <v>101</v>
      </c>
      <c r="X28" s="135">
        <v>6.3</v>
      </c>
      <c r="Y28" s="135">
        <v>2.92</v>
      </c>
      <c r="Z28" s="135">
        <v>0.27</v>
      </c>
      <c r="AA28" s="135">
        <v>0.04</v>
      </c>
      <c r="AB28" s="135"/>
      <c r="AC28" s="135">
        <v>0.03</v>
      </c>
      <c r="AD28" s="135">
        <v>0.14000000000000001</v>
      </c>
      <c r="AE28" s="135">
        <v>0.123</v>
      </c>
      <c r="AF28" s="135"/>
      <c r="AG28" s="135"/>
      <c r="AH28" s="134">
        <v>0.01</v>
      </c>
      <c r="AK28" s="134">
        <v>0.25900000000000001</v>
      </c>
      <c r="AL28" s="157"/>
      <c r="AM28" s="157"/>
    </row>
    <row r="29" spans="1:52" s="134" customFormat="1" ht="28">
      <c r="A29" s="134" t="s">
        <v>354</v>
      </c>
      <c r="B29" s="160" t="s">
        <v>411</v>
      </c>
      <c r="C29" s="160">
        <v>42506</v>
      </c>
      <c r="D29" s="134">
        <f t="shared" si="0"/>
        <v>137</v>
      </c>
      <c r="E29" s="138">
        <f t="shared" si="1"/>
        <v>163</v>
      </c>
      <c r="F29" s="134">
        <v>1400</v>
      </c>
      <c r="G29" s="134">
        <v>16.100000000000001</v>
      </c>
      <c r="H29" s="134">
        <v>3048</v>
      </c>
      <c r="I29" s="134">
        <v>2302</v>
      </c>
      <c r="J29" s="134">
        <v>7.94</v>
      </c>
      <c r="K29" s="134">
        <v>14</v>
      </c>
      <c r="L29" s="134">
        <v>0.8</v>
      </c>
      <c r="M29" s="134">
        <v>0.24</v>
      </c>
      <c r="N29" s="134">
        <v>1.8</v>
      </c>
      <c r="O29" s="134">
        <v>7</v>
      </c>
      <c r="P29" s="134">
        <v>3.1</v>
      </c>
      <c r="Q29" s="135">
        <v>1880</v>
      </c>
      <c r="R29" s="135">
        <v>7.73</v>
      </c>
      <c r="S29" s="135">
        <v>0.51</v>
      </c>
      <c r="T29" s="135"/>
      <c r="U29" s="135">
        <v>232</v>
      </c>
      <c r="V29" s="135">
        <v>351</v>
      </c>
      <c r="W29" s="135">
        <v>97.7</v>
      </c>
      <c r="X29" s="135">
        <v>6.3</v>
      </c>
      <c r="Y29" s="135">
        <v>1.97</v>
      </c>
      <c r="Z29" s="135">
        <v>0.27200000000000002</v>
      </c>
      <c r="AA29" s="135"/>
      <c r="AB29" s="135"/>
      <c r="AC29" s="135">
        <v>2.9000000000000001E-2</v>
      </c>
      <c r="AD29" s="135">
        <v>0.13</v>
      </c>
      <c r="AE29" s="135">
        <v>0.11700000000000001</v>
      </c>
      <c r="AF29" s="135"/>
      <c r="AG29" s="135"/>
      <c r="AI29" s="151">
        <v>-121.08039273109947</v>
      </c>
      <c r="AJ29" s="151">
        <v>-16.901661965724124</v>
      </c>
      <c r="AK29" s="134">
        <v>0.34399999999999997</v>
      </c>
      <c r="AL29" s="157"/>
      <c r="AM29" s="157"/>
      <c r="AN29" s="134">
        <v>9557</v>
      </c>
      <c r="AO29" s="158">
        <v>2163.1853772154245</v>
      </c>
      <c r="AP29" s="158">
        <v>0</v>
      </c>
      <c r="AQ29" s="158">
        <v>1.4385822470390204</v>
      </c>
      <c r="AR29" s="158">
        <v>7.8314027688533294E-2</v>
      </c>
      <c r="AS29" s="158">
        <v>1.3859172593046799E-2</v>
      </c>
      <c r="AT29" s="158">
        <v>7.4107276815029974E-2</v>
      </c>
      <c r="AU29" s="158">
        <v>105.53005686426131</v>
      </c>
      <c r="AV29" s="158">
        <v>0</v>
      </c>
      <c r="AW29" s="158">
        <v>9.2416957842197001E-2</v>
      </c>
      <c r="AX29" s="158">
        <v>1.1074148476052976E-4</v>
      </c>
      <c r="AY29" s="158">
        <v>8.7194600854969596E-4</v>
      </c>
      <c r="AZ29" s="158">
        <v>9.6930798690000979E-3</v>
      </c>
    </row>
    <row r="30" spans="1:52" s="134" customFormat="1">
      <c r="A30" s="134" t="s">
        <v>354</v>
      </c>
      <c r="B30" s="137"/>
      <c r="C30" s="137">
        <v>42563</v>
      </c>
      <c r="D30" s="134">
        <f t="shared" si="0"/>
        <v>194</v>
      </c>
      <c r="E30" s="138">
        <f t="shared" si="1"/>
        <v>220</v>
      </c>
      <c r="F30" s="134">
        <v>1250</v>
      </c>
      <c r="G30" s="134">
        <v>16.100000000000001</v>
      </c>
      <c r="H30" s="134">
        <v>3036</v>
      </c>
      <c r="I30" s="134">
        <v>2310</v>
      </c>
      <c r="J30" s="134">
        <v>7.42</v>
      </c>
      <c r="K30" s="134">
        <v>52</v>
      </c>
      <c r="L30" s="134">
        <v>0.2</v>
      </c>
      <c r="M30" s="134">
        <v>0.21</v>
      </c>
      <c r="N30" s="134">
        <v>2.83</v>
      </c>
      <c r="O30" s="134">
        <v>0</v>
      </c>
      <c r="P30" s="134">
        <v>8.5000000000000006E-3</v>
      </c>
      <c r="Q30" s="135">
        <v>1610</v>
      </c>
      <c r="R30" s="135">
        <v>7.6</v>
      </c>
      <c r="S30" s="135">
        <v>0.51</v>
      </c>
      <c r="T30" s="135"/>
      <c r="U30" s="135">
        <v>250</v>
      </c>
      <c r="V30" s="135">
        <v>374</v>
      </c>
      <c r="W30" s="135">
        <v>108</v>
      </c>
      <c r="X30" s="135">
        <v>6.6</v>
      </c>
      <c r="Y30" s="135">
        <v>3.27</v>
      </c>
      <c r="Z30" s="135">
        <v>0.26600000000000001</v>
      </c>
      <c r="AA30" s="135"/>
      <c r="AB30" s="135"/>
      <c r="AC30" s="135">
        <v>3.3000000000000002E-2</v>
      </c>
      <c r="AD30" s="135">
        <v>0.12</v>
      </c>
      <c r="AE30" s="135">
        <v>0.11899999999999999</v>
      </c>
      <c r="AF30" s="135"/>
      <c r="AG30" s="135">
        <v>0.05</v>
      </c>
      <c r="AH30" s="134">
        <v>0.01</v>
      </c>
      <c r="AI30" s="151">
        <v>-121.32406252979087</v>
      </c>
      <c r="AJ30" s="151">
        <v>-16.88744821539704</v>
      </c>
      <c r="AK30" s="134">
        <v>0.25700000000000001</v>
      </c>
      <c r="AL30" s="157">
        <v>6.5398894468774191</v>
      </c>
      <c r="AM30" s="157">
        <v>-2.3662898329849504</v>
      </c>
      <c r="AN30" s="134">
        <v>8917</v>
      </c>
      <c r="AO30" s="158">
        <v>2132.2690003840894</v>
      </c>
      <c r="AP30" s="158">
        <v>1.9435211173730076E-2</v>
      </c>
      <c r="AQ30" s="158">
        <v>6.8448947360144556</v>
      </c>
      <c r="AR30" s="158">
        <v>4.0139417999769264E-2</v>
      </c>
      <c r="AS30" s="158">
        <v>0.14522269465226925</v>
      </c>
      <c r="AT30" s="158">
        <v>0.12244462936549547</v>
      </c>
      <c r="AU30" s="158">
        <v>53.783117553455305</v>
      </c>
      <c r="AV30" s="158">
        <v>2.1492171743058442E-3</v>
      </c>
      <c r="AW30" s="158">
        <v>0.22911516676908331</v>
      </c>
      <c r="AX30" s="158">
        <v>3.5656293944877023E-3</v>
      </c>
      <c r="AY30" s="158">
        <v>5.4992256859590768E-3</v>
      </c>
      <c r="AZ30" s="158">
        <v>4.2043201860114425E-3</v>
      </c>
    </row>
    <row r="31" spans="1:52" s="134" customFormat="1">
      <c r="A31" s="134" t="s">
        <v>354</v>
      </c>
      <c r="B31" s="137"/>
      <c r="C31" s="137">
        <v>42634</v>
      </c>
      <c r="D31" s="134">
        <f t="shared" si="0"/>
        <v>265</v>
      </c>
      <c r="E31" s="138">
        <f t="shared" si="1"/>
        <v>291</v>
      </c>
      <c r="F31" s="134">
        <v>1346</v>
      </c>
      <c r="G31" s="134">
        <v>16.100000000000001</v>
      </c>
      <c r="H31" s="134">
        <v>2998</v>
      </c>
      <c r="I31" s="134">
        <v>2281</v>
      </c>
      <c r="J31" s="134">
        <v>7.03</v>
      </c>
      <c r="K31" s="134">
        <v>-42</v>
      </c>
      <c r="L31" s="134">
        <v>0.3</v>
      </c>
      <c r="M31" s="134">
        <v>0.31</v>
      </c>
      <c r="N31" s="134">
        <v>2.71</v>
      </c>
      <c r="O31" s="134">
        <v>8</v>
      </c>
      <c r="P31" s="134">
        <v>3.4000000000000002E-2</v>
      </c>
      <c r="Q31" s="135">
        <v>1590</v>
      </c>
      <c r="R31" s="140" t="s">
        <v>495</v>
      </c>
      <c r="S31" s="140" t="s">
        <v>495</v>
      </c>
      <c r="T31" s="135"/>
      <c r="U31" s="135">
        <v>236</v>
      </c>
      <c r="V31" s="135">
        <v>352</v>
      </c>
      <c r="W31" s="135">
        <v>108</v>
      </c>
      <c r="X31" s="135">
        <v>6.5</v>
      </c>
      <c r="Y31" s="135">
        <v>3.18</v>
      </c>
      <c r="Z31" s="135">
        <v>0.28000000000000003</v>
      </c>
      <c r="AA31" s="135">
        <v>0.06</v>
      </c>
      <c r="AB31" s="135"/>
      <c r="AC31" s="135">
        <v>2.9000000000000001E-2</v>
      </c>
      <c r="AD31" s="135">
        <v>0.13</v>
      </c>
      <c r="AE31" s="135">
        <v>0.124</v>
      </c>
      <c r="AF31" s="135"/>
      <c r="AG31" s="135"/>
      <c r="AI31" s="134">
        <v>-120</v>
      </c>
      <c r="AJ31" s="134">
        <v>-16.3</v>
      </c>
      <c r="AK31" s="134">
        <v>0.22600000000000001</v>
      </c>
      <c r="AL31" s="157">
        <v>9.5861195218966166</v>
      </c>
      <c r="AM31" s="157">
        <v>-5.2836156663344269</v>
      </c>
      <c r="AO31" s="158">
        <v>2541.7720014813663</v>
      </c>
      <c r="AP31" s="158">
        <v>0</v>
      </c>
      <c r="AQ31" s="158">
        <v>5.910242088358614</v>
      </c>
      <c r="AR31" s="158">
        <v>0.58057909213125047</v>
      </c>
      <c r="AS31" s="158">
        <v>0.15144616108939976</v>
      </c>
      <c r="AT31" s="158">
        <v>0.45893501704284861</v>
      </c>
      <c r="AU31" s="158">
        <v>229.63500084312457</v>
      </c>
      <c r="AV31" s="158">
        <v>0</v>
      </c>
      <c r="AW31" s="158">
        <v>0.38249542319275637</v>
      </c>
      <c r="AX31" s="158">
        <v>1.4974202588654791E-2</v>
      </c>
      <c r="AY31" s="158">
        <v>9.3735053356463361E-3</v>
      </c>
      <c r="AZ31" s="158">
        <v>4.1043470225111393E-2</v>
      </c>
    </row>
    <row r="32" spans="1:52" s="134" customFormat="1">
      <c r="A32" s="134" t="s">
        <v>354</v>
      </c>
      <c r="B32" s="137"/>
      <c r="C32" s="137">
        <v>42712</v>
      </c>
      <c r="D32" s="134">
        <f t="shared" si="0"/>
        <v>343</v>
      </c>
      <c r="E32" s="138">
        <f t="shared" si="1"/>
        <v>369</v>
      </c>
      <c r="F32" s="134">
        <v>3500</v>
      </c>
      <c r="G32" s="134">
        <v>16.2</v>
      </c>
      <c r="H32" s="134">
        <v>3036</v>
      </c>
      <c r="I32" s="134">
        <v>2313</v>
      </c>
      <c r="J32" s="134">
        <v>7.27</v>
      </c>
      <c r="K32" s="134">
        <v>-30</v>
      </c>
      <c r="L32" s="134">
        <v>0.2</v>
      </c>
      <c r="M32" s="134">
        <v>0.28000000000000003</v>
      </c>
      <c r="N32" s="134">
        <v>2.92</v>
      </c>
      <c r="O32" s="134">
        <v>0</v>
      </c>
      <c r="P32" s="134">
        <v>0.14699999999999999</v>
      </c>
      <c r="Q32" s="135">
        <v>1540</v>
      </c>
      <c r="R32" s="135">
        <v>12.3</v>
      </c>
      <c r="S32" s="140" t="s">
        <v>495</v>
      </c>
      <c r="T32" s="135"/>
      <c r="U32" s="135">
        <v>226</v>
      </c>
      <c r="V32" s="135">
        <v>326</v>
      </c>
      <c r="W32" s="135">
        <v>97.1</v>
      </c>
      <c r="X32" s="135">
        <v>5.9</v>
      </c>
      <c r="Y32" s="135">
        <v>2.85</v>
      </c>
      <c r="Z32" s="135">
        <v>0.251</v>
      </c>
      <c r="AA32" s="135"/>
      <c r="AB32" s="135"/>
      <c r="AC32" s="135">
        <v>2.7E-2</v>
      </c>
      <c r="AD32" s="135">
        <v>0.12</v>
      </c>
      <c r="AE32" s="135">
        <v>0.112</v>
      </c>
      <c r="AF32" s="135"/>
      <c r="AG32" s="135"/>
      <c r="AI32" s="139">
        <v>-121.23083942</v>
      </c>
      <c r="AJ32" s="139">
        <v>-16.353926900000001</v>
      </c>
      <c r="AK32" s="134">
        <v>0.25900000000000001</v>
      </c>
      <c r="AL32" s="157">
        <v>10.360817588964181</v>
      </c>
      <c r="AM32" s="157">
        <v>-7.3058164491533217</v>
      </c>
      <c r="AN32" s="134">
        <v>3248</v>
      </c>
      <c r="AO32" s="158">
        <v>1602.5148871556871</v>
      </c>
      <c r="AP32" s="158">
        <v>0</v>
      </c>
      <c r="AQ32" s="158">
        <v>4.058380978364915</v>
      </c>
      <c r="AR32" s="158">
        <v>0.19296705443453174</v>
      </c>
      <c r="AS32" s="158">
        <v>0.10671530050398684</v>
      </c>
      <c r="AT32" s="158">
        <v>0.23439038364253079</v>
      </c>
      <c r="AU32" s="158">
        <v>248.5697777707208</v>
      </c>
      <c r="AV32" s="158">
        <v>0</v>
      </c>
      <c r="AW32" s="158">
        <v>0.61800802666180699</v>
      </c>
      <c r="AX32" s="158">
        <v>3.4152733440440237E-2</v>
      </c>
      <c r="AY32" s="158">
        <v>3.4344921413558675E-3</v>
      </c>
      <c r="AZ32" s="158">
        <v>9.0119567494932259E-3</v>
      </c>
    </row>
    <row r="33" spans="1:52" s="134" customFormat="1">
      <c r="A33" s="134" t="s">
        <v>354</v>
      </c>
      <c r="B33" s="137"/>
      <c r="C33" s="137">
        <v>42782</v>
      </c>
      <c r="D33" s="134">
        <f t="shared" si="0"/>
        <v>47</v>
      </c>
      <c r="E33" s="138">
        <f t="shared" si="1"/>
        <v>439</v>
      </c>
      <c r="F33" s="134">
        <v>1400</v>
      </c>
      <c r="G33" s="134">
        <v>16.3</v>
      </c>
      <c r="H33" s="134">
        <v>3029</v>
      </c>
      <c r="I33" s="134">
        <v>2305</v>
      </c>
      <c r="J33" s="134">
        <v>7.04</v>
      </c>
      <c r="K33" s="134">
        <v>-57</v>
      </c>
      <c r="L33" s="134">
        <v>0.1</v>
      </c>
      <c r="M33" s="134">
        <v>0.2</v>
      </c>
      <c r="N33" s="134">
        <v>2.58</v>
      </c>
      <c r="O33" s="134">
        <v>14</v>
      </c>
      <c r="P33" s="134">
        <v>1.6E-2</v>
      </c>
      <c r="Q33" s="159">
        <v>1610</v>
      </c>
      <c r="R33" s="161" t="s">
        <v>495</v>
      </c>
      <c r="S33" s="161" t="s">
        <v>495</v>
      </c>
      <c r="T33" s="159"/>
      <c r="U33" s="159">
        <v>242</v>
      </c>
      <c r="V33" s="159">
        <v>347</v>
      </c>
      <c r="W33" s="159">
        <v>111</v>
      </c>
      <c r="X33" s="159">
        <v>6.6</v>
      </c>
      <c r="Y33" s="159">
        <v>3.1</v>
      </c>
      <c r="Z33" s="159">
        <v>0.28000000000000003</v>
      </c>
      <c r="AA33" s="159">
        <v>0.06</v>
      </c>
      <c r="AB33" s="159"/>
      <c r="AC33" s="159">
        <v>2.5000000000000001E-2</v>
      </c>
      <c r="AD33" s="159">
        <v>0.12</v>
      </c>
      <c r="AE33" s="159">
        <v>0.127</v>
      </c>
      <c r="AF33" s="159"/>
      <c r="AG33" s="159"/>
      <c r="AI33" s="139">
        <v>-120.82071536000001</v>
      </c>
      <c r="AJ33" s="139">
        <v>-16.404654499999999</v>
      </c>
      <c r="AK33" s="134">
        <v>0.20499999999999999</v>
      </c>
      <c r="AL33" s="157">
        <v>8.0435865731040028</v>
      </c>
      <c r="AM33" s="157">
        <v>-7.5322968216784618</v>
      </c>
      <c r="AN33" s="134">
        <v>3979</v>
      </c>
      <c r="AO33" s="158">
        <v>2958.7778579574247</v>
      </c>
      <c r="AP33" s="158">
        <v>0</v>
      </c>
      <c r="AQ33" s="158">
        <v>5.6428814654071644</v>
      </c>
      <c r="AR33" s="158">
        <v>0.14574866124821206</v>
      </c>
      <c r="AS33" s="158">
        <v>0.16971277615839675</v>
      </c>
      <c r="AT33" s="158">
        <v>0.12765601513426597</v>
      </c>
      <c r="AU33" s="158">
        <v>2.1959667069767619</v>
      </c>
      <c r="AV33" s="158">
        <v>0</v>
      </c>
      <c r="AW33" s="158">
        <v>2.5325923909640037E-2</v>
      </c>
      <c r="AX33" s="158">
        <v>1.9663610262876819E-3</v>
      </c>
      <c r="AY33" s="158">
        <v>1.8184973377339099E-4</v>
      </c>
      <c r="AZ33" s="158">
        <v>3.7247098951775904E-4</v>
      </c>
    </row>
    <row r="34" spans="1:52" s="134" customFormat="1">
      <c r="A34" s="134" t="s">
        <v>354</v>
      </c>
      <c r="B34" s="137"/>
      <c r="C34" s="137">
        <v>42866</v>
      </c>
      <c r="D34" s="134">
        <f t="shared" si="0"/>
        <v>131</v>
      </c>
      <c r="E34" s="138">
        <f t="shared" si="1"/>
        <v>523</v>
      </c>
      <c r="F34" s="138">
        <f>AVERAGE(1200,1200,1200)</f>
        <v>1200</v>
      </c>
      <c r="G34" s="134">
        <v>16.2</v>
      </c>
      <c r="H34" s="134">
        <v>3039</v>
      </c>
      <c r="I34" s="134">
        <v>2313</v>
      </c>
      <c r="J34" s="134">
        <v>6.89</v>
      </c>
      <c r="K34" s="134">
        <v>-39</v>
      </c>
      <c r="L34" s="134">
        <v>0.3</v>
      </c>
      <c r="M34" s="134">
        <v>0.21</v>
      </c>
      <c r="N34" s="134">
        <v>2.2999999999999998</v>
      </c>
      <c r="O34" s="134">
        <v>21</v>
      </c>
      <c r="P34" s="134">
        <v>3.1E-2</v>
      </c>
      <c r="Q34" s="135">
        <v>1610</v>
      </c>
      <c r="R34" s="140" t="s">
        <v>495</v>
      </c>
      <c r="S34" s="135">
        <v>1.38</v>
      </c>
      <c r="T34" s="135"/>
      <c r="U34" s="135">
        <v>235</v>
      </c>
      <c r="V34" s="135">
        <v>345</v>
      </c>
      <c r="W34" s="135">
        <v>113</v>
      </c>
      <c r="X34" s="135">
        <v>6.4</v>
      </c>
      <c r="Y34" s="135">
        <v>2.98</v>
      </c>
      <c r="Z34" s="135">
        <v>0.26900000000000002</v>
      </c>
      <c r="AA34" s="135"/>
      <c r="AB34" s="135"/>
      <c r="AC34" s="135">
        <v>3.1E-2</v>
      </c>
      <c r="AD34" s="135">
        <v>0.15</v>
      </c>
      <c r="AE34" s="135">
        <v>0.125</v>
      </c>
      <c r="AF34" s="135"/>
      <c r="AG34" s="135"/>
      <c r="AI34" s="139">
        <v>-120.02549245999998</v>
      </c>
      <c r="AJ34" s="139">
        <v>-16.314069499999999</v>
      </c>
      <c r="AK34" s="135">
        <v>0.20599999999999999</v>
      </c>
      <c r="AL34" s="145">
        <v>12.61</v>
      </c>
      <c r="AM34" s="145">
        <v>-7.8150000000000004</v>
      </c>
      <c r="AN34" s="134">
        <v>3229</v>
      </c>
      <c r="AO34" s="158">
        <v>1029.7011873970605</v>
      </c>
      <c r="AP34" s="158">
        <v>0</v>
      </c>
      <c r="AQ34" s="158">
        <v>1.0019988724584683</v>
      </c>
      <c r="AR34" s="158">
        <v>4.7838345349643298E-2</v>
      </c>
      <c r="AS34" s="158">
        <v>3.5062857030417352E-2</v>
      </c>
      <c r="AT34" s="158">
        <v>7.4175832690479171E-2</v>
      </c>
      <c r="AU34" s="158">
        <v>107.00526414752825</v>
      </c>
      <c r="AV34" s="158">
        <v>0</v>
      </c>
      <c r="AW34" s="158">
        <v>0.11708559198120204</v>
      </c>
      <c r="AX34" s="158">
        <v>1.3618216311673328E-2</v>
      </c>
      <c r="AY34" s="158">
        <v>2.1398109228651639E-3</v>
      </c>
      <c r="AZ34" s="158">
        <v>4.9720873607758675E-3</v>
      </c>
    </row>
    <row r="35" spans="1:52" s="134" customFormat="1" ht="16">
      <c r="A35" s="135" t="s">
        <v>354</v>
      </c>
      <c r="B35" s="137"/>
      <c r="C35" s="137">
        <v>42977</v>
      </c>
      <c r="D35" s="135">
        <f t="shared" si="0"/>
        <v>242</v>
      </c>
      <c r="E35" s="138">
        <f t="shared" si="1"/>
        <v>634</v>
      </c>
      <c r="F35" s="138">
        <v>1300</v>
      </c>
      <c r="G35" s="134">
        <v>16.100000000000001</v>
      </c>
      <c r="H35" s="134">
        <v>3048</v>
      </c>
      <c r="I35" s="134">
        <v>2323</v>
      </c>
      <c r="J35" s="134">
        <v>6.23</v>
      </c>
      <c r="K35" s="134">
        <v>-45</v>
      </c>
      <c r="L35" s="134">
        <v>0.3</v>
      </c>
      <c r="M35" s="134">
        <v>0.24</v>
      </c>
      <c r="N35" s="134">
        <v>2.72</v>
      </c>
      <c r="O35" s="134">
        <v>19</v>
      </c>
      <c r="P35" s="134">
        <v>2.5999999999999999E-2</v>
      </c>
      <c r="Q35" s="155">
        <v>1630</v>
      </c>
      <c r="R35" s="140" t="s">
        <v>495</v>
      </c>
      <c r="S35" s="161" t="s">
        <v>495</v>
      </c>
      <c r="T35" s="155"/>
      <c r="U35" s="155">
        <v>243</v>
      </c>
      <c r="V35" s="155">
        <v>351</v>
      </c>
      <c r="W35" s="155">
        <v>112</v>
      </c>
      <c r="X35" s="155">
        <v>6.6</v>
      </c>
      <c r="Y35" s="155">
        <v>2.98</v>
      </c>
      <c r="Z35" s="155">
        <v>0.27500000000000002</v>
      </c>
      <c r="AA35" s="155"/>
      <c r="AB35" s="155"/>
      <c r="AC35" s="155">
        <v>0.03</v>
      </c>
      <c r="AD35" s="155">
        <v>0.15</v>
      </c>
      <c r="AE35" s="155">
        <v>0.11899999999999999</v>
      </c>
      <c r="AF35" s="135"/>
      <c r="AG35" s="135"/>
      <c r="AI35" s="151">
        <v>-121.14619378939656</v>
      </c>
      <c r="AJ35" s="151">
        <v>-16.718480573018855</v>
      </c>
      <c r="AK35" s="135">
        <v>0.28799999999999998</v>
      </c>
      <c r="AL35" s="145">
        <v>11.3</v>
      </c>
      <c r="AM35" s="145">
        <v>-8.5850000000000009</v>
      </c>
      <c r="AN35" s="134">
        <v>2357</v>
      </c>
      <c r="AO35" s="152">
        <v>2570.6615519292818</v>
      </c>
      <c r="AP35" s="152">
        <v>0</v>
      </c>
      <c r="AQ35" s="152">
        <v>5.218811756907054</v>
      </c>
      <c r="AR35" s="152">
        <v>1.1904957600334474</v>
      </c>
      <c r="AS35" s="152">
        <v>0.14212092644527513</v>
      </c>
      <c r="AT35" s="152">
        <v>1.0356731104065169</v>
      </c>
      <c r="AU35" s="153">
        <v>152.38163131349205</v>
      </c>
      <c r="AV35" s="153">
        <v>0</v>
      </c>
      <c r="AW35" s="153">
        <v>0.30461943104232675</v>
      </c>
      <c r="AX35" s="153">
        <v>8.3278343652123818E-2</v>
      </c>
      <c r="AY35" s="153">
        <v>8.4890846103743162E-3</v>
      </c>
      <c r="AZ35" s="153">
        <v>5.9225187845518647E-2</v>
      </c>
    </row>
    <row r="36" spans="1:52" s="134" customFormat="1" ht="16">
      <c r="A36" s="135" t="s">
        <v>354</v>
      </c>
      <c r="B36" s="137"/>
      <c r="C36" s="137">
        <v>43066</v>
      </c>
      <c r="D36" s="135">
        <f t="shared" si="0"/>
        <v>331</v>
      </c>
      <c r="E36" s="138">
        <f t="shared" si="1"/>
        <v>723</v>
      </c>
      <c r="F36" s="138">
        <v>850</v>
      </c>
      <c r="G36" s="134">
        <v>16.2</v>
      </c>
      <c r="H36" s="134">
        <v>3057</v>
      </c>
      <c r="I36" s="134">
        <v>2330</v>
      </c>
      <c r="J36" s="134">
        <v>6.54</v>
      </c>
      <c r="K36" s="134">
        <v>-68</v>
      </c>
      <c r="L36" s="134">
        <v>0.3</v>
      </c>
      <c r="M36" s="134">
        <v>0.21</v>
      </c>
      <c r="N36" s="134">
        <v>2.8</v>
      </c>
      <c r="O36" s="134">
        <v>16</v>
      </c>
      <c r="P36" s="134">
        <v>4.0000000000000001E-3</v>
      </c>
      <c r="Q36" s="155">
        <v>1660</v>
      </c>
      <c r="R36" s="155" t="s">
        <v>495</v>
      </c>
      <c r="S36" s="155" t="s">
        <v>495</v>
      </c>
      <c r="T36" s="155"/>
      <c r="U36" s="155">
        <v>242</v>
      </c>
      <c r="V36" s="155">
        <v>358</v>
      </c>
      <c r="W36" s="155">
        <v>114</v>
      </c>
      <c r="X36" s="155">
        <v>6.6</v>
      </c>
      <c r="Y36" s="155">
        <v>3.08</v>
      </c>
      <c r="Z36" s="155">
        <v>0.27800000000000002</v>
      </c>
      <c r="AA36" s="155">
        <v>0.05</v>
      </c>
      <c r="AB36" s="155"/>
      <c r="AC36" s="155">
        <v>2.7E-2</v>
      </c>
      <c r="AD36" s="155">
        <v>0.14000000000000001</v>
      </c>
      <c r="AE36" s="155">
        <v>0.124</v>
      </c>
      <c r="AF36" s="135"/>
      <c r="AG36" s="135"/>
      <c r="AI36" s="151">
        <v>-121.48293809815584</v>
      </c>
      <c r="AJ36" s="151">
        <v>-16.90204900479997</v>
      </c>
      <c r="AK36" s="135">
        <v>0.18099999999999999</v>
      </c>
      <c r="AL36" s="145">
        <v>11.25</v>
      </c>
      <c r="AM36" s="145">
        <v>-8.5</v>
      </c>
      <c r="AN36" s="134">
        <v>11243</v>
      </c>
      <c r="AO36" s="152">
        <v>1721.320681200611</v>
      </c>
      <c r="AP36" s="152">
        <v>0</v>
      </c>
      <c r="AQ36" s="152">
        <v>4.1845359971161589</v>
      </c>
      <c r="AR36" s="152">
        <v>6.2129767573790608E-2</v>
      </c>
      <c r="AS36" s="152">
        <v>0.11288328333301687</v>
      </c>
      <c r="AT36" s="152">
        <v>5.0989761695175405E-3</v>
      </c>
      <c r="AU36" s="153">
        <v>166.13341640636298</v>
      </c>
      <c r="AV36" s="153">
        <v>0</v>
      </c>
      <c r="AW36" s="153">
        <v>0.36987243945081189</v>
      </c>
      <c r="AX36" s="153">
        <v>5.4574946373901504E-3</v>
      </c>
      <c r="AY36" s="153">
        <v>9.5158504097316438E-3</v>
      </c>
      <c r="AZ36" s="153">
        <v>1.0616375856413241E-3</v>
      </c>
    </row>
    <row r="37" spans="1:52" s="134" customFormat="1" ht="16">
      <c r="A37" s="135" t="s">
        <v>354</v>
      </c>
      <c r="B37" s="137"/>
      <c r="C37" s="137">
        <v>43207</v>
      </c>
      <c r="D37" s="135">
        <f>C37-DATE(YEAR(C37),1,0)</f>
        <v>107</v>
      </c>
      <c r="E37" s="138">
        <f>DATEDIF($A$1,C37,"d")</f>
        <v>864</v>
      </c>
      <c r="F37" s="181">
        <v>4600</v>
      </c>
      <c r="G37" s="135">
        <v>16.100000000000001</v>
      </c>
      <c r="H37" s="135">
        <v>3082</v>
      </c>
      <c r="I37" s="135">
        <v>2349</v>
      </c>
      <c r="J37" s="135">
        <v>7.13</v>
      </c>
      <c r="K37" s="135">
        <v>-61</v>
      </c>
      <c r="L37" s="135">
        <v>0.3</v>
      </c>
      <c r="M37" s="135">
        <v>0.21</v>
      </c>
      <c r="N37" s="135">
        <v>2.86</v>
      </c>
      <c r="O37" s="135">
        <v>5</v>
      </c>
      <c r="P37" s="135">
        <v>2.9000000000000001E-2</v>
      </c>
      <c r="Q37" s="178">
        <v>1800</v>
      </c>
      <c r="R37" s="178">
        <v>17</v>
      </c>
      <c r="S37" s="178"/>
      <c r="T37" s="178"/>
      <c r="U37" s="178">
        <v>256</v>
      </c>
      <c r="V37" s="178">
        <v>370</v>
      </c>
      <c r="W37" s="178">
        <v>118</v>
      </c>
      <c r="X37" s="178">
        <v>7</v>
      </c>
      <c r="Y37" s="178">
        <v>3.3</v>
      </c>
      <c r="Z37" s="178">
        <v>0.29699999999999999</v>
      </c>
      <c r="AA37" s="178">
        <v>0.03</v>
      </c>
      <c r="AB37" s="178"/>
      <c r="AC37" s="178">
        <v>3.1E-2</v>
      </c>
      <c r="AD37" s="178">
        <v>0.14000000000000001</v>
      </c>
      <c r="AE37" s="178">
        <v>0.14000000000000001</v>
      </c>
      <c r="AF37" s="135"/>
      <c r="AG37" s="135"/>
      <c r="AI37" s="158">
        <v>-121.48577761205726</v>
      </c>
      <c r="AJ37" s="158">
        <v>-16.779259875857168</v>
      </c>
      <c r="AK37" s="135">
        <v>0.25</v>
      </c>
      <c r="AL37" s="151">
        <v>9.4619810648158413</v>
      </c>
      <c r="AM37" s="151">
        <v>-7.4177848750308817</v>
      </c>
      <c r="AO37" s="152"/>
      <c r="AP37" s="152"/>
      <c r="AQ37" s="152"/>
      <c r="AR37" s="152"/>
      <c r="AS37" s="152"/>
      <c r="AT37" s="152"/>
      <c r="AU37" s="153"/>
      <c r="AV37" s="153"/>
      <c r="AW37" s="153"/>
      <c r="AX37" s="153"/>
      <c r="AY37" s="153"/>
      <c r="AZ37" s="153"/>
    </row>
    <row r="38" spans="1:52">
      <c r="A38" s="135" t="s">
        <v>354</v>
      </c>
      <c r="C38" s="180">
        <v>43344</v>
      </c>
      <c r="D38" s="135">
        <f>C38-DATE(YEAR(C38),1,0)</f>
        <v>244</v>
      </c>
      <c r="E38" s="181">
        <f>DATEDIF($A$1,C38,"d")</f>
        <v>1001</v>
      </c>
      <c r="F38" s="54">
        <v>4000</v>
      </c>
      <c r="G38" s="54">
        <v>16.2</v>
      </c>
      <c r="H38" s="54">
        <v>3112</v>
      </c>
      <c r="I38" s="54">
        <v>2370</v>
      </c>
      <c r="J38" s="54">
        <v>6.97</v>
      </c>
      <c r="K38" s="54">
        <v>-77</v>
      </c>
      <c r="L38" s="54">
        <v>0.2</v>
      </c>
      <c r="M38" s="54">
        <v>0.17</v>
      </c>
      <c r="N38" s="54">
        <v>1.8</v>
      </c>
      <c r="O38" s="54">
        <v>17</v>
      </c>
      <c r="P38" s="54">
        <v>8.9999999999999993E-3</v>
      </c>
      <c r="Q38" s="178">
        <v>1740</v>
      </c>
      <c r="R38" s="178">
        <v>10.4</v>
      </c>
      <c r="S38" s="178"/>
      <c r="T38" s="178"/>
      <c r="U38" s="178">
        <v>241</v>
      </c>
      <c r="V38" s="178">
        <v>341</v>
      </c>
      <c r="W38" s="178">
        <v>104</v>
      </c>
      <c r="X38" s="178">
        <v>6.4</v>
      </c>
      <c r="Y38" s="178">
        <v>3.04</v>
      </c>
      <c r="Z38" s="178">
        <v>0.27400000000000002</v>
      </c>
      <c r="AA38" s="178"/>
      <c r="AB38" s="178"/>
      <c r="AC38" s="178">
        <v>2.5000000000000001E-2</v>
      </c>
      <c r="AD38" s="178">
        <v>0.13</v>
      </c>
      <c r="AE38" s="178">
        <v>0.123</v>
      </c>
      <c r="AI38" s="187">
        <v>-121.16141015552408</v>
      </c>
      <c r="AJ38" s="188">
        <v>-17.056938815171875</v>
      </c>
      <c r="AK38" s="54">
        <v>0.24399999999999999</v>
      </c>
      <c r="AL38" s="54">
        <v>10.4</v>
      </c>
      <c r="AM38" s="54">
        <v>-7.8</v>
      </c>
    </row>
    <row r="39" spans="1:52" s="165" customFormat="1">
      <c r="A39" s="165" t="s">
        <v>355</v>
      </c>
      <c r="B39" s="173"/>
      <c r="C39" s="173">
        <v>42348</v>
      </c>
      <c r="D39" s="165">
        <f t="shared" si="0"/>
        <v>344</v>
      </c>
      <c r="E39" s="168">
        <f t="shared" si="1"/>
        <v>5</v>
      </c>
      <c r="F39" s="169" t="s">
        <v>496</v>
      </c>
      <c r="G39" s="165">
        <v>22.9</v>
      </c>
      <c r="H39" s="165">
        <v>1758</v>
      </c>
      <c r="I39" s="165">
        <v>1283</v>
      </c>
      <c r="J39" s="165">
        <v>8.83</v>
      </c>
      <c r="K39" s="165">
        <v>-276</v>
      </c>
      <c r="L39" s="165" t="s">
        <v>417</v>
      </c>
      <c r="N39" s="165" t="s">
        <v>417</v>
      </c>
      <c r="O39" s="165" t="s">
        <v>417</v>
      </c>
      <c r="P39" s="165" t="s">
        <v>417</v>
      </c>
      <c r="Q39" s="170">
        <v>272</v>
      </c>
      <c r="R39" s="170">
        <v>20.7</v>
      </c>
      <c r="S39" s="170">
        <v>6.22</v>
      </c>
      <c r="T39" s="170"/>
      <c r="U39" s="170">
        <v>8.1</v>
      </c>
      <c r="V39" s="170">
        <v>7.4</v>
      </c>
      <c r="W39" s="170">
        <v>364</v>
      </c>
      <c r="X39" s="170">
        <v>8.1999999999999993</v>
      </c>
      <c r="Y39" s="170"/>
      <c r="Z39" s="170">
        <v>5.0000000000000001E-3</v>
      </c>
      <c r="AA39" s="170"/>
      <c r="AB39" s="170">
        <v>0.04</v>
      </c>
      <c r="AC39" s="170">
        <v>4.1000000000000002E-2</v>
      </c>
      <c r="AD39" s="170">
        <v>0.59</v>
      </c>
      <c r="AE39" s="170">
        <v>0.26100000000000001</v>
      </c>
      <c r="AF39" s="170"/>
      <c r="AG39" s="170"/>
      <c r="AI39" s="171">
        <v>-129.0786315539217</v>
      </c>
      <c r="AJ39" s="171">
        <v>-17.58521051294116</v>
      </c>
      <c r="AL39" s="172"/>
      <c r="AM39" s="172"/>
    </row>
    <row r="40" spans="1:52" s="134" customFormat="1">
      <c r="A40" s="134" t="s">
        <v>355</v>
      </c>
      <c r="B40" s="160"/>
      <c r="C40" s="160">
        <v>42494</v>
      </c>
      <c r="D40" s="134">
        <f t="shared" ref="D40:D75" si="2">C40-DATE(YEAR(C40),1,0)</f>
        <v>125</v>
      </c>
      <c r="E40" s="138">
        <f t="shared" si="1"/>
        <v>151</v>
      </c>
      <c r="F40" s="140" t="s">
        <v>496</v>
      </c>
      <c r="G40" s="134">
        <v>22.7</v>
      </c>
      <c r="H40" s="134">
        <v>1763</v>
      </c>
      <c r="I40" s="134">
        <v>1289</v>
      </c>
      <c r="J40" s="134">
        <v>8.6199999999999992</v>
      </c>
      <c r="K40" s="134">
        <v>-241</v>
      </c>
      <c r="L40" s="134">
        <v>1</v>
      </c>
      <c r="M40" s="134">
        <v>1.2</v>
      </c>
      <c r="N40" s="134">
        <v>0.11</v>
      </c>
      <c r="O40" s="134">
        <v>978</v>
      </c>
      <c r="P40" s="134">
        <v>0.8</v>
      </c>
      <c r="Q40" s="135">
        <v>299</v>
      </c>
      <c r="R40" s="135">
        <v>20.7</v>
      </c>
      <c r="S40" s="135">
        <v>6.77</v>
      </c>
      <c r="T40" s="135">
        <v>0.109</v>
      </c>
      <c r="U40" s="135">
        <v>7.9</v>
      </c>
      <c r="V40" s="135">
        <v>7.1</v>
      </c>
      <c r="W40" s="135">
        <v>371</v>
      </c>
      <c r="X40" s="135">
        <v>8</v>
      </c>
      <c r="Y40" s="135"/>
      <c r="Z40" s="135">
        <v>5.0000000000000001E-3</v>
      </c>
      <c r="AA40" s="135"/>
      <c r="AB40" s="135"/>
      <c r="AC40" s="135">
        <v>4.2000000000000003E-2</v>
      </c>
      <c r="AD40" s="135">
        <v>0.61</v>
      </c>
      <c r="AE40" s="135">
        <v>0.253</v>
      </c>
      <c r="AF40" s="135"/>
      <c r="AG40" s="135"/>
      <c r="AK40" s="134">
        <v>0.23599999999999999</v>
      </c>
      <c r="AL40" s="157"/>
      <c r="AM40" s="157"/>
      <c r="AN40" s="134">
        <v>30767</v>
      </c>
      <c r="AO40" s="158">
        <v>480.33051481969221</v>
      </c>
      <c r="AP40" s="158">
        <v>4.212057564435554</v>
      </c>
      <c r="AQ40" s="158">
        <v>96.819921457238124</v>
      </c>
      <c r="AR40" s="158">
        <v>4.448618117085925E-2</v>
      </c>
      <c r="AS40" s="158">
        <v>8.5510647189792941</v>
      </c>
      <c r="AT40" s="158">
        <v>0.2294190136102236</v>
      </c>
      <c r="AU40" s="158">
        <v>93.911050020229155</v>
      </c>
      <c r="AV40" s="158">
        <v>0.82351367738999637</v>
      </c>
      <c r="AW40" s="158">
        <v>18.929591617427157</v>
      </c>
      <c r="AX40" s="158">
        <v>8.6976443433201423E-3</v>
      </c>
      <c r="AY40" s="158">
        <v>1.6718477002272583</v>
      </c>
      <c r="AZ40" s="158">
        <v>4.485449039361785E-2</v>
      </c>
    </row>
    <row r="41" spans="1:52" s="134" customFormat="1" ht="28">
      <c r="A41" s="134" t="s">
        <v>355</v>
      </c>
      <c r="B41" s="162" t="s">
        <v>409</v>
      </c>
      <c r="C41" s="160">
        <v>42507</v>
      </c>
      <c r="D41" s="134">
        <f t="shared" si="2"/>
        <v>138</v>
      </c>
      <c r="E41" s="138">
        <f t="shared" si="1"/>
        <v>164</v>
      </c>
      <c r="F41" s="140" t="s">
        <v>496</v>
      </c>
      <c r="G41" s="134">
        <v>22.6</v>
      </c>
      <c r="H41" s="134">
        <v>1765</v>
      </c>
      <c r="I41" s="134">
        <v>1292</v>
      </c>
      <c r="J41" s="157">
        <v>8.6248868405892516</v>
      </c>
      <c r="K41" s="134">
        <v>-171</v>
      </c>
      <c r="L41" s="134">
        <v>0.9</v>
      </c>
      <c r="M41" s="134">
        <v>1.34</v>
      </c>
      <c r="N41" s="134">
        <v>0</v>
      </c>
      <c r="O41" s="134">
        <v>1264</v>
      </c>
      <c r="P41" s="134">
        <v>0.08</v>
      </c>
      <c r="Q41" s="135">
        <v>297</v>
      </c>
      <c r="R41" s="135">
        <v>20.7</v>
      </c>
      <c r="S41" s="135">
        <v>6.17</v>
      </c>
      <c r="T41" s="135"/>
      <c r="U41" s="135">
        <v>8.1</v>
      </c>
      <c r="V41" s="135">
        <v>7.2</v>
      </c>
      <c r="W41" s="135">
        <v>367</v>
      </c>
      <c r="X41" s="135">
        <v>7.9</v>
      </c>
      <c r="Y41" s="135"/>
      <c r="Z41" s="135"/>
      <c r="AA41" s="135"/>
      <c r="AB41" s="135"/>
      <c r="AC41" s="135">
        <v>4.1000000000000002E-2</v>
      </c>
      <c r="AD41" s="135">
        <v>0.61</v>
      </c>
      <c r="AE41" s="135">
        <v>0.251</v>
      </c>
      <c r="AF41" s="135"/>
      <c r="AG41" s="135"/>
      <c r="AK41" s="134">
        <v>0.27900000000000003</v>
      </c>
      <c r="AL41" s="157"/>
      <c r="AM41" s="157"/>
      <c r="AN41" s="155"/>
      <c r="AO41" s="158">
        <v>359.45583118725347</v>
      </c>
      <c r="AP41" s="158">
        <v>2.3578869282815256</v>
      </c>
      <c r="AQ41" s="158">
        <v>55.323619438216035</v>
      </c>
      <c r="AR41" s="158">
        <v>0.12223633544869057</v>
      </c>
      <c r="AS41" s="158">
        <v>4.7232814261494696</v>
      </c>
      <c r="AT41" s="158">
        <v>0.19769450185176016</v>
      </c>
      <c r="AU41" s="158">
        <v>7.5544656342629928</v>
      </c>
      <c r="AV41" s="158">
        <v>7.6171548179501544E-2</v>
      </c>
      <c r="AW41" s="158">
        <v>2.0097180155499079</v>
      </c>
      <c r="AX41" s="158">
        <v>1.2841696164525384E-2</v>
      </c>
      <c r="AY41" s="158">
        <v>0.19617237114322061</v>
      </c>
      <c r="AZ41" s="158">
        <v>5.635284004050607E-3</v>
      </c>
    </row>
    <row r="42" spans="1:52" s="134" customFormat="1" ht="28">
      <c r="A42" s="134" t="s">
        <v>355</v>
      </c>
      <c r="B42" s="162" t="s">
        <v>412</v>
      </c>
      <c r="C42" s="160">
        <v>42507</v>
      </c>
      <c r="D42" s="134">
        <f t="shared" si="2"/>
        <v>138</v>
      </c>
      <c r="E42" s="138">
        <f t="shared" si="1"/>
        <v>164</v>
      </c>
      <c r="F42" s="134">
        <v>800</v>
      </c>
      <c r="G42" s="134">
        <v>22.6</v>
      </c>
      <c r="H42" s="134">
        <v>1770</v>
      </c>
      <c r="I42" s="134">
        <v>1294</v>
      </c>
      <c r="J42" s="157">
        <v>8.5672784132993165</v>
      </c>
      <c r="K42" s="134">
        <v>-163</v>
      </c>
      <c r="L42" s="134">
        <v>0.9</v>
      </c>
      <c r="M42" s="134">
        <v>1.68</v>
      </c>
      <c r="N42" s="134">
        <v>0.03</v>
      </c>
      <c r="O42" s="134">
        <v>1080</v>
      </c>
      <c r="P42" s="134">
        <v>0.25</v>
      </c>
      <c r="Q42" s="135">
        <v>301</v>
      </c>
      <c r="R42" s="135">
        <v>20.7</v>
      </c>
      <c r="S42" s="135">
        <v>6.32</v>
      </c>
      <c r="T42" s="135">
        <v>8.5999999999999993E-2</v>
      </c>
      <c r="U42" s="135">
        <v>8.4</v>
      </c>
      <c r="V42" s="135">
        <v>7.5</v>
      </c>
      <c r="W42" s="135">
        <v>367</v>
      </c>
      <c r="X42" s="135">
        <v>8</v>
      </c>
      <c r="Y42" s="135"/>
      <c r="Z42" s="135"/>
      <c r="AA42" s="135"/>
      <c r="AB42" s="135"/>
      <c r="AC42" s="135">
        <v>0.04</v>
      </c>
      <c r="AD42" s="135">
        <v>0.61</v>
      </c>
      <c r="AE42" s="135">
        <v>0.252</v>
      </c>
      <c r="AF42" s="135"/>
      <c r="AG42" s="135"/>
      <c r="AI42" s="151">
        <v>-127.66951218725052</v>
      </c>
      <c r="AJ42" s="151">
        <v>-17.591836064862473</v>
      </c>
      <c r="AK42" s="134">
        <v>0.28000000000000003</v>
      </c>
      <c r="AL42" s="157"/>
      <c r="AM42" s="157"/>
      <c r="AN42" s="155"/>
      <c r="AO42" s="158">
        <v>199.60586320822927</v>
      </c>
      <c r="AP42" s="158">
        <v>1.1872231851374475</v>
      </c>
      <c r="AQ42" s="158">
        <v>28.397081869273286</v>
      </c>
      <c r="AR42" s="158">
        <v>4.8201037965239266E-2</v>
      </c>
      <c r="AS42" s="158">
        <v>2.103703103075194</v>
      </c>
      <c r="AT42" s="158">
        <v>0.14683517972616364</v>
      </c>
      <c r="AU42" s="158">
        <v>22.603135966007713</v>
      </c>
      <c r="AV42" s="158">
        <v>0.13553540095615207</v>
      </c>
      <c r="AW42" s="158">
        <v>3.2357211409626534</v>
      </c>
      <c r="AX42" s="158">
        <v>1.0625917649373753E-2</v>
      </c>
      <c r="AY42" s="158">
        <v>0.23961586038727764</v>
      </c>
      <c r="AZ42" s="158">
        <v>1.7861278190821381E-2</v>
      </c>
    </row>
    <row r="43" spans="1:52" s="134" customFormat="1" ht="28">
      <c r="A43" s="134" t="s">
        <v>355</v>
      </c>
      <c r="B43" s="162" t="s">
        <v>413</v>
      </c>
      <c r="C43" s="160">
        <v>42562</v>
      </c>
      <c r="D43" s="134">
        <f t="shared" si="2"/>
        <v>193</v>
      </c>
      <c r="E43" s="138">
        <f t="shared" si="1"/>
        <v>219</v>
      </c>
      <c r="F43" s="140" t="s">
        <v>496</v>
      </c>
      <c r="G43" s="142">
        <v>22.7</v>
      </c>
      <c r="H43" s="142">
        <v>1918</v>
      </c>
      <c r="I43" s="142">
        <v>1413</v>
      </c>
      <c r="J43" s="142">
        <v>7.82</v>
      </c>
      <c r="K43" s="142">
        <v>-169</v>
      </c>
      <c r="L43" s="142" t="s">
        <v>417</v>
      </c>
      <c r="M43" s="142"/>
      <c r="N43" s="142" t="s">
        <v>417</v>
      </c>
      <c r="O43" s="142" t="s">
        <v>417</v>
      </c>
      <c r="P43" s="142" t="s">
        <v>417</v>
      </c>
      <c r="Q43" s="142" t="s">
        <v>417</v>
      </c>
      <c r="R43" s="142" t="s">
        <v>417</v>
      </c>
      <c r="S43" s="142" t="s">
        <v>417</v>
      </c>
      <c r="T43" s="142" t="s">
        <v>417</v>
      </c>
      <c r="U43" s="142" t="s">
        <v>417</v>
      </c>
      <c r="V43" s="142" t="s">
        <v>417</v>
      </c>
      <c r="W43" s="142" t="s">
        <v>417</v>
      </c>
      <c r="X43" s="142" t="s">
        <v>417</v>
      </c>
      <c r="Y43" s="142" t="s">
        <v>417</v>
      </c>
      <c r="Z43" s="142" t="s">
        <v>417</v>
      </c>
      <c r="AA43" s="142" t="s">
        <v>417</v>
      </c>
      <c r="AB43" s="142" t="s">
        <v>417</v>
      </c>
      <c r="AC43" s="142" t="s">
        <v>417</v>
      </c>
      <c r="AD43" s="142" t="s">
        <v>417</v>
      </c>
      <c r="AE43" s="142" t="s">
        <v>417</v>
      </c>
      <c r="AF43" s="135"/>
      <c r="AG43" s="135"/>
      <c r="AI43" s="154"/>
      <c r="AJ43" s="154"/>
      <c r="AL43" s="157"/>
      <c r="AM43" s="157"/>
      <c r="AO43" s="155"/>
      <c r="AP43" s="155"/>
      <c r="AQ43" s="155"/>
      <c r="AR43" s="155"/>
      <c r="AS43" s="155"/>
      <c r="AT43" s="155"/>
      <c r="AU43" s="155"/>
      <c r="AV43" s="155"/>
      <c r="AW43" s="155"/>
      <c r="AX43" s="155"/>
      <c r="AY43" s="155"/>
      <c r="AZ43" s="155"/>
    </row>
    <row r="44" spans="1:52" s="134" customFormat="1" ht="28">
      <c r="A44" s="134" t="s">
        <v>355</v>
      </c>
      <c r="B44" s="162" t="s">
        <v>414</v>
      </c>
      <c r="C44" s="160">
        <v>42562</v>
      </c>
      <c r="D44" s="134">
        <f t="shared" si="2"/>
        <v>193</v>
      </c>
      <c r="E44" s="138">
        <f t="shared" si="1"/>
        <v>219</v>
      </c>
      <c r="F44" s="140" t="s">
        <v>496</v>
      </c>
      <c r="G44" s="142">
        <v>22.7</v>
      </c>
      <c r="H44" s="142">
        <v>1768</v>
      </c>
      <c r="I44" s="142">
        <v>1291</v>
      </c>
      <c r="J44" s="142">
        <v>8.07</v>
      </c>
      <c r="K44" s="142">
        <v>-250</v>
      </c>
      <c r="L44" s="142">
        <v>1</v>
      </c>
      <c r="M44" s="142">
        <v>1.64</v>
      </c>
      <c r="N44" s="142">
        <v>0.01</v>
      </c>
      <c r="O44" s="142">
        <v>546</v>
      </c>
      <c r="P44" s="142">
        <v>4.1000000000000002E-2</v>
      </c>
      <c r="Q44" s="135">
        <v>283</v>
      </c>
      <c r="R44" s="163">
        <v>20.5</v>
      </c>
      <c r="S44" s="135">
        <v>6.44</v>
      </c>
      <c r="T44" s="135"/>
      <c r="U44" s="135">
        <v>8.4</v>
      </c>
      <c r="V44" s="163">
        <v>7.6</v>
      </c>
      <c r="W44" s="135">
        <v>377</v>
      </c>
      <c r="X44" s="135">
        <v>8.1</v>
      </c>
      <c r="Y44" s="135"/>
      <c r="Z44" s="135"/>
      <c r="AA44" s="135"/>
      <c r="AB44" s="163">
        <v>0.05</v>
      </c>
      <c r="AC44" s="163">
        <v>3.9E-2</v>
      </c>
      <c r="AD44" s="163">
        <v>0.6</v>
      </c>
      <c r="AE44" s="135">
        <v>0.251</v>
      </c>
      <c r="AF44" s="135"/>
      <c r="AG44" s="135">
        <v>7.0000000000000007E-2</v>
      </c>
      <c r="AI44" s="151">
        <v>-127.27145605317577</v>
      </c>
      <c r="AJ44" s="151">
        <v>-17.51258413221829</v>
      </c>
      <c r="AK44" s="142">
        <v>0.21299999999999999</v>
      </c>
      <c r="AL44" s="157">
        <v>12.765313145567921</v>
      </c>
      <c r="AM44" s="157">
        <v>-9.7041146186983287</v>
      </c>
      <c r="AN44" s="134">
        <v>10256</v>
      </c>
      <c r="AO44" s="158">
        <v>275.94341758650467</v>
      </c>
      <c r="AP44" s="158">
        <v>2.0922999397774036</v>
      </c>
      <c r="AQ44" s="158">
        <v>47.717127088624935</v>
      </c>
      <c r="AR44" s="158">
        <v>2.8194543862821313E-2</v>
      </c>
      <c r="AS44" s="158">
        <v>4.1015187170779779</v>
      </c>
      <c r="AT44" s="158">
        <v>0.10116558263480639</v>
      </c>
      <c r="AU44" s="158">
        <v>17.069159185115492</v>
      </c>
      <c r="AV44" s="158">
        <v>0.17024744557256916</v>
      </c>
      <c r="AW44" s="158">
        <v>3.8882866197956307</v>
      </c>
      <c r="AX44" s="158">
        <v>3.6911146073369699E-3</v>
      </c>
      <c r="AY44" s="158">
        <v>0.31904702791610917</v>
      </c>
      <c r="AZ44" s="158">
        <v>2.9972709836844514E-2</v>
      </c>
    </row>
    <row r="45" spans="1:52" s="134" customFormat="1">
      <c r="A45" s="134" t="s">
        <v>355</v>
      </c>
      <c r="B45" s="160"/>
      <c r="C45" s="160">
        <v>42633</v>
      </c>
      <c r="D45" s="134">
        <f t="shared" si="2"/>
        <v>264</v>
      </c>
      <c r="E45" s="138">
        <f t="shared" si="1"/>
        <v>290</v>
      </c>
      <c r="F45" s="134">
        <v>900</v>
      </c>
      <c r="G45" s="134">
        <v>22.7</v>
      </c>
      <c r="H45" s="134">
        <v>1760</v>
      </c>
      <c r="I45" s="134">
        <v>1284</v>
      </c>
      <c r="J45" s="134">
        <v>8.4</v>
      </c>
      <c r="K45" s="134">
        <v>-254</v>
      </c>
      <c r="L45" s="134">
        <v>1.1000000000000001</v>
      </c>
      <c r="M45" s="134">
        <v>1.64</v>
      </c>
      <c r="N45" s="134">
        <v>0.01</v>
      </c>
      <c r="O45" s="134">
        <v>992</v>
      </c>
      <c r="P45" s="134">
        <v>0.127</v>
      </c>
      <c r="Q45" s="135">
        <v>272</v>
      </c>
      <c r="R45" s="135">
        <v>19.8</v>
      </c>
      <c r="S45" s="135">
        <v>6.43</v>
      </c>
      <c r="T45" s="135"/>
      <c r="U45" s="135">
        <v>7.6</v>
      </c>
      <c r="V45" s="135">
        <v>6.9</v>
      </c>
      <c r="W45" s="135">
        <v>388</v>
      </c>
      <c r="X45" s="135">
        <v>8</v>
      </c>
      <c r="Y45" s="135">
        <v>0.06</v>
      </c>
      <c r="Z45" s="135">
        <v>7.0000000000000001E-3</v>
      </c>
      <c r="AA45" s="135">
        <v>4.1000000000000002E-2</v>
      </c>
      <c r="AB45" s="135"/>
      <c r="AC45" s="135">
        <v>4.1000000000000002E-2</v>
      </c>
      <c r="AD45" s="135">
        <v>0.62</v>
      </c>
      <c r="AE45" s="135">
        <v>0.253</v>
      </c>
      <c r="AF45" s="135"/>
      <c r="AG45" s="135"/>
      <c r="AI45" s="134">
        <v>-126</v>
      </c>
      <c r="AJ45" s="134">
        <v>-17.100000000000001</v>
      </c>
      <c r="AK45" s="134">
        <v>0.20200000000000001</v>
      </c>
      <c r="AL45" s="157">
        <v>12.862553069587698</v>
      </c>
      <c r="AM45" s="157">
        <v>-9.7386169370336848</v>
      </c>
      <c r="AN45" s="155"/>
      <c r="AO45" s="158">
        <v>279.40344870405568</v>
      </c>
      <c r="AP45" s="158">
        <v>1.8950837138234451</v>
      </c>
      <c r="AQ45" s="158">
        <v>39.677552007162951</v>
      </c>
      <c r="AR45" s="158">
        <v>0.17586657280702714</v>
      </c>
      <c r="AS45" s="158">
        <v>3.3367062152932183</v>
      </c>
      <c r="AT45" s="158">
        <v>0.41425624316987475</v>
      </c>
      <c r="AU45" s="158">
        <v>26.956283705343914</v>
      </c>
      <c r="AV45" s="158">
        <v>0.18096280546916735</v>
      </c>
      <c r="AW45" s="158">
        <v>3.8226067520674194</v>
      </c>
      <c r="AX45" s="158">
        <v>2.1223514703561989E-2</v>
      </c>
      <c r="AY45" s="158">
        <v>0.31352313423468975</v>
      </c>
      <c r="AZ45" s="158">
        <v>4.1358150952118568E-2</v>
      </c>
    </row>
    <row r="46" spans="1:52" s="134" customFormat="1">
      <c r="A46" s="134" t="s">
        <v>355</v>
      </c>
      <c r="B46" s="160"/>
      <c r="C46" s="160">
        <v>42710</v>
      </c>
      <c r="D46" s="134">
        <f t="shared" si="2"/>
        <v>341</v>
      </c>
      <c r="E46" s="138">
        <f t="shared" si="1"/>
        <v>367</v>
      </c>
      <c r="F46" s="134">
        <v>820</v>
      </c>
      <c r="G46" s="134">
        <v>22.6</v>
      </c>
      <c r="H46" s="134">
        <v>1774</v>
      </c>
      <c r="I46" s="134">
        <v>1296</v>
      </c>
      <c r="J46" s="134">
        <v>8.8800000000000008</v>
      </c>
      <c r="K46" s="134">
        <v>-278</v>
      </c>
      <c r="L46" s="134">
        <v>1</v>
      </c>
      <c r="M46" s="134">
        <v>1.56</v>
      </c>
      <c r="N46" s="134">
        <v>0.01</v>
      </c>
      <c r="O46" s="134">
        <v>537</v>
      </c>
      <c r="P46" s="134">
        <v>4.2999999999999997E-2</v>
      </c>
      <c r="Q46" s="135">
        <v>262</v>
      </c>
      <c r="R46" s="135">
        <v>19.7</v>
      </c>
      <c r="S46" s="135">
        <v>5.97</v>
      </c>
      <c r="T46" s="135"/>
      <c r="U46" s="135">
        <v>7.7</v>
      </c>
      <c r="V46" s="135">
        <v>6.9</v>
      </c>
      <c r="W46" s="135">
        <v>357</v>
      </c>
      <c r="X46" s="135">
        <v>7.3</v>
      </c>
      <c r="Y46" s="135"/>
      <c r="Z46" s="135"/>
      <c r="AA46" s="135"/>
      <c r="AB46" s="135"/>
      <c r="AC46" s="135">
        <v>3.7999999999999999E-2</v>
      </c>
      <c r="AD46" s="135">
        <v>0.56000000000000005</v>
      </c>
      <c r="AE46" s="135">
        <v>0.23699999999999999</v>
      </c>
      <c r="AF46" s="135"/>
      <c r="AG46" s="135"/>
      <c r="AI46" s="139">
        <v>-127.61578646000001</v>
      </c>
      <c r="AJ46" s="139">
        <v>-17.095717399999998</v>
      </c>
      <c r="AK46" s="134">
        <v>0.17399999999999999</v>
      </c>
      <c r="AL46" s="157">
        <v>12.860198636731395</v>
      </c>
      <c r="AM46" s="157">
        <v>-9.8774555930274026</v>
      </c>
      <c r="AN46" s="134">
        <v>5356</v>
      </c>
      <c r="AO46" s="158">
        <v>312.04331125895345</v>
      </c>
      <c r="AP46" s="158">
        <v>2.0988513883594195</v>
      </c>
      <c r="AQ46" s="158">
        <v>39.292919510831837</v>
      </c>
      <c r="AR46" s="158">
        <v>1.2990312157118775E-2</v>
      </c>
      <c r="AS46" s="158">
        <v>4.2672162230133353</v>
      </c>
      <c r="AT46" s="158">
        <v>0</v>
      </c>
      <c r="AU46" s="158">
        <v>31.322518195712217</v>
      </c>
      <c r="AV46" s="158">
        <v>0.22202750768807858</v>
      </c>
      <c r="AW46" s="158">
        <v>4.05326814622273</v>
      </c>
      <c r="AX46" s="158">
        <v>1.8033924046198004E-3</v>
      </c>
      <c r="AY46" s="158">
        <v>0.44434011113009692</v>
      </c>
      <c r="AZ46" s="158">
        <v>0</v>
      </c>
    </row>
    <row r="47" spans="1:52" s="134" customFormat="1">
      <c r="A47" s="134" t="s">
        <v>355</v>
      </c>
      <c r="B47" s="160"/>
      <c r="C47" s="137">
        <v>42781</v>
      </c>
      <c r="D47" s="134">
        <f t="shared" si="2"/>
        <v>46</v>
      </c>
      <c r="E47" s="138">
        <f t="shared" si="1"/>
        <v>438</v>
      </c>
      <c r="F47" s="134">
        <v>850</v>
      </c>
      <c r="G47" s="134">
        <v>22.6</v>
      </c>
      <c r="H47" s="134">
        <v>1767</v>
      </c>
      <c r="I47" s="134">
        <v>1290</v>
      </c>
      <c r="J47" s="134">
        <v>7.28</v>
      </c>
      <c r="K47" s="134">
        <v>-200</v>
      </c>
      <c r="L47" s="134">
        <v>0.9</v>
      </c>
      <c r="M47" s="134">
        <v>1.24</v>
      </c>
      <c r="N47" s="134">
        <v>0</v>
      </c>
      <c r="O47" s="134">
        <v>864</v>
      </c>
      <c r="P47" s="134">
        <v>2.7E-2</v>
      </c>
      <c r="Q47" s="159">
        <v>289</v>
      </c>
      <c r="R47" s="159">
        <v>21.2</v>
      </c>
      <c r="S47" s="159">
        <v>6.83</v>
      </c>
      <c r="T47" s="159"/>
      <c r="U47" s="159">
        <v>8</v>
      </c>
      <c r="V47" s="159">
        <v>7</v>
      </c>
      <c r="W47" s="159">
        <v>382</v>
      </c>
      <c r="X47" s="159">
        <v>8.1</v>
      </c>
      <c r="Y47" s="159"/>
      <c r="Z47" s="159">
        <v>7.0000000000000001E-3</v>
      </c>
      <c r="AA47" s="135"/>
      <c r="AB47" s="159"/>
      <c r="AC47" s="159">
        <v>3.6999999999999998E-2</v>
      </c>
      <c r="AD47" s="159">
        <v>0.6</v>
      </c>
      <c r="AE47" s="159">
        <v>0.255</v>
      </c>
      <c r="AF47" s="159"/>
      <c r="AG47" s="159"/>
      <c r="AI47" s="139">
        <v>-127.57359517999998</v>
      </c>
      <c r="AJ47" s="139">
        <v>-17.037743000000006</v>
      </c>
      <c r="AK47" s="134">
        <v>0.16800000000000001</v>
      </c>
      <c r="AL47" s="157">
        <v>13.586268226633516</v>
      </c>
      <c r="AM47" s="157">
        <v>-10.029173111252893</v>
      </c>
      <c r="AN47" s="134">
        <v>7660</v>
      </c>
      <c r="AO47" s="158">
        <v>280.61058327359854</v>
      </c>
      <c r="AP47" s="158">
        <v>1.8344919017409067</v>
      </c>
      <c r="AQ47" s="158">
        <v>37.053962129720368</v>
      </c>
      <c r="AR47" s="158">
        <v>6.0579621476706702E-2</v>
      </c>
      <c r="AS47" s="158">
        <v>3.2498045136784732</v>
      </c>
      <c r="AT47" s="158">
        <v>0.22843474993130058</v>
      </c>
      <c r="AU47" s="158">
        <v>26.832832393111637</v>
      </c>
      <c r="AV47" s="158">
        <v>0.17905835150685986</v>
      </c>
      <c r="AW47" s="158">
        <v>3.652803418595469</v>
      </c>
      <c r="AX47" s="158">
        <v>8.587011420753533E-3</v>
      </c>
      <c r="AY47" s="158">
        <v>0.31494065656899678</v>
      </c>
      <c r="AZ47" s="158">
        <v>2.2327942604205259E-2</v>
      </c>
    </row>
    <row r="48" spans="1:52" s="134" customFormat="1">
      <c r="A48" s="134" t="s">
        <v>355</v>
      </c>
      <c r="B48" s="136"/>
      <c r="C48" s="137">
        <v>42864</v>
      </c>
      <c r="D48" s="134">
        <f t="shared" si="2"/>
        <v>129</v>
      </c>
      <c r="E48" s="138">
        <f t="shared" si="1"/>
        <v>521</v>
      </c>
      <c r="F48" s="138">
        <v>580</v>
      </c>
      <c r="G48" s="134">
        <v>22.1</v>
      </c>
      <c r="H48" s="134">
        <v>1777</v>
      </c>
      <c r="I48" s="134">
        <v>1296</v>
      </c>
      <c r="J48" s="134">
        <v>8.2200000000000006</v>
      </c>
      <c r="K48" s="134">
        <v>-172</v>
      </c>
      <c r="L48" s="134">
        <v>1.1000000000000001</v>
      </c>
      <c r="M48" s="141">
        <v>1</v>
      </c>
      <c r="N48" s="134">
        <v>0</v>
      </c>
      <c r="O48" s="141">
        <v>678</v>
      </c>
      <c r="P48" s="142">
        <v>2.7E-2</v>
      </c>
      <c r="Q48" s="135">
        <v>294</v>
      </c>
      <c r="R48" s="135">
        <v>21.7</v>
      </c>
      <c r="S48" s="135">
        <v>7.08</v>
      </c>
      <c r="T48" s="135"/>
      <c r="U48" s="135">
        <v>8.1999999999999993</v>
      </c>
      <c r="V48" s="135">
        <v>7.4</v>
      </c>
      <c r="W48" s="135">
        <v>394</v>
      </c>
      <c r="X48" s="135">
        <v>8</v>
      </c>
      <c r="Y48" s="135"/>
      <c r="Z48" s="135">
        <v>8.0000000000000002E-3</v>
      </c>
      <c r="AA48" s="135"/>
      <c r="AB48" s="135"/>
      <c r="AC48" s="135">
        <v>4.2999999999999997E-2</v>
      </c>
      <c r="AD48" s="135">
        <v>0.62</v>
      </c>
      <c r="AE48" s="135">
        <v>0.253</v>
      </c>
      <c r="AF48" s="135"/>
      <c r="AG48" s="135"/>
      <c r="AI48" s="139">
        <v>-127.02055849999999</v>
      </c>
      <c r="AJ48" s="139">
        <v>-17.213880499999998</v>
      </c>
      <c r="AK48" s="135">
        <v>0.2</v>
      </c>
      <c r="AL48" s="145">
        <v>16.305</v>
      </c>
      <c r="AM48" s="145">
        <v>-10.205</v>
      </c>
      <c r="AN48" s="134">
        <v>20195</v>
      </c>
      <c r="AO48" s="158">
        <v>213.36957235708061</v>
      </c>
      <c r="AP48" s="158">
        <v>1.1599492884030602</v>
      </c>
      <c r="AQ48" s="158">
        <v>22.221050435777549</v>
      </c>
      <c r="AR48" s="158">
        <v>1.6807296952807565E-2</v>
      </c>
      <c r="AS48" s="158">
        <v>1.9514396962127545</v>
      </c>
      <c r="AT48" s="158">
        <v>8.0680310103929231E-2</v>
      </c>
      <c r="AU48" s="158">
        <v>90.993719404927333</v>
      </c>
      <c r="AV48" s="158">
        <v>0.68523249435494271</v>
      </c>
      <c r="AW48" s="158">
        <v>12.15356687162401</v>
      </c>
      <c r="AX48" s="158">
        <v>3.2191633813221029E-3</v>
      </c>
      <c r="AY48" s="158">
        <v>0.98870446165206438</v>
      </c>
      <c r="AZ48" s="158">
        <v>4.8841083266347313E-2</v>
      </c>
    </row>
    <row r="49" spans="1:52" s="134" customFormat="1" ht="16">
      <c r="A49" s="135" t="s">
        <v>355</v>
      </c>
      <c r="B49" s="136"/>
      <c r="C49" s="137">
        <v>42979</v>
      </c>
      <c r="D49" s="135">
        <f t="shared" si="2"/>
        <v>244</v>
      </c>
      <c r="E49" s="138">
        <f t="shared" si="1"/>
        <v>636</v>
      </c>
      <c r="F49" s="138">
        <v>700</v>
      </c>
      <c r="G49" s="134">
        <v>22.5</v>
      </c>
      <c r="H49" s="134">
        <v>1777</v>
      </c>
      <c r="I49" s="134">
        <v>1300</v>
      </c>
      <c r="J49" s="134">
        <v>8.36</v>
      </c>
      <c r="K49" s="134">
        <v>-255</v>
      </c>
      <c r="L49" s="134">
        <v>0.9</v>
      </c>
      <c r="M49" s="141">
        <f>0.31*4</f>
        <v>1.24</v>
      </c>
      <c r="N49" s="134">
        <v>0.01</v>
      </c>
      <c r="O49" s="141">
        <f>458*2</f>
        <v>916</v>
      </c>
      <c r="P49" s="142">
        <v>3.1E-2</v>
      </c>
      <c r="Q49" s="155">
        <v>284</v>
      </c>
      <c r="R49" s="155">
        <v>21</v>
      </c>
      <c r="S49" s="155">
        <v>6.67</v>
      </c>
      <c r="T49" s="155"/>
      <c r="U49" s="155">
        <v>8.1999999999999993</v>
      </c>
      <c r="V49" s="155">
        <v>7.2</v>
      </c>
      <c r="W49" s="155">
        <v>388</v>
      </c>
      <c r="X49" s="155">
        <v>8.1</v>
      </c>
      <c r="Y49" s="155">
        <v>0.09</v>
      </c>
      <c r="Z49" s="155">
        <v>7.0000000000000001E-3</v>
      </c>
      <c r="AA49" s="155"/>
      <c r="AB49" s="155"/>
      <c r="AC49" s="155">
        <v>4.2000000000000003E-2</v>
      </c>
      <c r="AD49" s="155">
        <v>0.61</v>
      </c>
      <c r="AE49" s="155">
        <v>0.247</v>
      </c>
      <c r="AF49" s="135"/>
      <c r="AG49" s="135"/>
      <c r="AI49" s="151">
        <v>-127.55025671535975</v>
      </c>
      <c r="AJ49" s="151">
        <v>-17.288703645853111</v>
      </c>
      <c r="AK49" s="135">
        <v>0.23200000000000001</v>
      </c>
      <c r="AL49" s="145">
        <v>13</v>
      </c>
      <c r="AM49" s="145">
        <v>-10.234999999999999</v>
      </c>
      <c r="AN49" s="134">
        <v>15573</v>
      </c>
      <c r="AO49" s="152">
        <v>298.97935861434661</v>
      </c>
      <c r="AP49" s="152">
        <v>2.2073595312848884</v>
      </c>
      <c r="AQ49" s="152">
        <v>48.194820913870053</v>
      </c>
      <c r="AR49" s="152">
        <v>0.48434246952811139</v>
      </c>
      <c r="AS49" s="152">
        <v>3.7639763615472921</v>
      </c>
      <c r="AT49" s="152">
        <v>0.38704792839628277</v>
      </c>
      <c r="AU49" s="153">
        <v>27.94563512403375</v>
      </c>
      <c r="AV49" s="153">
        <v>0.2164882312658212</v>
      </c>
      <c r="AW49" s="153">
        <v>4.2815294882285571</v>
      </c>
      <c r="AX49" s="153">
        <v>4.6047606551974547E-2</v>
      </c>
      <c r="AY49" s="153">
        <v>0.35327021645314338</v>
      </c>
      <c r="AZ49" s="153">
        <v>3.8334632839591765E-2</v>
      </c>
    </row>
    <row r="50" spans="1:52" s="134" customFormat="1" ht="16">
      <c r="A50" s="135" t="s">
        <v>355</v>
      </c>
      <c r="B50" s="136" t="s">
        <v>517</v>
      </c>
      <c r="C50" s="137">
        <v>43024</v>
      </c>
      <c r="D50" s="135">
        <f t="shared" si="2"/>
        <v>289</v>
      </c>
      <c r="E50" s="138">
        <f t="shared" si="1"/>
        <v>681</v>
      </c>
      <c r="F50" s="134">
        <v>350</v>
      </c>
      <c r="G50" s="135">
        <v>22.6</v>
      </c>
      <c r="H50" s="135">
        <v>1773</v>
      </c>
      <c r="I50" s="135">
        <v>1296</v>
      </c>
      <c r="J50" s="135">
        <v>8.3800000000000008</v>
      </c>
      <c r="K50" s="135">
        <v>-154</v>
      </c>
      <c r="L50" s="135">
        <v>0.8</v>
      </c>
      <c r="M50" s="134">
        <v>1.24</v>
      </c>
      <c r="N50" s="135">
        <v>0</v>
      </c>
      <c r="O50" s="135">
        <v>830</v>
      </c>
      <c r="P50" s="135">
        <v>1.7000000000000001E-2</v>
      </c>
      <c r="Q50" s="135">
        <v>286</v>
      </c>
      <c r="R50" s="135">
        <v>21.5</v>
      </c>
      <c r="S50" s="135">
        <v>6.68</v>
      </c>
      <c r="U50" s="134">
        <v>8.1</v>
      </c>
      <c r="V50" s="134">
        <v>7.1</v>
      </c>
      <c r="W50" s="134">
        <v>382</v>
      </c>
      <c r="X50" s="134">
        <v>8</v>
      </c>
      <c r="AC50" s="134">
        <v>3.6999999999999998E-2</v>
      </c>
      <c r="AD50" s="134">
        <v>0.62</v>
      </c>
      <c r="AE50" s="134">
        <v>0.245</v>
      </c>
      <c r="AK50" s="135">
        <v>0.11700000000000001</v>
      </c>
      <c r="AO50" s="152">
        <v>318.17586477983997</v>
      </c>
      <c r="AP50" s="152">
        <v>2.1296670536922035</v>
      </c>
      <c r="AQ50" s="152">
        <v>45.031199494414686</v>
      </c>
      <c r="AR50" s="152">
        <v>0.21362407540754716</v>
      </c>
      <c r="AS50" s="152">
        <v>3.5741323465644763</v>
      </c>
      <c r="AT50" s="152">
        <v>0.32924440165219032</v>
      </c>
      <c r="AU50" s="153">
        <v>31.748683006937693</v>
      </c>
      <c r="AV50" s="153">
        <v>0.20330770642719218</v>
      </c>
      <c r="AW50" s="153">
        <v>4.3159083728282139</v>
      </c>
      <c r="AX50" s="153">
        <v>2.4622550820516797E-2</v>
      </c>
      <c r="AY50" s="153">
        <v>0.34777602829332144</v>
      </c>
      <c r="AZ50" s="153">
        <v>2.8843004249573638E-2</v>
      </c>
    </row>
    <row r="51" spans="1:52" s="134" customFormat="1" ht="16">
      <c r="A51" s="135" t="s">
        <v>355</v>
      </c>
      <c r="B51" s="136"/>
      <c r="C51" s="137">
        <v>43069</v>
      </c>
      <c r="D51" s="135">
        <f t="shared" si="2"/>
        <v>334</v>
      </c>
      <c r="E51" s="138">
        <f t="shared" si="1"/>
        <v>726</v>
      </c>
      <c r="F51" s="138">
        <v>275</v>
      </c>
      <c r="G51" s="134">
        <v>21.9</v>
      </c>
      <c r="H51" s="134">
        <v>1778</v>
      </c>
      <c r="I51" s="134">
        <v>1300</v>
      </c>
      <c r="J51" s="134">
        <v>8.34</v>
      </c>
      <c r="K51" s="134">
        <v>-241</v>
      </c>
      <c r="L51" s="134">
        <v>1</v>
      </c>
      <c r="M51" s="141">
        <v>1.1200000000000001</v>
      </c>
      <c r="N51" s="134">
        <v>0</v>
      </c>
      <c r="O51" s="141">
        <v>928</v>
      </c>
      <c r="P51" s="142">
        <v>4.4999999999999998E-2</v>
      </c>
      <c r="Q51" s="155">
        <v>275</v>
      </c>
      <c r="R51" s="155">
        <v>18.600000000000001</v>
      </c>
      <c r="S51" s="155">
        <v>6.29</v>
      </c>
      <c r="T51" s="155">
        <v>0.29599999999999999</v>
      </c>
      <c r="U51" s="155">
        <v>8.1999999999999993</v>
      </c>
      <c r="V51" s="155">
        <v>7.3</v>
      </c>
      <c r="W51" s="155">
        <v>392</v>
      </c>
      <c r="X51" s="155">
        <v>8.1</v>
      </c>
      <c r="Y51" s="155"/>
      <c r="Z51" s="155"/>
      <c r="AA51" s="155"/>
      <c r="AB51" s="155"/>
      <c r="AC51" s="155">
        <v>3.7999999999999999E-2</v>
      </c>
      <c r="AD51" s="155">
        <v>0.6</v>
      </c>
      <c r="AE51" s="155">
        <v>0.248</v>
      </c>
      <c r="AF51" s="135"/>
      <c r="AG51" s="135"/>
      <c r="AI51" s="151">
        <v>-127.96792516805934</v>
      </c>
      <c r="AJ51" s="151">
        <v>-17.596727406689293</v>
      </c>
      <c r="AK51" s="135">
        <v>0.115</v>
      </c>
      <c r="AL51" s="145">
        <v>13.15</v>
      </c>
      <c r="AM51" s="145">
        <v>-10.37</v>
      </c>
      <c r="AN51" s="134">
        <v>85653</v>
      </c>
      <c r="AO51" s="152">
        <v>254.831044143231</v>
      </c>
      <c r="AP51" s="152">
        <v>1.5961794179714646</v>
      </c>
      <c r="AQ51" s="152">
        <v>33.342892985003594</v>
      </c>
      <c r="AR51" s="152">
        <v>0.18638270143294547</v>
      </c>
      <c r="AS51" s="152">
        <v>2.5672395639324046</v>
      </c>
      <c r="AT51" s="152">
        <v>0.24264351658566249</v>
      </c>
      <c r="AU51" s="153">
        <v>21.694705008673985</v>
      </c>
      <c r="AV51" s="153">
        <v>0.12988209438513232</v>
      </c>
      <c r="AW51" s="153">
        <v>2.829252846699557</v>
      </c>
      <c r="AX51" s="153">
        <v>1.3265337082727502E-2</v>
      </c>
      <c r="AY51" s="153">
        <v>0.21984226650554686</v>
      </c>
      <c r="AZ51" s="153">
        <v>1.8349773188914262E-2</v>
      </c>
    </row>
    <row r="52" spans="1:52" s="134" customFormat="1" ht="16">
      <c r="A52" s="135" t="s">
        <v>355</v>
      </c>
      <c r="B52" s="136"/>
      <c r="C52" s="137">
        <v>43209</v>
      </c>
      <c r="D52" s="135">
        <f>C52-DATE(YEAR(C52),1,0)</f>
        <v>109</v>
      </c>
      <c r="E52" s="138">
        <f>DATEDIF($A$1,C52,"d")</f>
        <v>866</v>
      </c>
      <c r="F52" s="181">
        <v>300</v>
      </c>
      <c r="G52" s="135">
        <v>22.2</v>
      </c>
      <c r="H52" s="135">
        <v>1781</v>
      </c>
      <c r="I52" s="135">
        <v>1302</v>
      </c>
      <c r="J52" s="135">
        <v>7.46</v>
      </c>
      <c r="K52" s="135">
        <v>-200</v>
      </c>
      <c r="L52" s="135">
        <v>1.1000000000000001</v>
      </c>
      <c r="M52" s="185">
        <v>1.36</v>
      </c>
      <c r="N52" s="135">
        <v>0</v>
      </c>
      <c r="O52" s="185">
        <v>582</v>
      </c>
      <c r="P52" s="163">
        <v>3.1E-2</v>
      </c>
      <c r="Q52" s="178">
        <v>315</v>
      </c>
      <c r="R52" s="178">
        <v>23.7</v>
      </c>
      <c r="S52" s="178">
        <v>7.17</v>
      </c>
      <c r="T52" s="178"/>
      <c r="U52" s="178">
        <v>8.6</v>
      </c>
      <c r="V52" s="178">
        <v>7.6</v>
      </c>
      <c r="W52" s="178">
        <v>403</v>
      </c>
      <c r="X52" s="178">
        <v>8.8000000000000007</v>
      </c>
      <c r="Y52" s="178">
        <v>0.03</v>
      </c>
      <c r="Z52" s="178">
        <v>5.0000000000000001E-3</v>
      </c>
      <c r="AA52" s="178"/>
      <c r="AB52" s="178"/>
      <c r="AC52" s="178">
        <v>4.3999999999999997E-2</v>
      </c>
      <c r="AD52" s="178">
        <v>0.65</v>
      </c>
      <c r="AE52" s="178">
        <v>0.27900000000000003</v>
      </c>
      <c r="AF52" s="135"/>
      <c r="AG52" s="135"/>
      <c r="AI52" s="158">
        <v>-127.80342633270445</v>
      </c>
      <c r="AJ52" s="158">
        <v>-17.479625955366515</v>
      </c>
      <c r="AK52" s="135">
        <v>0.24399999999999999</v>
      </c>
      <c r="AL52" s="151">
        <v>11.309024144321604</v>
      </c>
      <c r="AM52" s="151">
        <v>-9.2464683769568285</v>
      </c>
      <c r="AO52" s="152"/>
      <c r="AP52" s="152"/>
      <c r="AQ52" s="152"/>
      <c r="AR52" s="152"/>
      <c r="AS52" s="152"/>
      <c r="AT52" s="152"/>
      <c r="AU52" s="153"/>
      <c r="AV52" s="153"/>
      <c r="AW52" s="153"/>
      <c r="AX52" s="153"/>
      <c r="AY52" s="153"/>
      <c r="AZ52" s="153"/>
    </row>
    <row r="53" spans="1:52">
      <c r="A53" s="135" t="s">
        <v>355</v>
      </c>
      <c r="C53" s="180">
        <v>43344</v>
      </c>
      <c r="D53" s="135">
        <f>C53-DATE(YEAR(C53),1,0)</f>
        <v>244</v>
      </c>
      <c r="E53" s="181">
        <f>DATEDIF($A$1,C53,"d")</f>
        <v>1001</v>
      </c>
      <c r="F53" s="54">
        <v>1000</v>
      </c>
      <c r="G53" s="54">
        <v>22.4</v>
      </c>
      <c r="H53" s="54">
        <v>1781</v>
      </c>
      <c r="I53" s="54">
        <v>1302</v>
      </c>
      <c r="J53" s="54">
        <v>8.41</v>
      </c>
      <c r="K53" s="54">
        <v>-207</v>
      </c>
      <c r="L53" s="54">
        <v>0.9</v>
      </c>
      <c r="M53" s="54">
        <v>1.36</v>
      </c>
      <c r="N53" s="54">
        <v>0</v>
      </c>
      <c r="O53" s="54">
        <v>780</v>
      </c>
      <c r="P53" s="54">
        <v>3.2000000000000001E-2</v>
      </c>
      <c r="Q53" s="178">
        <v>291</v>
      </c>
      <c r="R53" s="178">
        <v>20.6</v>
      </c>
      <c r="S53" s="178">
        <v>6.58</v>
      </c>
      <c r="T53" s="178"/>
      <c r="U53" s="178">
        <v>8.1</v>
      </c>
      <c r="V53" s="178">
        <v>7.1</v>
      </c>
      <c r="W53" s="178">
        <v>379</v>
      </c>
      <c r="X53" s="178">
        <v>8</v>
      </c>
      <c r="Y53" s="178"/>
      <c r="Z53" s="178"/>
      <c r="AA53" s="178"/>
      <c r="AB53" s="178"/>
      <c r="AC53" s="178">
        <v>3.6999999999999998E-2</v>
      </c>
      <c r="AD53" s="178">
        <v>0.63</v>
      </c>
      <c r="AE53" s="178">
        <v>0.248</v>
      </c>
      <c r="AI53" s="187">
        <v>-128.6998759856686</v>
      </c>
      <c r="AJ53" s="188">
        <v>-17.851994282231921</v>
      </c>
      <c r="AK53" s="54">
        <v>0.18099999999999999</v>
      </c>
      <c r="AL53" s="54">
        <v>11.929965928783385</v>
      </c>
      <c r="AM53" s="54">
        <v>-9.9651402049173186</v>
      </c>
    </row>
    <row r="54" spans="1:52" s="165" customFormat="1" ht="16">
      <c r="A54" s="165" t="s">
        <v>356</v>
      </c>
      <c r="B54" s="167"/>
      <c r="C54" s="167">
        <v>42346</v>
      </c>
      <c r="D54" s="165">
        <f t="shared" si="2"/>
        <v>342</v>
      </c>
      <c r="E54" s="168">
        <f t="shared" si="1"/>
        <v>3</v>
      </c>
      <c r="F54" s="169" t="s">
        <v>496</v>
      </c>
      <c r="G54" s="165">
        <v>32.799999999999997</v>
      </c>
      <c r="H54" s="165">
        <v>1562</v>
      </c>
      <c r="I54" s="165">
        <v>1128</v>
      </c>
      <c r="J54" s="165">
        <v>9.1199999999999992</v>
      </c>
      <c r="K54" s="165">
        <v>-312</v>
      </c>
      <c r="L54" s="165" t="s">
        <v>417</v>
      </c>
      <c r="N54" s="165" t="s">
        <v>417</v>
      </c>
      <c r="O54" s="165" t="s">
        <v>417</v>
      </c>
      <c r="P54" s="165" t="s">
        <v>417</v>
      </c>
      <c r="Q54" s="170">
        <v>167</v>
      </c>
      <c r="R54" s="170">
        <v>19.600000000000001</v>
      </c>
      <c r="S54" s="170">
        <v>5.44</v>
      </c>
      <c r="T54" s="170"/>
      <c r="U54" s="170">
        <v>6</v>
      </c>
      <c r="V54" s="170">
        <v>4.4000000000000004</v>
      </c>
      <c r="W54" s="170">
        <v>338</v>
      </c>
      <c r="X54" s="170">
        <v>7.2</v>
      </c>
      <c r="Y54" s="170"/>
      <c r="Z54" s="170"/>
      <c r="AA54" s="170"/>
      <c r="AB54" s="170"/>
      <c r="AC54" s="170">
        <v>6.3E-2</v>
      </c>
      <c r="AD54" s="170">
        <v>0.41</v>
      </c>
      <c r="AE54" s="170">
        <v>0.24099999999999999</v>
      </c>
      <c r="AF54" s="170"/>
      <c r="AG54" s="170"/>
      <c r="AI54" s="174">
        <v>-128.5</v>
      </c>
      <c r="AJ54" s="174">
        <v>-17.5</v>
      </c>
      <c r="AL54" s="172"/>
      <c r="AM54" s="172"/>
    </row>
    <row r="55" spans="1:52" s="134" customFormat="1" ht="28">
      <c r="A55" s="134" t="s">
        <v>356</v>
      </c>
      <c r="B55" s="160" t="s">
        <v>409</v>
      </c>
      <c r="C55" s="160">
        <v>42493</v>
      </c>
      <c r="D55" s="134">
        <f t="shared" si="2"/>
        <v>124</v>
      </c>
      <c r="E55" s="138">
        <f t="shared" si="1"/>
        <v>150</v>
      </c>
      <c r="F55" s="140" t="s">
        <v>496</v>
      </c>
      <c r="G55" s="134">
        <v>32.6</v>
      </c>
      <c r="H55" s="134">
        <v>1560</v>
      </c>
      <c r="I55" s="134">
        <v>1127</v>
      </c>
      <c r="J55" s="134">
        <v>8.61</v>
      </c>
      <c r="K55" s="134">
        <v>-240</v>
      </c>
      <c r="L55" s="134">
        <v>0.6</v>
      </c>
      <c r="M55" s="134">
        <v>0.4</v>
      </c>
      <c r="N55" s="134">
        <v>0.03</v>
      </c>
      <c r="O55" s="134">
        <v>268</v>
      </c>
      <c r="P55" s="134">
        <v>0.4</v>
      </c>
      <c r="Q55" s="135">
        <v>182</v>
      </c>
      <c r="R55" s="135">
        <v>19.600000000000001</v>
      </c>
      <c r="S55" s="135">
        <v>5.87</v>
      </c>
      <c r="T55" s="135"/>
      <c r="U55" s="135">
        <v>5.8</v>
      </c>
      <c r="V55" s="135">
        <v>4.2</v>
      </c>
      <c r="W55" s="135">
        <v>339</v>
      </c>
      <c r="X55" s="135">
        <v>7</v>
      </c>
      <c r="Y55" s="135"/>
      <c r="Z55" s="135"/>
      <c r="AA55" s="135"/>
      <c r="AB55" s="135">
        <v>0.04</v>
      </c>
      <c r="AC55" s="135">
        <v>6.3E-2</v>
      </c>
      <c r="AD55" s="135">
        <v>0.54</v>
      </c>
      <c r="AE55" s="135">
        <v>0.23400000000000001</v>
      </c>
      <c r="AF55" s="135"/>
      <c r="AG55" s="135"/>
      <c r="AL55" s="157"/>
      <c r="AM55" s="157"/>
      <c r="AN55" s="155"/>
      <c r="AO55" s="158">
        <v>121.56791088444557</v>
      </c>
      <c r="AP55" s="158">
        <v>0.81677168644399001</v>
      </c>
      <c r="AQ55" s="158">
        <v>61.108298959138232</v>
      </c>
      <c r="AR55" s="158">
        <v>5.9517985457086961E-2</v>
      </c>
      <c r="AS55" s="158">
        <v>3.483923020902461</v>
      </c>
      <c r="AT55" s="158">
        <v>0.19432320087041383</v>
      </c>
      <c r="AU55" s="158">
        <v>17.868934700598182</v>
      </c>
      <c r="AV55" s="158">
        <v>0.12048448016321411</v>
      </c>
      <c r="AW55" s="158">
        <v>9.3941235838872963</v>
      </c>
      <c r="AX55" s="158">
        <v>8.6023259740742233E-3</v>
      </c>
      <c r="AY55" s="158">
        <v>0.48262656191904157</v>
      </c>
      <c r="AZ55" s="158">
        <v>2.571365499730233E-2</v>
      </c>
    </row>
    <row r="56" spans="1:52" s="134" customFormat="1" ht="28">
      <c r="A56" s="134" t="s">
        <v>356</v>
      </c>
      <c r="B56" s="162" t="s">
        <v>412</v>
      </c>
      <c r="C56" s="160">
        <v>42493</v>
      </c>
      <c r="D56" s="134">
        <f t="shared" si="2"/>
        <v>124</v>
      </c>
      <c r="E56" s="138">
        <f t="shared" si="1"/>
        <v>150</v>
      </c>
      <c r="F56" s="140" t="s">
        <v>496</v>
      </c>
      <c r="G56" s="134">
        <v>32</v>
      </c>
      <c r="H56" s="134">
        <v>1559</v>
      </c>
      <c r="I56" s="134">
        <v>1120</v>
      </c>
      <c r="J56" s="134">
        <v>8.69</v>
      </c>
      <c r="K56" s="134">
        <v>-173</v>
      </c>
      <c r="L56" s="134">
        <v>0.7</v>
      </c>
      <c r="M56" s="134">
        <v>0.43</v>
      </c>
      <c r="N56" s="134">
        <v>0</v>
      </c>
      <c r="O56" s="134">
        <v>196</v>
      </c>
      <c r="P56" s="134">
        <v>6.3</v>
      </c>
      <c r="Q56" s="135">
        <v>177</v>
      </c>
      <c r="R56" s="135">
        <v>19.600000000000001</v>
      </c>
      <c r="S56" s="135">
        <v>5.76</v>
      </c>
      <c r="T56" s="135"/>
      <c r="U56" s="135">
        <v>5.4</v>
      </c>
      <c r="V56" s="135">
        <v>4</v>
      </c>
      <c r="W56" s="135">
        <v>337</v>
      </c>
      <c r="X56" s="135">
        <v>6.9</v>
      </c>
      <c r="Y56" s="135"/>
      <c r="Z56" s="135"/>
      <c r="AA56" s="135"/>
      <c r="AB56" s="135">
        <v>0.05</v>
      </c>
      <c r="AC56" s="135">
        <v>6.3E-2</v>
      </c>
      <c r="AD56" s="135">
        <v>0.53</v>
      </c>
      <c r="AE56" s="135">
        <v>0.23200000000000001</v>
      </c>
      <c r="AF56" s="135"/>
      <c r="AG56" s="135"/>
      <c r="AL56" s="157"/>
      <c r="AM56" s="157"/>
      <c r="AO56" s="155"/>
      <c r="AP56" s="155"/>
      <c r="AQ56" s="155"/>
      <c r="AR56" s="155"/>
      <c r="AS56" s="155"/>
      <c r="AT56" s="155"/>
      <c r="AU56" s="155"/>
      <c r="AV56" s="155"/>
      <c r="AW56" s="155"/>
      <c r="AX56" s="155"/>
      <c r="AY56" s="155"/>
      <c r="AZ56" s="155"/>
    </row>
    <row r="57" spans="1:52" s="134" customFormat="1" ht="28">
      <c r="A57" s="134" t="s">
        <v>356</v>
      </c>
      <c r="B57" s="162" t="s">
        <v>414</v>
      </c>
      <c r="C57" s="160">
        <v>42494</v>
      </c>
      <c r="D57" s="134">
        <f t="shared" si="2"/>
        <v>125</v>
      </c>
      <c r="E57" s="138">
        <f t="shared" si="1"/>
        <v>151</v>
      </c>
      <c r="F57" s="140" t="s">
        <v>496</v>
      </c>
      <c r="G57" s="134">
        <v>32.1</v>
      </c>
      <c r="H57" s="134">
        <v>1540</v>
      </c>
      <c r="I57" s="134">
        <v>1107</v>
      </c>
      <c r="J57" s="134">
        <v>8.69</v>
      </c>
      <c r="K57" s="134">
        <v>-208</v>
      </c>
      <c r="L57" s="134">
        <v>0.6</v>
      </c>
      <c r="M57" s="134">
        <v>0.36</v>
      </c>
      <c r="N57" s="134">
        <v>0.13</v>
      </c>
      <c r="O57" s="134">
        <v>218</v>
      </c>
      <c r="P57" s="134">
        <v>2.2000000000000002</v>
      </c>
      <c r="Q57" s="135">
        <v>177</v>
      </c>
      <c r="R57" s="135">
        <v>19.399999999999999</v>
      </c>
      <c r="S57" s="135">
        <v>5.97</v>
      </c>
      <c r="T57" s="135"/>
      <c r="U57" s="135">
        <v>5.3</v>
      </c>
      <c r="V57" s="135">
        <v>3.9</v>
      </c>
      <c r="W57" s="135">
        <v>335</v>
      </c>
      <c r="X57" s="135">
        <v>6.9</v>
      </c>
      <c r="Y57" s="135"/>
      <c r="Z57" s="135"/>
      <c r="AA57" s="135"/>
      <c r="AB57" s="135">
        <v>0.05</v>
      </c>
      <c r="AC57" s="135">
        <v>6.0999999999999999E-2</v>
      </c>
      <c r="AD57" s="135">
        <v>0.53</v>
      </c>
      <c r="AE57" s="135">
        <v>0.23300000000000001</v>
      </c>
      <c r="AF57" s="135"/>
      <c r="AG57" s="135"/>
      <c r="AK57" s="134">
        <v>0.216</v>
      </c>
      <c r="AL57" s="157"/>
      <c r="AM57" s="157"/>
      <c r="AO57" s="155"/>
      <c r="AP57" s="155"/>
      <c r="AQ57" s="155"/>
      <c r="AR57" s="155"/>
      <c r="AS57" s="155"/>
      <c r="AT57" s="155"/>
      <c r="AU57" s="155"/>
      <c r="AV57" s="155"/>
      <c r="AW57" s="155"/>
      <c r="AX57" s="155"/>
      <c r="AY57" s="155"/>
      <c r="AZ57" s="155"/>
    </row>
    <row r="58" spans="1:52" s="134" customFormat="1">
      <c r="A58" s="134" t="s">
        <v>356</v>
      </c>
      <c r="B58" s="136"/>
      <c r="C58" s="137">
        <v>42509</v>
      </c>
      <c r="D58" s="134">
        <f t="shared" si="2"/>
        <v>140</v>
      </c>
      <c r="E58" s="138">
        <f t="shared" si="1"/>
        <v>166</v>
      </c>
      <c r="F58" s="134">
        <v>1700</v>
      </c>
      <c r="G58" s="134">
        <v>31.1</v>
      </c>
      <c r="H58" s="134">
        <v>1534</v>
      </c>
      <c r="I58" s="134">
        <v>1107</v>
      </c>
      <c r="J58" s="134">
        <v>8.61</v>
      </c>
      <c r="K58" s="134">
        <v>-133</v>
      </c>
      <c r="L58" s="134">
        <v>0.7</v>
      </c>
      <c r="M58" s="134">
        <v>0.48</v>
      </c>
      <c r="N58" s="134">
        <v>0</v>
      </c>
      <c r="O58" s="134">
        <v>354</v>
      </c>
      <c r="P58" s="134">
        <v>0</v>
      </c>
      <c r="Q58" s="135">
        <v>184</v>
      </c>
      <c r="R58" s="135">
        <v>19</v>
      </c>
      <c r="S58" s="135">
        <v>5.91</v>
      </c>
      <c r="T58" s="135">
        <v>0.107</v>
      </c>
      <c r="U58" s="135">
        <v>5.3</v>
      </c>
      <c r="V58" s="135">
        <v>4.0999999999999996</v>
      </c>
      <c r="W58" s="135">
        <v>332</v>
      </c>
      <c r="X58" s="135">
        <v>7</v>
      </c>
      <c r="Y58" s="135">
        <v>0.18</v>
      </c>
      <c r="Z58" s="135">
        <v>7.0000000000000001E-3</v>
      </c>
      <c r="AA58" s="135">
        <v>0.05</v>
      </c>
      <c r="AB58" s="135"/>
      <c r="AC58" s="135">
        <v>6.2E-2</v>
      </c>
      <c r="AD58" s="135">
        <v>0.52</v>
      </c>
      <c r="AE58" s="135">
        <v>0.22800000000000001</v>
      </c>
      <c r="AF58" s="135"/>
      <c r="AG58" s="135"/>
      <c r="AI58" s="151">
        <v>-127.60415954547635</v>
      </c>
      <c r="AJ58" s="151">
        <v>-17.587179456948739</v>
      </c>
      <c r="AK58" s="134">
        <v>0.22800000000000001</v>
      </c>
      <c r="AL58" s="157"/>
      <c r="AM58" s="157"/>
      <c r="AN58" s="134">
        <v>2152</v>
      </c>
      <c r="AO58" s="158">
        <v>84.229700798104503</v>
      </c>
      <c r="AP58" s="158">
        <v>0.44831251728874288</v>
      </c>
      <c r="AQ58" s="158">
        <v>30.866802192994363</v>
      </c>
      <c r="AR58" s="158">
        <v>9.6968072798022525E-2</v>
      </c>
      <c r="AS58" s="158">
        <v>0.72023375673288748</v>
      </c>
      <c r="AT58" s="158">
        <v>5.0546758602372621E-2</v>
      </c>
      <c r="AU58" s="158">
        <v>8.3542923454797027</v>
      </c>
      <c r="AV58" s="158">
        <v>4.4893986598736432E-2</v>
      </c>
      <c r="AW58" s="158">
        <v>3.1105985884703897</v>
      </c>
      <c r="AX58" s="158">
        <v>1.4314202040276341E-3</v>
      </c>
      <c r="AY58" s="158">
        <v>7.2310348817080664E-2</v>
      </c>
      <c r="AZ58" s="158">
        <v>1.0169290455820251E-2</v>
      </c>
    </row>
    <row r="59" spans="1:52" s="134" customFormat="1">
      <c r="A59" s="134" t="s">
        <v>356</v>
      </c>
      <c r="B59" s="136"/>
      <c r="C59" s="137">
        <v>42564</v>
      </c>
      <c r="D59" s="134">
        <f t="shared" si="2"/>
        <v>195</v>
      </c>
      <c r="E59" s="138">
        <f t="shared" si="1"/>
        <v>221</v>
      </c>
      <c r="F59" s="134">
        <v>14200</v>
      </c>
      <c r="G59" s="134">
        <v>32.1</v>
      </c>
      <c r="H59" s="134">
        <v>1542</v>
      </c>
      <c r="I59" s="134">
        <v>1108</v>
      </c>
      <c r="J59" s="134">
        <v>8.75</v>
      </c>
      <c r="K59" s="134">
        <v>-312</v>
      </c>
      <c r="L59" s="134">
        <v>0.8</v>
      </c>
      <c r="M59" s="134">
        <v>0.47</v>
      </c>
      <c r="N59" s="134">
        <v>0</v>
      </c>
      <c r="O59" s="134">
        <v>336</v>
      </c>
      <c r="P59" s="134">
        <v>7.0000000000000001E-3</v>
      </c>
      <c r="Q59" s="135">
        <v>172</v>
      </c>
      <c r="R59" s="135">
        <v>19</v>
      </c>
      <c r="S59" s="135">
        <v>5.71</v>
      </c>
      <c r="T59" s="135"/>
      <c r="U59" s="135">
        <v>5.3</v>
      </c>
      <c r="V59" s="135">
        <v>4.0999999999999996</v>
      </c>
      <c r="W59" s="135">
        <v>337</v>
      </c>
      <c r="X59" s="135">
        <v>7.1</v>
      </c>
      <c r="Y59" s="135"/>
      <c r="Z59" s="135"/>
      <c r="AA59" s="135"/>
      <c r="AB59" s="135"/>
      <c r="AC59" s="135">
        <v>6.2E-2</v>
      </c>
      <c r="AD59" s="135">
        <v>0.51</v>
      </c>
      <c r="AE59" s="135">
        <v>0.22700000000000001</v>
      </c>
      <c r="AF59" s="135"/>
      <c r="AG59" s="135">
        <v>7.0000000000000007E-2</v>
      </c>
      <c r="AI59" s="151">
        <v>-127.70558179163407</v>
      </c>
      <c r="AJ59" s="151">
        <v>-17.542453472243402</v>
      </c>
      <c r="AK59" s="134">
        <v>0.218</v>
      </c>
      <c r="AL59" s="157">
        <v>13.128978788194333</v>
      </c>
      <c r="AM59" s="157">
        <v>-9.6058051283132908</v>
      </c>
      <c r="AN59" s="134">
        <v>9116</v>
      </c>
      <c r="AO59" s="158">
        <v>94.191073812401285</v>
      </c>
      <c r="AP59" s="158">
        <v>0.27013354926656186</v>
      </c>
      <c r="AQ59" s="158">
        <v>15.858768499914252</v>
      </c>
      <c r="AR59" s="158">
        <v>7.6888837777433924E-2</v>
      </c>
      <c r="AS59" s="158">
        <v>0.59236376070352559</v>
      </c>
      <c r="AT59" s="158">
        <v>1.9646916770587972E-2</v>
      </c>
      <c r="AU59" s="158">
        <v>8.9124790465720967</v>
      </c>
      <c r="AV59" s="158">
        <v>1.1779524098252525E-2</v>
      </c>
      <c r="AW59" s="158">
        <v>1.1796569235052339</v>
      </c>
      <c r="AX59" s="158">
        <v>1.8223078046994538E-3</v>
      </c>
      <c r="AY59" s="158">
        <v>5.1647271912528672E-2</v>
      </c>
      <c r="AZ59" s="158">
        <v>1.7089232882364585E-4</v>
      </c>
    </row>
    <row r="60" spans="1:52" s="134" customFormat="1">
      <c r="A60" s="134" t="s">
        <v>356</v>
      </c>
      <c r="B60" s="136"/>
      <c r="C60" s="137">
        <v>42635</v>
      </c>
      <c r="D60" s="134">
        <f t="shared" si="2"/>
        <v>266</v>
      </c>
      <c r="E60" s="138">
        <f t="shared" si="1"/>
        <v>292</v>
      </c>
      <c r="F60" s="134">
        <v>16400</v>
      </c>
      <c r="G60" s="134">
        <v>31.5</v>
      </c>
      <c r="H60" s="134">
        <v>1536</v>
      </c>
      <c r="I60" s="134">
        <v>1107</v>
      </c>
      <c r="J60" s="134">
        <v>8.83</v>
      </c>
      <c r="K60" s="134">
        <v>-232</v>
      </c>
      <c r="L60" s="134">
        <v>0.8</v>
      </c>
      <c r="M60" s="134">
        <v>0.5</v>
      </c>
      <c r="N60" s="134">
        <v>0.01</v>
      </c>
      <c r="O60" s="134">
        <v>397</v>
      </c>
      <c r="P60" s="134">
        <v>7.0000000000000007E-2</v>
      </c>
      <c r="Q60" s="135">
        <v>167</v>
      </c>
      <c r="R60" s="135">
        <v>18.399999999999999</v>
      </c>
      <c r="S60" s="135">
        <v>5.6</v>
      </c>
      <c r="T60" s="135"/>
      <c r="U60" s="135">
        <v>5.0999999999999996</v>
      </c>
      <c r="V60" s="135">
        <v>4</v>
      </c>
      <c r="W60" s="135">
        <v>352</v>
      </c>
      <c r="X60" s="135">
        <v>6.9</v>
      </c>
      <c r="Y60" s="135">
        <v>0.02</v>
      </c>
      <c r="Z60" s="135"/>
      <c r="AA60" s="135">
        <v>0.05</v>
      </c>
      <c r="AB60" s="135"/>
      <c r="AC60" s="135">
        <v>6.5000000000000002E-2</v>
      </c>
      <c r="AD60" s="135">
        <v>0.53</v>
      </c>
      <c r="AE60" s="135">
        <v>0.23300000000000001</v>
      </c>
      <c r="AF60" s="135"/>
      <c r="AG60" s="135"/>
      <c r="AI60" s="134">
        <v>-127</v>
      </c>
      <c r="AJ60" s="134">
        <v>-17.100000000000001</v>
      </c>
      <c r="AK60" s="134">
        <v>0.161</v>
      </c>
      <c r="AL60" s="157">
        <v>12.614574189036324</v>
      </c>
      <c r="AM60" s="157">
        <v>-9.6185223289817703</v>
      </c>
      <c r="AN60" s="155"/>
      <c r="AO60" s="158">
        <v>146.92281844423056</v>
      </c>
      <c r="AP60" s="158">
        <v>0.30665335588001807</v>
      </c>
      <c r="AQ60" s="158">
        <v>17.554341873463542</v>
      </c>
      <c r="AR60" s="158">
        <v>0.57733750781632354</v>
      </c>
      <c r="AS60" s="158">
        <v>0.71399381012153995</v>
      </c>
      <c r="AT60" s="158">
        <v>0.76223452710302753</v>
      </c>
      <c r="AU60" s="158">
        <v>5.0500553163682556</v>
      </c>
      <c r="AV60" s="158">
        <v>1.7166493171199813E-2</v>
      </c>
      <c r="AW60" s="158">
        <v>1.2486830571536882</v>
      </c>
      <c r="AX60" s="158">
        <v>4.5469883004515745E-2</v>
      </c>
      <c r="AY60" s="158">
        <v>3.1606018680315096E-2</v>
      </c>
      <c r="AZ60" s="158">
        <v>2.6663300491761875E-2</v>
      </c>
    </row>
    <row r="61" spans="1:52" s="134" customFormat="1">
      <c r="A61" s="134" t="s">
        <v>356</v>
      </c>
      <c r="B61" s="136"/>
      <c r="C61" s="137">
        <v>42711</v>
      </c>
      <c r="D61" s="134">
        <f t="shared" si="2"/>
        <v>342</v>
      </c>
      <c r="E61" s="138">
        <f t="shared" si="1"/>
        <v>368</v>
      </c>
      <c r="F61" s="134">
        <v>17280</v>
      </c>
      <c r="G61" s="134">
        <v>31.4</v>
      </c>
      <c r="H61" s="134">
        <v>1540</v>
      </c>
      <c r="I61" s="134">
        <v>1109</v>
      </c>
      <c r="J61" s="134">
        <v>9.07</v>
      </c>
      <c r="K61" s="134">
        <v>-233</v>
      </c>
      <c r="L61" s="134">
        <v>0.7</v>
      </c>
      <c r="M61" s="134">
        <v>0.46</v>
      </c>
      <c r="N61" s="134">
        <v>0</v>
      </c>
      <c r="O61" s="134">
        <v>329</v>
      </c>
      <c r="P61" s="134">
        <v>5.8000000000000003E-2</v>
      </c>
      <c r="Q61" s="135">
        <v>156</v>
      </c>
      <c r="R61" s="135">
        <v>17.899999999999999</v>
      </c>
      <c r="S61" s="135">
        <v>5.25</v>
      </c>
      <c r="T61" s="135"/>
      <c r="U61" s="135">
        <v>5</v>
      </c>
      <c r="V61" s="135">
        <v>3.8</v>
      </c>
      <c r="W61" s="135">
        <v>342</v>
      </c>
      <c r="X61" s="135">
        <v>6.9</v>
      </c>
      <c r="Y61" s="135"/>
      <c r="Z61" s="135"/>
      <c r="AA61" s="135"/>
      <c r="AB61" s="135"/>
      <c r="AC61" s="135">
        <v>5.7000000000000002E-2</v>
      </c>
      <c r="AD61" s="135">
        <v>0.53</v>
      </c>
      <c r="AE61" s="135">
        <v>0.223</v>
      </c>
      <c r="AF61" s="135"/>
      <c r="AG61" s="135"/>
      <c r="AI61" s="139">
        <v>-127.70285767999999</v>
      </c>
      <c r="AJ61" s="139">
        <v>-16.986411500000003</v>
      </c>
      <c r="AL61" s="157">
        <v>12.803488413478537</v>
      </c>
      <c r="AM61" s="157">
        <v>-9.989256374556394</v>
      </c>
      <c r="AN61" s="134">
        <v>8242</v>
      </c>
      <c r="AO61" s="158">
        <v>66.796398573781204</v>
      </c>
      <c r="AP61" s="158">
        <v>6.7707336658394721E-2</v>
      </c>
      <c r="AQ61" s="158">
        <v>3.7380851766859546</v>
      </c>
      <c r="AR61" s="158">
        <v>0.18505386466988472</v>
      </c>
      <c r="AS61" s="158">
        <v>0.22319496374494183</v>
      </c>
      <c r="AT61" s="158">
        <v>0.32063407752798118</v>
      </c>
      <c r="AU61" s="158">
        <v>0.17784908076930858</v>
      </c>
      <c r="AV61" s="158">
        <v>1.6784398328216505E-3</v>
      </c>
      <c r="AW61" s="158">
        <v>2.0195104404963478E-2</v>
      </c>
      <c r="AX61" s="158">
        <v>1.4558903521756435E-3</v>
      </c>
      <c r="AY61" s="158">
        <v>7.1485603273104678E-3</v>
      </c>
      <c r="AZ61" s="158">
        <v>9.7332538005991953E-3</v>
      </c>
    </row>
    <row r="62" spans="1:52" s="134" customFormat="1">
      <c r="A62" s="134" t="s">
        <v>356</v>
      </c>
      <c r="B62" s="136"/>
      <c r="C62" s="137">
        <v>42780</v>
      </c>
      <c r="D62" s="134">
        <f t="shared" si="2"/>
        <v>45</v>
      </c>
      <c r="E62" s="138">
        <f t="shared" si="1"/>
        <v>437</v>
      </c>
      <c r="F62" s="134">
        <v>16100</v>
      </c>
      <c r="G62" s="134">
        <v>32</v>
      </c>
      <c r="H62" s="134">
        <v>1540</v>
      </c>
      <c r="I62" s="134">
        <v>1110</v>
      </c>
      <c r="J62" s="134">
        <v>8.3800000000000008</v>
      </c>
      <c r="K62" s="134">
        <v>-133</v>
      </c>
      <c r="L62" s="134">
        <v>0.8</v>
      </c>
      <c r="M62" s="134">
        <v>0.49</v>
      </c>
      <c r="N62" s="134">
        <v>0</v>
      </c>
      <c r="O62" s="134">
        <v>336</v>
      </c>
      <c r="P62" s="134">
        <v>8.0000000000000002E-3</v>
      </c>
      <c r="Q62" s="159">
        <v>173</v>
      </c>
      <c r="R62" s="159">
        <v>19.5</v>
      </c>
      <c r="S62" s="159">
        <v>5.83</v>
      </c>
      <c r="T62" s="159"/>
      <c r="U62" s="159">
        <v>5.2</v>
      </c>
      <c r="V62" s="159">
        <v>3.8</v>
      </c>
      <c r="W62" s="159">
        <v>344</v>
      </c>
      <c r="X62" s="159">
        <v>7.1</v>
      </c>
      <c r="Y62" s="159">
        <v>0.02</v>
      </c>
      <c r="Z62" s="159"/>
      <c r="AA62" s="159"/>
      <c r="AB62" s="159"/>
      <c r="AC62" s="159">
        <v>0.06</v>
      </c>
      <c r="AD62" s="159">
        <v>0.51</v>
      </c>
      <c r="AE62" s="159">
        <v>0.23300000000000001</v>
      </c>
      <c r="AF62" s="159"/>
      <c r="AG62" s="159"/>
      <c r="AI62" s="139">
        <v>-126.67454863999998</v>
      </c>
      <c r="AJ62" s="139">
        <v>-17.236828699999997</v>
      </c>
      <c r="AK62" s="134">
        <v>0.123</v>
      </c>
      <c r="AL62" s="157">
        <v>13.410936493615429</v>
      </c>
      <c r="AM62" s="157">
        <v>-9.8065902473956346</v>
      </c>
      <c r="AN62" s="134">
        <v>7521</v>
      </c>
      <c r="AO62" s="158">
        <v>90.793022853959172</v>
      </c>
      <c r="AP62" s="158">
        <v>0.10948595589834458</v>
      </c>
      <c r="AQ62" s="158">
        <v>6.4002407991678867</v>
      </c>
      <c r="AR62" s="158">
        <v>8.2160951264938997E-2</v>
      </c>
      <c r="AS62" s="158">
        <v>0.35569673191370332</v>
      </c>
      <c r="AT62" s="158">
        <v>0.1320544132239542</v>
      </c>
      <c r="AU62" s="158">
        <v>22.582197889761197</v>
      </c>
      <c r="AV62" s="158">
        <v>1.1796755293606239E-2</v>
      </c>
      <c r="AW62" s="158">
        <v>1.0283718408981957</v>
      </c>
      <c r="AX62" s="158">
        <v>1.6731153702508494E-2</v>
      </c>
      <c r="AY62" s="158">
        <v>5.561974214961557E-2</v>
      </c>
      <c r="AZ62" s="158">
        <v>2.3893748399240022E-2</v>
      </c>
    </row>
    <row r="63" spans="1:52" s="134" customFormat="1">
      <c r="A63" s="134" t="s">
        <v>356</v>
      </c>
      <c r="B63" s="136"/>
      <c r="C63" s="137">
        <v>42865</v>
      </c>
      <c r="D63" s="134">
        <f t="shared" si="2"/>
        <v>130</v>
      </c>
      <c r="E63" s="138">
        <f t="shared" si="1"/>
        <v>522</v>
      </c>
      <c r="F63" s="138">
        <f>AVERAGE((1100*12),(1150*12),(1250*12))</f>
        <v>14000</v>
      </c>
      <c r="G63" s="134">
        <v>31.1</v>
      </c>
      <c r="H63" s="134">
        <v>1539</v>
      </c>
      <c r="I63" s="134">
        <v>1107</v>
      </c>
      <c r="J63" s="134">
        <v>8.7799999999999994</v>
      </c>
      <c r="K63" s="134">
        <v>-223</v>
      </c>
      <c r="L63" s="134">
        <v>0.9</v>
      </c>
      <c r="M63" s="134">
        <v>0.47</v>
      </c>
      <c r="N63" s="134">
        <v>0.01</v>
      </c>
      <c r="O63" s="134">
        <v>348</v>
      </c>
      <c r="P63" s="134">
        <v>4.1000000000000002E-2</v>
      </c>
      <c r="Q63" s="135">
        <v>170</v>
      </c>
      <c r="R63" s="135">
        <v>19.399999999999999</v>
      </c>
      <c r="S63" s="135">
        <v>5.92</v>
      </c>
      <c r="T63" s="135">
        <v>0.19400000000000001</v>
      </c>
      <c r="U63" s="135">
        <v>5.0999999999999996</v>
      </c>
      <c r="V63" s="135">
        <v>3.8</v>
      </c>
      <c r="W63" s="135">
        <v>352</v>
      </c>
      <c r="X63" s="135">
        <v>6.9</v>
      </c>
      <c r="Y63" s="135">
        <v>0.02</v>
      </c>
      <c r="Z63" s="135"/>
      <c r="AA63" s="135"/>
      <c r="AB63" s="135"/>
      <c r="AC63" s="135">
        <v>6.8000000000000005E-2</v>
      </c>
      <c r="AD63" s="135">
        <v>0.52</v>
      </c>
      <c r="AE63" s="135">
        <v>0.23100000000000001</v>
      </c>
      <c r="AF63" s="135"/>
      <c r="AG63" s="135"/>
      <c r="AI63" s="139">
        <v>-126.73783555999995</v>
      </c>
      <c r="AJ63" s="139">
        <v>-17.062100299999997</v>
      </c>
      <c r="AK63" s="135">
        <v>0.23300000000000001</v>
      </c>
      <c r="AL63" s="145">
        <v>16.100000000000001</v>
      </c>
      <c r="AM63" s="145">
        <v>-10</v>
      </c>
      <c r="AN63" s="134">
        <v>8458</v>
      </c>
      <c r="AO63" s="158">
        <v>121.76165731175067</v>
      </c>
      <c r="AP63" s="158">
        <v>0.42450726442235248</v>
      </c>
      <c r="AQ63" s="158">
        <v>22.769678061909918</v>
      </c>
      <c r="AR63" s="158">
        <v>2.7088288690758341E-2</v>
      </c>
      <c r="AS63" s="158">
        <v>0.85485792457013854</v>
      </c>
      <c r="AT63" s="158">
        <v>6.2044971223375447E-2</v>
      </c>
      <c r="AU63" s="158">
        <v>10.674586190257388</v>
      </c>
      <c r="AV63" s="158">
        <v>4.2698695266650509E-2</v>
      </c>
      <c r="AW63" s="158">
        <v>1.9972535696307108</v>
      </c>
      <c r="AX63" s="158">
        <v>1.1924648713818315E-2</v>
      </c>
      <c r="AY63" s="158">
        <v>7.1737535098037888E-2</v>
      </c>
      <c r="AZ63" s="158">
        <v>6.0542943024580508E-3</v>
      </c>
    </row>
    <row r="64" spans="1:52" s="134" customFormat="1" ht="16">
      <c r="A64" s="135" t="s">
        <v>356</v>
      </c>
      <c r="B64" s="136"/>
      <c r="C64" s="137">
        <v>42976</v>
      </c>
      <c r="D64" s="135">
        <f t="shared" si="2"/>
        <v>241</v>
      </c>
      <c r="E64" s="138">
        <f t="shared" si="1"/>
        <v>633</v>
      </c>
      <c r="F64" s="138">
        <f>1225*12</f>
        <v>14700</v>
      </c>
      <c r="G64" s="134">
        <v>31.7</v>
      </c>
      <c r="H64" s="134">
        <v>1538</v>
      </c>
      <c r="I64" s="134">
        <v>1106</v>
      </c>
      <c r="J64" s="134">
        <v>8.35</v>
      </c>
      <c r="K64" s="134">
        <v>-163</v>
      </c>
      <c r="L64" s="134">
        <v>1.1000000000000001</v>
      </c>
      <c r="M64" s="134">
        <v>0.43</v>
      </c>
      <c r="N64" s="134">
        <v>0</v>
      </c>
      <c r="O64" s="134">
        <v>395</v>
      </c>
      <c r="P64" s="134">
        <v>3.0000000000000001E-3</v>
      </c>
      <c r="Q64" s="155">
        <v>172</v>
      </c>
      <c r="R64" s="155">
        <v>19.7</v>
      </c>
      <c r="S64" s="155">
        <v>6.04</v>
      </c>
      <c r="T64" s="155"/>
      <c r="U64" s="155">
        <v>5.0999999999999996</v>
      </c>
      <c r="V64" s="155">
        <v>3.6</v>
      </c>
      <c r="W64" s="155">
        <v>345</v>
      </c>
      <c r="X64" s="155">
        <v>7.1</v>
      </c>
      <c r="Y64" s="155"/>
      <c r="Z64" s="155"/>
      <c r="AA64" s="155"/>
      <c r="AB64" s="155"/>
      <c r="AC64" s="155">
        <v>6.5000000000000002E-2</v>
      </c>
      <c r="AD64" s="155">
        <v>0.52</v>
      </c>
      <c r="AE64" s="155">
        <v>0.221</v>
      </c>
      <c r="AF64" s="135"/>
      <c r="AG64" s="135"/>
      <c r="AI64" s="151">
        <v>-127.21869800790321</v>
      </c>
      <c r="AJ64" s="151">
        <v>-17.365223409653439</v>
      </c>
      <c r="AK64" s="135">
        <v>0.214</v>
      </c>
      <c r="AL64" s="145">
        <v>12.7</v>
      </c>
      <c r="AM64" s="145">
        <v>-10.14</v>
      </c>
      <c r="AN64" s="183">
        <v>7884.9</v>
      </c>
      <c r="AO64" s="152">
        <v>112.76485959245636</v>
      </c>
      <c r="AP64" s="152">
        <v>0.2167073664366739</v>
      </c>
      <c r="AQ64" s="152">
        <v>15.869555054239349</v>
      </c>
      <c r="AR64" s="152">
        <v>0.16239692720422708</v>
      </c>
      <c r="AS64" s="152">
        <v>0.7076541156973033</v>
      </c>
      <c r="AT64" s="152">
        <v>0.14424397494086025</v>
      </c>
      <c r="AU64" s="153">
        <v>10.291495035228525</v>
      </c>
      <c r="AV64" s="153">
        <v>2.6553889381665318E-2</v>
      </c>
      <c r="AW64" s="153">
        <v>1.2205271772710089</v>
      </c>
      <c r="AX64" s="153">
        <v>2.021382867389087E-2</v>
      </c>
      <c r="AY64" s="153">
        <v>3.2378828302886929E-2</v>
      </c>
      <c r="AZ64" s="153">
        <v>5.566630328630983E-3</v>
      </c>
    </row>
    <row r="65" spans="1:52" s="134" customFormat="1" ht="16">
      <c r="A65" s="135" t="s">
        <v>356</v>
      </c>
      <c r="B65" s="136"/>
      <c r="C65" s="137">
        <v>43067</v>
      </c>
      <c r="D65" s="135">
        <f t="shared" si="2"/>
        <v>332</v>
      </c>
      <c r="E65" s="138">
        <f t="shared" si="1"/>
        <v>724</v>
      </c>
      <c r="F65" s="138">
        <v>7300</v>
      </c>
      <c r="G65" s="134">
        <v>30.7</v>
      </c>
      <c r="H65" s="134">
        <v>1544</v>
      </c>
      <c r="I65" s="134">
        <v>1110</v>
      </c>
      <c r="J65" s="134">
        <v>7.63</v>
      </c>
      <c r="K65" s="134">
        <v>-199</v>
      </c>
      <c r="L65" s="134">
        <v>0.7</v>
      </c>
      <c r="M65" s="134">
        <v>0.49</v>
      </c>
      <c r="N65" s="134">
        <v>0</v>
      </c>
      <c r="O65" s="134">
        <v>308</v>
      </c>
      <c r="P65" s="134">
        <v>0.02</v>
      </c>
      <c r="Q65" s="155">
        <v>172</v>
      </c>
      <c r="R65" s="155">
        <v>19.100000000000001</v>
      </c>
      <c r="S65" s="155">
        <v>5.59</v>
      </c>
      <c r="T65" s="155">
        <v>0.182</v>
      </c>
      <c r="U65" s="155">
        <v>5.0999999999999996</v>
      </c>
      <c r="V65" s="155">
        <v>3.9</v>
      </c>
      <c r="W65" s="155">
        <v>352</v>
      </c>
      <c r="X65" s="155">
        <v>7.1</v>
      </c>
      <c r="Y65" s="155"/>
      <c r="Z65" s="155"/>
      <c r="AA65" s="155"/>
      <c r="AB65" s="155"/>
      <c r="AC65" s="155">
        <v>6.5000000000000002E-2</v>
      </c>
      <c r="AD65" s="155">
        <v>0.52</v>
      </c>
      <c r="AE65" s="155">
        <v>0.22700000000000001</v>
      </c>
      <c r="AF65" s="135"/>
      <c r="AG65" s="135"/>
      <c r="AI65" s="151">
        <v>-127.55633174265321</v>
      </c>
      <c r="AJ65" s="151">
        <v>-17.481655905006157</v>
      </c>
      <c r="AK65" s="135">
        <v>0.13300000000000001</v>
      </c>
      <c r="AL65" s="145">
        <v>12.95</v>
      </c>
      <c r="AM65" s="145">
        <v>-10.15</v>
      </c>
      <c r="AN65" s="183">
        <v>7583.7</v>
      </c>
      <c r="AO65" s="152">
        <v>136.41955913657554</v>
      </c>
      <c r="AP65" s="152">
        <v>0.3224448304225182</v>
      </c>
      <c r="AQ65" s="152">
        <v>19.781075719993858</v>
      </c>
      <c r="AR65" s="152">
        <v>4.5765712778904843E-2</v>
      </c>
      <c r="AS65" s="152">
        <v>0.81293681160648634</v>
      </c>
      <c r="AT65" s="152">
        <v>9.9423170444298534E-2</v>
      </c>
      <c r="AU65" s="153">
        <v>54.132797968497016</v>
      </c>
      <c r="AV65" s="153">
        <v>0.16989572775162967</v>
      </c>
      <c r="AW65" s="153">
        <v>8.8289166473660963</v>
      </c>
      <c r="AX65" s="153">
        <v>2.5578143584649451E-2</v>
      </c>
      <c r="AY65" s="153">
        <v>0.34428464099843514</v>
      </c>
      <c r="AZ65" s="153">
        <v>0.13650262744414979</v>
      </c>
    </row>
    <row r="66" spans="1:52" s="134" customFormat="1" ht="16">
      <c r="A66" s="135" t="s">
        <v>356</v>
      </c>
      <c r="B66" s="136"/>
      <c r="C66" s="137">
        <v>43206</v>
      </c>
      <c r="D66" s="135">
        <f>C66-DATE(YEAR(C66),1,0)</f>
        <v>106</v>
      </c>
      <c r="E66" s="138">
        <f>DATEDIF($A$1,C66,"d")</f>
        <v>863</v>
      </c>
      <c r="F66" s="181">
        <v>15600</v>
      </c>
      <c r="G66" s="135">
        <v>31.6</v>
      </c>
      <c r="H66" s="135">
        <v>1534</v>
      </c>
      <c r="I66" s="135">
        <v>1103</v>
      </c>
      <c r="J66" s="135">
        <v>8.4499999999999993</v>
      </c>
      <c r="K66" s="135">
        <v>-149</v>
      </c>
      <c r="L66" s="135">
        <v>0.7</v>
      </c>
      <c r="M66" s="135">
        <v>0.48</v>
      </c>
      <c r="N66" s="135">
        <v>0</v>
      </c>
      <c r="O66" s="135">
        <v>254</v>
      </c>
      <c r="P66" s="135">
        <v>1.4999999999999999E-2</v>
      </c>
      <c r="Q66" s="178">
        <v>186</v>
      </c>
      <c r="R66" s="178">
        <v>21.3</v>
      </c>
      <c r="S66" s="178">
        <v>6.3</v>
      </c>
      <c r="T66" s="178"/>
      <c r="U66" s="178">
        <v>5.3</v>
      </c>
      <c r="V66" s="178">
        <v>3.9</v>
      </c>
      <c r="W66" s="178">
        <v>355</v>
      </c>
      <c r="X66" s="178">
        <v>7.6</v>
      </c>
      <c r="Y66" s="178"/>
      <c r="Z66" s="178"/>
      <c r="AA66" s="178"/>
      <c r="AB66" s="178"/>
      <c r="AC66" s="178">
        <v>7.0000000000000007E-2</v>
      </c>
      <c r="AD66" s="178">
        <v>0.54</v>
      </c>
      <c r="AE66" s="178">
        <v>0.249</v>
      </c>
      <c r="AF66" s="135"/>
      <c r="AG66" s="135"/>
      <c r="AI66" s="151">
        <v>-127.78613409606271</v>
      </c>
      <c r="AJ66" s="151">
        <v>-17.468992503984005</v>
      </c>
      <c r="AK66" s="135">
        <v>0.316</v>
      </c>
      <c r="AL66" s="145">
        <v>10.961325502297647</v>
      </c>
      <c r="AM66" s="145">
        <v>-9.0974977794595606</v>
      </c>
      <c r="AO66" s="152"/>
      <c r="AP66" s="152"/>
      <c r="AQ66" s="152"/>
      <c r="AR66" s="152"/>
      <c r="AS66" s="152"/>
      <c r="AT66" s="152"/>
      <c r="AU66" s="153"/>
      <c r="AV66" s="153"/>
      <c r="AW66" s="153"/>
      <c r="AX66" s="153"/>
      <c r="AY66" s="153"/>
      <c r="AZ66" s="153"/>
    </row>
    <row r="67" spans="1:52">
      <c r="A67" s="135" t="s">
        <v>356</v>
      </c>
      <c r="C67" s="180">
        <v>43344</v>
      </c>
      <c r="D67" s="135">
        <f>C67-DATE(YEAR(C67),1,0)</f>
        <v>244</v>
      </c>
      <c r="E67" s="181">
        <f>DATEDIF($A$1,C67,"d")</f>
        <v>1001</v>
      </c>
      <c r="F67" s="182">
        <v>16400</v>
      </c>
      <c r="G67" s="182">
        <v>31.4</v>
      </c>
      <c r="H67" s="182">
        <v>1537</v>
      </c>
      <c r="I67" s="182">
        <v>1105</v>
      </c>
      <c r="J67" s="182">
        <v>7.83</v>
      </c>
      <c r="K67" s="182">
        <v>-185</v>
      </c>
      <c r="L67" s="182">
        <v>0.9</v>
      </c>
      <c r="M67" s="182">
        <v>0.46</v>
      </c>
      <c r="N67" s="182">
        <v>0</v>
      </c>
      <c r="O67" s="182">
        <v>334</v>
      </c>
      <c r="P67" s="182">
        <v>0.121</v>
      </c>
      <c r="Q67" s="178">
        <v>173</v>
      </c>
      <c r="R67" s="178">
        <v>19.2</v>
      </c>
      <c r="S67" s="178">
        <v>5.85</v>
      </c>
      <c r="T67" s="178"/>
      <c r="U67" s="178">
        <v>5.3</v>
      </c>
      <c r="V67" s="178">
        <v>4.5999999999999996</v>
      </c>
      <c r="W67" s="178">
        <v>343</v>
      </c>
      <c r="X67" s="178">
        <v>7.3</v>
      </c>
      <c r="Y67" s="178">
        <v>0.28999999999999998</v>
      </c>
      <c r="Z67" s="178">
        <v>6.0000000000000001E-3</v>
      </c>
      <c r="AA67" s="178">
        <v>0.1</v>
      </c>
      <c r="AB67" s="178"/>
      <c r="AC67" s="178">
        <v>6.2E-2</v>
      </c>
      <c r="AD67" s="178">
        <v>0.55000000000000004</v>
      </c>
      <c r="AE67" s="178">
        <v>0.22700000000000001</v>
      </c>
      <c r="AI67" s="187">
        <v>-128.77194375442102</v>
      </c>
      <c r="AJ67" s="188">
        <v>-17.86424178213403</v>
      </c>
      <c r="AK67" s="54">
        <v>0.17299999999999999</v>
      </c>
      <c r="AL67" s="54">
        <v>12.207812260165298</v>
      </c>
      <c r="AM67" s="54">
        <v>-9.831250944800292</v>
      </c>
    </row>
    <row r="68" spans="1:52" s="165" customFormat="1">
      <c r="A68" s="165" t="s">
        <v>357</v>
      </c>
      <c r="B68" s="166"/>
      <c r="C68" s="167">
        <v>42346</v>
      </c>
      <c r="D68" s="165">
        <f t="shared" si="2"/>
        <v>342</v>
      </c>
      <c r="E68" s="168">
        <f t="shared" si="1"/>
        <v>3</v>
      </c>
      <c r="F68" s="165">
        <v>0</v>
      </c>
      <c r="G68" s="165">
        <v>21</v>
      </c>
      <c r="H68" s="165">
        <v>7894</v>
      </c>
      <c r="I68" s="165">
        <v>6579</v>
      </c>
      <c r="J68" s="165">
        <v>9.3699999999999992</v>
      </c>
      <c r="K68" s="165">
        <v>-350</v>
      </c>
      <c r="L68" s="165" t="s">
        <v>417</v>
      </c>
      <c r="N68" s="165" t="s">
        <v>417</v>
      </c>
      <c r="O68" s="165" t="s">
        <v>417</v>
      </c>
      <c r="P68" s="165" t="s">
        <v>417</v>
      </c>
      <c r="Q68" s="170">
        <v>4190</v>
      </c>
      <c r="R68" s="170">
        <v>219</v>
      </c>
      <c r="S68" s="170">
        <v>2.83</v>
      </c>
      <c r="T68" s="170"/>
      <c r="U68" s="170">
        <v>99.6</v>
      </c>
      <c r="V68" s="170">
        <v>330</v>
      </c>
      <c r="W68" s="170">
        <v>1330</v>
      </c>
      <c r="X68" s="170">
        <v>1</v>
      </c>
      <c r="Y68" s="170">
        <v>0.47</v>
      </c>
      <c r="Z68" s="170">
        <v>0.19800000000000001</v>
      </c>
      <c r="AA68" s="170"/>
      <c r="AB68" s="170"/>
      <c r="AC68" s="170">
        <v>8.9999999999999993E-3</v>
      </c>
      <c r="AD68" s="170">
        <v>0.48</v>
      </c>
      <c r="AE68" s="170">
        <v>2.38</v>
      </c>
      <c r="AF68" s="170"/>
      <c r="AG68" s="170"/>
      <c r="AI68" s="125">
        <v>-116.28462557196082</v>
      </c>
      <c r="AJ68" s="125">
        <v>-15.837981321176466</v>
      </c>
      <c r="AL68" s="172"/>
      <c r="AM68" s="172"/>
    </row>
    <row r="69" spans="1:52" s="134" customFormat="1">
      <c r="A69" s="134" t="s">
        <v>357</v>
      </c>
      <c r="B69" s="136"/>
      <c r="C69" s="137">
        <v>42494</v>
      </c>
      <c r="D69" s="134">
        <f t="shared" si="2"/>
        <v>125</v>
      </c>
      <c r="E69" s="138">
        <f t="shared" si="1"/>
        <v>151</v>
      </c>
      <c r="F69" s="134">
        <v>0</v>
      </c>
      <c r="G69" s="134">
        <v>21.3</v>
      </c>
      <c r="H69" s="134">
        <v>7825</v>
      </c>
      <c r="I69" s="134">
        <v>6530</v>
      </c>
      <c r="J69" s="134">
        <v>9.3000000000000007</v>
      </c>
      <c r="K69" s="134">
        <v>-324</v>
      </c>
      <c r="L69" s="134">
        <v>0.3</v>
      </c>
      <c r="M69" s="134">
        <v>0.12</v>
      </c>
      <c r="N69" s="134">
        <v>0.18</v>
      </c>
      <c r="O69" s="134">
        <v>61</v>
      </c>
      <c r="P69" s="134">
        <v>1.1000000000000001</v>
      </c>
      <c r="Q69" s="135">
        <v>3710</v>
      </c>
      <c r="R69" s="135">
        <v>181</v>
      </c>
      <c r="S69" s="135">
        <v>3.01</v>
      </c>
      <c r="T69" s="135"/>
      <c r="U69" s="135">
        <v>91.2</v>
      </c>
      <c r="V69" s="135">
        <v>309</v>
      </c>
      <c r="W69" s="135">
        <v>1590</v>
      </c>
      <c r="X69" s="135">
        <v>0.9</v>
      </c>
      <c r="Y69" s="135">
        <v>0.34</v>
      </c>
      <c r="Z69" s="135">
        <v>0.159</v>
      </c>
      <c r="AA69" s="135">
        <v>0.17</v>
      </c>
      <c r="AB69" s="135">
        <v>0.06</v>
      </c>
      <c r="AC69" s="135">
        <v>2.1000000000000001E-2</v>
      </c>
      <c r="AD69" s="135">
        <v>0.91</v>
      </c>
      <c r="AE69" s="135">
        <v>2.2799999999999998</v>
      </c>
      <c r="AF69" s="135">
        <v>1.0999999999999999E-2</v>
      </c>
      <c r="AG69" s="135"/>
      <c r="AL69" s="157"/>
      <c r="AM69" s="157"/>
      <c r="AN69" s="155"/>
      <c r="AO69" s="158">
        <v>10.83414967998754</v>
      </c>
      <c r="AP69" s="158">
        <v>3.2842303716170833</v>
      </c>
      <c r="AQ69" s="158">
        <v>643.59142660045813</v>
      </c>
      <c r="AR69" s="158">
        <v>6.3938372075301453E-2</v>
      </c>
      <c r="AS69" s="158">
        <v>15.715978092714391</v>
      </c>
      <c r="AT69" s="158">
        <v>0.50325093942056354</v>
      </c>
      <c r="AU69" s="158">
        <v>1.619092886686152</v>
      </c>
      <c r="AV69" s="158">
        <v>0.64588922700544538</v>
      </c>
      <c r="AW69" s="158">
        <v>126.55222872125933</v>
      </c>
      <c r="AX69" s="158">
        <v>1.0189880831958464E-2</v>
      </c>
      <c r="AY69" s="158">
        <v>3.0458374202541112</v>
      </c>
      <c r="AZ69" s="158">
        <v>0.10921826222421287</v>
      </c>
    </row>
    <row r="70" spans="1:52" s="134" customFormat="1">
      <c r="A70" s="134" t="s">
        <v>357</v>
      </c>
      <c r="B70" s="136"/>
      <c r="C70" s="137">
        <v>42509</v>
      </c>
      <c r="D70" s="134">
        <f t="shared" si="2"/>
        <v>140</v>
      </c>
      <c r="E70" s="138">
        <f t="shared" si="1"/>
        <v>166</v>
      </c>
      <c r="F70" s="134">
        <v>0</v>
      </c>
      <c r="G70" s="134">
        <v>21.6</v>
      </c>
      <c r="H70" s="134">
        <v>7883</v>
      </c>
      <c r="I70" s="134">
        <v>6554</v>
      </c>
      <c r="J70" s="134">
        <v>8.9700000000000006</v>
      </c>
      <c r="K70" s="134">
        <v>-134</v>
      </c>
      <c r="L70" s="134">
        <v>0.3</v>
      </c>
      <c r="M70" s="134">
        <v>0.13</v>
      </c>
      <c r="N70" s="134">
        <v>0.08</v>
      </c>
      <c r="O70" s="134">
        <v>86</v>
      </c>
      <c r="P70" s="134">
        <v>0.68</v>
      </c>
      <c r="Q70" s="135">
        <v>4290</v>
      </c>
      <c r="R70" s="135">
        <v>208</v>
      </c>
      <c r="S70" s="135">
        <v>2.96</v>
      </c>
      <c r="T70" s="135"/>
      <c r="U70" s="135">
        <v>89.4</v>
      </c>
      <c r="V70" s="135">
        <v>310</v>
      </c>
      <c r="W70" s="135">
        <v>1510</v>
      </c>
      <c r="X70" s="135">
        <v>1.1000000000000001</v>
      </c>
      <c r="Y70" s="135">
        <v>0.15</v>
      </c>
      <c r="Z70" s="135">
        <v>0.17499999999999999</v>
      </c>
      <c r="AA70" s="135"/>
      <c r="AB70" s="135"/>
      <c r="AC70" s="135">
        <v>8.9999999999999993E-3</v>
      </c>
      <c r="AD70" s="135">
        <v>0.9</v>
      </c>
      <c r="AE70" s="135">
        <v>2.23</v>
      </c>
      <c r="AF70" s="135"/>
      <c r="AG70" s="135"/>
      <c r="AI70" s="151">
        <v>-115.23229122497837</v>
      </c>
      <c r="AJ70" s="151">
        <v>-15.885677121674433</v>
      </c>
      <c r="AK70" s="134">
        <v>0.314</v>
      </c>
      <c r="AL70" s="157"/>
      <c r="AM70" s="157"/>
      <c r="AN70" s="134">
        <v>420813</v>
      </c>
      <c r="AO70" s="158">
        <v>15.780799133371135</v>
      </c>
      <c r="AP70" s="158">
        <v>1.8787131546935554</v>
      </c>
      <c r="AQ70" s="158">
        <v>376.85465790414884</v>
      </c>
      <c r="AR70" s="158">
        <v>7.8125694217654376E-2</v>
      </c>
      <c r="AS70" s="158">
        <v>9.8701733432186103</v>
      </c>
      <c r="AT70" s="158">
        <v>0.27399131478154126</v>
      </c>
      <c r="AU70" s="158">
        <v>1.3388006498280229</v>
      </c>
      <c r="AV70" s="158">
        <v>0.1829636471762239</v>
      </c>
      <c r="AW70" s="158">
        <v>36.511912180639875</v>
      </c>
      <c r="AX70" s="158">
        <v>6.014180795421281E-3</v>
      </c>
      <c r="AY70" s="158">
        <v>0.94288872524889433</v>
      </c>
      <c r="AZ70" s="158">
        <v>2.8082998500469927E-2</v>
      </c>
    </row>
    <row r="71" spans="1:52" s="134" customFormat="1">
      <c r="A71" s="134" t="s">
        <v>357</v>
      </c>
      <c r="B71" s="136"/>
      <c r="C71" s="137">
        <v>42564</v>
      </c>
      <c r="D71" s="134">
        <f t="shared" si="2"/>
        <v>195</v>
      </c>
      <c r="E71" s="138">
        <f t="shared" si="1"/>
        <v>221</v>
      </c>
      <c r="F71" s="134">
        <v>0</v>
      </c>
      <c r="G71" s="134">
        <v>22.1</v>
      </c>
      <c r="H71" s="134">
        <v>7875</v>
      </c>
      <c r="I71" s="134">
        <v>6538</v>
      </c>
      <c r="J71" s="134">
        <v>9.18</v>
      </c>
      <c r="K71" s="134">
        <v>-314</v>
      </c>
      <c r="L71" s="134">
        <v>0.2</v>
      </c>
      <c r="M71" s="134">
        <v>0.13</v>
      </c>
      <c r="N71" s="134">
        <v>0.09</v>
      </c>
      <c r="O71" s="134">
        <v>98</v>
      </c>
      <c r="P71" s="134">
        <v>1.4999999999999999E-2</v>
      </c>
      <c r="Q71" s="135">
        <v>4180</v>
      </c>
      <c r="R71" s="135">
        <v>211</v>
      </c>
      <c r="S71" s="135">
        <v>3.11</v>
      </c>
      <c r="T71" s="135"/>
      <c r="U71" s="135">
        <v>95.7</v>
      </c>
      <c r="V71" s="135">
        <v>331</v>
      </c>
      <c r="W71" s="135">
        <v>1580</v>
      </c>
      <c r="X71" s="135">
        <v>1</v>
      </c>
      <c r="Y71" s="135">
        <v>0.18</v>
      </c>
      <c r="Z71" s="135">
        <v>0.17299999999999999</v>
      </c>
      <c r="AA71" s="135">
        <v>0.03</v>
      </c>
      <c r="AB71" s="135">
        <v>7.0000000000000007E-2</v>
      </c>
      <c r="AC71" s="135">
        <v>8.0000000000000002E-3</v>
      </c>
      <c r="AD71" s="135">
        <v>0.87</v>
      </c>
      <c r="AE71" s="135">
        <v>2.3199999999999998</v>
      </c>
      <c r="AF71" s="135"/>
      <c r="AG71" s="135"/>
      <c r="AI71" s="151">
        <v>-115.20829459356264</v>
      </c>
      <c r="AJ71" s="151">
        <v>-15.824182391222196</v>
      </c>
      <c r="AK71" s="134">
        <v>0.38600000000000001</v>
      </c>
      <c r="AL71" s="157">
        <v>0.49445652738657114</v>
      </c>
      <c r="AM71" s="157">
        <v>-14.278768160034943</v>
      </c>
      <c r="AN71" s="134">
        <v>242463</v>
      </c>
      <c r="AO71" s="158">
        <v>21.10497729898723</v>
      </c>
      <c r="AP71" s="158">
        <v>2.2573874455337752</v>
      </c>
      <c r="AQ71" s="158">
        <v>423.62596990530375</v>
      </c>
      <c r="AR71" s="158">
        <v>0.10579697775972452</v>
      </c>
      <c r="AS71" s="158">
        <v>12.342562801640533</v>
      </c>
      <c r="AT71" s="158">
        <v>0.52218589499099699</v>
      </c>
      <c r="AU71" s="158">
        <v>3.0657769488528941</v>
      </c>
      <c r="AV71" s="158">
        <v>0.2005077675458703</v>
      </c>
      <c r="AW71" s="158">
        <v>40.241336037440583</v>
      </c>
      <c r="AX71" s="158">
        <v>3.106194143111091E-2</v>
      </c>
      <c r="AY71" s="158">
        <v>1.1892747926953402</v>
      </c>
      <c r="AZ71" s="158">
        <v>5.9829797734091847E-2</v>
      </c>
    </row>
    <row r="72" spans="1:52" s="134" customFormat="1">
      <c r="A72" s="134" t="s">
        <v>357</v>
      </c>
      <c r="B72" s="136"/>
      <c r="C72" s="137">
        <v>42635</v>
      </c>
      <c r="D72" s="134">
        <f t="shared" si="2"/>
        <v>266</v>
      </c>
      <c r="E72" s="138">
        <f t="shared" si="1"/>
        <v>292</v>
      </c>
      <c r="F72" s="134">
        <v>0</v>
      </c>
      <c r="G72" s="134">
        <v>21.8</v>
      </c>
      <c r="H72" s="134">
        <v>7987</v>
      </c>
      <c r="I72" s="134">
        <v>6636</v>
      </c>
      <c r="J72" s="134">
        <v>8.14</v>
      </c>
      <c r="K72" s="134">
        <v>-250</v>
      </c>
      <c r="L72" s="134">
        <v>0.3</v>
      </c>
      <c r="M72" s="134">
        <v>0.06</v>
      </c>
      <c r="N72" s="134">
        <v>2.0299999999999998</v>
      </c>
      <c r="O72" s="134">
        <v>73</v>
      </c>
      <c r="P72" s="134">
        <v>7.0000000000000007E-2</v>
      </c>
      <c r="Q72" s="135">
        <v>4290</v>
      </c>
      <c r="R72" s="135">
        <v>217</v>
      </c>
      <c r="S72" s="135"/>
      <c r="T72" s="135"/>
      <c r="U72" s="135">
        <v>98.9</v>
      </c>
      <c r="V72" s="135">
        <v>325</v>
      </c>
      <c r="W72" s="135">
        <v>1600</v>
      </c>
      <c r="X72" s="135">
        <v>6.4</v>
      </c>
      <c r="Y72" s="135">
        <v>3.78</v>
      </c>
      <c r="Z72" s="135">
        <v>0.34599999999999997</v>
      </c>
      <c r="AA72" s="135">
        <v>0.06</v>
      </c>
      <c r="AB72" s="135"/>
      <c r="AC72" s="135"/>
      <c r="AD72" s="135">
        <v>0.94</v>
      </c>
      <c r="AE72" s="135">
        <v>2.2200000000000002</v>
      </c>
      <c r="AF72" s="135"/>
      <c r="AG72" s="135"/>
      <c r="AI72" s="134">
        <v>-113</v>
      </c>
      <c r="AJ72" s="134">
        <v>-15.8</v>
      </c>
      <c r="AK72" s="134">
        <v>0.158</v>
      </c>
      <c r="AL72" s="157"/>
      <c r="AM72" s="157"/>
      <c r="AO72" s="158">
        <v>58.317574875328425</v>
      </c>
      <c r="AP72" s="158">
        <v>0.36732139776560885</v>
      </c>
      <c r="AQ72" s="158">
        <v>79.50510663126137</v>
      </c>
      <c r="AR72" s="158">
        <v>0</v>
      </c>
      <c r="AS72" s="158">
        <v>2.4848229682852723</v>
      </c>
      <c r="AT72" s="158">
        <v>9.0891432908673603E-2</v>
      </c>
      <c r="AU72" s="158">
        <v>4.3821358960529331</v>
      </c>
      <c r="AV72" s="158">
        <v>3.1460996467270241E-2</v>
      </c>
      <c r="AW72" s="158">
        <v>4.1817579287887687</v>
      </c>
      <c r="AX72" s="158">
        <v>0</v>
      </c>
      <c r="AY72" s="158">
        <v>0.12925696948656828</v>
      </c>
      <c r="AZ72" s="158">
        <v>5.0781282964950719E-3</v>
      </c>
    </row>
    <row r="73" spans="1:52" s="134" customFormat="1">
      <c r="A73" s="134" t="s">
        <v>357</v>
      </c>
      <c r="B73" s="136"/>
      <c r="C73" s="137">
        <v>42711</v>
      </c>
      <c r="D73" s="134">
        <f t="shared" si="2"/>
        <v>342</v>
      </c>
      <c r="E73" s="138">
        <f t="shared" si="1"/>
        <v>368</v>
      </c>
      <c r="F73" s="134">
        <v>0</v>
      </c>
      <c r="G73" s="134">
        <v>24.6</v>
      </c>
      <c r="H73" s="134">
        <v>7978</v>
      </c>
      <c r="I73" s="134">
        <v>6685</v>
      </c>
      <c r="J73" s="134">
        <v>8.64</v>
      </c>
      <c r="K73" s="134">
        <v>-205</v>
      </c>
      <c r="L73" s="134">
        <v>0.4</v>
      </c>
      <c r="M73" s="134">
        <v>0.08</v>
      </c>
      <c r="N73" s="134">
        <v>1.23</v>
      </c>
      <c r="O73" s="134">
        <v>55</v>
      </c>
      <c r="P73" s="134">
        <v>0.09</v>
      </c>
      <c r="Q73" s="134">
        <v>4370</v>
      </c>
      <c r="R73" s="134">
        <v>233</v>
      </c>
      <c r="S73" s="134">
        <v>3.12</v>
      </c>
      <c r="U73" s="134">
        <v>93</v>
      </c>
      <c r="V73" s="134">
        <v>310</v>
      </c>
      <c r="W73" s="134">
        <v>1510</v>
      </c>
      <c r="X73" s="134">
        <v>5.2</v>
      </c>
      <c r="Y73" s="134">
        <v>2.3199999999999998</v>
      </c>
      <c r="Z73" s="134">
        <v>0.33200000000000002</v>
      </c>
      <c r="AC73" s="134">
        <v>7.0000000000000001E-3</v>
      </c>
      <c r="AD73" s="134">
        <v>0.85</v>
      </c>
      <c r="AE73" s="134">
        <v>2.08</v>
      </c>
      <c r="AI73" s="139">
        <v>-114.88704956000001</v>
      </c>
      <c r="AJ73" s="139">
        <v>-15.381647899999997</v>
      </c>
      <c r="AK73" s="134">
        <v>0.13600000000000001</v>
      </c>
      <c r="AL73" s="157">
        <v>2.9424027802931518</v>
      </c>
      <c r="AM73" s="157">
        <v>-13.145720872650131</v>
      </c>
      <c r="AN73" s="134">
        <v>519112</v>
      </c>
      <c r="AO73" s="158">
        <v>78.45027775017617</v>
      </c>
      <c r="AP73" s="158">
        <v>0.91892793088122537</v>
      </c>
      <c r="AQ73" s="158">
        <v>174.04027710450728</v>
      </c>
      <c r="AR73" s="158">
        <v>6.3030899288004899E-2</v>
      </c>
      <c r="AS73" s="158">
        <v>6.6931977431160838</v>
      </c>
      <c r="AT73" s="158">
        <v>0.20017968629800353</v>
      </c>
      <c r="AU73" s="158">
        <v>7.4890286872510803</v>
      </c>
      <c r="AV73" s="158">
        <v>8.6331306422299706E-2</v>
      </c>
      <c r="AW73" s="158">
        <v>16.388701876304321</v>
      </c>
      <c r="AX73" s="158">
        <v>7.9911561452477471E-3</v>
      </c>
      <c r="AY73" s="158">
        <v>0.70581504452925659</v>
      </c>
      <c r="AZ73" s="158">
        <v>0.15780718389947196</v>
      </c>
    </row>
    <row r="74" spans="1:52" s="134" customFormat="1">
      <c r="A74" s="134" t="s">
        <v>357</v>
      </c>
      <c r="B74" s="136"/>
      <c r="C74" s="137">
        <v>42780</v>
      </c>
      <c r="D74" s="134">
        <f t="shared" si="2"/>
        <v>45</v>
      </c>
      <c r="E74" s="138">
        <f t="shared" si="1"/>
        <v>437</v>
      </c>
      <c r="F74" s="134">
        <v>0</v>
      </c>
      <c r="G74" s="134">
        <v>20.8</v>
      </c>
      <c r="H74" s="134">
        <v>7937</v>
      </c>
      <c r="I74" s="134">
        <v>6619</v>
      </c>
      <c r="J74" s="134">
        <v>8.11</v>
      </c>
      <c r="K74" s="134">
        <v>-213</v>
      </c>
      <c r="L74" s="134">
        <v>0.3</v>
      </c>
      <c r="M74" s="134">
        <v>0.08</v>
      </c>
      <c r="N74" s="134">
        <v>1.43</v>
      </c>
      <c r="O74" s="134">
        <v>74</v>
      </c>
      <c r="P74" s="134">
        <v>0.02</v>
      </c>
      <c r="Q74" s="155">
        <v>4280</v>
      </c>
      <c r="R74" s="155">
        <v>216</v>
      </c>
      <c r="S74" s="155">
        <v>3.48</v>
      </c>
      <c r="T74" s="155"/>
      <c r="U74" s="155">
        <v>98</v>
      </c>
      <c r="V74" s="155">
        <v>327</v>
      </c>
      <c r="W74" s="155">
        <v>1600</v>
      </c>
      <c r="X74" s="155">
        <v>5.3</v>
      </c>
      <c r="Y74" s="155">
        <v>2.5</v>
      </c>
      <c r="Z74" s="155">
        <v>0.39</v>
      </c>
      <c r="AA74" s="155"/>
      <c r="AB74" s="155"/>
      <c r="AC74" s="155">
        <v>5.0000000000000001E-3</v>
      </c>
      <c r="AD74" s="155">
        <v>0.92</v>
      </c>
      <c r="AE74" s="155">
        <v>2.23</v>
      </c>
      <c r="AF74" s="155"/>
      <c r="AG74" s="155"/>
      <c r="AI74" s="134" t="s">
        <v>417</v>
      </c>
      <c r="AJ74" s="134" t="s">
        <v>417</v>
      </c>
      <c r="AK74" s="134">
        <v>0.13600000000000001</v>
      </c>
      <c r="AL74" s="157">
        <v>2.6944023492604567</v>
      </c>
      <c r="AM74" s="157">
        <v>-13.431225838562876</v>
      </c>
      <c r="AN74" s="134">
        <v>73815</v>
      </c>
      <c r="AO74" s="158">
        <v>64.968881175983043</v>
      </c>
      <c r="AP74" s="158">
        <v>1.8891356593847821</v>
      </c>
      <c r="AQ74" s="158">
        <v>371.0945550082028</v>
      </c>
      <c r="AR74" s="158">
        <v>0</v>
      </c>
      <c r="AS74" s="158">
        <v>10.023577379877869</v>
      </c>
      <c r="AT74" s="158">
        <v>0.40277561526620476</v>
      </c>
      <c r="AU74" s="158">
        <v>5.5472285673602411</v>
      </c>
      <c r="AV74" s="158">
        <v>0.19407798902692605</v>
      </c>
      <c r="AW74" s="158">
        <v>35.101983732712178</v>
      </c>
      <c r="AX74" s="158">
        <v>0</v>
      </c>
      <c r="AY74" s="158">
        <v>0.94096038561267337</v>
      </c>
      <c r="AZ74" s="158">
        <v>7.046909062177098E-2</v>
      </c>
    </row>
    <row r="75" spans="1:52" s="134" customFormat="1">
      <c r="A75" s="134" t="s">
        <v>357</v>
      </c>
      <c r="B75" s="136"/>
      <c r="C75" s="137">
        <v>42866</v>
      </c>
      <c r="D75" s="134">
        <f t="shared" si="2"/>
        <v>131</v>
      </c>
      <c r="E75" s="138">
        <f t="shared" si="1"/>
        <v>523</v>
      </c>
      <c r="F75" s="134">
        <v>0</v>
      </c>
      <c r="G75" s="134">
        <v>20.2</v>
      </c>
      <c r="H75" s="134">
        <v>7952</v>
      </c>
      <c r="I75" s="134">
        <v>6621</v>
      </c>
      <c r="J75" s="134">
        <v>8.2899999999999991</v>
      </c>
      <c r="K75" s="134">
        <v>-257</v>
      </c>
      <c r="L75" s="134">
        <v>0.3</v>
      </c>
      <c r="M75" s="134">
        <v>0.06</v>
      </c>
      <c r="N75" s="134">
        <v>1.74</v>
      </c>
      <c r="O75" s="134">
        <v>122</v>
      </c>
      <c r="P75" s="134">
        <v>0.312</v>
      </c>
      <c r="Q75" s="134">
        <v>4260</v>
      </c>
      <c r="R75" s="134">
        <v>225</v>
      </c>
      <c r="S75" s="134">
        <v>5.23</v>
      </c>
      <c r="U75" s="134">
        <v>98.2</v>
      </c>
      <c r="V75" s="134">
        <v>323</v>
      </c>
      <c r="W75" s="134">
        <v>1570</v>
      </c>
      <c r="X75" s="134">
        <v>6.9</v>
      </c>
      <c r="Y75" s="134">
        <v>4.47</v>
      </c>
      <c r="Z75" s="134">
        <v>0.35699999999999998</v>
      </c>
      <c r="AC75" s="134">
        <v>0.01</v>
      </c>
      <c r="AD75" s="134">
        <v>0.94</v>
      </c>
      <c r="AE75" s="134">
        <v>2.27</v>
      </c>
      <c r="AI75" s="164" t="s">
        <v>417</v>
      </c>
      <c r="AJ75" s="164" t="s">
        <v>417</v>
      </c>
      <c r="AK75" s="135">
        <v>0.186</v>
      </c>
      <c r="AL75" s="145">
        <v>2.77</v>
      </c>
      <c r="AM75" s="145">
        <v>-12.7</v>
      </c>
      <c r="AN75" s="134">
        <v>14138</v>
      </c>
      <c r="AO75" s="155"/>
      <c r="AP75" s="155"/>
      <c r="AQ75" s="155"/>
      <c r="AR75" s="155"/>
      <c r="AS75" s="155"/>
      <c r="AT75" s="155"/>
      <c r="AU75" s="155"/>
      <c r="AV75" s="155"/>
      <c r="AW75" s="155"/>
      <c r="AX75" s="155"/>
      <c r="AY75" s="155"/>
      <c r="AZ75" s="155"/>
    </row>
    <row r="76" spans="1:52" s="134" customFormat="1" ht="16">
      <c r="A76" s="134" t="s">
        <v>357</v>
      </c>
      <c r="B76" s="136"/>
      <c r="C76" s="137">
        <v>42976</v>
      </c>
      <c r="D76" s="134">
        <f t="shared" ref="D76:D77" si="3">C76-DATE(YEAR(C76),1,0)</f>
        <v>241</v>
      </c>
      <c r="E76" s="138">
        <f t="shared" si="1"/>
        <v>633</v>
      </c>
      <c r="F76" s="134">
        <v>0</v>
      </c>
      <c r="G76" s="134">
        <v>22.2</v>
      </c>
      <c r="H76" s="134">
        <v>7945</v>
      </c>
      <c r="I76" s="134">
        <v>6613</v>
      </c>
      <c r="J76" s="134">
        <v>8.1300000000000008</v>
      </c>
      <c r="K76" s="134">
        <v>-207</v>
      </c>
      <c r="L76" s="134">
        <v>0.3</v>
      </c>
      <c r="M76" s="134">
        <v>0.03</v>
      </c>
      <c r="N76" s="134">
        <v>1.51</v>
      </c>
      <c r="O76" s="134">
        <v>88</v>
      </c>
      <c r="P76" s="134">
        <v>7.0000000000000001E-3</v>
      </c>
      <c r="Q76" s="155">
        <v>4400</v>
      </c>
      <c r="R76" s="155">
        <v>233</v>
      </c>
      <c r="S76" s="155"/>
      <c r="T76" s="155"/>
      <c r="U76" s="155">
        <v>99.3</v>
      </c>
      <c r="V76" s="155">
        <v>320</v>
      </c>
      <c r="W76" s="155">
        <v>1600</v>
      </c>
      <c r="X76" s="155">
        <v>5.3</v>
      </c>
      <c r="Y76" s="155">
        <v>1.97</v>
      </c>
      <c r="Z76" s="155">
        <v>0.33400000000000002</v>
      </c>
      <c r="AA76" s="155"/>
      <c r="AB76" s="155"/>
      <c r="AC76" s="155">
        <v>8.9999999999999993E-3</v>
      </c>
      <c r="AD76" s="155">
        <v>0.94</v>
      </c>
      <c r="AE76" s="155">
        <v>2.17</v>
      </c>
      <c r="AI76" s="151">
        <v>-114.853162772755</v>
      </c>
      <c r="AJ76" s="151">
        <v>-15.713212192614577</v>
      </c>
      <c r="AK76" s="134">
        <v>0.28799999999999998</v>
      </c>
      <c r="AL76" s="145">
        <v>2.6</v>
      </c>
      <c r="AM76" s="145">
        <v>-13.425000000000001</v>
      </c>
      <c r="AN76" s="134">
        <v>39693</v>
      </c>
      <c r="AO76" s="152">
        <v>57.882115848844364</v>
      </c>
      <c r="AP76" s="152">
        <v>1.5487798611248307</v>
      </c>
      <c r="AQ76" s="152">
        <v>350.45347225375195</v>
      </c>
      <c r="AR76" s="152">
        <v>0.17727153383896671</v>
      </c>
      <c r="AS76" s="152">
        <v>9.2319350574430832</v>
      </c>
      <c r="AT76" s="152">
        <v>0.10111343140120413</v>
      </c>
      <c r="AU76" s="153">
        <v>10.914426621453993</v>
      </c>
      <c r="AV76" s="153">
        <v>0.44286274632657646</v>
      </c>
      <c r="AW76" s="153">
        <v>92.396868923276813</v>
      </c>
      <c r="AX76" s="153">
        <v>5.9537392940016858E-2</v>
      </c>
      <c r="AY76" s="153">
        <v>2.2458501429180622</v>
      </c>
      <c r="AZ76" s="153">
        <v>3.423138341703387E-2</v>
      </c>
    </row>
    <row r="77" spans="1:52" s="134" customFormat="1" ht="16">
      <c r="A77" s="134" t="s">
        <v>357</v>
      </c>
      <c r="B77" s="136"/>
      <c r="C77" s="137">
        <v>43067</v>
      </c>
      <c r="D77" s="134">
        <f t="shared" si="3"/>
        <v>332</v>
      </c>
      <c r="E77" s="138">
        <f t="shared" ref="E77" si="4">DATEDIF($A$1,C77,"d")</f>
        <v>724</v>
      </c>
      <c r="F77" s="134">
        <v>0</v>
      </c>
      <c r="G77" s="134">
        <v>20.6</v>
      </c>
      <c r="H77" s="134">
        <v>7974</v>
      </c>
      <c r="I77" s="134">
        <v>6641</v>
      </c>
      <c r="J77" s="134">
        <v>6.68</v>
      </c>
      <c r="K77" s="134">
        <v>-188</v>
      </c>
      <c r="L77" s="134">
        <v>0.3</v>
      </c>
      <c r="M77" s="134">
        <v>0.01</v>
      </c>
      <c r="N77" s="134">
        <v>2.93</v>
      </c>
      <c r="O77" s="134">
        <v>20</v>
      </c>
      <c r="P77" s="134">
        <v>8.9999999999999993E-3</v>
      </c>
      <c r="Q77" s="155">
        <v>4220</v>
      </c>
      <c r="R77" s="155">
        <v>207</v>
      </c>
      <c r="S77" s="155"/>
      <c r="T77" s="155">
        <v>2.89</v>
      </c>
      <c r="U77" s="155">
        <v>99.7</v>
      </c>
      <c r="V77" s="155">
        <v>334</v>
      </c>
      <c r="W77" s="155">
        <v>1600</v>
      </c>
      <c r="X77" s="155">
        <v>6.3</v>
      </c>
      <c r="Y77" s="155">
        <v>8.84</v>
      </c>
      <c r="Z77" s="155">
        <v>0.65500000000000003</v>
      </c>
      <c r="AA77" s="155">
        <v>0.04</v>
      </c>
      <c r="AB77" s="155"/>
      <c r="AC77" s="155">
        <v>5.0000000000000001E-3</v>
      </c>
      <c r="AD77" s="155">
        <v>0.92</v>
      </c>
      <c r="AE77" s="155">
        <v>2.1800000000000002</v>
      </c>
      <c r="AI77" s="151">
        <v>-115.2948134694379</v>
      </c>
      <c r="AJ77" s="151">
        <v>-15.850771139473272</v>
      </c>
      <c r="AK77" s="134">
        <v>0.31900000000000001</v>
      </c>
      <c r="AL77" s="145">
        <v>2.65</v>
      </c>
      <c r="AM77" s="145">
        <v>-12.51</v>
      </c>
      <c r="AN77" s="134">
        <v>310834</v>
      </c>
      <c r="AO77" s="152">
        <v>144.66862407157518</v>
      </c>
      <c r="AP77" s="152">
        <v>0.40714852834437265</v>
      </c>
      <c r="AQ77" s="152">
        <v>95.229550579089661</v>
      </c>
      <c r="AR77" s="152">
        <v>0.23292650657366945</v>
      </c>
      <c r="AS77" s="152">
        <v>2.8554346275799203</v>
      </c>
      <c r="AT77" s="152">
        <v>0.34029657798324031</v>
      </c>
      <c r="AU77" s="153">
        <v>16.177148167282656</v>
      </c>
      <c r="AV77" s="153">
        <v>5.0245685748411414E-2</v>
      </c>
      <c r="AW77" s="153">
        <v>9.1020122097124894</v>
      </c>
      <c r="AX77" s="153">
        <v>7.1840753075323491E-2</v>
      </c>
      <c r="AY77" s="153">
        <v>0.27657533005185525</v>
      </c>
      <c r="AZ77" s="153">
        <v>3.4853253351857773E-2</v>
      </c>
    </row>
    <row r="78" spans="1:52" s="134" customFormat="1" ht="16">
      <c r="A78" s="135" t="s">
        <v>357</v>
      </c>
      <c r="B78" s="136"/>
      <c r="C78" s="137">
        <v>43206</v>
      </c>
      <c r="D78" s="135">
        <f>C78-DATE(YEAR(C78),1,0)</f>
        <v>106</v>
      </c>
      <c r="E78" s="138">
        <f>DATEDIF($A$1,C78,"d")</f>
        <v>863</v>
      </c>
      <c r="F78" s="135">
        <v>0</v>
      </c>
      <c r="G78" s="135">
        <v>20.100000000000001</v>
      </c>
      <c r="H78" s="135">
        <v>7933</v>
      </c>
      <c r="I78" s="135">
        <v>6602</v>
      </c>
      <c r="J78" s="135">
        <v>6.61</v>
      </c>
      <c r="K78" s="135">
        <v>-198</v>
      </c>
      <c r="L78" s="135">
        <v>0.3</v>
      </c>
      <c r="M78" s="135">
        <v>0</v>
      </c>
      <c r="N78" s="135">
        <v>1.47</v>
      </c>
      <c r="O78" s="135">
        <v>13</v>
      </c>
      <c r="P78" s="135">
        <v>0</v>
      </c>
      <c r="Q78" s="178">
        <v>4110</v>
      </c>
      <c r="R78" s="178">
        <v>213</v>
      </c>
      <c r="S78" s="178"/>
      <c r="T78" s="178">
        <v>3.39</v>
      </c>
      <c r="U78" s="178">
        <v>101</v>
      </c>
      <c r="V78" s="178">
        <v>319</v>
      </c>
      <c r="W78" s="178">
        <v>1710</v>
      </c>
      <c r="X78" s="178">
        <v>2.7</v>
      </c>
      <c r="Y78" s="178">
        <v>2.44</v>
      </c>
      <c r="Z78" s="178">
        <v>0.375</v>
      </c>
      <c r="AA78" s="178"/>
      <c r="AB78" s="178"/>
      <c r="AC78" s="178">
        <v>7.0000000000000001E-3</v>
      </c>
      <c r="AD78" s="178">
        <v>0.98</v>
      </c>
      <c r="AE78" s="178">
        <v>2.57</v>
      </c>
      <c r="AI78" s="151">
        <v>-115.36080482714587</v>
      </c>
      <c r="AJ78" s="151">
        <v>-15.839375474600958</v>
      </c>
      <c r="AK78" s="135">
        <v>0.28599999999999998</v>
      </c>
      <c r="AL78" s="151">
        <v>1.8597439651742664</v>
      </c>
      <c r="AM78" s="151">
        <v>-12.870055526625146</v>
      </c>
      <c r="AO78" s="152"/>
      <c r="AP78" s="152"/>
      <c r="AQ78" s="152"/>
      <c r="AR78" s="152"/>
      <c r="AS78" s="152"/>
      <c r="AT78" s="152"/>
      <c r="AU78" s="153"/>
      <c r="AV78" s="153"/>
      <c r="AW78" s="153"/>
      <c r="AX78" s="153"/>
      <c r="AY78" s="153"/>
      <c r="AZ78" s="153"/>
    </row>
    <row r="79" spans="1:52">
      <c r="A79" s="135" t="s">
        <v>357</v>
      </c>
      <c r="C79" s="179">
        <v>43344</v>
      </c>
      <c r="D79" s="135">
        <f>C79-DATE(YEAR(C79),1,0)</f>
        <v>244</v>
      </c>
      <c r="E79" s="138">
        <f>DATEDIF($A$1,C79,"d")</f>
        <v>1001</v>
      </c>
      <c r="F79" s="54">
        <v>0</v>
      </c>
      <c r="G79" s="54">
        <v>21.5</v>
      </c>
      <c r="H79" s="54">
        <v>7873</v>
      </c>
      <c r="I79" s="54">
        <v>6561</v>
      </c>
      <c r="J79" s="54">
        <v>5.78</v>
      </c>
      <c r="K79" s="54">
        <v>-194</v>
      </c>
      <c r="L79" s="54">
        <v>0.3</v>
      </c>
      <c r="M79" s="54">
        <v>0.12</v>
      </c>
      <c r="N79" s="54">
        <v>0.88</v>
      </c>
      <c r="O79" s="54">
        <v>38</v>
      </c>
      <c r="P79" s="54">
        <v>0</v>
      </c>
      <c r="Q79" s="178">
        <v>4380</v>
      </c>
      <c r="R79" s="178">
        <v>228</v>
      </c>
      <c r="S79" s="178"/>
      <c r="T79" s="178"/>
      <c r="U79" s="178">
        <v>94.3</v>
      </c>
      <c r="V79" s="178">
        <v>270</v>
      </c>
      <c r="W79" s="178">
        <v>1670</v>
      </c>
      <c r="X79" s="178">
        <v>1.1000000000000001</v>
      </c>
      <c r="Y79" s="178">
        <v>0.55000000000000004</v>
      </c>
      <c r="Z79" s="178">
        <v>0.23799999999999999</v>
      </c>
      <c r="AA79" s="178"/>
      <c r="AB79" s="178"/>
      <c r="AC79" s="178">
        <v>4.0000000000000001E-3</v>
      </c>
      <c r="AD79" s="178">
        <v>0.95</v>
      </c>
      <c r="AE79" s="178">
        <v>2.2599999999999998</v>
      </c>
      <c r="AI79" s="189">
        <v>-116.75631772054078</v>
      </c>
      <c r="AJ79" s="190">
        <v>-16.216200323340178</v>
      </c>
      <c r="AK79" s="54">
        <v>0.252</v>
      </c>
      <c r="AL79" s="54">
        <v>1.2949753833537292</v>
      </c>
      <c r="AM79" s="54">
        <v>-13.259815372061006</v>
      </c>
    </row>
    <row r="80" spans="1:52" s="165" customFormat="1">
      <c r="B80" s="166"/>
      <c r="C80" s="167"/>
      <c r="Q80" s="175"/>
      <c r="R80" s="175"/>
      <c r="S80" s="175"/>
      <c r="T80" s="175"/>
      <c r="U80" s="175"/>
      <c r="V80" s="175"/>
      <c r="W80" s="175"/>
      <c r="X80" s="175"/>
      <c r="Y80" s="175"/>
      <c r="Z80" s="175"/>
      <c r="AA80" s="175"/>
      <c r="AB80" s="175"/>
      <c r="AC80" s="175"/>
      <c r="AD80" s="175"/>
      <c r="AE80" s="175"/>
      <c r="AI80" s="176"/>
      <c r="AJ80" s="176"/>
      <c r="AL80" s="177"/>
      <c r="AM80" s="177"/>
    </row>
    <row r="81" spans="1:49">
      <c r="A81" t="s">
        <v>481</v>
      </c>
      <c r="B81" s="143"/>
      <c r="C81" s="120">
        <v>42975</v>
      </c>
      <c r="Q81" s="90"/>
      <c r="R81" s="90"/>
      <c r="S81" s="90"/>
      <c r="T81" s="90"/>
      <c r="U81" s="90"/>
      <c r="V81" s="90"/>
      <c r="W81" s="90"/>
      <c r="X81" s="90"/>
      <c r="Y81" s="90"/>
      <c r="Z81" s="90"/>
      <c r="AA81" s="90"/>
      <c r="AB81" s="90"/>
      <c r="AC81" s="90"/>
      <c r="AD81" s="90"/>
      <c r="AE81" s="90"/>
      <c r="AI81" s="151">
        <v>-126.58667156300618</v>
      </c>
      <c r="AJ81" s="151">
        <v>-17.183603622646185</v>
      </c>
      <c r="AL81" s="121">
        <v>11.6</v>
      </c>
      <c r="AM81" s="121">
        <v>-9.09</v>
      </c>
    </row>
    <row r="83" spans="1:49" ht="29">
      <c r="B83" s="126"/>
      <c r="C83"/>
      <c r="F83" s="74" t="s">
        <v>520</v>
      </c>
      <c r="G83" s="74" t="s">
        <v>408</v>
      </c>
      <c r="H83" s="74" t="s">
        <v>213</v>
      </c>
      <c r="I83" s="119" t="s">
        <v>289</v>
      </c>
      <c r="J83" s="74" t="s">
        <v>192</v>
      </c>
      <c r="K83" s="74" t="s">
        <v>193</v>
      </c>
      <c r="L83" s="74" t="s">
        <v>435</v>
      </c>
      <c r="M83" s="74" t="s">
        <v>436</v>
      </c>
      <c r="N83" s="74" t="s">
        <v>437</v>
      </c>
      <c r="O83" s="74" t="s">
        <v>438</v>
      </c>
      <c r="P83" s="74" t="s">
        <v>205</v>
      </c>
      <c r="Q83" s="74" t="s">
        <v>433</v>
      </c>
      <c r="R83" s="74" t="s">
        <v>423</v>
      </c>
      <c r="S83" s="74" t="s">
        <v>424</v>
      </c>
      <c r="T83" s="74" t="s">
        <v>421</v>
      </c>
      <c r="U83" s="74" t="s">
        <v>427</v>
      </c>
      <c r="V83" s="74" t="s">
        <v>422</v>
      </c>
      <c r="W83" s="74" t="s">
        <v>432</v>
      </c>
      <c r="X83" s="74" t="s">
        <v>431</v>
      </c>
      <c r="Y83" s="74" t="s">
        <v>425</v>
      </c>
      <c r="Z83" s="74" t="s">
        <v>428</v>
      </c>
      <c r="AA83" s="74" t="s">
        <v>418</v>
      </c>
      <c r="AB83" s="74" t="s">
        <v>419</v>
      </c>
      <c r="AC83" s="74" t="s">
        <v>420</v>
      </c>
      <c r="AD83" s="74" t="s">
        <v>11</v>
      </c>
      <c r="AE83" s="74" t="s">
        <v>426</v>
      </c>
      <c r="AF83" s="74" t="s">
        <v>429</v>
      </c>
      <c r="AG83" s="74" t="s">
        <v>430</v>
      </c>
      <c r="AH83" s="74" t="s">
        <v>434</v>
      </c>
      <c r="AI83" s="74" t="s">
        <v>308</v>
      </c>
      <c r="AJ83" s="74" t="s">
        <v>309</v>
      </c>
      <c r="AK83" s="74" t="s">
        <v>271</v>
      </c>
      <c r="AL83" t="s">
        <v>327</v>
      </c>
      <c r="AM83" t="s">
        <v>439</v>
      </c>
      <c r="AN83" s="74" t="s">
        <v>497</v>
      </c>
      <c r="AO83" s="133" t="s">
        <v>483</v>
      </c>
      <c r="AP83" s="133" t="s">
        <v>484</v>
      </c>
      <c r="AQ83" s="133" t="s">
        <v>485</v>
      </c>
      <c r="AR83" s="133" t="s">
        <v>486</v>
      </c>
      <c r="AS83" s="133" t="s">
        <v>487</v>
      </c>
      <c r="AT83" s="133" t="s">
        <v>488</v>
      </c>
    </row>
    <row r="84" spans="1:49">
      <c r="C84" s="126" t="s">
        <v>351</v>
      </c>
      <c r="F84" s="93">
        <f>AVERAGE(F2:F13)</f>
        <v>2630.6592592592592</v>
      </c>
      <c r="G84" s="93">
        <f t="shared" ref="G84:AT84" si="5">AVERAGE(G2:G13)</f>
        <v>10.249999999999998</v>
      </c>
      <c r="H84" s="93">
        <f t="shared" si="5"/>
        <v>973.97499999999991</v>
      </c>
      <c r="I84" s="93">
        <f t="shared" si="5"/>
        <v>700.09166666666658</v>
      </c>
      <c r="J84" s="93">
        <f t="shared" si="5"/>
        <v>7.1966666666666654</v>
      </c>
      <c r="K84" s="93">
        <f t="shared" si="5"/>
        <v>-86.75</v>
      </c>
      <c r="L84" s="93">
        <f t="shared" si="5"/>
        <v>0.27272727272727271</v>
      </c>
      <c r="M84" s="93">
        <f t="shared" si="5"/>
        <v>6.8181818181818191E-2</v>
      </c>
      <c r="N84" s="93">
        <f t="shared" si="5"/>
        <v>2.4236363636363634</v>
      </c>
      <c r="O84" s="93">
        <f t="shared" si="5"/>
        <v>1.7272727272727273</v>
      </c>
      <c r="P84" s="77">
        <f t="shared" si="5"/>
        <v>6.1700000000000012E-2</v>
      </c>
      <c r="Q84" s="93">
        <f t="shared" si="5"/>
        <v>336.08333333333331</v>
      </c>
      <c r="R84" s="93">
        <f t="shared" si="5"/>
        <v>11.825000000000001</v>
      </c>
      <c r="S84" s="93">
        <f t="shared" si="5"/>
        <v>0.46181818181818185</v>
      </c>
      <c r="T84" s="93" t="e">
        <f t="shared" si="5"/>
        <v>#DIV/0!</v>
      </c>
      <c r="U84" s="93">
        <f t="shared" si="5"/>
        <v>38.116666666666667</v>
      </c>
      <c r="V84" s="93">
        <f t="shared" si="5"/>
        <v>121.83333333333333</v>
      </c>
      <c r="W84" s="93">
        <f t="shared" si="5"/>
        <v>28.091666666666665</v>
      </c>
      <c r="X84" s="93">
        <f t="shared" si="5"/>
        <v>7.8999999999999995</v>
      </c>
      <c r="Y84" s="93">
        <f t="shared" si="5"/>
        <v>5.3416666666666659</v>
      </c>
      <c r="Z84" s="93">
        <f t="shared" si="5"/>
        <v>0.20474999999999999</v>
      </c>
      <c r="AA84" s="93">
        <f t="shared" si="5"/>
        <v>0.05</v>
      </c>
      <c r="AB84" s="93">
        <f t="shared" si="5"/>
        <v>0.04</v>
      </c>
      <c r="AC84" s="93">
        <f t="shared" si="5"/>
        <v>4.0583333333333325E-2</v>
      </c>
      <c r="AD84" s="93">
        <f t="shared" si="5"/>
        <v>0.22666666666666666</v>
      </c>
      <c r="AE84" s="93">
        <f t="shared" si="5"/>
        <v>4.374999999999999E-2</v>
      </c>
      <c r="AF84" s="93">
        <f t="shared" si="5"/>
        <v>1.2999999999999998E-2</v>
      </c>
      <c r="AG84" s="93" t="e">
        <f t="shared" si="5"/>
        <v>#DIV/0!</v>
      </c>
      <c r="AH84" s="93">
        <f t="shared" si="5"/>
        <v>0.01</v>
      </c>
      <c r="AI84" s="93">
        <f t="shared" si="5"/>
        <v>-123.56013710232114</v>
      </c>
      <c r="AJ84" s="93">
        <f t="shared" si="5"/>
        <v>-16.895457977173738</v>
      </c>
      <c r="AK84" s="77">
        <f t="shared" si="5"/>
        <v>0.42980000000000002</v>
      </c>
      <c r="AL84" s="93">
        <f t="shared" si="5"/>
        <v>4.1922826655200449</v>
      </c>
      <c r="AM84" s="93">
        <f t="shared" si="5"/>
        <v>-11.301621174328746</v>
      </c>
      <c r="AN84" s="93">
        <f t="shared" si="5"/>
        <v>2755.5714285714284</v>
      </c>
      <c r="AO84" s="93">
        <f t="shared" si="5"/>
        <v>518.77138620390792</v>
      </c>
      <c r="AP84" s="93">
        <f t="shared" si="5"/>
        <v>0</v>
      </c>
      <c r="AQ84" s="77">
        <f t="shared" si="5"/>
        <v>0.48337779705529699</v>
      </c>
      <c r="AR84" s="93">
        <f t="shared" si="5"/>
        <v>0.19656204922726697</v>
      </c>
      <c r="AS84" s="77">
        <f t="shared" si="5"/>
        <v>3.9284325575356098E-2</v>
      </c>
      <c r="AT84" s="77">
        <f t="shared" si="5"/>
        <v>0.11863655054377359</v>
      </c>
    </row>
    <row r="85" spans="1:49">
      <c r="C85" s="117" t="s">
        <v>352</v>
      </c>
      <c r="F85" s="93">
        <f>AVERAGE(F14:F25)</f>
        <v>329</v>
      </c>
      <c r="G85" s="93">
        <f t="shared" ref="G85:AT85" si="6">AVERAGE(G14:G25)</f>
        <v>12.445454545454545</v>
      </c>
      <c r="H85" s="93">
        <f t="shared" si="6"/>
        <v>618.81818181818176</v>
      </c>
      <c r="I85" s="93">
        <f t="shared" si="6"/>
        <v>437.14545454545458</v>
      </c>
      <c r="J85" s="93">
        <f>AVERAGE(J14:J25)</f>
        <v>7.6263636363636378</v>
      </c>
      <c r="K85" s="93">
        <f t="shared" si="6"/>
        <v>-116</v>
      </c>
      <c r="L85" s="93">
        <f t="shared" si="6"/>
        <v>0.22727272727272732</v>
      </c>
      <c r="M85" s="93">
        <f t="shared" si="6"/>
        <v>2.0909090909090908E-2</v>
      </c>
      <c r="N85" s="93">
        <f t="shared" si="6"/>
        <v>0.2972727272727273</v>
      </c>
      <c r="O85" s="93">
        <f t="shared" si="6"/>
        <v>19.636363636363637</v>
      </c>
      <c r="P85" s="77">
        <f t="shared" si="6"/>
        <v>0.35277777777777775</v>
      </c>
      <c r="Q85" s="93">
        <f t="shared" si="6"/>
        <v>84.933333333333323</v>
      </c>
      <c r="R85" s="93">
        <f t="shared" si="6"/>
        <v>16.941666666666666</v>
      </c>
      <c r="S85" s="93">
        <f t="shared" si="6"/>
        <v>0.81083333333333341</v>
      </c>
      <c r="T85" s="93">
        <f t="shared" si="6"/>
        <v>0.113</v>
      </c>
      <c r="U85" s="93">
        <f t="shared" si="6"/>
        <v>29.316666666666663</v>
      </c>
      <c r="V85" s="93">
        <f t="shared" si="6"/>
        <v>46.19166666666667</v>
      </c>
      <c r="W85" s="93">
        <f t="shared" si="6"/>
        <v>38.57500000000001</v>
      </c>
      <c r="X85" s="93">
        <f t="shared" si="6"/>
        <v>4.95</v>
      </c>
      <c r="Y85" s="93">
        <f t="shared" si="6"/>
        <v>0.33916666666666662</v>
      </c>
      <c r="Z85" s="93">
        <f t="shared" si="6"/>
        <v>4.7499999999999994E-2</v>
      </c>
      <c r="AA85" s="93">
        <f t="shared" si="6"/>
        <v>0.04</v>
      </c>
      <c r="AB85" s="93">
        <f t="shared" si="6"/>
        <v>4.8749999999999995E-2</v>
      </c>
      <c r="AC85" s="93">
        <f t="shared" si="6"/>
        <v>0.13149999999999998</v>
      </c>
      <c r="AD85" s="93">
        <f t="shared" si="6"/>
        <v>6.9166666666666654E-2</v>
      </c>
      <c r="AE85" s="93">
        <f t="shared" si="6"/>
        <v>3.6166666666666659E-2</v>
      </c>
      <c r="AF85" s="93" t="e">
        <f>AVERAGE(AF14:AF25)</f>
        <v>#DIV/0!</v>
      </c>
      <c r="AG85" s="93" t="e">
        <f t="shared" si="6"/>
        <v>#DIV/0!</v>
      </c>
      <c r="AH85" s="93" t="e">
        <f t="shared" si="6"/>
        <v>#DIV/0!</v>
      </c>
      <c r="AI85" s="93">
        <f t="shared" si="6"/>
        <v>-127.41795940225289</v>
      </c>
      <c r="AJ85" s="93">
        <f t="shared" si="6"/>
        <v>-17.429229694844039</v>
      </c>
      <c r="AK85" s="77">
        <f t="shared" si="6"/>
        <v>0.41563636363636358</v>
      </c>
      <c r="AL85" s="93">
        <f t="shared" si="6"/>
        <v>4.67964602988551</v>
      </c>
      <c r="AM85" s="93">
        <f t="shared" si="6"/>
        <v>-10.356721815082542</v>
      </c>
      <c r="AN85" s="93">
        <f t="shared" si="6"/>
        <v>22465.857142857141</v>
      </c>
      <c r="AO85" s="93">
        <f t="shared" si="6"/>
        <v>403.38138838587054</v>
      </c>
      <c r="AP85" s="93">
        <f t="shared" si="6"/>
        <v>0</v>
      </c>
      <c r="AQ85" s="77">
        <f t="shared" si="6"/>
        <v>0.36535582079156992</v>
      </c>
      <c r="AR85" s="93">
        <f t="shared" si="6"/>
        <v>0.17856890208416856</v>
      </c>
      <c r="AS85" s="77">
        <f t="shared" si="6"/>
        <v>1.6136484754295403E-2</v>
      </c>
      <c r="AT85" s="77">
        <f t="shared" si="6"/>
        <v>0.13960682525549989</v>
      </c>
    </row>
    <row r="86" spans="1:49">
      <c r="C86" s="117" t="s">
        <v>354</v>
      </c>
      <c r="F86" s="93">
        <f>AVERAGE(F26:F38)</f>
        <v>2084.6</v>
      </c>
      <c r="G86" s="93">
        <f t="shared" ref="G86:AT86" si="7">AVERAGE(G26:G38)</f>
        <v>16.223076923076921</v>
      </c>
      <c r="H86" s="93">
        <f t="shared" si="7"/>
        <v>3045.7692307692309</v>
      </c>
      <c r="I86" s="93">
        <f t="shared" si="7"/>
        <v>2319.1538461538462</v>
      </c>
      <c r="J86" s="93">
        <f t="shared" si="7"/>
        <v>7.0976923076923075</v>
      </c>
      <c r="K86" s="93">
        <f t="shared" si="7"/>
        <v>-34.46153846153846</v>
      </c>
      <c r="L86" s="93">
        <f t="shared" si="7"/>
        <v>0.31666666666666665</v>
      </c>
      <c r="M86" s="93">
        <f t="shared" si="7"/>
        <v>0.23083333333333331</v>
      </c>
      <c r="N86" s="93">
        <f t="shared" si="7"/>
        <v>2.5074999999999998</v>
      </c>
      <c r="O86" s="93">
        <f t="shared" si="7"/>
        <v>10.083333333333334</v>
      </c>
      <c r="P86" s="77">
        <f t="shared" si="7"/>
        <v>0.53370833333333323</v>
      </c>
      <c r="Q86" s="93">
        <f t="shared" si="7"/>
        <v>1674.1666666666667</v>
      </c>
      <c r="R86" s="93">
        <f t="shared" si="7"/>
        <v>10.078571428571431</v>
      </c>
      <c r="S86" s="93">
        <f t="shared" si="7"/>
        <v>0.66799999999999993</v>
      </c>
      <c r="T86" s="93" t="e">
        <f t="shared" si="7"/>
        <v>#DIV/0!</v>
      </c>
      <c r="U86" s="93">
        <f t="shared" si="7"/>
        <v>239.23076923076923</v>
      </c>
      <c r="V86" s="93">
        <f t="shared" si="7"/>
        <v>351.46153846153845</v>
      </c>
      <c r="W86" s="93">
        <f t="shared" si="7"/>
        <v>106.19230769230769</v>
      </c>
      <c r="X86" s="93">
        <f t="shared" si="7"/>
        <v>6.4230769230769234</v>
      </c>
      <c r="Y86" s="93">
        <f t="shared" si="7"/>
        <v>2.8538461538461539</v>
      </c>
      <c r="Z86" s="93">
        <f t="shared" si="7"/>
        <v>0.27261538461538459</v>
      </c>
      <c r="AA86" s="93">
        <f t="shared" si="7"/>
        <v>4.8333333333333339E-2</v>
      </c>
      <c r="AB86" s="93">
        <f t="shared" si="7"/>
        <v>0.05</v>
      </c>
      <c r="AC86" s="93">
        <f t="shared" si="7"/>
        <v>2.8923076923076933E-2</v>
      </c>
      <c r="AD86" s="93">
        <f t="shared" si="7"/>
        <v>0.13538461538461538</v>
      </c>
      <c r="AE86" s="93">
        <f t="shared" si="7"/>
        <v>0.12392307692307693</v>
      </c>
      <c r="AF86" s="93" t="e">
        <f t="shared" si="7"/>
        <v>#DIV/0!</v>
      </c>
      <c r="AG86" s="93">
        <f t="shared" si="7"/>
        <v>0.05</v>
      </c>
      <c r="AH86" s="93">
        <f t="shared" si="7"/>
        <v>0.01</v>
      </c>
      <c r="AI86" s="93">
        <f t="shared" si="7"/>
        <v>-121.0966337170004</v>
      </c>
      <c r="AJ86" s="93">
        <f t="shared" si="7"/>
        <v>-16.680811351744069</v>
      </c>
      <c r="AK86" s="77">
        <f t="shared" si="7"/>
        <v>0.24758333333333335</v>
      </c>
      <c r="AL86" s="93">
        <f t="shared" si="7"/>
        <v>9.950266021739786</v>
      </c>
      <c r="AM86" s="93">
        <f t="shared" si="7"/>
        <v>-6.9562004050202271</v>
      </c>
      <c r="AN86" s="93">
        <f t="shared" si="7"/>
        <v>6075.7142857142853</v>
      </c>
      <c r="AO86" s="93">
        <f t="shared" si="7"/>
        <v>2090.0253180901177</v>
      </c>
      <c r="AP86" s="93">
        <f t="shared" si="7"/>
        <v>2.4294013967162595E-3</v>
      </c>
      <c r="AQ86" s="77">
        <f t="shared" si="7"/>
        <v>4.2875410177082314</v>
      </c>
      <c r="AR86" s="93">
        <f t="shared" si="7"/>
        <v>0.29227651580739727</v>
      </c>
      <c r="AS86" s="77">
        <f t="shared" si="7"/>
        <v>0.1096278964757261</v>
      </c>
      <c r="AT86" s="77">
        <f t="shared" si="7"/>
        <v>0.26656015515833553</v>
      </c>
    </row>
    <row r="87" spans="1:49">
      <c r="C87" s="117" t="s">
        <v>355</v>
      </c>
      <c r="F87" s="93">
        <f>AVERAGE(F39:F53)</f>
        <v>657.5</v>
      </c>
      <c r="G87" s="93">
        <f t="shared" ref="G87:AT87" si="8">AVERAGE(G39:G53)</f>
        <v>22.519999999999992</v>
      </c>
      <c r="H87" s="93">
        <f t="shared" si="8"/>
        <v>1780.6666666666667</v>
      </c>
      <c r="I87" s="93">
        <f t="shared" si="8"/>
        <v>1301.8666666666666</v>
      </c>
      <c r="J87" s="93">
        <f t="shared" si="8"/>
        <v>8.2841443502592362</v>
      </c>
      <c r="K87" s="93">
        <f t="shared" si="8"/>
        <v>-215.4</v>
      </c>
      <c r="L87" s="93">
        <f t="shared" si="8"/>
        <v>0.96923076923076934</v>
      </c>
      <c r="M87" s="93">
        <f t="shared" si="8"/>
        <v>1.3553846153846152</v>
      </c>
      <c r="N87" s="93">
        <f t="shared" si="8"/>
        <v>1.384615384615385E-2</v>
      </c>
      <c r="O87" s="93">
        <f t="shared" si="8"/>
        <v>844.23076923076928</v>
      </c>
      <c r="P87" s="77">
        <f t="shared" si="8"/>
        <v>0.11930769230769225</v>
      </c>
      <c r="Q87" s="93">
        <f t="shared" si="8"/>
        <v>287.14285714285717</v>
      </c>
      <c r="R87" s="93">
        <f t="shared" si="8"/>
        <v>20.792857142857141</v>
      </c>
      <c r="S87" s="93">
        <f t="shared" si="8"/>
        <v>6.5442857142857136</v>
      </c>
      <c r="T87" s="93">
        <f t="shared" si="8"/>
        <v>0.16366666666666665</v>
      </c>
      <c r="U87" s="93">
        <f t="shared" si="8"/>
        <v>8.1142857142857139</v>
      </c>
      <c r="V87" s="93">
        <f t="shared" si="8"/>
        <v>7.2357142857142849</v>
      </c>
      <c r="W87" s="93">
        <f t="shared" si="8"/>
        <v>379.35714285714283</v>
      </c>
      <c r="X87" s="93">
        <f t="shared" si="8"/>
        <v>8.0428571428571409</v>
      </c>
      <c r="Y87" s="93">
        <f t="shared" si="8"/>
        <v>0.06</v>
      </c>
      <c r="Z87" s="93">
        <f t="shared" si="8"/>
        <v>6.2857142857142851E-3</v>
      </c>
      <c r="AA87" s="93">
        <f t="shared" si="8"/>
        <v>4.1000000000000002E-2</v>
      </c>
      <c r="AB87" s="93">
        <f t="shared" si="8"/>
        <v>4.4999999999999998E-2</v>
      </c>
      <c r="AC87" s="93">
        <f t="shared" si="8"/>
        <v>3.9999999999999994E-2</v>
      </c>
      <c r="AD87" s="93">
        <f t="shared" si="8"/>
        <v>0.60928571428571432</v>
      </c>
      <c r="AE87" s="93">
        <f t="shared" si="8"/>
        <v>0.25235714285714289</v>
      </c>
      <c r="AF87" s="93" t="e">
        <f t="shared" si="8"/>
        <v>#DIV/0!</v>
      </c>
      <c r="AG87" s="93">
        <f t="shared" si="8"/>
        <v>7.0000000000000007E-2</v>
      </c>
      <c r="AH87" s="93" t="e">
        <f t="shared" si="8"/>
        <v>#DIV/0!</v>
      </c>
      <c r="AI87" s="93">
        <f t="shared" si="8"/>
        <v>-127.65918401237637</v>
      </c>
      <c r="AJ87" s="93">
        <f t="shared" si="8"/>
        <v>-17.39582026365116</v>
      </c>
      <c r="AK87" s="77">
        <f t="shared" si="8"/>
        <v>0.20315384615384616</v>
      </c>
      <c r="AL87" s="93">
        <f t="shared" si="8"/>
        <v>13.085369239069504</v>
      </c>
      <c r="AM87" s="93">
        <f t="shared" si="8"/>
        <v>-9.9301076490984954</v>
      </c>
      <c r="AN87" s="93">
        <f t="shared" si="8"/>
        <v>25065.714285714286</v>
      </c>
      <c r="AO87" s="93">
        <f t="shared" si="8"/>
        <v>297.52261908479863</v>
      </c>
      <c r="AP87" s="93">
        <f t="shared" si="8"/>
        <v>2.070095446627938</v>
      </c>
      <c r="AQ87" s="77">
        <f t="shared" si="8"/>
        <v>44.824740666375767</v>
      </c>
      <c r="AR87" s="93">
        <f t="shared" si="8"/>
        <v>0.12670101347362495</v>
      </c>
      <c r="AS87" s="77">
        <f t="shared" si="8"/>
        <v>3.8354620805021722</v>
      </c>
      <c r="AT87" s="77">
        <f t="shared" si="8"/>
        <v>0.21431103887838129</v>
      </c>
    </row>
    <row r="88" spans="1:49">
      <c r="C88" s="117" t="s">
        <v>356</v>
      </c>
      <c r="F88" s="93">
        <f>AVERAGE(F54:F67)</f>
        <v>13368</v>
      </c>
      <c r="G88" s="93">
        <f t="shared" ref="G88:AT88" si="9">AVERAGE(G54:G67)</f>
        <v>31.721428571428572</v>
      </c>
      <c r="H88" s="93">
        <f t="shared" si="9"/>
        <v>1543.2142857142858</v>
      </c>
      <c r="I88" s="93">
        <f t="shared" si="9"/>
        <v>1111</v>
      </c>
      <c r="J88" s="93">
        <f t="shared" si="9"/>
        <v>8.5564285714285706</v>
      </c>
      <c r="K88" s="93">
        <f t="shared" si="9"/>
        <v>-206.78571428571428</v>
      </c>
      <c r="L88" s="93">
        <f t="shared" si="9"/>
        <v>0.76923076923076905</v>
      </c>
      <c r="M88" s="93">
        <f t="shared" si="9"/>
        <v>0.45538461538461533</v>
      </c>
      <c r="N88" s="93">
        <f t="shared" si="9"/>
        <v>1.3846153846153848E-2</v>
      </c>
      <c r="O88" s="93">
        <f t="shared" si="9"/>
        <v>313.30769230769232</v>
      </c>
      <c r="P88" s="77">
        <f t="shared" si="9"/>
        <v>0.71100000000000008</v>
      </c>
      <c r="Q88" s="93">
        <f t="shared" si="9"/>
        <v>173.42857142857142</v>
      </c>
      <c r="R88" s="93">
        <f t="shared" si="9"/>
        <v>19.335714285714285</v>
      </c>
      <c r="S88" s="93">
        <f t="shared" si="9"/>
        <v>5.7885714285714283</v>
      </c>
      <c r="T88" s="93">
        <f t="shared" si="9"/>
        <v>0.161</v>
      </c>
      <c r="U88" s="93">
        <f t="shared" si="9"/>
        <v>5.3071428571428578</v>
      </c>
      <c r="V88" s="93">
        <f t="shared" si="9"/>
        <v>4.0071428571428571</v>
      </c>
      <c r="W88" s="93">
        <f t="shared" si="9"/>
        <v>343.07142857142856</v>
      </c>
      <c r="X88" s="93">
        <f t="shared" si="9"/>
        <v>7.0714285714285703</v>
      </c>
      <c r="Y88" s="93">
        <f t="shared" si="9"/>
        <v>0.10599999999999998</v>
      </c>
      <c r="Z88" s="93">
        <f t="shared" si="9"/>
        <v>6.5000000000000006E-3</v>
      </c>
      <c r="AA88" s="93">
        <f t="shared" si="9"/>
        <v>6.6666666666666666E-2</v>
      </c>
      <c r="AB88" s="93">
        <f t="shared" si="9"/>
        <v>4.6666666666666669E-2</v>
      </c>
      <c r="AC88" s="93">
        <f t="shared" si="9"/>
        <v>6.3285714285714292E-2</v>
      </c>
      <c r="AD88" s="93">
        <f t="shared" si="9"/>
        <v>0.51857142857142857</v>
      </c>
      <c r="AE88" s="93">
        <f t="shared" si="9"/>
        <v>0.23135714285714284</v>
      </c>
      <c r="AF88" s="93" t="e">
        <f t="shared" si="9"/>
        <v>#DIV/0!</v>
      </c>
      <c r="AG88" s="93">
        <f t="shared" si="9"/>
        <v>7.0000000000000007E-2</v>
      </c>
      <c r="AH88" s="93" t="e">
        <f t="shared" si="9"/>
        <v>#DIV/0!</v>
      </c>
      <c r="AI88" s="93">
        <f t="shared" si="9"/>
        <v>-127.56891734710457</v>
      </c>
      <c r="AJ88" s="93">
        <f t="shared" si="9"/>
        <v>-17.381371548179068</v>
      </c>
      <c r="AK88" s="77">
        <f t="shared" si="9"/>
        <v>0.20150000000000001</v>
      </c>
      <c r="AL88" s="93">
        <f t="shared" si="9"/>
        <v>12.986346182976398</v>
      </c>
      <c r="AM88" s="93">
        <f t="shared" si="9"/>
        <v>-9.8043247559452151</v>
      </c>
      <c r="AN88" s="93">
        <f t="shared" si="9"/>
        <v>7279.6571428571424</v>
      </c>
      <c r="AO88" s="93">
        <f t="shared" si="9"/>
        <v>108.38300015641165</v>
      </c>
      <c r="AP88" s="93">
        <f t="shared" si="9"/>
        <v>0.33141376252417742</v>
      </c>
      <c r="AQ88" s="77">
        <f t="shared" si="9"/>
        <v>21.549649593056373</v>
      </c>
      <c r="AR88" s="93">
        <f t="shared" si="9"/>
        <v>0.14590868316195346</v>
      </c>
      <c r="AS88" s="77">
        <f t="shared" si="9"/>
        <v>0.94053943288810971</v>
      </c>
      <c r="AT88" s="77">
        <f t="shared" si="9"/>
        <v>0.19835022341187464</v>
      </c>
    </row>
    <row r="89" spans="1:49">
      <c r="C89" s="117" t="s">
        <v>357</v>
      </c>
      <c r="F89" s="93">
        <f>AVERAGE(F68:F79)</f>
        <v>0</v>
      </c>
      <c r="G89" s="93">
        <f t="shared" ref="G89:AT89" si="10">AVERAGE(G68:G79)</f>
        <v>21.483333333333331</v>
      </c>
      <c r="H89" s="93">
        <f t="shared" si="10"/>
        <v>7921.333333333333</v>
      </c>
      <c r="I89" s="93">
        <f t="shared" si="10"/>
        <v>6598.25</v>
      </c>
      <c r="J89" s="93">
        <f t="shared" si="10"/>
        <v>8.1</v>
      </c>
      <c r="K89" s="93">
        <f t="shared" si="10"/>
        <v>-236.16666666666666</v>
      </c>
      <c r="L89" s="93">
        <f t="shared" si="10"/>
        <v>0.29999999999999993</v>
      </c>
      <c r="M89" s="93">
        <f t="shared" si="10"/>
        <v>7.454545454545454E-2</v>
      </c>
      <c r="N89" s="93">
        <f t="shared" si="10"/>
        <v>1.2336363636363639</v>
      </c>
      <c r="O89" s="93">
        <f t="shared" si="10"/>
        <v>66.181818181818187</v>
      </c>
      <c r="P89" s="77">
        <f t="shared" si="10"/>
        <v>0.20936363636363639</v>
      </c>
      <c r="Q89" s="93">
        <f t="shared" si="10"/>
        <v>4223.333333333333</v>
      </c>
      <c r="R89" s="93">
        <f t="shared" si="10"/>
        <v>215.91666666666666</v>
      </c>
      <c r="S89" s="93">
        <f t="shared" si="10"/>
        <v>3.3914285714285719</v>
      </c>
      <c r="T89" s="93">
        <f t="shared" si="10"/>
        <v>3.14</v>
      </c>
      <c r="U89" s="93">
        <f t="shared" si="10"/>
        <v>96.524999999999991</v>
      </c>
      <c r="V89" s="93">
        <f t="shared" si="10"/>
        <v>317.33333333333331</v>
      </c>
      <c r="W89" s="93">
        <f t="shared" si="10"/>
        <v>1572.5</v>
      </c>
      <c r="X89" s="93">
        <f t="shared" si="10"/>
        <v>3.6</v>
      </c>
      <c r="Y89" s="93">
        <f t="shared" si="10"/>
        <v>2.3341666666666669</v>
      </c>
      <c r="Z89" s="93">
        <f t="shared" si="10"/>
        <v>0.311</v>
      </c>
      <c r="AA89" s="93">
        <f t="shared" si="10"/>
        <v>7.4999999999999997E-2</v>
      </c>
      <c r="AB89" s="93">
        <f t="shared" si="10"/>
        <v>6.5000000000000002E-2</v>
      </c>
      <c r="AC89" s="93">
        <f t="shared" si="10"/>
        <v>8.5454545454545453E-3</v>
      </c>
      <c r="AD89" s="93">
        <f t="shared" si="10"/>
        <v>0.88333333333333319</v>
      </c>
      <c r="AE89" s="93">
        <f t="shared" si="10"/>
        <v>2.2658333333333331</v>
      </c>
      <c r="AF89" s="93">
        <f t="shared" si="10"/>
        <v>1.0999999999999999E-2</v>
      </c>
      <c r="AG89" s="93" t="e">
        <f t="shared" si="10"/>
        <v>#DIV/0!</v>
      </c>
      <c r="AH89" s="93" t="e">
        <f t="shared" si="10"/>
        <v>#DIV/0!</v>
      </c>
      <c r="AI89" s="93">
        <f t="shared" si="10"/>
        <v>-115.20859552670906</v>
      </c>
      <c r="AJ89" s="93">
        <f t="shared" si="10"/>
        <v>-15.816560873789122</v>
      </c>
      <c r="AK89" s="77">
        <f t="shared" si="10"/>
        <v>0.24609999999999993</v>
      </c>
      <c r="AL89" s="93">
        <f t="shared" si="10"/>
        <v>2.163247625683522</v>
      </c>
      <c r="AM89" s="93">
        <f t="shared" si="10"/>
        <v>-13.202573221241764</v>
      </c>
      <c r="AN89" s="93">
        <f t="shared" si="10"/>
        <v>231552.57142857142</v>
      </c>
      <c r="AO89" s="93">
        <f t="shared" si="10"/>
        <v>56.500924979281635</v>
      </c>
      <c r="AP89" s="93">
        <f t="shared" si="10"/>
        <v>1.5689555436681544</v>
      </c>
      <c r="AQ89" s="77">
        <f t="shared" si="10"/>
        <v>314.29937699834051</v>
      </c>
      <c r="AR89" s="93">
        <f t="shared" si="10"/>
        <v>9.0136247969165181E-2</v>
      </c>
      <c r="AS89" s="77">
        <f t="shared" si="10"/>
        <v>8.6522102517344717</v>
      </c>
      <c r="AT89" s="77">
        <f t="shared" si="10"/>
        <v>0.30433561163130352</v>
      </c>
    </row>
    <row r="90" spans="1:49" ht="16">
      <c r="C90"/>
      <c r="AA90" s="122"/>
      <c r="AB90" s="123"/>
      <c r="AD90" s="90"/>
      <c r="AE90" s="125"/>
      <c r="AF90" s="125"/>
      <c r="AG90" s="90"/>
    </row>
    <row r="91" spans="1:49" ht="29">
      <c r="C91" s="143" t="s">
        <v>322</v>
      </c>
      <c r="F91" s="74" t="s">
        <v>520</v>
      </c>
      <c r="G91" s="74" t="s">
        <v>408</v>
      </c>
      <c r="H91" s="74" t="s">
        <v>213</v>
      </c>
      <c r="I91" s="119" t="s">
        <v>289</v>
      </c>
      <c r="J91" s="74" t="s">
        <v>192</v>
      </c>
      <c r="K91" s="74" t="s">
        <v>193</v>
      </c>
      <c r="L91" s="74" t="s">
        <v>435</v>
      </c>
      <c r="M91" s="74" t="s">
        <v>436</v>
      </c>
      <c r="N91" s="74" t="s">
        <v>437</v>
      </c>
      <c r="O91" s="74" t="s">
        <v>438</v>
      </c>
      <c r="P91" s="74" t="s">
        <v>205</v>
      </c>
      <c r="Q91" s="74" t="s">
        <v>433</v>
      </c>
      <c r="R91" s="74" t="s">
        <v>423</v>
      </c>
      <c r="S91" s="74" t="s">
        <v>424</v>
      </c>
      <c r="T91" s="74" t="s">
        <v>421</v>
      </c>
      <c r="U91" s="74" t="s">
        <v>427</v>
      </c>
      <c r="V91" s="74" t="s">
        <v>422</v>
      </c>
      <c r="W91" s="74" t="s">
        <v>432</v>
      </c>
      <c r="X91" s="74" t="s">
        <v>431</v>
      </c>
      <c r="Y91" s="74" t="s">
        <v>425</v>
      </c>
      <c r="Z91" s="74" t="s">
        <v>428</v>
      </c>
      <c r="AA91" s="74" t="s">
        <v>418</v>
      </c>
      <c r="AB91" s="74" t="s">
        <v>419</v>
      </c>
      <c r="AC91" s="74" t="s">
        <v>420</v>
      </c>
      <c r="AD91" s="74" t="s">
        <v>11</v>
      </c>
      <c r="AE91" s="74" t="s">
        <v>426</v>
      </c>
      <c r="AF91" s="74" t="s">
        <v>429</v>
      </c>
      <c r="AG91" s="74" t="s">
        <v>430</v>
      </c>
      <c r="AH91" s="74" t="s">
        <v>434</v>
      </c>
      <c r="AI91" s="74" t="s">
        <v>308</v>
      </c>
      <c r="AJ91" s="74" t="s">
        <v>309</v>
      </c>
      <c r="AK91" s="74" t="s">
        <v>271</v>
      </c>
      <c r="AL91" t="s">
        <v>327</v>
      </c>
      <c r="AM91" t="s">
        <v>439</v>
      </c>
      <c r="AN91" s="74" t="s">
        <v>497</v>
      </c>
      <c r="AO91" s="133" t="s">
        <v>483</v>
      </c>
      <c r="AP91" s="133" t="s">
        <v>484</v>
      </c>
      <c r="AQ91" s="133" t="s">
        <v>485</v>
      </c>
      <c r="AR91" s="133" t="s">
        <v>486</v>
      </c>
      <c r="AS91" s="133" t="s">
        <v>487</v>
      </c>
      <c r="AT91" s="133" t="s">
        <v>488</v>
      </c>
      <c r="AW91" s="150" t="s">
        <v>519</v>
      </c>
    </row>
    <row r="92" spans="1:49">
      <c r="C92" s="143" t="s">
        <v>351</v>
      </c>
      <c r="F92">
        <f>STDEV(F2:F13)</f>
        <v>797.38798268990161</v>
      </c>
      <c r="G92">
        <f t="shared" ref="G92:AT92" si="11">STDEV(G2:G13)</f>
        <v>0.31478708533055977</v>
      </c>
      <c r="H92">
        <f t="shared" si="11"/>
        <v>38.324550047764887</v>
      </c>
      <c r="I92">
        <f t="shared" si="11"/>
        <v>29.332992852707168</v>
      </c>
      <c r="J92">
        <f t="shared" si="11"/>
        <v>0.77954920928507754</v>
      </c>
      <c r="K92">
        <f t="shared" si="11"/>
        <v>28.524710180983273</v>
      </c>
      <c r="L92">
        <f t="shared" si="11"/>
        <v>0.10090499582190271</v>
      </c>
      <c r="M92">
        <f t="shared" si="11"/>
        <v>1.3280197150781896E-2</v>
      </c>
      <c r="N92">
        <f t="shared" si="11"/>
        <v>0.6226599830930647</v>
      </c>
      <c r="O92">
        <f t="shared" si="11"/>
        <v>2.76010539983201</v>
      </c>
      <c r="P92">
        <f t="shared" si="11"/>
        <v>6.0677746241014012E-2</v>
      </c>
      <c r="Q92">
        <f t="shared" si="11"/>
        <v>31.560787907359558</v>
      </c>
      <c r="R92">
        <f t="shared" si="11"/>
        <v>1.4845415576411602</v>
      </c>
      <c r="S92">
        <f t="shared" si="11"/>
        <v>0.1453147055062346</v>
      </c>
      <c r="T92" t="e">
        <f t="shared" si="11"/>
        <v>#DIV/0!</v>
      </c>
      <c r="U92">
        <f t="shared" si="11"/>
        <v>2.0484288140085813</v>
      </c>
      <c r="V92">
        <f t="shared" si="11"/>
        <v>7.8720833944831252</v>
      </c>
      <c r="W92">
        <f t="shared" si="11"/>
        <v>2.1060338999832804</v>
      </c>
      <c r="X92">
        <f t="shared" si="11"/>
        <v>0.28603877677367784</v>
      </c>
      <c r="Y92">
        <f t="shared" si="11"/>
        <v>0.72259423208494633</v>
      </c>
      <c r="Z92">
        <f t="shared" si="11"/>
        <v>3.6317100905521468E-2</v>
      </c>
      <c r="AA92" t="e">
        <f t="shared" si="11"/>
        <v>#DIV/0!</v>
      </c>
      <c r="AB92" t="e">
        <f t="shared" si="11"/>
        <v>#DIV/0!</v>
      </c>
      <c r="AC92">
        <f t="shared" si="11"/>
        <v>2.2746961169005466E-3</v>
      </c>
      <c r="AD92">
        <f t="shared" si="11"/>
        <v>4.9787426914713002E-2</v>
      </c>
      <c r="AE92">
        <f t="shared" si="11"/>
        <v>4.6928378698530889E-3</v>
      </c>
      <c r="AF92">
        <f t="shared" si="11"/>
        <v>3.3665016461206926E-3</v>
      </c>
      <c r="AG92" t="e">
        <f t="shared" si="11"/>
        <v>#DIV/0!</v>
      </c>
      <c r="AH92" t="e">
        <f t="shared" si="11"/>
        <v>#DIV/0!</v>
      </c>
      <c r="AI92">
        <f t="shared" si="11"/>
        <v>1.6704950530470173</v>
      </c>
      <c r="AJ92">
        <f t="shared" si="11"/>
        <v>0.43838785895175186</v>
      </c>
      <c r="AK92">
        <f t="shared" si="11"/>
        <v>3.0640568605109865E-2</v>
      </c>
      <c r="AL92">
        <f t="shared" si="11"/>
        <v>0.19762258533802687</v>
      </c>
      <c r="AM92">
        <f t="shared" si="11"/>
        <v>0.79157311166101718</v>
      </c>
      <c r="AN92">
        <f t="shared" si="11"/>
        <v>2310.8167284276251</v>
      </c>
      <c r="AO92">
        <f t="shared" si="11"/>
        <v>77.845296572276709</v>
      </c>
      <c r="AP92">
        <f t="shared" si="11"/>
        <v>0</v>
      </c>
      <c r="AQ92">
        <f t="shared" si="11"/>
        <v>0.2128477586556099</v>
      </c>
      <c r="AR92">
        <f t="shared" si="11"/>
        <v>0.14639105446927353</v>
      </c>
      <c r="AS92">
        <f t="shared" si="11"/>
        <v>1.8044053390256481E-2</v>
      </c>
      <c r="AT92">
        <f t="shared" si="11"/>
        <v>0.11374977734163232</v>
      </c>
      <c r="AW92" t="e">
        <f>AQ92/AP92</f>
        <v>#DIV/0!</v>
      </c>
    </row>
    <row r="93" spans="1:49">
      <c r="C93" s="143" t="s">
        <v>352</v>
      </c>
      <c r="F93">
        <f>STDEV(F14:F25)</f>
        <v>98.680179254892806</v>
      </c>
      <c r="G93">
        <f t="shared" ref="G93:AT93" si="12">STDEV(G14:G25)</f>
        <v>0.18090680674665796</v>
      </c>
      <c r="H93">
        <f t="shared" si="12"/>
        <v>8.105161094243357</v>
      </c>
      <c r="I93">
        <f t="shared" si="12"/>
        <v>5.7878085034602922</v>
      </c>
      <c r="J93">
        <f>STDEV(J14:J25)</f>
        <v>0.5479283297525821</v>
      </c>
      <c r="K93">
        <f t="shared" si="12"/>
        <v>40.206964570830259</v>
      </c>
      <c r="L93">
        <f t="shared" si="12"/>
        <v>0.14206272622267313</v>
      </c>
      <c r="M93">
        <f t="shared" si="12"/>
        <v>9.438798074485397E-3</v>
      </c>
      <c r="N93">
        <f t="shared" si="12"/>
        <v>1.9540168418367886E-2</v>
      </c>
      <c r="O93">
        <f t="shared" si="12"/>
        <v>17.477257950106061</v>
      </c>
      <c r="P93">
        <f t="shared" si="12"/>
        <v>0.20643084663984804</v>
      </c>
      <c r="Q93">
        <f t="shared" si="12"/>
        <v>5.1122550322877611</v>
      </c>
      <c r="R93">
        <f t="shared" si="12"/>
        <v>1.3083357459927565</v>
      </c>
      <c r="S93">
        <f t="shared" si="12"/>
        <v>3.7284735685686632E-2</v>
      </c>
      <c r="T93" t="e">
        <f t="shared" si="12"/>
        <v>#DIV/0!</v>
      </c>
      <c r="U93">
        <f t="shared" si="12"/>
        <v>1.2156803806423737</v>
      </c>
      <c r="V93">
        <f t="shared" si="12"/>
        <v>1.6940850753206711</v>
      </c>
      <c r="W93">
        <f t="shared" si="12"/>
        <v>1.2778710989198188</v>
      </c>
      <c r="X93">
        <f t="shared" si="12"/>
        <v>0.19306145983268466</v>
      </c>
      <c r="Y93">
        <f t="shared" si="12"/>
        <v>4.2949935619241895E-2</v>
      </c>
      <c r="Z93">
        <f t="shared" si="12"/>
        <v>3.6804149963631191E-3</v>
      </c>
      <c r="AA93" t="e">
        <f t="shared" si="12"/>
        <v>#DIV/0!</v>
      </c>
      <c r="AB93">
        <f t="shared" si="12"/>
        <v>6.4086994446165575E-3</v>
      </c>
      <c r="AC93">
        <f t="shared" si="12"/>
        <v>5.9160797830996167E-3</v>
      </c>
      <c r="AD93">
        <f t="shared" si="12"/>
        <v>7.9296146109875919E-3</v>
      </c>
      <c r="AE93">
        <f t="shared" si="12"/>
        <v>3.0993645487519864E-3</v>
      </c>
      <c r="AF93" t="e">
        <f t="shared" si="12"/>
        <v>#DIV/0!</v>
      </c>
      <c r="AG93" t="e">
        <f t="shared" si="12"/>
        <v>#DIV/0!</v>
      </c>
      <c r="AH93" t="e">
        <f t="shared" si="12"/>
        <v>#DIV/0!</v>
      </c>
      <c r="AI93">
        <f t="shared" si="12"/>
        <v>0.78725411569551795</v>
      </c>
      <c r="AJ93">
        <f t="shared" si="12"/>
        <v>0.25685937455018559</v>
      </c>
      <c r="AK93">
        <f t="shared" si="12"/>
        <v>4.6564520242934317E-2</v>
      </c>
      <c r="AL93">
        <f t="shared" si="12"/>
        <v>0.378965025944145</v>
      </c>
      <c r="AM93">
        <f t="shared" si="12"/>
        <v>0.46800313480469308</v>
      </c>
      <c r="AN93">
        <f t="shared" si="12"/>
        <v>20674.600241428059</v>
      </c>
      <c r="AO93">
        <f t="shared" si="12"/>
        <v>58.293272880845585</v>
      </c>
      <c r="AP93">
        <f t="shared" si="12"/>
        <v>0</v>
      </c>
      <c r="AQ93">
        <f t="shared" si="12"/>
        <v>0.11922295173569915</v>
      </c>
      <c r="AR93">
        <f t="shared" si="12"/>
        <v>0.13236285218894844</v>
      </c>
      <c r="AS93">
        <f t="shared" si="12"/>
        <v>4.0841165365065801E-3</v>
      </c>
      <c r="AT93">
        <f t="shared" si="12"/>
        <v>0.11205680501164832</v>
      </c>
      <c r="AW93" t="e">
        <f t="shared" ref="AW93:AW97" si="13">AQ93/AP93</f>
        <v>#DIV/0!</v>
      </c>
    </row>
    <row r="94" spans="1:49">
      <c r="C94" s="143" t="s">
        <v>354</v>
      </c>
      <c r="F94">
        <f>STDEV(F26:F38)</f>
        <v>1378.4509986051573</v>
      </c>
      <c r="G94">
        <f t="shared" ref="G94:AT94" si="14">STDEV(G26:G38)</f>
        <v>0.16408253082847291</v>
      </c>
      <c r="H94">
        <f t="shared" si="14"/>
        <v>27.4807625020178</v>
      </c>
      <c r="I94">
        <f t="shared" si="14"/>
        <v>22.059941650898026</v>
      </c>
      <c r="J94">
        <f t="shared" si="14"/>
        <v>0.416055962705216</v>
      </c>
      <c r="K94">
        <f t="shared" si="14"/>
        <v>35.222188519491006</v>
      </c>
      <c r="L94">
        <f t="shared" si="14"/>
        <v>0.18006732747570411</v>
      </c>
      <c r="M94">
        <f t="shared" si="14"/>
        <v>3.918680977836915E-2</v>
      </c>
      <c r="N94">
        <f t="shared" si="14"/>
        <v>0.38823903133835436</v>
      </c>
      <c r="O94">
        <f t="shared" si="14"/>
        <v>7.7278520281962555</v>
      </c>
      <c r="P94">
        <f t="shared" si="14"/>
        <v>0.98799766420255131</v>
      </c>
      <c r="Q94">
        <f t="shared" si="14"/>
        <v>102.02123961868595</v>
      </c>
      <c r="R94">
        <f t="shared" si="14"/>
        <v>3.5444577797430354</v>
      </c>
      <c r="S94">
        <f t="shared" si="14"/>
        <v>0.39877311845208413</v>
      </c>
      <c r="T94" t="e">
        <f t="shared" si="14"/>
        <v>#DIV/0!</v>
      </c>
      <c r="U94">
        <f t="shared" si="14"/>
        <v>7.875635912460722</v>
      </c>
      <c r="V94">
        <f t="shared" si="14"/>
        <v>12.407090611255221</v>
      </c>
      <c r="W94">
        <f t="shared" si="14"/>
        <v>7.1867310068001418</v>
      </c>
      <c r="X94">
        <f t="shared" si="14"/>
        <v>0.27735009811261446</v>
      </c>
      <c r="Y94">
        <f t="shared" si="14"/>
        <v>0.51616435466393862</v>
      </c>
      <c r="Z94">
        <f t="shared" si="14"/>
        <v>1.071244184378194E-2</v>
      </c>
      <c r="AA94">
        <f t="shared" si="14"/>
        <v>1.1690451944500101E-2</v>
      </c>
      <c r="AB94" t="e">
        <f t="shared" si="14"/>
        <v>#DIV/0!</v>
      </c>
      <c r="AC94">
        <f t="shared" si="14"/>
        <v>2.3615509896936539E-3</v>
      </c>
      <c r="AD94">
        <f t="shared" si="14"/>
        <v>1.1266014242982163E-2</v>
      </c>
      <c r="AE94">
        <f t="shared" si="14"/>
        <v>7.5769556162258505E-3</v>
      </c>
      <c r="AF94" t="e">
        <f t="shared" si="14"/>
        <v>#DIV/0!</v>
      </c>
      <c r="AG94" t="e">
        <f t="shared" si="14"/>
        <v>#DIV/0!</v>
      </c>
      <c r="AH94">
        <f t="shared" si="14"/>
        <v>0</v>
      </c>
      <c r="AI94">
        <f t="shared" si="14"/>
        <v>0.65298572874199012</v>
      </c>
      <c r="AJ94">
        <f t="shared" si="14"/>
        <v>0.28135264082745876</v>
      </c>
      <c r="AK94">
        <f t="shared" si="14"/>
        <v>4.2382368403796854E-2</v>
      </c>
      <c r="AL94">
        <f t="shared" si="14"/>
        <v>1.823225441240901</v>
      </c>
      <c r="AM94">
        <f t="shared" si="14"/>
        <v>1.9690682206571088</v>
      </c>
      <c r="AN94">
        <f t="shared" si="14"/>
        <v>3679.1732184593557</v>
      </c>
      <c r="AO94">
        <f t="shared" si="14"/>
        <v>620.46652325587752</v>
      </c>
      <c r="AP94">
        <f t="shared" si="14"/>
        <v>6.8713848073685482E-3</v>
      </c>
      <c r="AQ94">
        <f t="shared" si="14"/>
        <v>2.0993845134489733</v>
      </c>
      <c r="AR94">
        <f t="shared" si="14"/>
        <v>0.40414275674479527</v>
      </c>
      <c r="AS94">
        <f t="shared" si="14"/>
        <v>5.6609465407541713E-2</v>
      </c>
      <c r="AT94">
        <f t="shared" si="14"/>
        <v>0.3405988739469874</v>
      </c>
      <c r="AW94">
        <f t="shared" si="13"/>
        <v>305.5256796559687</v>
      </c>
    </row>
    <row r="95" spans="1:49">
      <c r="C95" s="143" t="s">
        <v>355</v>
      </c>
      <c r="F95">
        <f>STDEV(F39:F53)</f>
        <v>265.90777432118159</v>
      </c>
      <c r="G95">
        <f t="shared" ref="G95:AT95" si="15">STDEV(G39:G53)</f>
        <v>0.26511453050656109</v>
      </c>
      <c r="H95">
        <f t="shared" si="15"/>
        <v>38.690468864468166</v>
      </c>
      <c r="I95">
        <f t="shared" si="15"/>
        <v>31.304647456583062</v>
      </c>
      <c r="J95">
        <f t="shared" si="15"/>
        <v>0.45999364785779845</v>
      </c>
      <c r="K95">
        <f t="shared" si="15"/>
        <v>43.281140729619651</v>
      </c>
      <c r="L95">
        <f t="shared" si="15"/>
        <v>9.4733093343134206E-2</v>
      </c>
      <c r="M95">
        <f t="shared" si="15"/>
        <v>0.21512071745167502</v>
      </c>
      <c r="N95">
        <f t="shared" si="15"/>
        <v>3.0149201630795441E-2</v>
      </c>
      <c r="O95">
        <f t="shared" si="15"/>
        <v>217.58912114585522</v>
      </c>
      <c r="P95">
        <f t="shared" si="15"/>
        <v>0.21413211833483581</v>
      </c>
      <c r="Q95">
        <f t="shared" si="15"/>
        <v>13.971713968185551</v>
      </c>
      <c r="R95">
        <f t="shared" si="15"/>
        <v>1.1478838628700039</v>
      </c>
      <c r="S95">
        <f t="shared" si="15"/>
        <v>0.34647042910147219</v>
      </c>
      <c r="T95">
        <f t="shared" si="15"/>
        <v>0.11517956994768357</v>
      </c>
      <c r="U95">
        <f t="shared" si="15"/>
        <v>0.26561146539532238</v>
      </c>
      <c r="V95">
        <f t="shared" si="15"/>
        <v>0.23731557327466163</v>
      </c>
      <c r="W95">
        <f t="shared" si="15"/>
        <v>13.047883075321176</v>
      </c>
      <c r="X95">
        <f t="shared" si="15"/>
        <v>0.30309756163343171</v>
      </c>
      <c r="Y95">
        <f t="shared" si="15"/>
        <v>2.9999999999999995E-2</v>
      </c>
      <c r="Z95">
        <f t="shared" si="15"/>
        <v>1.2535663410560174E-3</v>
      </c>
      <c r="AA95" t="e">
        <f t="shared" si="15"/>
        <v>#DIV/0!</v>
      </c>
      <c r="AB95">
        <f t="shared" si="15"/>
        <v>7.0710678118655152E-3</v>
      </c>
      <c r="AC95">
        <f t="shared" si="15"/>
        <v>2.3533936216582089E-3</v>
      </c>
      <c r="AD95">
        <f t="shared" si="15"/>
        <v>2.0555473055307492E-2</v>
      </c>
      <c r="AE95">
        <f t="shared" si="15"/>
        <v>9.4185344512185843E-3</v>
      </c>
      <c r="AF95" t="e">
        <f t="shared" si="15"/>
        <v>#DIV/0!</v>
      </c>
      <c r="AG95" t="e">
        <f t="shared" si="15"/>
        <v>#DIV/0!</v>
      </c>
      <c r="AH95" t="e">
        <f t="shared" si="15"/>
        <v>#DIV/0!</v>
      </c>
      <c r="AI95">
        <f t="shared" si="15"/>
        <v>0.80908873308189233</v>
      </c>
      <c r="AJ95">
        <f t="shared" si="15"/>
        <v>0.26339574834785362</v>
      </c>
      <c r="AK95">
        <f t="shared" si="15"/>
        <v>5.2532285555085483E-2</v>
      </c>
      <c r="AL95">
        <f t="shared" si="15"/>
        <v>1.383904373877251</v>
      </c>
      <c r="AM95">
        <f t="shared" si="15"/>
        <v>0.34112829558366992</v>
      </c>
      <c r="AN95">
        <f t="shared" si="15"/>
        <v>28071.096331246048</v>
      </c>
      <c r="AO95">
        <f t="shared" si="15"/>
        <v>75.806305019550308</v>
      </c>
      <c r="AP95">
        <f t="shared" si="15"/>
        <v>0.8132096776774127</v>
      </c>
      <c r="AQ95">
        <f t="shared" si="15"/>
        <v>19.656038394110315</v>
      </c>
      <c r="AR95">
        <f t="shared" si="15"/>
        <v>0.13909204132576411</v>
      </c>
      <c r="AS95">
        <f t="shared" si="15"/>
        <v>1.7917701497795209</v>
      </c>
      <c r="AT95">
        <f t="shared" si="15"/>
        <v>0.12871427395708551</v>
      </c>
      <c r="AW95">
        <f t="shared" si="13"/>
        <v>24.170935164285577</v>
      </c>
    </row>
    <row r="96" spans="1:49">
      <c r="C96" s="143" t="s">
        <v>356</v>
      </c>
      <c r="F96">
        <f>STDEV(F54:F67)</f>
        <v>4966.1538885182008</v>
      </c>
      <c r="G96">
        <f t="shared" ref="G96:AT96" si="16">STDEV(G54:G67)</f>
        <v>0.58596215607464641</v>
      </c>
      <c r="H96">
        <f t="shared" si="16"/>
        <v>9.6967763987560609</v>
      </c>
      <c r="I96">
        <f t="shared" si="16"/>
        <v>7.9903788299525482</v>
      </c>
      <c r="J96">
        <f t="shared" si="16"/>
        <v>0.41659068904357682</v>
      </c>
      <c r="K96">
        <f t="shared" si="16"/>
        <v>57.279582308625038</v>
      </c>
      <c r="L96">
        <f t="shared" si="16"/>
        <v>0.13774744634423963</v>
      </c>
      <c r="M96">
        <f t="shared" si="16"/>
        <v>4.0335134522188926E-2</v>
      </c>
      <c r="N96">
        <f t="shared" si="16"/>
        <v>3.5948681370916689E-2</v>
      </c>
      <c r="O96">
        <f t="shared" si="16"/>
        <v>62.373050557892689</v>
      </c>
      <c r="P96">
        <f t="shared" si="16"/>
        <v>1.7828712797058566</v>
      </c>
      <c r="Q96">
        <f t="shared" si="16"/>
        <v>7.7132681461560439</v>
      </c>
      <c r="R96">
        <f t="shared" si="16"/>
        <v>0.75814261176919773</v>
      </c>
      <c r="S96">
        <f t="shared" si="16"/>
        <v>0.26243994603475529</v>
      </c>
      <c r="T96">
        <f t="shared" si="16"/>
        <v>4.714870093650516E-2</v>
      </c>
      <c r="U96">
        <f t="shared" si="16"/>
        <v>0.27863481949921953</v>
      </c>
      <c r="V96">
        <f t="shared" si="16"/>
        <v>0.26154654156878737</v>
      </c>
      <c r="W96">
        <f t="shared" si="16"/>
        <v>7.2902916024224744</v>
      </c>
      <c r="X96">
        <f t="shared" si="16"/>
        <v>0.19778998741311207</v>
      </c>
      <c r="Y96">
        <f t="shared" si="16"/>
        <v>0.12401612798341996</v>
      </c>
      <c r="Z96">
        <f t="shared" si="16"/>
        <v>7.0710678118654762E-4</v>
      </c>
      <c r="AA96">
        <f t="shared" si="16"/>
        <v>2.8867513459481291E-2</v>
      </c>
      <c r="AB96">
        <f t="shared" si="16"/>
        <v>5.773502691896258E-3</v>
      </c>
      <c r="AC96">
        <f t="shared" si="16"/>
        <v>3.2446066830160692E-3</v>
      </c>
      <c r="AD96">
        <f t="shared" si="16"/>
        <v>3.3248977510511611E-2</v>
      </c>
      <c r="AE96">
        <f t="shared" si="16"/>
        <v>7.1533439502326213E-3</v>
      </c>
      <c r="AF96" t="e">
        <f t="shared" si="16"/>
        <v>#DIV/0!</v>
      </c>
      <c r="AG96" t="e">
        <f t="shared" si="16"/>
        <v>#DIV/0!</v>
      </c>
      <c r="AH96" t="e">
        <f t="shared" si="16"/>
        <v>#DIV/0!</v>
      </c>
      <c r="AI96">
        <f t="shared" si="16"/>
        <v>0.65850596101354342</v>
      </c>
      <c r="AJ96">
        <f t="shared" si="16"/>
        <v>0.26296881053608523</v>
      </c>
      <c r="AK96">
        <f t="shared" si="16"/>
        <v>5.6519907997094221E-2</v>
      </c>
      <c r="AL96">
        <f t="shared" si="16"/>
        <v>1.3627752690390549</v>
      </c>
      <c r="AM96">
        <f t="shared" si="16"/>
        <v>0.33145981274655917</v>
      </c>
      <c r="AN96">
        <f t="shared" si="16"/>
        <v>2327.2525245140782</v>
      </c>
      <c r="AO96">
        <f t="shared" si="16"/>
        <v>26.141544137992625</v>
      </c>
      <c r="AP96">
        <f t="shared" si="16"/>
        <v>0.22200884131890197</v>
      </c>
      <c r="AQ96">
        <f t="shared" si="16"/>
        <v>16.895564855797623</v>
      </c>
      <c r="AR96">
        <f t="shared" si="16"/>
        <v>0.16984109750021215</v>
      </c>
      <c r="AS96">
        <f t="shared" si="16"/>
        <v>0.9762407027537332</v>
      </c>
      <c r="AT96">
        <f t="shared" si="16"/>
        <v>0.22978362267756877</v>
      </c>
      <c r="AW96">
        <f t="shared" si="13"/>
        <v>76.103117134547759</v>
      </c>
    </row>
    <row r="97" spans="3:49">
      <c r="C97" s="143" t="s">
        <v>357</v>
      </c>
      <c r="F97">
        <f>STDEV(F68:F79)</f>
        <v>0</v>
      </c>
      <c r="G97">
        <f t="shared" ref="G97:AT97" si="17">STDEV(G68:G79)</f>
        <v>1.1983574617202526</v>
      </c>
      <c r="H97">
        <f t="shared" si="17"/>
        <v>50.59524471606781</v>
      </c>
      <c r="I97">
        <f t="shared" si="17"/>
        <v>46.673186773953667</v>
      </c>
      <c r="J97">
        <f t="shared" si="17"/>
        <v>1.1648409957820605</v>
      </c>
      <c r="K97">
        <f t="shared" si="17"/>
        <v>64.461169895080403</v>
      </c>
      <c r="L97">
        <f t="shared" si="17"/>
        <v>4.4721359549996308E-2</v>
      </c>
      <c r="M97">
        <f t="shared" si="17"/>
        <v>4.7405408207004493E-2</v>
      </c>
      <c r="N97">
        <f t="shared" si="17"/>
        <v>0.88391484575464263</v>
      </c>
      <c r="O97">
        <f t="shared" si="17"/>
        <v>33.183785744903126</v>
      </c>
      <c r="P97">
        <f t="shared" si="17"/>
        <v>0.36074014823062672</v>
      </c>
      <c r="Q97">
        <f t="shared" si="17"/>
        <v>183.41871290144917</v>
      </c>
      <c r="R97">
        <f t="shared" si="17"/>
        <v>14.196403727278215</v>
      </c>
      <c r="S97">
        <f t="shared" si="17"/>
        <v>0.83545254346429043</v>
      </c>
      <c r="T97">
        <f t="shared" si="17"/>
        <v>0.35355339059327379</v>
      </c>
      <c r="U97">
        <f t="shared" si="17"/>
        <v>3.7545427030586427</v>
      </c>
      <c r="V97">
        <f t="shared" si="17"/>
        <v>17.153495977276009</v>
      </c>
      <c r="W97">
        <f t="shared" si="17"/>
        <v>94.592427142595682</v>
      </c>
      <c r="X97">
        <f t="shared" si="17"/>
        <v>2.4950860797685013</v>
      </c>
      <c r="Y97">
        <f t="shared" si="17"/>
        <v>2.5080903939536197</v>
      </c>
      <c r="Z97">
        <f t="shared" si="17"/>
        <v>0.13873650630536358</v>
      </c>
      <c r="AA97">
        <f t="shared" si="17"/>
        <v>6.4549722436790288E-2</v>
      </c>
      <c r="AB97">
        <f t="shared" si="17"/>
        <v>7.0710678118654814E-3</v>
      </c>
      <c r="AC97">
        <f t="shared" si="17"/>
        <v>4.5686679976473764E-3</v>
      </c>
      <c r="AD97">
        <f t="shared" si="17"/>
        <v>0.13179414618903632</v>
      </c>
      <c r="AE97">
        <f t="shared" si="17"/>
        <v>0.12228568141359748</v>
      </c>
      <c r="AF97" t="e">
        <f t="shared" si="17"/>
        <v>#DIV/0!</v>
      </c>
      <c r="AG97" t="e">
        <f t="shared" si="17"/>
        <v>#DIV/0!</v>
      </c>
      <c r="AH97" t="e">
        <f t="shared" si="17"/>
        <v>#DIV/0!</v>
      </c>
      <c r="AI97">
        <f t="shared" si="17"/>
        <v>1.0423570574015379</v>
      </c>
      <c r="AJ97">
        <f t="shared" si="17"/>
        <v>0.21412642992900602</v>
      </c>
      <c r="AK97">
        <f t="shared" si="17"/>
        <v>8.723970808448811E-2</v>
      </c>
      <c r="AL97">
        <f t="shared" si="17"/>
        <v>0.87144477228036155</v>
      </c>
      <c r="AM97">
        <f t="shared" si="17"/>
        <v>0.54892955802245313</v>
      </c>
      <c r="AN97">
        <f t="shared" si="17"/>
        <v>197431.35921534617</v>
      </c>
      <c r="AO97">
        <f t="shared" si="17"/>
        <v>43.635973961255814</v>
      </c>
      <c r="AP97">
        <f t="shared" si="17"/>
        <v>0.98787176871697813</v>
      </c>
      <c r="AQ97">
        <f t="shared" si="17"/>
        <v>189.5950893025601</v>
      </c>
      <c r="AR97">
        <f t="shared" si="17"/>
        <v>8.1100680708204823E-2</v>
      </c>
      <c r="AS97">
        <f t="shared" si="17"/>
        <v>4.5149384483440906</v>
      </c>
      <c r="AT97">
        <f t="shared" si="17"/>
        <v>0.16760352199990458</v>
      </c>
      <c r="AW97">
        <f t="shared" si="13"/>
        <v>191.92277308298952</v>
      </c>
    </row>
    <row r="98" spans="3:49">
      <c r="AD98" s="90"/>
      <c r="AE98" s="125"/>
      <c r="AF98" s="125"/>
      <c r="AG98" s="90"/>
    </row>
    <row r="99" spans="3:49">
      <c r="AD99" s="90"/>
      <c r="AE99" s="125"/>
      <c r="AF99" s="125"/>
      <c r="AG99" s="90"/>
    </row>
    <row r="100" spans="3:49">
      <c r="AD100" s="90"/>
      <c r="AE100" s="125"/>
      <c r="AF100" s="125"/>
      <c r="AG100" s="90"/>
    </row>
    <row r="101" spans="3:49">
      <c r="AD101" s="90"/>
      <c r="AE101" s="125"/>
      <c r="AF101" s="125"/>
      <c r="AG101" s="90"/>
    </row>
    <row r="102" spans="3:49">
      <c r="AD102" s="90"/>
      <c r="AE102" s="125"/>
      <c r="AF102" s="125"/>
      <c r="AG102" s="90"/>
    </row>
    <row r="103" spans="3:49">
      <c r="AD103" s="90"/>
      <c r="AE103" s="125"/>
      <c r="AF103" s="125"/>
      <c r="AG103" s="90"/>
    </row>
    <row r="104" spans="3:49">
      <c r="AD104" s="90"/>
      <c r="AE104" s="125"/>
      <c r="AF104" s="125"/>
      <c r="AG104" s="90"/>
    </row>
    <row r="134" spans="1:52" s="74" customFormat="1" ht="30" customHeight="1">
      <c r="A134" s="148"/>
      <c r="B134" s="76"/>
      <c r="C134" s="76"/>
      <c r="I134" s="119"/>
      <c r="AL134"/>
      <c r="AM134"/>
      <c r="AO134" s="133"/>
      <c r="AP134" s="133"/>
      <c r="AQ134" s="133"/>
      <c r="AR134" s="133"/>
      <c r="AS134" s="133"/>
      <c r="AT134" s="133"/>
      <c r="AU134" s="133"/>
      <c r="AV134" s="133"/>
      <c r="AW134" s="133"/>
      <c r="AX134" s="133"/>
      <c r="AY134" s="133"/>
      <c r="AZ134" s="133"/>
    </row>
    <row r="135" spans="1:52" s="178" customFormat="1"/>
    <row r="136" spans="1:52" s="178" customFormat="1"/>
    <row r="137" spans="1:52" s="178" customFormat="1"/>
    <row r="138" spans="1:52" s="178" customFormat="1"/>
    <row r="139" spans="1:52" s="178" customFormat="1"/>
    <row r="140" spans="1:52" s="178" customFormat="1"/>
    <row r="141" spans="1:52" s="178" customFormat="1"/>
    <row r="142" spans="1:52" s="178" customFormat="1"/>
    <row r="144" spans="1:52" s="74" customFormat="1" ht="30" customHeight="1">
      <c r="A144" s="148"/>
      <c r="B144" s="76"/>
      <c r="C144" s="76"/>
      <c r="I144" s="119"/>
      <c r="AL144"/>
      <c r="AM144"/>
      <c r="AO144" s="133"/>
      <c r="AP144" s="133"/>
      <c r="AQ144" s="133"/>
      <c r="AR144" s="133"/>
      <c r="AS144" s="133"/>
      <c r="AT144" s="133"/>
      <c r="AU144" s="133"/>
      <c r="AV144" s="133"/>
      <c r="AW144" s="133"/>
      <c r="AX144" s="133"/>
      <c r="AY144" s="133"/>
      <c r="AZ144" s="133"/>
    </row>
  </sheetData>
  <conditionalFormatting sqref="AU1:AZ1">
    <cfRule type="colorScale" priority="46">
      <colorScale>
        <cfvo type="min"/>
        <cfvo type="percentile" val="50"/>
        <cfvo type="max"/>
        <color rgb="FF63BE7B"/>
        <color rgb="FFFFEB84"/>
        <color rgb="FFF8696B"/>
      </colorScale>
    </cfRule>
  </conditionalFormatting>
  <conditionalFormatting sqref="AN14:AN21 AN4:AN9 AN68:AN75 AN54:AN63 AN39:AN48 AN26:AN34">
    <cfRule type="colorScale" priority="285">
      <colorScale>
        <cfvo type="min"/>
        <cfvo type="percentile" val="50"/>
        <cfvo type="max"/>
        <color rgb="FF63BE7B"/>
        <color rgb="FFFFEB84"/>
        <color rgb="FFF8696B"/>
      </colorScale>
    </cfRule>
  </conditionalFormatting>
  <conditionalFormatting sqref="AO83:AT83">
    <cfRule type="colorScale" priority="43">
      <colorScale>
        <cfvo type="min"/>
        <cfvo type="percentile" val="50"/>
        <cfvo type="max"/>
        <color rgb="FF63BE7B"/>
        <color rgb="FFFFEB84"/>
        <color rgb="FFF8696B"/>
      </colorScale>
    </cfRule>
  </conditionalFormatting>
  <conditionalFormatting sqref="AO91:AT91 AW91">
    <cfRule type="colorScale" priority="42">
      <colorScale>
        <cfvo type="min"/>
        <cfvo type="percentile" val="50"/>
        <cfvo type="max"/>
        <color rgb="FF63BE7B"/>
        <color rgb="FFFFEB84"/>
        <color rgb="FFF8696B"/>
      </colorScale>
    </cfRule>
  </conditionalFormatting>
  <conditionalFormatting sqref="K2:K9 K80:K81 K68:K78 K54:K66 K39:K52 K26:K37 K14:K24">
    <cfRule type="colorScale" priority="342">
      <colorScale>
        <cfvo type="min"/>
        <cfvo type="percentile" val="50"/>
        <cfvo type="max"/>
        <color rgb="FF63BE7B"/>
        <color rgb="FFFFEB84"/>
        <color rgb="FFF8696B"/>
      </colorScale>
    </cfRule>
  </conditionalFormatting>
  <conditionalFormatting sqref="H2:H9 I76:I78 H80:I81 H68:H78 H54:H66 H39:H52 H26:H37 H14:H23 I50">
    <cfRule type="colorScale" priority="346">
      <colorScale>
        <cfvo type="min"/>
        <cfvo type="percentile" val="50"/>
        <cfvo type="max"/>
        <color rgb="FF63BE7B"/>
        <color rgb="FFFFEB84"/>
        <color rgb="FFF8696B"/>
      </colorScale>
    </cfRule>
  </conditionalFormatting>
  <conditionalFormatting sqref="J2:J9 J80:J81 J68:J78 J54:J66 J39:J52 J26:J37 J14:J23">
    <cfRule type="colorScale" priority="351">
      <colorScale>
        <cfvo type="min"/>
        <cfvo type="percentile" val="50"/>
        <cfvo type="max"/>
        <color rgb="FF63BE7B"/>
        <color rgb="FFFFEB84"/>
        <color rgb="FFF8696B"/>
      </colorScale>
    </cfRule>
  </conditionalFormatting>
  <conditionalFormatting sqref="AO8:AT8 AO4:AT6">
    <cfRule type="colorScale" priority="40">
      <colorScale>
        <cfvo type="min"/>
        <cfvo type="percentile" val="50"/>
        <cfvo type="max"/>
        <color rgb="FF63BE7B"/>
        <color rgb="FFFFEB84"/>
        <color rgb="FFF8696B"/>
      </colorScale>
    </cfRule>
  </conditionalFormatting>
  <conditionalFormatting sqref="AU8:AZ8 AU4:AZ6">
    <cfRule type="colorScale" priority="37">
      <colorScale>
        <cfvo type="min"/>
        <cfvo type="percentile" val="50"/>
        <cfvo type="max"/>
        <color rgb="FF63BE7B"/>
        <color rgb="FFFFEB84"/>
        <color rgb="FFF8696B"/>
      </colorScale>
    </cfRule>
  </conditionalFormatting>
  <conditionalFormatting sqref="AO16:AT21">
    <cfRule type="colorScale" priority="34">
      <colorScale>
        <cfvo type="min"/>
        <cfvo type="percentile" val="50"/>
        <cfvo type="max"/>
        <color rgb="FF63BE7B"/>
        <color rgb="FFFFEB84"/>
        <color rgb="FFF8696B"/>
      </colorScale>
    </cfRule>
  </conditionalFormatting>
  <conditionalFormatting sqref="AU16:AZ21">
    <cfRule type="colorScale" priority="31">
      <colorScale>
        <cfvo type="min"/>
        <cfvo type="percentile" val="50"/>
        <cfvo type="max"/>
        <color rgb="FF63BE7B"/>
        <color rgb="FFFFEB84"/>
        <color rgb="FFF8696B"/>
      </colorScale>
    </cfRule>
  </conditionalFormatting>
  <conditionalFormatting sqref="AO1:AT1">
    <cfRule type="colorScale" priority="358">
      <colorScale>
        <cfvo type="min"/>
        <cfvo type="percentile" val="50"/>
        <cfvo type="max"/>
        <color rgb="FF63BE7B"/>
        <color rgb="FFFFEB84"/>
        <color rgb="FFF8696B"/>
      </colorScale>
    </cfRule>
  </conditionalFormatting>
  <conditionalFormatting sqref="AO29:AT34">
    <cfRule type="colorScale" priority="28">
      <colorScale>
        <cfvo type="min"/>
        <cfvo type="percentile" val="50"/>
        <cfvo type="max"/>
        <color rgb="FF63BE7B"/>
        <color rgb="FFFFEB84"/>
        <color rgb="FFF8696B"/>
      </colorScale>
    </cfRule>
  </conditionalFormatting>
  <conditionalFormatting sqref="AU29:AZ34">
    <cfRule type="colorScale" priority="25">
      <colorScale>
        <cfvo type="min"/>
        <cfvo type="percentile" val="50"/>
        <cfvo type="max"/>
        <color rgb="FF63BE7B"/>
        <color rgb="FFFFEB84"/>
        <color rgb="FFF8696B"/>
      </colorScale>
    </cfRule>
  </conditionalFormatting>
  <conditionalFormatting sqref="AO40:AT42 AO44:AT48">
    <cfRule type="colorScale" priority="23">
      <colorScale>
        <cfvo type="min"/>
        <cfvo type="percentile" val="50"/>
        <cfvo type="max"/>
        <color rgb="FF63BE7B"/>
        <color rgb="FFFFEB84"/>
        <color rgb="FFF8696B"/>
      </colorScale>
    </cfRule>
  </conditionalFormatting>
  <conditionalFormatting sqref="AU40:AZ42 AU44:AZ48">
    <cfRule type="colorScale" priority="20">
      <colorScale>
        <cfvo type="min"/>
        <cfvo type="percentile" val="50"/>
        <cfvo type="max"/>
        <color rgb="FF63BE7B"/>
        <color rgb="FFFFEB84"/>
        <color rgb="FFF8696B"/>
      </colorScale>
    </cfRule>
  </conditionalFormatting>
  <conditionalFormatting sqref="AO58:AT63 AO55:AT55">
    <cfRule type="colorScale" priority="17">
      <colorScale>
        <cfvo type="min"/>
        <cfvo type="percentile" val="50"/>
        <cfvo type="max"/>
        <color rgb="FF63BE7B"/>
        <color rgb="FFFFEB84"/>
        <color rgb="FFF8696B"/>
      </colorScale>
    </cfRule>
  </conditionalFormatting>
  <conditionalFormatting sqref="AU58:AZ63 AU55:AZ55">
    <cfRule type="colorScale" priority="14">
      <colorScale>
        <cfvo type="min"/>
        <cfvo type="percentile" val="50"/>
        <cfvo type="max"/>
        <color rgb="FF63BE7B"/>
        <color rgb="FFFFEB84"/>
        <color rgb="FFF8696B"/>
      </colorScale>
    </cfRule>
  </conditionalFormatting>
  <conditionalFormatting sqref="AO69:AT74">
    <cfRule type="colorScale" priority="11">
      <colorScale>
        <cfvo type="min"/>
        <cfvo type="percentile" val="50"/>
        <cfvo type="max"/>
        <color rgb="FF63BE7B"/>
        <color rgb="FFFFEB84"/>
        <color rgb="FFF8696B"/>
      </colorScale>
    </cfRule>
  </conditionalFormatting>
  <conditionalFormatting sqref="AU69:AZ74">
    <cfRule type="colorScale" priority="8">
      <colorScale>
        <cfvo type="min"/>
        <cfvo type="percentile" val="50"/>
        <cfvo type="max"/>
        <color rgb="FF63BE7B"/>
        <color rgb="FFFFEB84"/>
        <color rgb="FFF8696B"/>
      </colorScale>
    </cfRule>
  </conditionalFormatting>
  <conditionalFormatting sqref="AO10:AT11">
    <cfRule type="colorScale" priority="373">
      <colorScale>
        <cfvo type="min"/>
        <cfvo type="percentile" val="50"/>
        <cfvo type="max"/>
        <color rgb="FF63BE7B"/>
        <color rgb="FFFFEB84"/>
        <color rgb="FFF8696B"/>
      </colorScale>
    </cfRule>
  </conditionalFormatting>
  <conditionalFormatting sqref="AO4:AT11">
    <cfRule type="colorScale" priority="375">
      <colorScale>
        <cfvo type="min"/>
        <cfvo type="percentile" val="50"/>
        <cfvo type="max"/>
        <color rgb="FF63BE7B"/>
        <color rgb="FFFFEB84"/>
        <color rgb="FFF8696B"/>
      </colorScale>
    </cfRule>
  </conditionalFormatting>
  <conditionalFormatting sqref="AU10:AZ11">
    <cfRule type="colorScale" priority="377">
      <colorScale>
        <cfvo type="min"/>
        <cfvo type="percentile" val="50"/>
        <cfvo type="max"/>
        <color rgb="FF63BE7B"/>
        <color rgb="FFFFEB84"/>
        <color rgb="FFF8696B"/>
      </colorScale>
    </cfRule>
  </conditionalFormatting>
  <conditionalFormatting sqref="AU4:AZ11">
    <cfRule type="colorScale" priority="379">
      <colorScale>
        <cfvo type="min"/>
        <cfvo type="percentile" val="50"/>
        <cfvo type="max"/>
        <color rgb="FF63BE7B"/>
        <color rgb="FFFFEB84"/>
        <color rgb="FFF8696B"/>
      </colorScale>
    </cfRule>
  </conditionalFormatting>
  <conditionalFormatting sqref="AO22:AT23">
    <cfRule type="colorScale" priority="397">
      <colorScale>
        <cfvo type="min"/>
        <cfvo type="percentile" val="50"/>
        <cfvo type="max"/>
        <color rgb="FF63BE7B"/>
        <color rgb="FFFFEB84"/>
        <color rgb="FFF8696B"/>
      </colorScale>
    </cfRule>
  </conditionalFormatting>
  <conditionalFormatting sqref="AO16:AT23">
    <cfRule type="colorScale" priority="399">
      <colorScale>
        <cfvo type="min"/>
        <cfvo type="percentile" val="50"/>
        <cfvo type="max"/>
        <color rgb="FF63BE7B"/>
        <color rgb="FFFFEB84"/>
        <color rgb="FFF8696B"/>
      </colorScale>
    </cfRule>
  </conditionalFormatting>
  <conditionalFormatting sqref="AU22:AZ23">
    <cfRule type="colorScale" priority="401">
      <colorScale>
        <cfvo type="min"/>
        <cfvo type="percentile" val="50"/>
        <cfvo type="max"/>
        <color rgb="FF63BE7B"/>
        <color rgb="FFFFEB84"/>
        <color rgb="FFF8696B"/>
      </colorScale>
    </cfRule>
  </conditionalFormatting>
  <conditionalFormatting sqref="AU16:AZ23">
    <cfRule type="colorScale" priority="403">
      <colorScale>
        <cfvo type="min"/>
        <cfvo type="percentile" val="50"/>
        <cfvo type="max"/>
        <color rgb="FF63BE7B"/>
        <color rgb="FFFFEB84"/>
        <color rgb="FFF8696B"/>
      </colorScale>
    </cfRule>
  </conditionalFormatting>
  <conditionalFormatting sqref="AO35:AT37">
    <cfRule type="colorScale" priority="424">
      <colorScale>
        <cfvo type="min"/>
        <cfvo type="percentile" val="50"/>
        <cfvo type="max"/>
        <color rgb="FF63BE7B"/>
        <color rgb="FFFFEB84"/>
        <color rgb="FFF8696B"/>
      </colorScale>
    </cfRule>
  </conditionalFormatting>
  <conditionalFormatting sqref="AO29:AT37">
    <cfRule type="colorScale" priority="426">
      <colorScale>
        <cfvo type="min"/>
        <cfvo type="percentile" val="50"/>
        <cfvo type="max"/>
        <color rgb="FF63BE7B"/>
        <color rgb="FFFFEB84"/>
        <color rgb="FFF8696B"/>
      </colorScale>
    </cfRule>
  </conditionalFormatting>
  <conditionalFormatting sqref="AU35:AZ37">
    <cfRule type="colorScale" priority="428">
      <colorScale>
        <cfvo type="min"/>
        <cfvo type="percentile" val="50"/>
        <cfvo type="max"/>
        <color rgb="FF63BE7B"/>
        <color rgb="FFFFEB84"/>
        <color rgb="FFF8696B"/>
      </colorScale>
    </cfRule>
  </conditionalFormatting>
  <conditionalFormatting sqref="AU29:AZ37">
    <cfRule type="colorScale" priority="430">
      <colorScale>
        <cfvo type="min"/>
        <cfvo type="percentile" val="50"/>
        <cfvo type="max"/>
        <color rgb="FF63BE7B"/>
        <color rgb="FFFFEB84"/>
        <color rgb="FFF8696B"/>
      </colorScale>
    </cfRule>
  </conditionalFormatting>
  <conditionalFormatting sqref="AO49:AT52">
    <cfRule type="colorScale" priority="454">
      <colorScale>
        <cfvo type="min"/>
        <cfvo type="percentile" val="50"/>
        <cfvo type="max"/>
        <color rgb="FF63BE7B"/>
        <color rgb="FFFFEB84"/>
        <color rgb="FFF8696B"/>
      </colorScale>
    </cfRule>
  </conditionalFormatting>
  <conditionalFormatting sqref="AO40:AT42 AO44:AT52">
    <cfRule type="colorScale" priority="456">
      <colorScale>
        <cfvo type="min"/>
        <cfvo type="percentile" val="50"/>
        <cfvo type="max"/>
        <color rgb="FF63BE7B"/>
        <color rgb="FFFFEB84"/>
        <color rgb="FFF8696B"/>
      </colorScale>
    </cfRule>
  </conditionalFormatting>
  <conditionalFormatting sqref="AU49:AZ52">
    <cfRule type="colorScale" priority="459">
      <colorScale>
        <cfvo type="min"/>
        <cfvo type="percentile" val="50"/>
        <cfvo type="max"/>
        <color rgb="FF63BE7B"/>
        <color rgb="FFFFEB84"/>
        <color rgb="FFF8696B"/>
      </colorScale>
    </cfRule>
  </conditionalFormatting>
  <conditionalFormatting sqref="AU40:AZ42 AU44:AZ52">
    <cfRule type="colorScale" priority="461">
      <colorScale>
        <cfvo type="min"/>
        <cfvo type="percentile" val="50"/>
        <cfvo type="max"/>
        <color rgb="FF63BE7B"/>
        <color rgb="FFFFEB84"/>
        <color rgb="FFF8696B"/>
      </colorScale>
    </cfRule>
  </conditionalFormatting>
  <conditionalFormatting sqref="AO64:AT66">
    <cfRule type="colorScale" priority="488">
      <colorScale>
        <cfvo type="min"/>
        <cfvo type="percentile" val="50"/>
        <cfvo type="max"/>
        <color rgb="FF63BE7B"/>
        <color rgb="FFFFEB84"/>
        <color rgb="FFF8696B"/>
      </colorScale>
    </cfRule>
  </conditionalFormatting>
  <conditionalFormatting sqref="AO55:AT56 AO58:AT66">
    <cfRule type="colorScale" priority="490">
      <colorScale>
        <cfvo type="min"/>
        <cfvo type="percentile" val="50"/>
        <cfvo type="max"/>
        <color rgb="FF63BE7B"/>
        <color rgb="FFFFEB84"/>
        <color rgb="FFF8696B"/>
      </colorScale>
    </cfRule>
  </conditionalFormatting>
  <conditionalFormatting sqref="AU64:AZ66">
    <cfRule type="colorScale" priority="493">
      <colorScale>
        <cfvo type="min"/>
        <cfvo type="percentile" val="50"/>
        <cfvo type="max"/>
        <color rgb="FF63BE7B"/>
        <color rgb="FFFFEB84"/>
        <color rgb="FFF8696B"/>
      </colorScale>
    </cfRule>
  </conditionalFormatting>
  <conditionalFormatting sqref="AU55:AZ56 AU58:AZ66">
    <cfRule type="colorScale" priority="495">
      <colorScale>
        <cfvo type="min"/>
        <cfvo type="percentile" val="50"/>
        <cfvo type="max"/>
        <color rgb="FF63BE7B"/>
        <color rgb="FFFFEB84"/>
        <color rgb="FFF8696B"/>
      </colorScale>
    </cfRule>
  </conditionalFormatting>
  <conditionalFormatting sqref="AO76:AT78">
    <cfRule type="colorScale" priority="520">
      <colorScale>
        <cfvo type="min"/>
        <cfvo type="percentile" val="50"/>
        <cfvo type="max"/>
        <color rgb="FF63BE7B"/>
        <color rgb="FFFFEB84"/>
        <color rgb="FFF8696B"/>
      </colorScale>
    </cfRule>
  </conditionalFormatting>
  <conditionalFormatting sqref="AO69:AT78">
    <cfRule type="colorScale" priority="522">
      <colorScale>
        <cfvo type="min"/>
        <cfvo type="percentile" val="50"/>
        <cfvo type="max"/>
        <color rgb="FF63BE7B"/>
        <color rgb="FFFFEB84"/>
        <color rgb="FFF8696B"/>
      </colorScale>
    </cfRule>
  </conditionalFormatting>
  <conditionalFormatting sqref="AU76:AZ78">
    <cfRule type="colorScale" priority="524">
      <colorScale>
        <cfvo type="min"/>
        <cfvo type="percentile" val="50"/>
        <cfvo type="max"/>
        <color rgb="FF63BE7B"/>
        <color rgb="FFFFEB84"/>
        <color rgb="FFF8696B"/>
      </colorScale>
    </cfRule>
  </conditionalFormatting>
  <conditionalFormatting sqref="AU69:AZ78">
    <cfRule type="colorScale" priority="526">
      <colorScale>
        <cfvo type="min"/>
        <cfvo type="percentile" val="50"/>
        <cfvo type="max"/>
        <color rgb="FF63BE7B"/>
        <color rgb="FFFFEB84"/>
        <color rgb="FFF8696B"/>
      </colorScale>
    </cfRule>
  </conditionalFormatting>
  <conditionalFormatting sqref="AO68:AZ78 AO54:AZ66 AO39:AZ52 AO26:AZ37 AO14:AZ23 AO3:AZ11">
    <cfRule type="colorScale" priority="528">
      <colorScale>
        <cfvo type="min"/>
        <cfvo type="percentile" val="50"/>
        <cfvo type="max"/>
        <color rgb="FF63BE7B"/>
        <color rgb="FFFFEB84"/>
        <color rgb="FFF8696B"/>
      </colorScale>
    </cfRule>
  </conditionalFormatting>
  <conditionalFormatting sqref="AU134:AZ134">
    <cfRule type="colorScale" priority="3">
      <colorScale>
        <cfvo type="min"/>
        <cfvo type="percentile" val="50"/>
        <cfvo type="max"/>
        <color rgb="FF63BE7B"/>
        <color rgb="FFFFEB84"/>
        <color rgb="FFF8696B"/>
      </colorScale>
    </cfRule>
  </conditionalFormatting>
  <conditionalFormatting sqref="AO134:AT134">
    <cfRule type="colorScale" priority="4">
      <colorScale>
        <cfvo type="min"/>
        <cfvo type="percentile" val="50"/>
        <cfvo type="max"/>
        <color rgb="FF63BE7B"/>
        <color rgb="FFFFEB84"/>
        <color rgb="FFF8696B"/>
      </colorScale>
    </cfRule>
  </conditionalFormatting>
  <conditionalFormatting sqref="AU144:AZ144">
    <cfRule type="colorScale" priority="1">
      <colorScale>
        <cfvo type="min"/>
        <cfvo type="percentile" val="50"/>
        <cfvo type="max"/>
        <color rgb="FF63BE7B"/>
        <color rgb="FFFFEB84"/>
        <color rgb="FFF8696B"/>
      </colorScale>
    </cfRule>
  </conditionalFormatting>
  <conditionalFormatting sqref="AO144:AT144">
    <cfRule type="colorScale" priority="2">
      <colorScale>
        <cfvo type="min"/>
        <cfvo type="percentile" val="50"/>
        <cfvo type="max"/>
        <color rgb="FF63BE7B"/>
        <color rgb="FFFFEB84"/>
        <color rgb="FFF8696B"/>
      </colorScale>
    </cfRule>
  </conditionalFormatting>
  <pageMargins left="0.7" right="0.7" top="0.75" bottom="0.75" header="0.3" footer="0.3"/>
  <pageSetup fitToWidth="2" orientation="landscape"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O36" sqref="O36"/>
    </sheetView>
  </sheetViews>
  <sheetFormatPr baseColWidth="10" defaultColWidth="8.83203125" defaultRowHeight="13"/>
  <cols>
    <col min="1" max="1" width="19.5" bestFit="1" customWidth="1"/>
    <col min="2" max="2" width="10.6640625" customWidth="1"/>
    <col min="3" max="4" width="10.83203125" customWidth="1"/>
    <col min="5" max="5" width="11.33203125" customWidth="1"/>
    <col min="6" max="6" width="10.6640625" bestFit="1" customWidth="1"/>
  </cols>
  <sheetData>
    <row r="1" spans="1:13">
      <c r="A1" t="s">
        <v>229</v>
      </c>
      <c r="J1">
        <v>11938</v>
      </c>
    </row>
    <row r="2" spans="1:13">
      <c r="J2" t="s">
        <v>315</v>
      </c>
    </row>
    <row r="3" spans="1:13">
      <c r="J3">
        <v>4850</v>
      </c>
    </row>
    <row r="4" spans="1:13" ht="42">
      <c r="A4" t="s">
        <v>187</v>
      </c>
      <c r="B4" s="71">
        <v>42712</v>
      </c>
      <c r="C4" s="72" t="s">
        <v>264</v>
      </c>
      <c r="D4" s="69" t="s">
        <v>265</v>
      </c>
      <c r="E4" s="69" t="s">
        <v>266</v>
      </c>
      <c r="F4" s="71">
        <v>42509</v>
      </c>
      <c r="G4" s="63">
        <v>42564</v>
      </c>
      <c r="H4" s="63">
        <v>42635</v>
      </c>
      <c r="I4" s="63">
        <v>42711</v>
      </c>
      <c r="J4" s="63">
        <v>42780</v>
      </c>
      <c r="K4" s="63">
        <v>42865</v>
      </c>
      <c r="L4" s="63">
        <v>42976</v>
      </c>
      <c r="M4" s="63">
        <v>43067</v>
      </c>
    </row>
    <row r="5" spans="1:13">
      <c r="A5" t="s">
        <v>267</v>
      </c>
      <c r="B5">
        <v>1</v>
      </c>
      <c r="C5">
        <v>148</v>
      </c>
      <c r="D5">
        <v>149</v>
      </c>
      <c r="E5">
        <v>150</v>
      </c>
      <c r="F5">
        <v>164</v>
      </c>
      <c r="G5">
        <v>219</v>
      </c>
    </row>
    <row r="6" spans="1:13">
      <c r="A6" t="s">
        <v>282</v>
      </c>
      <c r="F6">
        <v>1700</v>
      </c>
      <c r="G6">
        <v>14200</v>
      </c>
      <c r="H6">
        <v>16400</v>
      </c>
      <c r="I6">
        <v>17280</v>
      </c>
      <c r="J6">
        <v>16100</v>
      </c>
      <c r="K6" s="79">
        <f>AVERAGE((1100*12),(1150*12),(1250*12))</f>
        <v>14000</v>
      </c>
      <c r="L6" s="79">
        <f>(AVERAGE(1250,1225,1225))*12</f>
        <v>14800</v>
      </c>
      <c r="M6" s="79">
        <f>(AVERAGE(600,625,600)*12)</f>
        <v>7300</v>
      </c>
    </row>
    <row r="7" spans="1:13">
      <c r="A7" t="s">
        <v>200</v>
      </c>
      <c r="B7">
        <v>32.799999999999997</v>
      </c>
      <c r="C7">
        <v>32.6</v>
      </c>
      <c r="D7">
        <v>32</v>
      </c>
      <c r="E7">
        <v>32.1</v>
      </c>
      <c r="F7">
        <v>31.1</v>
      </c>
      <c r="G7">
        <v>32.1</v>
      </c>
      <c r="H7">
        <v>31.5</v>
      </c>
      <c r="I7">
        <v>31.4</v>
      </c>
      <c r="J7">
        <v>32</v>
      </c>
      <c r="K7">
        <v>31.1</v>
      </c>
      <c r="L7">
        <v>31.7</v>
      </c>
      <c r="M7">
        <v>30.7</v>
      </c>
    </row>
    <row r="8" spans="1:13">
      <c r="A8" t="s">
        <v>192</v>
      </c>
      <c r="B8">
        <v>9.1199999999999992</v>
      </c>
      <c r="C8">
        <v>8.61</v>
      </c>
      <c r="D8">
        <v>8.69</v>
      </c>
      <c r="E8">
        <v>8.69</v>
      </c>
      <c r="F8">
        <v>8.61</v>
      </c>
      <c r="G8">
        <v>8.75</v>
      </c>
      <c r="H8">
        <v>8.83</v>
      </c>
      <c r="I8">
        <v>9.07</v>
      </c>
      <c r="J8">
        <v>8.3800000000000008</v>
      </c>
      <c r="K8">
        <v>8.7799999999999994</v>
      </c>
      <c r="L8">
        <v>8.35</v>
      </c>
      <c r="M8">
        <v>7.63</v>
      </c>
    </row>
    <row r="9" spans="1:13">
      <c r="A9" t="s">
        <v>193</v>
      </c>
      <c r="B9">
        <v>-312</v>
      </c>
      <c r="C9">
        <v>-240</v>
      </c>
      <c r="D9">
        <v>-173</v>
      </c>
      <c r="E9">
        <v>-208</v>
      </c>
      <c r="F9">
        <v>-133</v>
      </c>
      <c r="G9">
        <v>-312</v>
      </c>
      <c r="H9">
        <v>-232</v>
      </c>
      <c r="I9">
        <v>-233</v>
      </c>
      <c r="J9">
        <v>-133</v>
      </c>
      <c r="K9">
        <v>-223</v>
      </c>
      <c r="L9">
        <v>-163</v>
      </c>
      <c r="M9">
        <v>-199</v>
      </c>
    </row>
    <row r="10" spans="1:13">
      <c r="A10" t="s">
        <v>213</v>
      </c>
      <c r="B10">
        <v>1562</v>
      </c>
      <c r="C10">
        <v>1560</v>
      </c>
      <c r="D10">
        <v>1559</v>
      </c>
      <c r="E10">
        <v>1540</v>
      </c>
      <c r="F10">
        <v>1534</v>
      </c>
      <c r="G10">
        <v>1542</v>
      </c>
      <c r="H10">
        <v>1536</v>
      </c>
      <c r="I10">
        <v>1540</v>
      </c>
      <c r="J10">
        <v>1540</v>
      </c>
      <c r="K10">
        <v>1539</v>
      </c>
      <c r="L10">
        <v>1538</v>
      </c>
      <c r="M10">
        <v>1544</v>
      </c>
    </row>
    <row r="11" spans="1:13">
      <c r="A11" t="s">
        <v>194</v>
      </c>
      <c r="B11">
        <v>1128</v>
      </c>
      <c r="C11">
        <v>1127</v>
      </c>
      <c r="D11">
        <v>1120</v>
      </c>
      <c r="E11">
        <v>1107</v>
      </c>
      <c r="F11">
        <v>1107</v>
      </c>
      <c r="G11">
        <v>1108</v>
      </c>
      <c r="H11">
        <v>1107</v>
      </c>
      <c r="I11">
        <v>1109</v>
      </c>
      <c r="J11">
        <v>1110</v>
      </c>
      <c r="K11">
        <v>1107</v>
      </c>
      <c r="L11">
        <v>1106</v>
      </c>
      <c r="M11">
        <v>1110</v>
      </c>
    </row>
    <row r="12" spans="1:13">
      <c r="A12" t="s">
        <v>201</v>
      </c>
      <c r="C12">
        <v>0.6</v>
      </c>
      <c r="D12">
        <v>0.7</v>
      </c>
      <c r="E12">
        <v>0.6</v>
      </c>
      <c r="F12">
        <v>0.7</v>
      </c>
      <c r="G12">
        <v>0.8</v>
      </c>
      <c r="H12">
        <v>0.8</v>
      </c>
      <c r="I12">
        <v>0.7</v>
      </c>
      <c r="J12">
        <v>0.8</v>
      </c>
      <c r="K12">
        <v>0.9</v>
      </c>
      <c r="L12">
        <v>1.1000000000000001</v>
      </c>
      <c r="M12">
        <v>0.7</v>
      </c>
    </row>
    <row r="13" spans="1:13">
      <c r="A13" t="s">
        <v>202</v>
      </c>
      <c r="C13">
        <v>0.4</v>
      </c>
      <c r="D13">
        <v>0.43</v>
      </c>
      <c r="E13">
        <v>0.36</v>
      </c>
      <c r="F13">
        <v>0.48</v>
      </c>
      <c r="G13">
        <v>0.47</v>
      </c>
      <c r="H13">
        <v>0.5</v>
      </c>
      <c r="I13">
        <v>0.46</v>
      </c>
      <c r="J13">
        <v>0.49</v>
      </c>
      <c r="K13">
        <v>0.47</v>
      </c>
      <c r="L13">
        <v>0.43</v>
      </c>
      <c r="M13">
        <v>0.49</v>
      </c>
    </row>
    <row r="14" spans="1:13">
      <c r="A14" t="s">
        <v>203</v>
      </c>
      <c r="C14">
        <v>0.03</v>
      </c>
      <c r="D14">
        <v>0</v>
      </c>
      <c r="E14">
        <v>0.13</v>
      </c>
      <c r="F14">
        <v>0</v>
      </c>
      <c r="G14">
        <v>0</v>
      </c>
      <c r="H14">
        <v>0.01</v>
      </c>
      <c r="I14">
        <v>0</v>
      </c>
      <c r="J14">
        <v>0</v>
      </c>
      <c r="K14">
        <v>0.01</v>
      </c>
      <c r="L14">
        <v>0</v>
      </c>
      <c r="M14">
        <v>0</v>
      </c>
    </row>
    <row r="15" spans="1:13">
      <c r="A15" t="s">
        <v>204</v>
      </c>
      <c r="C15">
        <v>268</v>
      </c>
      <c r="D15">
        <v>196</v>
      </c>
      <c r="E15">
        <v>218</v>
      </c>
      <c r="F15">
        <v>354</v>
      </c>
      <c r="G15">
        <v>336</v>
      </c>
      <c r="H15">
        <v>397</v>
      </c>
      <c r="I15">
        <v>329</v>
      </c>
      <c r="J15">
        <v>336</v>
      </c>
      <c r="K15">
        <v>348</v>
      </c>
      <c r="L15">
        <v>395</v>
      </c>
      <c r="M15">
        <v>308</v>
      </c>
    </row>
    <row r="16" spans="1:13">
      <c r="A16" t="s">
        <v>205</v>
      </c>
      <c r="C16">
        <v>0.4</v>
      </c>
      <c r="D16">
        <v>6.3</v>
      </c>
      <c r="E16">
        <v>2.2000000000000002</v>
      </c>
      <c r="F16">
        <v>0</v>
      </c>
      <c r="G16">
        <v>7.0000000000000001E-3</v>
      </c>
      <c r="H16">
        <v>7.0000000000000007E-2</v>
      </c>
      <c r="I16">
        <v>5.8000000000000003E-2</v>
      </c>
      <c r="J16">
        <v>8.0000000000000002E-3</v>
      </c>
      <c r="K16">
        <v>4.1000000000000002E-2</v>
      </c>
      <c r="L16">
        <v>3.0000000000000001E-3</v>
      </c>
      <c r="M16">
        <v>0.02</v>
      </c>
    </row>
    <row r="17" spans="1:13">
      <c r="A17" t="s">
        <v>271</v>
      </c>
      <c r="E17">
        <v>0.216</v>
      </c>
      <c r="F17">
        <v>0.22800000000000001</v>
      </c>
      <c r="G17">
        <v>0.218</v>
      </c>
      <c r="H17">
        <v>0.161</v>
      </c>
      <c r="J17">
        <v>0.123</v>
      </c>
      <c r="L17">
        <v>0.214</v>
      </c>
      <c r="M17">
        <v>0.13300000000000001</v>
      </c>
    </row>
    <row r="18" spans="1:13">
      <c r="A18" t="s">
        <v>240</v>
      </c>
      <c r="F18">
        <v>0.05</v>
      </c>
      <c r="H18">
        <v>0.05</v>
      </c>
      <c r="I18" s="91"/>
      <c r="J18" s="90"/>
    </row>
    <row r="19" spans="1:13">
      <c r="A19" t="s">
        <v>241</v>
      </c>
      <c r="C19">
        <v>0.04</v>
      </c>
      <c r="D19">
        <v>0.05</v>
      </c>
      <c r="E19">
        <v>0.05</v>
      </c>
      <c r="I19" s="91"/>
      <c r="J19" s="90"/>
    </row>
    <row r="20" spans="1:13">
      <c r="A20" t="s">
        <v>242</v>
      </c>
      <c r="B20">
        <v>6.3E-2</v>
      </c>
      <c r="C20">
        <v>6.3E-2</v>
      </c>
      <c r="D20">
        <v>6.3E-2</v>
      </c>
      <c r="E20">
        <v>6.0999999999999999E-2</v>
      </c>
      <c r="F20">
        <v>6.2E-2</v>
      </c>
      <c r="G20">
        <v>6.2E-2</v>
      </c>
      <c r="H20">
        <v>6.5000000000000002E-2</v>
      </c>
      <c r="I20" s="91">
        <v>5.7000000000000002E-2</v>
      </c>
      <c r="J20" s="90">
        <v>0.06</v>
      </c>
      <c r="K20">
        <v>6.8000000000000005E-2</v>
      </c>
      <c r="L20">
        <v>6.5000000000000002E-2</v>
      </c>
      <c r="M20">
        <v>6.5000000000000002E-2</v>
      </c>
    </row>
    <row r="21" spans="1:13">
      <c r="A21" t="s">
        <v>263</v>
      </c>
      <c r="B21">
        <v>0.41</v>
      </c>
      <c r="C21">
        <v>0.54</v>
      </c>
      <c r="D21">
        <v>0.53</v>
      </c>
      <c r="E21">
        <v>0.53</v>
      </c>
      <c r="F21">
        <v>0.52</v>
      </c>
      <c r="G21">
        <v>0.51</v>
      </c>
      <c r="H21">
        <v>0.53</v>
      </c>
      <c r="I21" s="91">
        <v>0.53</v>
      </c>
      <c r="J21" s="90">
        <v>0.51</v>
      </c>
      <c r="K21">
        <v>0.52</v>
      </c>
      <c r="L21">
        <v>0.52</v>
      </c>
      <c r="M21">
        <v>0.52</v>
      </c>
    </row>
    <row r="22" spans="1:13">
      <c r="A22" t="s">
        <v>243</v>
      </c>
      <c r="F22">
        <v>0.107</v>
      </c>
      <c r="I22" s="91"/>
      <c r="J22" s="90"/>
      <c r="K22">
        <v>0.19400000000000001</v>
      </c>
      <c r="M22">
        <v>0.182</v>
      </c>
    </row>
    <row r="23" spans="1:13">
      <c r="A23" t="s">
        <v>244</v>
      </c>
      <c r="I23" s="91"/>
      <c r="J23" s="90"/>
    </row>
    <row r="24" spans="1:13">
      <c r="A24" t="s">
        <v>245</v>
      </c>
      <c r="B24">
        <v>4.4000000000000004</v>
      </c>
      <c r="C24">
        <v>4.2</v>
      </c>
      <c r="D24">
        <v>4</v>
      </c>
      <c r="E24">
        <v>3.9</v>
      </c>
      <c r="F24">
        <v>4.0999999999999996</v>
      </c>
      <c r="G24">
        <v>4.0999999999999996</v>
      </c>
      <c r="H24">
        <v>4</v>
      </c>
      <c r="I24" s="91">
        <v>3.8</v>
      </c>
      <c r="J24" s="90">
        <v>3.8</v>
      </c>
      <c r="K24">
        <v>3.8</v>
      </c>
      <c r="L24">
        <v>3.6</v>
      </c>
      <c r="M24">
        <v>3.9</v>
      </c>
    </row>
    <row r="25" spans="1:13">
      <c r="A25" t="s">
        <v>246</v>
      </c>
      <c r="B25">
        <v>19.600000000000001</v>
      </c>
      <c r="C25">
        <v>19.600000000000001</v>
      </c>
      <c r="D25">
        <v>19.600000000000001</v>
      </c>
      <c r="E25">
        <v>19.399999999999999</v>
      </c>
      <c r="F25">
        <v>19</v>
      </c>
      <c r="G25">
        <v>19</v>
      </c>
      <c r="H25">
        <v>18.399999999999999</v>
      </c>
      <c r="I25" s="91">
        <v>17.899999999999999</v>
      </c>
      <c r="J25" s="90">
        <v>19.5</v>
      </c>
      <c r="K25">
        <v>19.399999999999999</v>
      </c>
      <c r="L25">
        <v>19.7</v>
      </c>
      <c r="M25">
        <v>19.100000000000001</v>
      </c>
    </row>
    <row r="26" spans="1:13">
      <c r="A26" t="s">
        <v>247</v>
      </c>
      <c r="I26" s="91"/>
      <c r="J26" s="90"/>
    </row>
    <row r="27" spans="1:13">
      <c r="A27" t="s">
        <v>248</v>
      </c>
      <c r="I27" s="91"/>
      <c r="J27" s="90"/>
    </row>
    <row r="28" spans="1:13">
      <c r="A28" t="s">
        <v>251</v>
      </c>
      <c r="B28">
        <v>5.44</v>
      </c>
      <c r="C28">
        <v>5.87</v>
      </c>
      <c r="D28">
        <v>5.76</v>
      </c>
      <c r="E28">
        <v>5.97</v>
      </c>
      <c r="F28">
        <v>5.91</v>
      </c>
      <c r="G28">
        <v>5.71</v>
      </c>
      <c r="H28">
        <v>5.6</v>
      </c>
      <c r="I28" s="91">
        <v>5.25</v>
      </c>
      <c r="J28" s="90">
        <v>5.83</v>
      </c>
      <c r="K28">
        <v>5.92</v>
      </c>
      <c r="L28">
        <v>6.04</v>
      </c>
      <c r="M28">
        <v>5.59</v>
      </c>
    </row>
    <row r="29" spans="1:13">
      <c r="A29" t="s">
        <v>249</v>
      </c>
      <c r="F29">
        <v>0.18</v>
      </c>
      <c r="H29">
        <v>0.02</v>
      </c>
      <c r="I29" s="91"/>
      <c r="J29" s="90">
        <v>0.02</v>
      </c>
      <c r="K29">
        <v>0.02</v>
      </c>
    </row>
    <row r="30" spans="1:13">
      <c r="A30" t="s">
        <v>250</v>
      </c>
      <c r="I30" s="91"/>
      <c r="J30" s="90"/>
    </row>
    <row r="31" spans="1:13">
      <c r="A31" t="s">
        <v>252</v>
      </c>
      <c r="B31">
        <v>0.24099999999999999</v>
      </c>
      <c r="C31">
        <v>0.23400000000000001</v>
      </c>
      <c r="D31">
        <v>0.23200000000000001</v>
      </c>
      <c r="E31">
        <v>0.23300000000000001</v>
      </c>
      <c r="F31">
        <v>0.22800000000000001</v>
      </c>
      <c r="G31">
        <v>0.22700000000000001</v>
      </c>
      <c r="H31">
        <v>0.23300000000000001</v>
      </c>
      <c r="I31" s="91">
        <v>0.223</v>
      </c>
      <c r="J31" s="90">
        <v>0.23300000000000001</v>
      </c>
      <c r="K31">
        <v>0.23100000000000001</v>
      </c>
      <c r="L31">
        <v>0.221</v>
      </c>
      <c r="M31">
        <v>0.22700000000000001</v>
      </c>
    </row>
    <row r="32" spans="1:13">
      <c r="A32" t="s">
        <v>253</v>
      </c>
      <c r="B32">
        <v>6</v>
      </c>
      <c r="C32">
        <v>5.8</v>
      </c>
      <c r="D32">
        <v>5.4</v>
      </c>
      <c r="E32">
        <v>5.3</v>
      </c>
      <c r="F32">
        <v>5.3</v>
      </c>
      <c r="G32">
        <v>5.3</v>
      </c>
      <c r="H32">
        <v>5.0999999999999996</v>
      </c>
      <c r="I32" s="91">
        <v>5</v>
      </c>
      <c r="J32" s="90">
        <v>5.2</v>
      </c>
      <c r="K32">
        <v>5.0999999999999996</v>
      </c>
      <c r="L32">
        <v>5.0999999999999996</v>
      </c>
      <c r="M32">
        <v>5.0999999999999996</v>
      </c>
    </row>
    <row r="33" spans="1:13">
      <c r="A33" t="s">
        <v>254</v>
      </c>
      <c r="F33">
        <v>7.0000000000000001E-3</v>
      </c>
      <c r="I33" s="91"/>
      <c r="J33" s="90"/>
    </row>
    <row r="34" spans="1:13">
      <c r="A34" t="s">
        <v>255</v>
      </c>
      <c r="I34" s="91"/>
      <c r="J34" s="90"/>
    </row>
    <row r="35" spans="1:13">
      <c r="A35" t="s">
        <v>256</v>
      </c>
      <c r="I35" s="91"/>
      <c r="J35" s="90"/>
    </row>
    <row r="36" spans="1:13">
      <c r="A36" t="s">
        <v>257</v>
      </c>
      <c r="G36">
        <v>7.0000000000000007E-2</v>
      </c>
      <c r="I36" s="91"/>
      <c r="J36" s="90"/>
    </row>
    <row r="37" spans="1:13">
      <c r="A37" t="s">
        <v>258</v>
      </c>
      <c r="B37">
        <v>7.2</v>
      </c>
      <c r="C37">
        <v>7</v>
      </c>
      <c r="D37">
        <v>6.9</v>
      </c>
      <c r="E37">
        <v>6.9</v>
      </c>
      <c r="F37">
        <v>7</v>
      </c>
      <c r="G37">
        <v>7.1</v>
      </c>
      <c r="H37">
        <v>6.9</v>
      </c>
      <c r="I37" s="91">
        <v>6.9</v>
      </c>
      <c r="J37" s="90">
        <v>7.1</v>
      </c>
      <c r="K37">
        <v>6.9</v>
      </c>
      <c r="L37">
        <v>7.1</v>
      </c>
      <c r="M37">
        <v>7.1</v>
      </c>
    </row>
    <row r="38" spans="1:13">
      <c r="A38" t="s">
        <v>259</v>
      </c>
      <c r="I38" s="91"/>
      <c r="J38" s="90"/>
    </row>
    <row r="39" spans="1:13">
      <c r="A39" t="s">
        <v>260</v>
      </c>
      <c r="B39">
        <v>338</v>
      </c>
      <c r="C39">
        <v>339</v>
      </c>
      <c r="D39">
        <v>337</v>
      </c>
      <c r="E39">
        <v>335</v>
      </c>
      <c r="F39">
        <v>332</v>
      </c>
      <c r="G39">
        <v>337</v>
      </c>
      <c r="H39">
        <v>352</v>
      </c>
      <c r="I39" s="91">
        <v>342</v>
      </c>
      <c r="J39" s="90">
        <v>344</v>
      </c>
      <c r="K39">
        <v>352</v>
      </c>
      <c r="L39">
        <v>345</v>
      </c>
      <c r="M39">
        <v>352</v>
      </c>
    </row>
    <row r="40" spans="1:13">
      <c r="A40" t="s">
        <v>261</v>
      </c>
      <c r="B40">
        <v>167</v>
      </c>
      <c r="C40">
        <v>182</v>
      </c>
      <c r="D40">
        <v>177</v>
      </c>
      <c r="E40">
        <v>177</v>
      </c>
      <c r="F40">
        <v>184</v>
      </c>
      <c r="G40">
        <v>172</v>
      </c>
      <c r="H40">
        <v>167</v>
      </c>
      <c r="I40" s="91">
        <v>156</v>
      </c>
      <c r="J40" s="90">
        <v>173</v>
      </c>
      <c r="K40">
        <v>170</v>
      </c>
      <c r="L40">
        <v>172</v>
      </c>
      <c r="M40">
        <v>172</v>
      </c>
    </row>
    <row r="41" spans="1:13">
      <c r="A41" t="s">
        <v>262</v>
      </c>
      <c r="J41" s="9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1"/>
  <sheetViews>
    <sheetView workbookViewId="0">
      <selection activeCell="P13" sqref="P13"/>
    </sheetView>
  </sheetViews>
  <sheetFormatPr baseColWidth="10" defaultColWidth="8.83203125" defaultRowHeight="13"/>
  <cols>
    <col min="1" max="1" width="20.5" bestFit="1" customWidth="1"/>
  </cols>
  <sheetData>
    <row r="1" spans="1:11">
      <c r="A1" t="s">
        <v>232</v>
      </c>
    </row>
    <row r="2" spans="1:11">
      <c r="H2" t="s">
        <v>2</v>
      </c>
    </row>
    <row r="3" spans="1:11">
      <c r="H3" t="s">
        <v>316</v>
      </c>
    </row>
    <row r="4" spans="1:11">
      <c r="H4">
        <v>4850</v>
      </c>
    </row>
    <row r="5" spans="1:11">
      <c r="A5" t="s">
        <v>187</v>
      </c>
      <c r="B5" s="63">
        <v>42346</v>
      </c>
      <c r="C5" s="63">
        <v>42494</v>
      </c>
      <c r="D5" s="63">
        <v>42509</v>
      </c>
      <c r="E5" s="63">
        <v>42564</v>
      </c>
      <c r="F5" s="63">
        <v>42635</v>
      </c>
      <c r="G5" s="63">
        <v>42711</v>
      </c>
      <c r="H5" s="63">
        <v>42780</v>
      </c>
      <c r="I5" s="63">
        <v>42866</v>
      </c>
      <c r="J5" s="63">
        <v>42976</v>
      </c>
      <c r="K5" s="63">
        <v>43067</v>
      </c>
    </row>
    <row r="6" spans="1:11">
      <c r="A6" t="s">
        <v>267</v>
      </c>
      <c r="B6">
        <v>1</v>
      </c>
      <c r="C6">
        <v>149</v>
      </c>
      <c r="D6">
        <v>164</v>
      </c>
      <c r="E6">
        <v>219</v>
      </c>
      <c r="I6" s="81"/>
      <c r="J6" s="149"/>
      <c r="K6" s="149"/>
    </row>
    <row r="7" spans="1:11">
      <c r="A7" t="s">
        <v>200</v>
      </c>
      <c r="B7">
        <v>21</v>
      </c>
      <c r="C7">
        <v>21.3</v>
      </c>
      <c r="D7">
        <v>21.6</v>
      </c>
      <c r="E7">
        <v>22.1</v>
      </c>
      <c r="F7">
        <v>21.8</v>
      </c>
      <c r="G7">
        <v>24.6</v>
      </c>
      <c r="H7">
        <v>20.8</v>
      </c>
      <c r="I7">
        <v>20.2</v>
      </c>
      <c r="J7">
        <v>22.2</v>
      </c>
      <c r="K7">
        <v>20.6</v>
      </c>
    </row>
    <row r="8" spans="1:11">
      <c r="A8" t="s">
        <v>192</v>
      </c>
      <c r="B8">
        <v>9.3699999999999992</v>
      </c>
      <c r="C8">
        <v>9.3000000000000007</v>
      </c>
      <c r="D8">
        <v>8.9700000000000006</v>
      </c>
      <c r="E8">
        <v>9.18</v>
      </c>
      <c r="F8">
        <v>8.14</v>
      </c>
      <c r="G8">
        <v>8.64</v>
      </c>
      <c r="H8">
        <v>8.11</v>
      </c>
      <c r="I8">
        <v>8.2899999999999991</v>
      </c>
      <c r="J8">
        <v>8.1300000000000008</v>
      </c>
      <c r="K8">
        <v>6.68</v>
      </c>
    </row>
    <row r="9" spans="1:11">
      <c r="A9" t="s">
        <v>193</v>
      </c>
      <c r="B9">
        <v>-350</v>
      </c>
      <c r="C9">
        <v>-324</v>
      </c>
      <c r="D9">
        <v>-134</v>
      </c>
      <c r="E9">
        <v>-314</v>
      </c>
      <c r="F9">
        <v>-250</v>
      </c>
      <c r="G9">
        <v>-205</v>
      </c>
      <c r="H9">
        <v>-213</v>
      </c>
      <c r="I9">
        <v>-257</v>
      </c>
      <c r="J9">
        <v>-207</v>
      </c>
      <c r="K9">
        <v>-188</v>
      </c>
    </row>
    <row r="10" spans="1:11">
      <c r="A10" t="s">
        <v>213</v>
      </c>
      <c r="B10">
        <v>7894</v>
      </c>
      <c r="C10">
        <v>7825</v>
      </c>
      <c r="D10">
        <v>7883</v>
      </c>
      <c r="E10">
        <v>7875</v>
      </c>
      <c r="F10">
        <v>7987</v>
      </c>
      <c r="G10">
        <v>7978</v>
      </c>
      <c r="H10">
        <v>7937</v>
      </c>
      <c r="I10">
        <v>7952</v>
      </c>
      <c r="J10">
        <v>7945</v>
      </c>
      <c r="K10">
        <v>7974</v>
      </c>
    </row>
    <row r="11" spans="1:11">
      <c r="A11" t="s">
        <v>194</v>
      </c>
      <c r="B11">
        <v>6579</v>
      </c>
      <c r="C11">
        <v>6530</v>
      </c>
      <c r="D11">
        <v>6554</v>
      </c>
      <c r="E11">
        <v>6538</v>
      </c>
      <c r="F11">
        <v>6636</v>
      </c>
      <c r="G11">
        <v>6685</v>
      </c>
      <c r="H11">
        <v>6619</v>
      </c>
      <c r="I11">
        <v>6621</v>
      </c>
      <c r="J11">
        <v>6613</v>
      </c>
      <c r="K11">
        <v>6641</v>
      </c>
    </row>
    <row r="12" spans="1:11">
      <c r="A12" t="s">
        <v>201</v>
      </c>
      <c r="C12">
        <v>0.3</v>
      </c>
      <c r="D12">
        <v>0.3</v>
      </c>
      <c r="E12">
        <v>0.2</v>
      </c>
      <c r="F12">
        <v>0.3</v>
      </c>
      <c r="G12">
        <v>0.4</v>
      </c>
      <c r="H12">
        <v>0.3</v>
      </c>
      <c r="I12">
        <v>0.3</v>
      </c>
      <c r="J12">
        <v>0.3</v>
      </c>
      <c r="K12">
        <v>0.3</v>
      </c>
    </row>
    <row r="13" spans="1:11">
      <c r="A13" t="s">
        <v>202</v>
      </c>
      <c r="C13">
        <v>0.12</v>
      </c>
      <c r="D13">
        <v>0.13</v>
      </c>
      <c r="E13">
        <v>0.13</v>
      </c>
      <c r="F13">
        <v>0.06</v>
      </c>
      <c r="G13">
        <v>0.08</v>
      </c>
      <c r="H13">
        <v>0.08</v>
      </c>
      <c r="I13">
        <v>0.06</v>
      </c>
      <c r="J13">
        <v>0.03</v>
      </c>
      <c r="K13">
        <v>0.01</v>
      </c>
    </row>
    <row r="14" spans="1:11">
      <c r="A14" t="s">
        <v>203</v>
      </c>
      <c r="C14">
        <v>0.18</v>
      </c>
      <c r="D14">
        <v>0.08</v>
      </c>
      <c r="E14">
        <v>0.09</v>
      </c>
      <c r="F14">
        <v>2.0299999999999998</v>
      </c>
      <c r="G14">
        <v>1.23</v>
      </c>
      <c r="H14">
        <v>1.43</v>
      </c>
      <c r="I14">
        <v>1.74</v>
      </c>
      <c r="J14">
        <v>1.51</v>
      </c>
      <c r="K14">
        <v>2.93</v>
      </c>
    </row>
    <row r="15" spans="1:11">
      <c r="A15" t="s">
        <v>204</v>
      </c>
      <c r="C15">
        <v>61</v>
      </c>
      <c r="D15">
        <v>86</v>
      </c>
      <c r="E15">
        <v>98</v>
      </c>
      <c r="F15">
        <v>73</v>
      </c>
      <c r="G15">
        <v>55</v>
      </c>
      <c r="H15">
        <v>74</v>
      </c>
      <c r="I15">
        <v>122</v>
      </c>
      <c r="J15">
        <v>88</v>
      </c>
      <c r="K15">
        <v>20</v>
      </c>
    </row>
    <row r="16" spans="1:11">
      <c r="A16" t="s">
        <v>205</v>
      </c>
      <c r="C16">
        <v>1.1000000000000001</v>
      </c>
      <c r="D16">
        <v>0.68</v>
      </c>
      <c r="E16">
        <v>1.4999999999999999E-2</v>
      </c>
      <c r="F16">
        <v>7.0000000000000007E-2</v>
      </c>
      <c r="G16">
        <v>0.09</v>
      </c>
      <c r="H16">
        <v>0.02</v>
      </c>
      <c r="I16">
        <v>0.312</v>
      </c>
      <c r="J16">
        <v>7.0000000000000001E-3</v>
      </c>
      <c r="K16">
        <v>8.9999999999999993E-3</v>
      </c>
    </row>
    <row r="17" spans="1:11">
      <c r="A17" t="s">
        <v>271</v>
      </c>
      <c r="D17">
        <v>0.314</v>
      </c>
      <c r="E17">
        <v>0.38600000000000001</v>
      </c>
      <c r="F17">
        <v>0.158</v>
      </c>
      <c r="G17">
        <v>0.13600000000000001</v>
      </c>
      <c r="H17">
        <v>0.13600000000000001</v>
      </c>
      <c r="J17">
        <v>0.28799999999999998</v>
      </c>
      <c r="K17">
        <v>0.31900000000000001</v>
      </c>
    </row>
    <row r="18" spans="1:11">
      <c r="A18" t="s">
        <v>240</v>
      </c>
      <c r="C18">
        <v>0.17</v>
      </c>
      <c r="E18">
        <v>0.03</v>
      </c>
      <c r="F18">
        <v>0.06</v>
      </c>
      <c r="H18" s="90"/>
      <c r="K18">
        <v>0.04</v>
      </c>
    </row>
    <row r="19" spans="1:11">
      <c r="A19" t="s">
        <v>241</v>
      </c>
      <c r="C19">
        <v>0.06</v>
      </c>
      <c r="E19">
        <v>7.0000000000000007E-2</v>
      </c>
      <c r="H19" s="90"/>
    </row>
    <row r="20" spans="1:11">
      <c r="A20" t="s">
        <v>242</v>
      </c>
      <c r="B20">
        <v>8.9999999999999993E-3</v>
      </c>
      <c r="C20">
        <v>2.1000000000000001E-2</v>
      </c>
      <c r="D20">
        <v>8.9999999999999993E-3</v>
      </c>
      <c r="E20">
        <v>8.0000000000000002E-3</v>
      </c>
      <c r="G20">
        <v>7.0000000000000001E-3</v>
      </c>
      <c r="H20" s="90">
        <v>5.0000000000000001E-3</v>
      </c>
      <c r="I20">
        <v>0.01</v>
      </c>
      <c r="J20">
        <v>8.9999999999999993E-3</v>
      </c>
      <c r="K20">
        <v>5.0000000000000001E-3</v>
      </c>
    </row>
    <row r="21" spans="1:11">
      <c r="A21" t="s">
        <v>263</v>
      </c>
      <c r="B21">
        <v>0.48</v>
      </c>
      <c r="C21">
        <v>0.91</v>
      </c>
      <c r="D21">
        <v>0.9</v>
      </c>
      <c r="E21">
        <v>0.87</v>
      </c>
      <c r="F21">
        <v>0.94</v>
      </c>
      <c r="G21">
        <v>0.85</v>
      </c>
      <c r="H21" s="90">
        <v>0.92</v>
      </c>
      <c r="I21">
        <v>0.94</v>
      </c>
      <c r="J21">
        <v>0.94</v>
      </c>
      <c r="K21">
        <v>0.92</v>
      </c>
    </row>
    <row r="22" spans="1:11">
      <c r="A22" t="s">
        <v>243</v>
      </c>
      <c r="H22" s="90"/>
      <c r="K22">
        <v>2.89</v>
      </c>
    </row>
    <row r="23" spans="1:11">
      <c r="A23" t="s">
        <v>244</v>
      </c>
      <c r="H23" s="90"/>
    </row>
    <row r="24" spans="1:11">
      <c r="A24" t="s">
        <v>245</v>
      </c>
      <c r="B24">
        <v>330</v>
      </c>
      <c r="C24">
        <v>309</v>
      </c>
      <c r="D24">
        <v>310</v>
      </c>
      <c r="E24">
        <v>331</v>
      </c>
      <c r="F24">
        <v>325</v>
      </c>
      <c r="G24">
        <v>310</v>
      </c>
      <c r="H24" s="90">
        <v>327</v>
      </c>
      <c r="I24">
        <v>323</v>
      </c>
      <c r="J24">
        <v>320</v>
      </c>
      <c r="K24">
        <v>334</v>
      </c>
    </row>
    <row r="25" spans="1:11">
      <c r="A25" t="s">
        <v>246</v>
      </c>
      <c r="B25">
        <v>219</v>
      </c>
      <c r="C25">
        <v>181</v>
      </c>
      <c r="D25">
        <v>208</v>
      </c>
      <c r="E25">
        <v>211</v>
      </c>
      <c r="F25">
        <v>217</v>
      </c>
      <c r="G25">
        <v>233</v>
      </c>
      <c r="H25" s="90">
        <v>216</v>
      </c>
      <c r="I25">
        <v>225</v>
      </c>
      <c r="J25">
        <v>233</v>
      </c>
      <c r="K25">
        <v>207</v>
      </c>
    </row>
    <row r="26" spans="1:11">
      <c r="A26" t="s">
        <v>247</v>
      </c>
      <c r="H26" s="90"/>
    </row>
    <row r="27" spans="1:11">
      <c r="A27" t="s">
        <v>248</v>
      </c>
      <c r="H27" s="90"/>
    </row>
    <row r="28" spans="1:11">
      <c r="A28" t="s">
        <v>251</v>
      </c>
      <c r="B28">
        <v>2.83</v>
      </c>
      <c r="C28">
        <v>3.01</v>
      </c>
      <c r="D28">
        <v>2.96</v>
      </c>
      <c r="E28">
        <v>3.11</v>
      </c>
      <c r="G28">
        <v>3.12</v>
      </c>
      <c r="H28" s="90">
        <v>3.48</v>
      </c>
      <c r="I28">
        <v>5.23</v>
      </c>
    </row>
    <row r="29" spans="1:11">
      <c r="A29" t="s">
        <v>249</v>
      </c>
      <c r="B29">
        <v>0.47</v>
      </c>
      <c r="C29">
        <v>0.34</v>
      </c>
      <c r="D29">
        <v>0.15</v>
      </c>
      <c r="E29">
        <v>0.18</v>
      </c>
      <c r="F29">
        <v>3.78</v>
      </c>
      <c r="G29">
        <v>2.3199999999999998</v>
      </c>
      <c r="H29" s="90">
        <v>2.5</v>
      </c>
      <c r="I29">
        <v>4.47</v>
      </c>
      <c r="J29">
        <v>1.97</v>
      </c>
      <c r="K29">
        <v>8.84</v>
      </c>
    </row>
    <row r="30" spans="1:11">
      <c r="A30" t="s">
        <v>250</v>
      </c>
      <c r="H30" s="90"/>
    </row>
    <row r="31" spans="1:11">
      <c r="A31" t="s">
        <v>252</v>
      </c>
      <c r="B31">
        <v>2.38</v>
      </c>
      <c r="C31">
        <v>2.2799999999999998</v>
      </c>
      <c r="D31">
        <v>2.23</v>
      </c>
      <c r="E31">
        <v>2.3199999999999998</v>
      </c>
      <c r="F31">
        <v>2.2200000000000002</v>
      </c>
      <c r="G31">
        <v>2.08</v>
      </c>
      <c r="H31" s="90">
        <v>2.23</v>
      </c>
      <c r="I31">
        <v>2.27</v>
      </c>
      <c r="J31">
        <v>2.17</v>
      </c>
      <c r="K31">
        <v>2.1800000000000002</v>
      </c>
    </row>
    <row r="32" spans="1:11">
      <c r="A32" t="s">
        <v>253</v>
      </c>
      <c r="B32">
        <v>99.6</v>
      </c>
      <c r="C32">
        <v>91.2</v>
      </c>
      <c r="D32">
        <v>89.4</v>
      </c>
      <c r="E32">
        <v>95.7</v>
      </c>
      <c r="F32">
        <v>98.9</v>
      </c>
      <c r="G32">
        <v>93</v>
      </c>
      <c r="H32" s="90">
        <v>98</v>
      </c>
      <c r="I32">
        <v>98.2</v>
      </c>
      <c r="J32">
        <v>99.3</v>
      </c>
      <c r="K32">
        <v>99.7</v>
      </c>
    </row>
    <row r="33" spans="1:11">
      <c r="A33" t="s">
        <v>254</v>
      </c>
      <c r="B33">
        <v>0.19800000000000001</v>
      </c>
      <c r="C33">
        <v>0.159</v>
      </c>
      <c r="D33">
        <v>0.17499999999999999</v>
      </c>
      <c r="E33">
        <v>0.17299999999999999</v>
      </c>
      <c r="F33">
        <v>0.34599999999999997</v>
      </c>
      <c r="G33">
        <v>0.33200000000000002</v>
      </c>
      <c r="H33" s="90">
        <v>0.39</v>
      </c>
      <c r="I33">
        <v>0.35699999999999998</v>
      </c>
      <c r="J33">
        <v>0.33400000000000002</v>
      </c>
      <c r="K33">
        <v>0.65500000000000003</v>
      </c>
    </row>
    <row r="34" spans="1:11">
      <c r="A34" t="s">
        <v>255</v>
      </c>
      <c r="H34" s="90"/>
    </row>
    <row r="35" spans="1:11">
      <c r="A35" t="s">
        <v>256</v>
      </c>
      <c r="C35">
        <v>1.0999999999999999E-2</v>
      </c>
      <c r="H35" s="90"/>
    </row>
    <row r="36" spans="1:11">
      <c r="A36" t="s">
        <v>257</v>
      </c>
      <c r="H36" s="90"/>
    </row>
    <row r="37" spans="1:11">
      <c r="A37" t="s">
        <v>258</v>
      </c>
      <c r="B37">
        <v>1</v>
      </c>
      <c r="C37">
        <v>0.9</v>
      </c>
      <c r="D37">
        <v>1.1000000000000001</v>
      </c>
      <c r="E37">
        <v>1</v>
      </c>
      <c r="F37">
        <v>6.4</v>
      </c>
      <c r="G37">
        <v>5.2</v>
      </c>
      <c r="H37" s="90">
        <v>5.3</v>
      </c>
      <c r="I37">
        <v>6.9</v>
      </c>
      <c r="J37">
        <v>5.3</v>
      </c>
      <c r="K37">
        <v>6.3</v>
      </c>
    </row>
    <row r="38" spans="1:11">
      <c r="A38" t="s">
        <v>259</v>
      </c>
      <c r="H38" s="90"/>
    </row>
    <row r="39" spans="1:11">
      <c r="A39" t="s">
        <v>260</v>
      </c>
      <c r="B39">
        <v>1330</v>
      </c>
      <c r="C39">
        <v>1590</v>
      </c>
      <c r="D39">
        <v>1510</v>
      </c>
      <c r="E39">
        <v>1580</v>
      </c>
      <c r="F39">
        <v>1600</v>
      </c>
      <c r="G39">
        <v>1510</v>
      </c>
      <c r="H39" s="90">
        <v>1600</v>
      </c>
      <c r="I39">
        <v>1570</v>
      </c>
      <c r="J39">
        <v>1600</v>
      </c>
      <c r="K39">
        <v>1600</v>
      </c>
    </row>
    <row r="40" spans="1:11">
      <c r="A40" t="s">
        <v>261</v>
      </c>
      <c r="B40">
        <v>4190</v>
      </c>
      <c r="C40">
        <v>3710</v>
      </c>
      <c r="D40">
        <v>4290</v>
      </c>
      <c r="E40">
        <v>4180</v>
      </c>
      <c r="F40">
        <v>4290</v>
      </c>
      <c r="G40">
        <v>4370</v>
      </c>
      <c r="H40" s="90">
        <v>4280</v>
      </c>
      <c r="I40">
        <v>4260</v>
      </c>
      <c r="J40">
        <v>4400</v>
      </c>
      <c r="K40">
        <v>4220</v>
      </c>
    </row>
    <row r="41" spans="1:11">
      <c r="A41" t="s">
        <v>262</v>
      </c>
      <c r="H41" s="9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015"/>
  <sheetViews>
    <sheetView workbookViewId="0">
      <pane xSplit="1" topLeftCell="B1" activePane="topRight" state="frozen"/>
      <selection activeCell="A4" sqref="A4"/>
      <selection pane="topRight" activeCell="C6" sqref="C6"/>
    </sheetView>
  </sheetViews>
  <sheetFormatPr baseColWidth="10" defaultColWidth="14.5" defaultRowHeight="15.75" customHeight="1"/>
  <cols>
    <col min="1" max="1" width="31.83203125" customWidth="1"/>
    <col min="2" max="2" width="23.5" bestFit="1" customWidth="1"/>
    <col min="3" max="3" width="28.83203125" bestFit="1" customWidth="1"/>
    <col min="5" max="5" width="84.83203125" bestFit="1" customWidth="1"/>
    <col min="6" max="6" width="17.83203125" customWidth="1"/>
    <col min="7" max="7" width="17.83203125" style="43" customWidth="1"/>
    <col min="8" max="8" width="14.5" style="47"/>
    <col min="10" max="10" width="31.5" style="54" bestFit="1" customWidth="1"/>
    <col min="12" max="12" width="33" customWidth="1"/>
  </cols>
  <sheetData>
    <row r="1" spans="1:21" ht="15.75" customHeight="1">
      <c r="A1" s="1" t="s">
        <v>0</v>
      </c>
      <c r="B1" s="2" t="s">
        <v>1</v>
      </c>
      <c r="C1" s="3">
        <v>19223</v>
      </c>
      <c r="D1" s="2">
        <v>24790</v>
      </c>
      <c r="E1" s="3">
        <v>24228</v>
      </c>
      <c r="F1" s="2">
        <v>11938</v>
      </c>
      <c r="G1" s="35" t="s">
        <v>98</v>
      </c>
      <c r="H1" s="44" t="s">
        <v>2</v>
      </c>
      <c r="I1" s="4"/>
      <c r="J1" s="51" t="s">
        <v>52</v>
      </c>
      <c r="K1" s="57" t="s">
        <v>21</v>
      </c>
      <c r="L1" s="58" t="s">
        <v>65</v>
      </c>
      <c r="M1" s="5"/>
      <c r="N1" s="5"/>
      <c r="O1" s="5"/>
      <c r="P1" s="5"/>
      <c r="Q1" s="5"/>
      <c r="R1" s="5"/>
      <c r="S1" s="5"/>
      <c r="T1" s="5"/>
      <c r="U1" s="5"/>
    </row>
    <row r="2" spans="1:21" ht="98">
      <c r="A2" s="6" t="s">
        <v>3</v>
      </c>
      <c r="B2" s="7">
        <v>800</v>
      </c>
      <c r="C2" s="6">
        <v>800</v>
      </c>
      <c r="D2" s="7" t="s">
        <v>4</v>
      </c>
      <c r="E2" s="6" t="s">
        <v>5</v>
      </c>
      <c r="F2" s="7" t="s">
        <v>6</v>
      </c>
      <c r="G2" s="36" t="s">
        <v>6</v>
      </c>
      <c r="H2" s="45" t="s">
        <v>7</v>
      </c>
      <c r="J2" s="52" t="s">
        <v>62</v>
      </c>
      <c r="K2" s="59" t="s">
        <v>47</v>
      </c>
      <c r="L2" s="60" t="s">
        <v>66</v>
      </c>
    </row>
    <row r="3" spans="1:21" ht="15.75" customHeight="1">
      <c r="A3" s="6" t="s">
        <v>8</v>
      </c>
      <c r="B3" s="7" t="s">
        <v>9</v>
      </c>
      <c r="C3" s="6" t="s">
        <v>10</v>
      </c>
      <c r="D3" s="7" t="s">
        <v>10</v>
      </c>
      <c r="E3" s="6" t="s">
        <v>11</v>
      </c>
      <c r="F3" s="7" t="s">
        <v>10</v>
      </c>
      <c r="G3" s="36" t="s">
        <v>10</v>
      </c>
      <c r="H3" s="45" t="s">
        <v>12</v>
      </c>
      <c r="J3" s="53"/>
      <c r="K3" s="50"/>
      <c r="L3" s="61"/>
    </row>
    <row r="4" spans="1:21" ht="15.75" customHeight="1">
      <c r="A4" s="6" t="s">
        <v>13</v>
      </c>
      <c r="B4" s="8"/>
      <c r="C4" s="6" t="s">
        <v>14</v>
      </c>
      <c r="D4" s="7" t="s">
        <v>14</v>
      </c>
      <c r="E4" s="6" t="s">
        <v>15</v>
      </c>
      <c r="F4" s="7" t="s">
        <v>14</v>
      </c>
      <c r="G4" s="36" t="s">
        <v>14</v>
      </c>
      <c r="H4" s="45" t="s">
        <v>16</v>
      </c>
    </row>
    <row r="5" spans="1:21" ht="15.75" customHeight="1">
      <c r="A5" s="6" t="s">
        <v>17</v>
      </c>
      <c r="B5" s="8"/>
      <c r="C5" s="6" t="s">
        <v>18</v>
      </c>
      <c r="D5" s="7" t="s">
        <v>18</v>
      </c>
      <c r="E5" s="6" t="s">
        <v>19</v>
      </c>
      <c r="F5" s="7" t="s">
        <v>18</v>
      </c>
      <c r="G5" s="36" t="s">
        <v>18</v>
      </c>
      <c r="H5" s="45" t="s">
        <v>20</v>
      </c>
    </row>
    <row r="6" spans="1:21" s="34" customFormat="1" ht="15.75" customHeight="1">
      <c r="A6" s="31" t="s">
        <v>21</v>
      </c>
      <c r="B6" s="32" t="s">
        <v>47</v>
      </c>
      <c r="C6" s="33" t="s">
        <v>47</v>
      </c>
      <c r="D6" s="32" t="s">
        <v>146</v>
      </c>
      <c r="E6" s="33" t="s">
        <v>99</v>
      </c>
      <c r="F6" s="32" t="s">
        <v>70</v>
      </c>
      <c r="G6" s="37" t="s">
        <v>99</v>
      </c>
      <c r="H6" s="46" t="s">
        <v>99</v>
      </c>
      <c r="J6" s="54"/>
    </row>
    <row r="7" spans="1:21" ht="15.75" customHeight="1">
      <c r="A7" s="6" t="s">
        <v>22</v>
      </c>
      <c r="B7" s="8">
        <v>8.3699999999999992</v>
      </c>
      <c r="C7" s="9" t="s">
        <v>35</v>
      </c>
      <c r="D7" s="8" t="s">
        <v>147</v>
      </c>
      <c r="E7" s="9">
        <v>9.2200000000000006</v>
      </c>
      <c r="F7" s="8" t="s">
        <v>69</v>
      </c>
      <c r="G7" s="37" t="s">
        <v>101</v>
      </c>
      <c r="H7" s="47">
        <v>10.039999999999999</v>
      </c>
    </row>
    <row r="8" spans="1:21" ht="42">
      <c r="A8" s="6" t="s">
        <v>37</v>
      </c>
      <c r="B8" s="12" t="s">
        <v>60</v>
      </c>
      <c r="C8" s="13" t="s">
        <v>35</v>
      </c>
      <c r="D8" s="11" t="s">
        <v>148</v>
      </c>
      <c r="E8" s="13" t="s">
        <v>132</v>
      </c>
      <c r="F8" s="11" t="s">
        <v>71</v>
      </c>
      <c r="G8" s="38" t="s">
        <v>102</v>
      </c>
      <c r="H8" s="48" t="s">
        <v>111</v>
      </c>
      <c r="I8" s="14"/>
      <c r="J8" s="55"/>
    </row>
    <row r="9" spans="1:21" ht="15.75" customHeight="1">
      <c r="A9" s="6" t="s">
        <v>38</v>
      </c>
      <c r="B9" s="8">
        <v>10.9</v>
      </c>
      <c r="C9" s="9" t="s">
        <v>35</v>
      </c>
      <c r="D9" s="11" t="s">
        <v>149</v>
      </c>
      <c r="E9" s="13" t="s">
        <v>133</v>
      </c>
      <c r="F9" s="11" t="s">
        <v>72</v>
      </c>
      <c r="G9" s="38" t="s">
        <v>103</v>
      </c>
      <c r="H9" s="48" t="s">
        <v>112</v>
      </c>
      <c r="I9" s="14"/>
    </row>
    <row r="10" spans="1:21" ht="15.75" customHeight="1">
      <c r="A10" s="6" t="s">
        <v>39</v>
      </c>
      <c r="B10" s="8">
        <v>684</v>
      </c>
      <c r="C10" s="9" t="s">
        <v>35</v>
      </c>
      <c r="D10" s="11" t="s">
        <v>150</v>
      </c>
      <c r="E10" s="13" t="s">
        <v>134</v>
      </c>
      <c r="F10" s="11" t="s">
        <v>73</v>
      </c>
      <c r="G10" s="38" t="s">
        <v>104</v>
      </c>
      <c r="H10" s="48" t="s">
        <v>113</v>
      </c>
      <c r="I10" s="14"/>
    </row>
    <row r="11" spans="1:21" ht="15.75" customHeight="1">
      <c r="A11" s="6" t="s">
        <v>23</v>
      </c>
      <c r="B11" s="8">
        <v>956.5</v>
      </c>
      <c r="C11" s="9" t="s">
        <v>35</v>
      </c>
      <c r="D11" s="11" t="s">
        <v>151</v>
      </c>
      <c r="E11" s="13" t="s">
        <v>135</v>
      </c>
      <c r="F11" s="11" t="s">
        <v>74</v>
      </c>
      <c r="G11" s="38" t="s">
        <v>105</v>
      </c>
      <c r="H11" s="48" t="s">
        <v>114</v>
      </c>
      <c r="I11" s="14"/>
    </row>
    <row r="12" spans="1:21" ht="15.75" customHeight="1">
      <c r="A12" s="6" t="s">
        <v>24</v>
      </c>
      <c r="B12" s="8" t="s">
        <v>50</v>
      </c>
      <c r="C12" s="9" t="s">
        <v>51</v>
      </c>
      <c r="D12" s="11" t="s">
        <v>152</v>
      </c>
      <c r="E12" s="13" t="s">
        <v>130</v>
      </c>
      <c r="F12" s="11" t="s">
        <v>75</v>
      </c>
      <c r="G12" s="38" t="s">
        <v>35</v>
      </c>
      <c r="H12" s="48" t="s">
        <v>115</v>
      </c>
      <c r="I12" s="14"/>
    </row>
    <row r="13" spans="1:21" ht="84">
      <c r="A13" s="6" t="s">
        <v>25</v>
      </c>
      <c r="B13" s="8" t="s">
        <v>56</v>
      </c>
      <c r="C13" s="9" t="s">
        <v>55</v>
      </c>
      <c r="D13" s="11" t="s">
        <v>145</v>
      </c>
      <c r="E13" s="13" t="s">
        <v>129</v>
      </c>
      <c r="F13" s="12" t="s">
        <v>93</v>
      </c>
      <c r="G13" s="39" t="s">
        <v>131</v>
      </c>
      <c r="H13" s="48" t="s">
        <v>129</v>
      </c>
      <c r="I13" s="14"/>
    </row>
    <row r="14" spans="1:21" ht="15.75" customHeight="1">
      <c r="A14" s="6" t="s">
        <v>26</v>
      </c>
      <c r="B14" s="8" t="s">
        <v>35</v>
      </c>
      <c r="C14" s="6" t="s">
        <v>35</v>
      </c>
      <c r="D14" s="11" t="s">
        <v>145</v>
      </c>
      <c r="E14" s="13" t="s">
        <v>35</v>
      </c>
      <c r="F14" s="15" t="s">
        <v>94</v>
      </c>
      <c r="G14" s="40"/>
      <c r="H14" s="48" t="s">
        <v>35</v>
      </c>
      <c r="I14" s="14"/>
    </row>
    <row r="15" spans="1:21" ht="15.75" customHeight="1">
      <c r="A15" s="6" t="s">
        <v>27</v>
      </c>
      <c r="B15" s="8" t="s">
        <v>57</v>
      </c>
      <c r="C15" s="6" t="s">
        <v>54</v>
      </c>
      <c r="D15" s="11" t="s">
        <v>35</v>
      </c>
      <c r="E15" s="13" t="s">
        <v>35</v>
      </c>
      <c r="F15" s="11" t="s">
        <v>92</v>
      </c>
      <c r="G15" s="38" t="s">
        <v>35</v>
      </c>
      <c r="H15" s="48" t="s">
        <v>35</v>
      </c>
      <c r="I15" s="14"/>
    </row>
    <row r="16" spans="1:21" ht="15.75" customHeight="1">
      <c r="A16" s="6" t="s">
        <v>28</v>
      </c>
      <c r="B16" s="7" t="s">
        <v>128</v>
      </c>
      <c r="C16" s="9" t="s">
        <v>128</v>
      </c>
      <c r="D16" s="11" t="s">
        <v>164</v>
      </c>
      <c r="E16" s="13" t="s">
        <v>128</v>
      </c>
      <c r="F16" s="11" t="s">
        <v>84</v>
      </c>
      <c r="G16" s="38"/>
      <c r="H16" s="48" t="s">
        <v>184</v>
      </c>
      <c r="I16" s="14"/>
    </row>
    <row r="17" spans="1:10" ht="15.75" customHeight="1">
      <c r="A17" s="6" t="s">
        <v>29</v>
      </c>
      <c r="B17" s="8" t="s">
        <v>35</v>
      </c>
      <c r="C17" s="6" t="s">
        <v>35</v>
      </c>
      <c r="D17" s="11" t="s">
        <v>159</v>
      </c>
      <c r="E17" s="13" t="s">
        <v>35</v>
      </c>
      <c r="F17" s="11" t="s">
        <v>35</v>
      </c>
      <c r="G17" s="38" t="s">
        <v>121</v>
      </c>
      <c r="H17" s="48" t="s">
        <v>35</v>
      </c>
      <c r="I17" s="14"/>
    </row>
    <row r="18" spans="1:10" ht="47" customHeight="1">
      <c r="A18" s="6" t="s">
        <v>58</v>
      </c>
      <c r="B18" s="10" t="s">
        <v>59</v>
      </c>
      <c r="C18" s="10" t="s">
        <v>59</v>
      </c>
      <c r="D18" s="11" t="s">
        <v>161</v>
      </c>
      <c r="E18" s="13" t="s">
        <v>124</v>
      </c>
      <c r="F18" s="10" t="s">
        <v>97</v>
      </c>
      <c r="G18" s="41" t="s">
        <v>125</v>
      </c>
      <c r="H18" s="48" t="s">
        <v>124</v>
      </c>
      <c r="I18" s="14"/>
    </row>
    <row r="19" spans="1:10" ht="15.75" customHeight="1">
      <c r="A19" s="6" t="s">
        <v>30</v>
      </c>
      <c r="B19" s="8" t="s">
        <v>90</v>
      </c>
      <c r="C19" s="9" t="s">
        <v>89</v>
      </c>
      <c r="D19" s="11" t="s">
        <v>162</v>
      </c>
      <c r="E19" s="13" t="s">
        <v>142</v>
      </c>
      <c r="F19" s="11" t="s">
        <v>91</v>
      </c>
      <c r="G19" s="38"/>
      <c r="H19" s="48" t="s">
        <v>127</v>
      </c>
      <c r="I19" s="14"/>
    </row>
    <row r="20" spans="1:10" ht="15.75" customHeight="1">
      <c r="A20" s="6" t="s">
        <v>31</v>
      </c>
      <c r="B20" s="8" t="s">
        <v>35</v>
      </c>
      <c r="C20" s="9" t="s">
        <v>35</v>
      </c>
      <c r="D20" s="11" t="s">
        <v>35</v>
      </c>
      <c r="E20" s="13" t="s">
        <v>35</v>
      </c>
      <c r="F20" s="11" t="s">
        <v>35</v>
      </c>
      <c r="G20" s="38" t="s">
        <v>143</v>
      </c>
      <c r="H20" s="48" t="s">
        <v>35</v>
      </c>
      <c r="I20" s="14"/>
    </row>
    <row r="21" spans="1:10" ht="15.75" customHeight="1">
      <c r="A21" s="6" t="s">
        <v>123</v>
      </c>
      <c r="B21" s="8" t="s">
        <v>63</v>
      </c>
      <c r="C21" s="9" t="s">
        <v>64</v>
      </c>
      <c r="D21" s="11" t="s">
        <v>165</v>
      </c>
      <c r="E21" s="13" t="s">
        <v>167</v>
      </c>
      <c r="F21" s="11" t="s">
        <v>86</v>
      </c>
      <c r="G21" s="38" t="s">
        <v>122</v>
      </c>
      <c r="H21" s="48" t="s">
        <v>126</v>
      </c>
      <c r="I21" s="14"/>
    </row>
    <row r="22" spans="1:10" ht="15.75" customHeight="1">
      <c r="A22" s="6" t="s">
        <v>168</v>
      </c>
      <c r="B22" s="8" t="s">
        <v>182</v>
      </c>
      <c r="C22" s="9" t="s">
        <v>183</v>
      </c>
      <c r="D22" s="11" t="s">
        <v>178</v>
      </c>
      <c r="E22" s="13" t="s">
        <v>171</v>
      </c>
      <c r="F22" s="11" t="s">
        <v>180</v>
      </c>
      <c r="G22" s="40" t="s">
        <v>173</v>
      </c>
      <c r="H22" s="48" t="s">
        <v>172</v>
      </c>
      <c r="I22" s="14"/>
    </row>
    <row r="23" spans="1:10" ht="15.75" customHeight="1">
      <c r="A23" s="6" t="s">
        <v>169</v>
      </c>
      <c r="B23" s="8" t="s">
        <v>35</v>
      </c>
      <c r="C23" s="9" t="s">
        <v>177</v>
      </c>
      <c r="D23" s="11" t="s">
        <v>179</v>
      </c>
      <c r="E23" s="13" t="s">
        <v>171</v>
      </c>
      <c r="F23" s="11" t="s">
        <v>181</v>
      </c>
      <c r="G23" s="38" t="s">
        <v>170</v>
      </c>
      <c r="H23" s="48" t="s">
        <v>174</v>
      </c>
      <c r="I23" s="14"/>
    </row>
    <row r="24" spans="1:10" ht="15.75" customHeight="1">
      <c r="A24" s="6" t="s">
        <v>175</v>
      </c>
      <c r="B24" s="8" t="s">
        <v>176</v>
      </c>
      <c r="C24" s="9" t="s">
        <v>35</v>
      </c>
      <c r="D24" s="11" t="s">
        <v>35</v>
      </c>
      <c r="E24" s="13" t="s">
        <v>35</v>
      </c>
      <c r="F24" s="11" t="s">
        <v>35</v>
      </c>
      <c r="G24" s="38" t="s">
        <v>35</v>
      </c>
      <c r="H24" s="48"/>
      <c r="I24" s="14"/>
    </row>
    <row r="25" spans="1:10" s="30" customFormat="1" ht="15.75" customHeight="1">
      <c r="A25" s="23" t="s">
        <v>36</v>
      </c>
      <c r="B25" s="24"/>
      <c r="C25" s="25"/>
      <c r="D25" s="26"/>
      <c r="E25" s="27"/>
      <c r="F25" s="26"/>
      <c r="G25" s="28"/>
      <c r="H25" s="29"/>
      <c r="I25" s="29"/>
    </row>
    <row r="26" spans="1:10" ht="15.75" customHeight="1">
      <c r="A26" s="6" t="s">
        <v>40</v>
      </c>
      <c r="B26" s="8">
        <v>0.2</v>
      </c>
      <c r="C26" s="9" t="s">
        <v>45</v>
      </c>
      <c r="D26" s="11" t="s">
        <v>153</v>
      </c>
      <c r="E26" s="13" t="s">
        <v>136</v>
      </c>
      <c r="F26" s="11" t="s">
        <v>76</v>
      </c>
      <c r="G26" s="38" t="s">
        <v>106</v>
      </c>
      <c r="H26" s="48" t="s">
        <v>116</v>
      </c>
      <c r="I26" s="14"/>
    </row>
    <row r="27" spans="1:10" ht="15.75" customHeight="1">
      <c r="A27" s="6" t="s">
        <v>41</v>
      </c>
      <c r="B27" s="8">
        <v>0.06</v>
      </c>
      <c r="C27" s="9" t="s">
        <v>46</v>
      </c>
      <c r="D27" s="11" t="s">
        <v>154</v>
      </c>
      <c r="E27" s="13" t="s">
        <v>137</v>
      </c>
      <c r="F27" s="11" t="s">
        <v>77</v>
      </c>
      <c r="G27" s="38" t="s">
        <v>107</v>
      </c>
      <c r="H27" s="48" t="s">
        <v>117</v>
      </c>
      <c r="I27" s="14"/>
    </row>
    <row r="28" spans="1:10" ht="15.75" customHeight="1">
      <c r="A28" s="6" t="s">
        <v>42</v>
      </c>
      <c r="B28" s="8">
        <v>0.5</v>
      </c>
      <c r="C28" s="9">
        <v>0.5</v>
      </c>
      <c r="D28" s="11" t="s">
        <v>155</v>
      </c>
      <c r="E28" s="13" t="s">
        <v>138</v>
      </c>
      <c r="F28" s="11" t="s">
        <v>78</v>
      </c>
      <c r="G28" s="38" t="s">
        <v>108</v>
      </c>
      <c r="H28" s="48" t="s">
        <v>118</v>
      </c>
      <c r="I28" s="14"/>
    </row>
    <row r="29" spans="1:10" ht="15.75" customHeight="1">
      <c r="A29" s="6" t="s">
        <v>43</v>
      </c>
      <c r="B29" s="8">
        <v>2.2799999999999998</v>
      </c>
      <c r="C29" s="9">
        <v>0.28000000000000003</v>
      </c>
      <c r="D29" s="11" t="s">
        <v>156</v>
      </c>
      <c r="E29" s="13" t="s">
        <v>139</v>
      </c>
      <c r="F29" s="11" t="s">
        <v>79</v>
      </c>
      <c r="G29" s="38" t="s">
        <v>109</v>
      </c>
      <c r="H29" s="48" t="s">
        <v>119</v>
      </c>
      <c r="I29" s="14"/>
    </row>
    <row r="30" spans="1:10" s="22" customFormat="1" ht="15.75" customHeight="1">
      <c r="A30" s="16" t="s">
        <v>44</v>
      </c>
      <c r="B30" s="17">
        <v>8</v>
      </c>
      <c r="C30" s="18">
        <v>62</v>
      </c>
      <c r="D30" s="19" t="s">
        <v>157</v>
      </c>
      <c r="E30" s="20" t="s">
        <v>140</v>
      </c>
      <c r="F30" s="19" t="s">
        <v>80</v>
      </c>
      <c r="G30" s="42" t="s">
        <v>110</v>
      </c>
      <c r="H30" s="49" t="s">
        <v>120</v>
      </c>
      <c r="I30" s="21"/>
      <c r="J30" s="56"/>
    </row>
    <row r="31" spans="1:10" ht="42">
      <c r="A31" s="6" t="s">
        <v>32</v>
      </c>
      <c r="B31" s="8" t="s">
        <v>48</v>
      </c>
      <c r="C31" s="9" t="s">
        <v>49</v>
      </c>
      <c r="D31" s="11" t="s">
        <v>163</v>
      </c>
      <c r="E31" s="13" t="s">
        <v>35</v>
      </c>
      <c r="F31" s="12" t="s">
        <v>87</v>
      </c>
      <c r="G31" s="39" t="s">
        <v>35</v>
      </c>
      <c r="H31" s="48" t="s">
        <v>35</v>
      </c>
      <c r="I31" s="14"/>
    </row>
    <row r="32" spans="1:10" ht="15.75" customHeight="1">
      <c r="A32" s="6" t="s">
        <v>33</v>
      </c>
      <c r="B32" s="8" t="s">
        <v>35</v>
      </c>
      <c r="C32" s="9" t="s">
        <v>53</v>
      </c>
      <c r="D32" s="11" t="s">
        <v>158</v>
      </c>
      <c r="E32" s="13" t="s">
        <v>141</v>
      </c>
      <c r="F32" s="11"/>
      <c r="G32" s="38" t="s">
        <v>35</v>
      </c>
      <c r="H32" s="48" t="s">
        <v>35</v>
      </c>
      <c r="I32" s="14"/>
    </row>
    <row r="33" spans="1:9" ht="28">
      <c r="A33" s="6" t="s">
        <v>34</v>
      </c>
      <c r="B33" s="8" t="s">
        <v>35</v>
      </c>
      <c r="C33" s="9" t="s">
        <v>35</v>
      </c>
      <c r="D33" s="11" t="s">
        <v>35</v>
      </c>
      <c r="E33" s="13" t="s">
        <v>35</v>
      </c>
      <c r="F33" s="12" t="s">
        <v>81</v>
      </c>
      <c r="G33" s="39" t="s">
        <v>35</v>
      </c>
      <c r="H33" s="48" t="s">
        <v>35</v>
      </c>
      <c r="I33" s="14"/>
    </row>
    <row r="34" spans="1:9" ht="15.75" customHeight="1">
      <c r="A34" s="6" t="s">
        <v>67</v>
      </c>
      <c r="B34" s="8" t="s">
        <v>61</v>
      </c>
      <c r="C34" s="9" t="s">
        <v>35</v>
      </c>
      <c r="D34" s="11" t="s">
        <v>160</v>
      </c>
      <c r="E34" s="13" t="s">
        <v>35</v>
      </c>
      <c r="F34" s="11" t="s">
        <v>82</v>
      </c>
      <c r="G34" s="38" t="s">
        <v>35</v>
      </c>
      <c r="H34" s="48" t="s">
        <v>35</v>
      </c>
      <c r="I34" s="14"/>
    </row>
    <row r="35" spans="1:9" ht="15.75" customHeight="1">
      <c r="A35" s="9" t="s">
        <v>68</v>
      </c>
      <c r="B35" s="8" t="s">
        <v>35</v>
      </c>
      <c r="C35" s="9" t="s">
        <v>35</v>
      </c>
      <c r="D35" s="11" t="s">
        <v>144</v>
      </c>
      <c r="E35" s="13" t="s">
        <v>35</v>
      </c>
      <c r="F35" s="11" t="s">
        <v>54</v>
      </c>
      <c r="G35" s="38" t="s">
        <v>35</v>
      </c>
      <c r="H35" s="48" t="s">
        <v>35</v>
      </c>
      <c r="I35" s="14"/>
    </row>
    <row r="36" spans="1:9" ht="15.75" customHeight="1">
      <c r="A36" s="9"/>
      <c r="B36" s="8"/>
      <c r="C36" s="9"/>
      <c r="D36" s="11" t="s">
        <v>166</v>
      </c>
      <c r="E36" s="13"/>
      <c r="F36" s="11" t="s">
        <v>83</v>
      </c>
      <c r="G36" s="38"/>
      <c r="H36" s="48"/>
      <c r="I36" s="14"/>
    </row>
    <row r="37" spans="1:9" ht="15.75" customHeight="1">
      <c r="A37" s="9"/>
      <c r="B37" s="8"/>
      <c r="C37" s="9"/>
      <c r="D37" s="11" t="s">
        <v>185</v>
      </c>
      <c r="E37" s="13"/>
      <c r="F37" s="11" t="s">
        <v>85</v>
      </c>
      <c r="G37" s="38"/>
      <c r="H37" s="48"/>
      <c r="I37" s="14"/>
    </row>
    <row r="38" spans="1:9" ht="15.75" customHeight="1">
      <c r="A38" s="9"/>
      <c r="B38" s="8"/>
      <c r="C38" s="9"/>
      <c r="D38" s="11"/>
      <c r="E38" s="13"/>
      <c r="F38" s="11" t="s">
        <v>88</v>
      </c>
      <c r="G38" s="38"/>
      <c r="H38" s="48"/>
      <c r="I38" s="14"/>
    </row>
    <row r="39" spans="1:9" ht="15.75" customHeight="1">
      <c r="A39" s="9"/>
      <c r="B39" s="8"/>
      <c r="C39" s="9"/>
      <c r="D39" s="11"/>
      <c r="E39" s="13"/>
      <c r="F39" s="11" t="s">
        <v>95</v>
      </c>
      <c r="G39" s="38"/>
      <c r="H39" s="48"/>
      <c r="I39" s="14"/>
    </row>
    <row r="40" spans="1:9" ht="15.75" customHeight="1">
      <c r="A40" s="9"/>
      <c r="B40" s="8"/>
      <c r="C40" s="9"/>
      <c r="D40" s="11"/>
      <c r="E40" s="13"/>
      <c r="F40" s="11" t="s">
        <v>96</v>
      </c>
      <c r="G40" s="38"/>
      <c r="H40" s="48"/>
      <c r="I40" s="14"/>
    </row>
    <row r="41" spans="1:9" ht="15.75" customHeight="1">
      <c r="A41" s="9"/>
      <c r="B41" s="8"/>
      <c r="C41" s="9"/>
      <c r="D41" s="8"/>
      <c r="E41" s="9"/>
      <c r="F41" s="8"/>
      <c r="G41" s="37"/>
    </row>
    <row r="42" spans="1:9" ht="15.75" customHeight="1">
      <c r="A42" s="9"/>
      <c r="B42" s="8"/>
      <c r="C42" s="9"/>
      <c r="D42" s="8"/>
      <c r="E42" s="9"/>
      <c r="F42" s="8" t="s">
        <v>100</v>
      </c>
      <c r="G42" s="37"/>
    </row>
    <row r="43" spans="1:9" ht="15.75" customHeight="1">
      <c r="A43" s="9"/>
      <c r="B43" s="8"/>
      <c r="C43" s="9"/>
      <c r="D43" s="8"/>
      <c r="E43" s="9"/>
      <c r="F43" s="8"/>
      <c r="G43" s="37"/>
    </row>
    <row r="44" spans="1:9" ht="15.75" customHeight="1">
      <c r="A44" s="9"/>
      <c r="B44" s="8"/>
      <c r="C44" s="9"/>
      <c r="D44" s="8"/>
      <c r="E44" s="9"/>
      <c r="F44" s="8"/>
      <c r="G44" s="37"/>
    </row>
    <row r="45" spans="1:9" ht="15.75" customHeight="1">
      <c r="A45" s="9"/>
      <c r="B45" s="8"/>
      <c r="C45" s="9"/>
      <c r="D45" s="8"/>
      <c r="E45" s="9"/>
      <c r="F45" s="8"/>
      <c r="G45" s="37"/>
    </row>
    <row r="46" spans="1:9" ht="15.75" customHeight="1">
      <c r="A46" s="9"/>
      <c r="B46" s="8"/>
      <c r="C46" s="9"/>
      <c r="D46" s="8"/>
      <c r="E46" s="9"/>
      <c r="F46" s="8"/>
      <c r="G46" s="37"/>
    </row>
    <row r="47" spans="1:9" ht="15.75" customHeight="1">
      <c r="A47" s="9"/>
      <c r="B47" s="8"/>
      <c r="C47" s="9"/>
      <c r="D47" s="8"/>
      <c r="E47" s="9"/>
      <c r="F47" s="8"/>
      <c r="G47" s="37"/>
    </row>
    <row r="48" spans="1:9" ht="15.75" customHeight="1">
      <c r="A48" s="9"/>
      <c r="B48" s="8"/>
      <c r="C48" s="9"/>
      <c r="D48" s="8"/>
      <c r="E48" s="9"/>
      <c r="F48" s="8"/>
      <c r="G48" s="37"/>
    </row>
    <row r="49" spans="1:7" ht="15.75" customHeight="1">
      <c r="A49" s="9"/>
      <c r="B49" s="8"/>
      <c r="C49" s="9"/>
      <c r="D49" s="8"/>
      <c r="E49" s="9"/>
      <c r="F49" s="8"/>
      <c r="G49" s="37"/>
    </row>
    <row r="50" spans="1:7" ht="15.75" customHeight="1">
      <c r="A50" s="9"/>
      <c r="B50" s="8"/>
      <c r="C50" s="9"/>
      <c r="D50" s="8"/>
      <c r="E50" s="9"/>
      <c r="F50" s="8"/>
      <c r="G50" s="37"/>
    </row>
    <row r="51" spans="1:7" ht="15.75" customHeight="1">
      <c r="A51" s="9"/>
      <c r="B51" s="8"/>
      <c r="C51" s="9"/>
      <c r="D51" s="8"/>
      <c r="E51" s="9"/>
      <c r="F51" s="8"/>
      <c r="G51" s="37"/>
    </row>
    <row r="52" spans="1:7" ht="15.75" customHeight="1">
      <c r="A52" s="9"/>
      <c r="B52" s="8"/>
      <c r="C52" s="9"/>
      <c r="D52" s="8"/>
      <c r="E52" s="9"/>
      <c r="F52" s="8"/>
      <c r="G52" s="37"/>
    </row>
    <row r="53" spans="1:7" ht="15.75" customHeight="1">
      <c r="A53" s="9"/>
      <c r="B53" s="8"/>
      <c r="C53" s="9"/>
      <c r="D53" s="8"/>
      <c r="E53" s="9"/>
      <c r="F53" s="8"/>
      <c r="G53" s="37"/>
    </row>
    <row r="54" spans="1:7" ht="15.75" customHeight="1">
      <c r="A54" s="9"/>
      <c r="B54" s="8"/>
      <c r="C54" s="9"/>
      <c r="D54" s="8"/>
      <c r="E54" s="9"/>
      <c r="F54" s="8"/>
      <c r="G54" s="37"/>
    </row>
    <row r="55" spans="1:7" ht="15.75" customHeight="1">
      <c r="A55" s="9"/>
      <c r="B55" s="8"/>
      <c r="C55" s="9"/>
      <c r="D55" s="8"/>
      <c r="E55" s="9"/>
      <c r="F55" s="8"/>
      <c r="G55" s="37"/>
    </row>
    <row r="56" spans="1:7" ht="15.75" customHeight="1">
      <c r="A56" s="9"/>
      <c r="B56" s="8"/>
      <c r="C56" s="9"/>
      <c r="D56" s="8"/>
      <c r="E56" s="9"/>
      <c r="F56" s="8"/>
      <c r="G56" s="37"/>
    </row>
    <row r="57" spans="1:7" ht="15.75" customHeight="1">
      <c r="A57" s="9"/>
      <c r="B57" s="8"/>
      <c r="C57" s="9"/>
      <c r="D57" s="8"/>
      <c r="E57" s="9"/>
      <c r="F57" s="8"/>
      <c r="G57" s="37"/>
    </row>
    <row r="58" spans="1:7" ht="15.75" customHeight="1">
      <c r="A58" s="9"/>
      <c r="B58" s="8"/>
      <c r="C58" s="9"/>
      <c r="D58" s="8"/>
      <c r="E58" s="9"/>
      <c r="F58" s="8"/>
      <c r="G58" s="37"/>
    </row>
    <row r="59" spans="1:7" ht="15.75" customHeight="1">
      <c r="A59" s="9"/>
      <c r="B59" s="8"/>
      <c r="C59" s="9"/>
      <c r="D59" s="8"/>
      <c r="E59" s="9"/>
      <c r="F59" s="8"/>
      <c r="G59" s="37"/>
    </row>
    <row r="60" spans="1:7" ht="15.75" customHeight="1">
      <c r="A60" s="9"/>
      <c r="B60" s="8"/>
      <c r="C60" s="9"/>
      <c r="D60" s="8"/>
      <c r="E60" s="9"/>
      <c r="F60" s="8"/>
      <c r="G60" s="37"/>
    </row>
    <row r="61" spans="1:7" ht="15.75" customHeight="1">
      <c r="A61" s="9"/>
      <c r="B61" s="8"/>
      <c r="C61" s="9"/>
      <c r="D61" s="8"/>
      <c r="E61" s="9"/>
      <c r="F61" s="8"/>
      <c r="G61" s="37"/>
    </row>
    <row r="62" spans="1:7" ht="15.75" customHeight="1">
      <c r="A62" s="9"/>
      <c r="B62" s="8"/>
      <c r="C62" s="9"/>
      <c r="D62" s="8"/>
      <c r="E62" s="9"/>
      <c r="F62" s="8"/>
      <c r="G62" s="37"/>
    </row>
    <row r="63" spans="1:7" ht="15.75" customHeight="1">
      <c r="A63" s="9"/>
      <c r="B63" s="8"/>
      <c r="C63" s="9"/>
      <c r="D63" s="8"/>
      <c r="E63" s="9"/>
      <c r="F63" s="8"/>
      <c r="G63" s="37"/>
    </row>
    <row r="64" spans="1:7" ht="15.75" customHeight="1">
      <c r="A64" s="9"/>
      <c r="B64" s="8"/>
      <c r="C64" s="9"/>
      <c r="D64" s="8"/>
      <c r="E64" s="9"/>
      <c r="F64" s="8"/>
      <c r="G64" s="37"/>
    </row>
    <row r="65" spans="1:7" ht="15.75" customHeight="1">
      <c r="A65" s="9"/>
      <c r="B65" s="8"/>
      <c r="C65" s="9"/>
      <c r="D65" s="8"/>
      <c r="E65" s="9"/>
      <c r="F65" s="8"/>
      <c r="G65" s="37"/>
    </row>
    <row r="66" spans="1:7" ht="15.75" customHeight="1">
      <c r="A66" s="9"/>
      <c r="B66" s="8"/>
      <c r="C66" s="9"/>
      <c r="D66" s="8"/>
      <c r="E66" s="9"/>
      <c r="F66" s="8"/>
      <c r="G66" s="37"/>
    </row>
    <row r="67" spans="1:7" ht="15.75" customHeight="1">
      <c r="A67" s="9"/>
      <c r="B67" s="8"/>
      <c r="C67" s="9"/>
      <c r="D67" s="8"/>
      <c r="E67" s="9"/>
      <c r="F67" s="8"/>
      <c r="G67" s="37"/>
    </row>
    <row r="68" spans="1:7" ht="15.75" customHeight="1">
      <c r="A68" s="9"/>
      <c r="B68" s="8"/>
      <c r="C68" s="9"/>
      <c r="D68" s="8"/>
      <c r="E68" s="9"/>
      <c r="F68" s="8"/>
      <c r="G68" s="37"/>
    </row>
    <row r="69" spans="1:7" ht="15.75" customHeight="1">
      <c r="A69" s="9"/>
      <c r="B69" s="8"/>
      <c r="C69" s="9"/>
      <c r="D69" s="8"/>
      <c r="E69" s="9"/>
      <c r="F69" s="8"/>
      <c r="G69" s="37"/>
    </row>
    <row r="70" spans="1:7" ht="15.75" customHeight="1">
      <c r="A70" s="9"/>
      <c r="B70" s="8"/>
      <c r="C70" s="9"/>
      <c r="D70" s="8"/>
      <c r="E70" s="9"/>
      <c r="F70" s="8"/>
      <c r="G70" s="37"/>
    </row>
    <row r="71" spans="1:7" ht="15.75" customHeight="1">
      <c r="A71" s="9"/>
      <c r="B71" s="8"/>
      <c r="C71" s="9"/>
      <c r="D71" s="8"/>
      <c r="E71" s="9"/>
      <c r="F71" s="8"/>
      <c r="G71" s="37"/>
    </row>
    <row r="72" spans="1:7" ht="15.75" customHeight="1">
      <c r="A72" s="9"/>
      <c r="B72" s="8"/>
      <c r="C72" s="9"/>
      <c r="D72" s="8"/>
      <c r="E72" s="9"/>
      <c r="F72" s="8"/>
      <c r="G72" s="37"/>
    </row>
    <row r="73" spans="1:7" ht="15.75" customHeight="1">
      <c r="A73" s="9"/>
      <c r="B73" s="8"/>
      <c r="C73" s="9"/>
      <c r="D73" s="8"/>
      <c r="E73" s="9"/>
      <c r="F73" s="8"/>
      <c r="G73" s="37"/>
    </row>
    <row r="74" spans="1:7" ht="15.75" customHeight="1">
      <c r="A74" s="9"/>
      <c r="B74" s="8"/>
      <c r="C74" s="9"/>
      <c r="D74" s="8"/>
      <c r="E74" s="9"/>
      <c r="F74" s="8"/>
      <c r="G74" s="37"/>
    </row>
    <row r="75" spans="1:7" ht="15.75" customHeight="1">
      <c r="A75" s="9"/>
      <c r="B75" s="8"/>
      <c r="C75" s="9"/>
      <c r="D75" s="8"/>
      <c r="E75" s="9"/>
      <c r="F75" s="8"/>
      <c r="G75" s="37"/>
    </row>
    <row r="76" spans="1:7" ht="15.75" customHeight="1">
      <c r="A76" s="9"/>
      <c r="B76" s="8"/>
      <c r="C76" s="9"/>
      <c r="D76" s="8"/>
      <c r="E76" s="9"/>
      <c r="F76" s="8"/>
      <c r="G76" s="37"/>
    </row>
    <row r="77" spans="1:7" ht="15.75" customHeight="1">
      <c r="A77" s="9"/>
      <c r="B77" s="8"/>
      <c r="C77" s="9"/>
      <c r="D77" s="8"/>
      <c r="E77" s="9"/>
      <c r="F77" s="8"/>
      <c r="G77" s="37"/>
    </row>
    <row r="78" spans="1:7" ht="15.75" customHeight="1">
      <c r="A78" s="9"/>
      <c r="B78" s="8"/>
      <c r="C78" s="9"/>
      <c r="D78" s="8"/>
      <c r="E78" s="9"/>
      <c r="F78" s="8"/>
      <c r="G78" s="37"/>
    </row>
    <row r="79" spans="1:7" ht="15.75" customHeight="1">
      <c r="A79" s="9"/>
      <c r="B79" s="8"/>
      <c r="C79" s="9"/>
      <c r="D79" s="8"/>
      <c r="E79" s="9"/>
      <c r="F79" s="8"/>
      <c r="G79" s="37"/>
    </row>
    <row r="80" spans="1:7" ht="15.75" customHeight="1">
      <c r="A80" s="9"/>
      <c r="B80" s="8"/>
      <c r="C80" s="9"/>
      <c r="D80" s="8"/>
      <c r="E80" s="9"/>
      <c r="F80" s="8"/>
      <c r="G80" s="37"/>
    </row>
    <row r="81" spans="1:7" ht="15.75" customHeight="1">
      <c r="A81" s="9"/>
      <c r="B81" s="8"/>
      <c r="C81" s="9"/>
      <c r="D81" s="8"/>
      <c r="E81" s="9"/>
      <c r="F81" s="8"/>
      <c r="G81" s="37"/>
    </row>
    <row r="82" spans="1:7" ht="15.75" customHeight="1">
      <c r="A82" s="9"/>
      <c r="B82" s="8"/>
      <c r="C82" s="9"/>
      <c r="D82" s="8"/>
      <c r="E82" s="9"/>
      <c r="F82" s="8"/>
      <c r="G82" s="37"/>
    </row>
    <row r="83" spans="1:7" ht="15.75" customHeight="1">
      <c r="A83" s="9"/>
      <c r="B83" s="8"/>
      <c r="C83" s="9"/>
      <c r="D83" s="8"/>
      <c r="E83" s="9"/>
      <c r="F83" s="8"/>
      <c r="G83" s="37"/>
    </row>
    <row r="84" spans="1:7" ht="15.75" customHeight="1">
      <c r="A84" s="9"/>
      <c r="B84" s="8"/>
      <c r="C84" s="9"/>
      <c r="D84" s="8"/>
      <c r="E84" s="9"/>
      <c r="F84" s="8"/>
      <c r="G84" s="37"/>
    </row>
    <row r="85" spans="1:7" ht="15.75" customHeight="1">
      <c r="A85" s="9"/>
      <c r="B85" s="8"/>
      <c r="C85" s="9"/>
      <c r="D85" s="8"/>
      <c r="E85" s="9"/>
      <c r="F85" s="8"/>
      <c r="G85" s="37"/>
    </row>
    <row r="86" spans="1:7" ht="15.75" customHeight="1">
      <c r="A86" s="9"/>
      <c r="B86" s="8"/>
      <c r="C86" s="9"/>
      <c r="D86" s="8"/>
      <c r="E86" s="9"/>
      <c r="F86" s="8"/>
      <c r="G86" s="37"/>
    </row>
    <row r="87" spans="1:7" ht="15.75" customHeight="1">
      <c r="A87" s="9"/>
      <c r="B87" s="8"/>
      <c r="C87" s="9"/>
      <c r="D87" s="8"/>
      <c r="E87" s="9"/>
      <c r="F87" s="8"/>
      <c r="G87" s="37"/>
    </row>
    <row r="88" spans="1:7" ht="15.75" customHeight="1">
      <c r="A88" s="9"/>
      <c r="B88" s="8"/>
      <c r="C88" s="9"/>
      <c r="D88" s="8"/>
      <c r="E88" s="9"/>
      <c r="F88" s="8"/>
      <c r="G88" s="37"/>
    </row>
    <row r="89" spans="1:7" ht="15.75" customHeight="1">
      <c r="A89" s="9"/>
      <c r="B89" s="8"/>
      <c r="C89" s="9"/>
      <c r="D89" s="8"/>
      <c r="E89" s="9"/>
      <c r="F89" s="8"/>
      <c r="G89" s="37"/>
    </row>
    <row r="90" spans="1:7" ht="15.75" customHeight="1">
      <c r="A90" s="9"/>
      <c r="B90" s="8"/>
      <c r="C90" s="9"/>
      <c r="D90" s="8"/>
      <c r="E90" s="9"/>
      <c r="F90" s="8"/>
      <c r="G90" s="37"/>
    </row>
    <row r="91" spans="1:7" ht="15.75" customHeight="1">
      <c r="A91" s="9"/>
      <c r="B91" s="8"/>
      <c r="C91" s="9"/>
      <c r="D91" s="8"/>
      <c r="E91" s="9"/>
      <c r="F91" s="8"/>
      <c r="G91" s="37"/>
    </row>
    <row r="92" spans="1:7" ht="15.75" customHeight="1">
      <c r="A92" s="9"/>
      <c r="B92" s="8"/>
      <c r="C92" s="9"/>
      <c r="D92" s="8"/>
      <c r="E92" s="9"/>
      <c r="F92" s="8"/>
      <c r="G92" s="37"/>
    </row>
    <row r="93" spans="1:7" ht="15.75" customHeight="1">
      <c r="A93" s="9"/>
      <c r="B93" s="8"/>
      <c r="C93" s="9"/>
      <c r="D93" s="8"/>
      <c r="E93" s="9"/>
      <c r="F93" s="8"/>
      <c r="G93" s="37"/>
    </row>
    <row r="94" spans="1:7" ht="15.75" customHeight="1">
      <c r="A94" s="9"/>
      <c r="B94" s="8"/>
      <c r="C94" s="9"/>
      <c r="D94" s="8"/>
      <c r="E94" s="9"/>
      <c r="F94" s="8"/>
      <c r="G94" s="37"/>
    </row>
    <row r="95" spans="1:7" ht="15.75" customHeight="1">
      <c r="A95" s="9"/>
      <c r="B95" s="8"/>
      <c r="C95" s="9"/>
      <c r="D95" s="8"/>
      <c r="E95" s="9"/>
      <c r="F95" s="8"/>
      <c r="G95" s="37"/>
    </row>
    <row r="96" spans="1:7" ht="15.75" customHeight="1">
      <c r="A96" s="9"/>
      <c r="B96" s="8"/>
      <c r="C96" s="9"/>
      <c r="D96" s="8"/>
      <c r="E96" s="9"/>
      <c r="F96" s="8"/>
      <c r="G96" s="37"/>
    </row>
    <row r="97" spans="1:7" ht="15.75" customHeight="1">
      <c r="A97" s="9"/>
      <c r="B97" s="8"/>
      <c r="C97" s="9"/>
      <c r="D97" s="8"/>
      <c r="E97" s="9"/>
      <c r="F97" s="8"/>
      <c r="G97" s="37"/>
    </row>
    <row r="98" spans="1:7" ht="15.75" customHeight="1">
      <c r="A98" s="9"/>
      <c r="B98" s="8"/>
      <c r="C98" s="9"/>
      <c r="D98" s="8"/>
      <c r="E98" s="9"/>
      <c r="F98" s="8"/>
      <c r="G98" s="37"/>
    </row>
    <row r="99" spans="1:7" ht="15.75" customHeight="1">
      <c r="A99" s="9"/>
      <c r="B99" s="8"/>
      <c r="C99" s="9"/>
      <c r="D99" s="8"/>
      <c r="E99" s="9"/>
      <c r="F99" s="8"/>
      <c r="G99" s="37"/>
    </row>
    <row r="100" spans="1:7" ht="15.75" customHeight="1">
      <c r="A100" s="9"/>
      <c r="B100" s="8"/>
      <c r="C100" s="9"/>
      <c r="D100" s="8"/>
      <c r="E100" s="9"/>
      <c r="F100" s="8"/>
      <c r="G100" s="37"/>
    </row>
    <row r="101" spans="1:7" ht="15.75" customHeight="1">
      <c r="A101" s="9"/>
      <c r="B101" s="8"/>
      <c r="C101" s="9"/>
      <c r="D101" s="8"/>
      <c r="E101" s="9"/>
      <c r="F101" s="8"/>
      <c r="G101" s="37"/>
    </row>
    <row r="102" spans="1:7" ht="15.75" customHeight="1">
      <c r="A102" s="9"/>
      <c r="B102" s="8"/>
      <c r="C102" s="9"/>
      <c r="D102" s="8"/>
      <c r="E102" s="9"/>
      <c r="F102" s="8"/>
      <c r="G102" s="37"/>
    </row>
    <row r="103" spans="1:7" ht="15.75" customHeight="1">
      <c r="A103" s="9"/>
      <c r="B103" s="8"/>
      <c r="C103" s="9"/>
      <c r="D103" s="8"/>
      <c r="E103" s="9"/>
      <c r="F103" s="8"/>
      <c r="G103" s="37"/>
    </row>
    <row r="104" spans="1:7" ht="15.75" customHeight="1">
      <c r="A104" s="9"/>
      <c r="B104" s="8"/>
      <c r="C104" s="9"/>
      <c r="D104" s="8"/>
      <c r="E104" s="9"/>
      <c r="F104" s="8"/>
      <c r="G104" s="37"/>
    </row>
    <row r="105" spans="1:7" ht="15.75" customHeight="1">
      <c r="A105" s="9"/>
      <c r="B105" s="8"/>
      <c r="C105" s="9"/>
      <c r="D105" s="8"/>
      <c r="E105" s="9"/>
      <c r="F105" s="8"/>
      <c r="G105" s="37"/>
    </row>
    <row r="106" spans="1:7" ht="15.75" customHeight="1">
      <c r="A106" s="9"/>
      <c r="B106" s="8"/>
      <c r="C106" s="9"/>
      <c r="D106" s="8"/>
      <c r="E106" s="9"/>
      <c r="F106" s="8"/>
      <c r="G106" s="37"/>
    </row>
    <row r="107" spans="1:7" ht="15.75" customHeight="1">
      <c r="A107" s="9"/>
      <c r="B107" s="8"/>
      <c r="C107" s="9"/>
      <c r="D107" s="8"/>
      <c r="E107" s="9"/>
      <c r="F107" s="8"/>
      <c r="G107" s="37"/>
    </row>
    <row r="108" spans="1:7" ht="15.75" customHeight="1">
      <c r="A108" s="9"/>
      <c r="B108" s="8"/>
      <c r="C108" s="9"/>
      <c r="D108" s="8"/>
      <c r="E108" s="9"/>
      <c r="F108" s="8"/>
      <c r="G108" s="37"/>
    </row>
    <row r="109" spans="1:7" ht="15.75" customHeight="1">
      <c r="A109" s="9"/>
      <c r="B109" s="8"/>
      <c r="C109" s="9"/>
      <c r="D109" s="8"/>
      <c r="E109" s="9"/>
      <c r="F109" s="8"/>
      <c r="G109" s="37"/>
    </row>
    <row r="110" spans="1:7" ht="15.75" customHeight="1">
      <c r="A110" s="9"/>
      <c r="B110" s="8"/>
      <c r="C110" s="9"/>
      <c r="D110" s="8"/>
      <c r="E110" s="9"/>
      <c r="F110" s="8"/>
      <c r="G110" s="37"/>
    </row>
    <row r="111" spans="1:7" ht="15.75" customHeight="1">
      <c r="A111" s="9"/>
      <c r="B111" s="8"/>
      <c r="C111" s="9"/>
      <c r="D111" s="8"/>
      <c r="E111" s="9"/>
      <c r="F111" s="8"/>
      <c r="G111" s="37"/>
    </row>
    <row r="112" spans="1:7" ht="15.75" customHeight="1">
      <c r="A112" s="9"/>
      <c r="B112" s="8"/>
      <c r="C112" s="9"/>
      <c r="D112" s="8"/>
      <c r="E112" s="9"/>
      <c r="F112" s="8"/>
      <c r="G112" s="37"/>
    </row>
    <row r="113" spans="1:7" ht="15.75" customHeight="1">
      <c r="A113" s="9"/>
      <c r="B113" s="8"/>
      <c r="C113" s="9"/>
      <c r="D113" s="8"/>
      <c r="E113" s="9"/>
      <c r="F113" s="8"/>
      <c r="G113" s="37"/>
    </row>
    <row r="114" spans="1:7" ht="15.75" customHeight="1">
      <c r="A114" s="9"/>
      <c r="B114" s="8"/>
      <c r="C114" s="9"/>
      <c r="D114" s="8"/>
      <c r="E114" s="9"/>
      <c r="F114" s="8"/>
      <c r="G114" s="37"/>
    </row>
    <row r="115" spans="1:7" ht="15.75" customHeight="1">
      <c r="A115" s="9"/>
      <c r="B115" s="8"/>
      <c r="C115" s="9"/>
      <c r="D115" s="8"/>
      <c r="E115" s="9"/>
      <c r="F115" s="8"/>
      <c r="G115" s="37"/>
    </row>
    <row r="116" spans="1:7" ht="15.75" customHeight="1">
      <c r="A116" s="9"/>
      <c r="B116" s="8"/>
      <c r="C116" s="9"/>
      <c r="D116" s="8"/>
      <c r="E116" s="9"/>
      <c r="F116" s="8"/>
      <c r="G116" s="37"/>
    </row>
    <row r="117" spans="1:7" ht="15.75" customHeight="1">
      <c r="A117" s="9"/>
      <c r="B117" s="8"/>
      <c r="C117" s="9"/>
      <c r="D117" s="8"/>
      <c r="E117" s="9"/>
      <c r="F117" s="8"/>
      <c r="G117" s="37"/>
    </row>
    <row r="118" spans="1:7" ht="15.75" customHeight="1">
      <c r="A118" s="9"/>
      <c r="B118" s="8"/>
      <c r="C118" s="9"/>
      <c r="D118" s="8"/>
      <c r="E118" s="9"/>
      <c r="F118" s="8"/>
      <c r="G118" s="37"/>
    </row>
    <row r="119" spans="1:7" ht="15.75" customHeight="1">
      <c r="A119" s="9"/>
      <c r="B119" s="8"/>
      <c r="C119" s="9"/>
      <c r="D119" s="8"/>
      <c r="E119" s="9"/>
      <c r="F119" s="8"/>
      <c r="G119" s="37"/>
    </row>
    <row r="120" spans="1:7" ht="15.75" customHeight="1">
      <c r="A120" s="9"/>
      <c r="B120" s="8"/>
      <c r="C120" s="9"/>
      <c r="D120" s="8"/>
      <c r="E120" s="9"/>
      <c r="F120" s="8"/>
      <c r="G120" s="37"/>
    </row>
    <row r="121" spans="1:7" ht="15.75" customHeight="1">
      <c r="A121" s="9"/>
      <c r="B121" s="8"/>
      <c r="C121" s="9"/>
      <c r="D121" s="8"/>
      <c r="E121" s="9"/>
      <c r="F121" s="8"/>
      <c r="G121" s="37"/>
    </row>
    <row r="122" spans="1:7" ht="15.75" customHeight="1">
      <c r="A122" s="9"/>
      <c r="B122" s="8"/>
      <c r="C122" s="9"/>
      <c r="D122" s="8"/>
      <c r="E122" s="9"/>
      <c r="F122" s="8"/>
      <c r="G122" s="37"/>
    </row>
    <row r="123" spans="1:7" ht="15.75" customHeight="1">
      <c r="A123" s="9"/>
      <c r="B123" s="8"/>
      <c r="C123" s="9"/>
      <c r="D123" s="8"/>
      <c r="E123" s="9"/>
      <c r="F123" s="8"/>
      <c r="G123" s="37"/>
    </row>
    <row r="124" spans="1:7" ht="15.75" customHeight="1">
      <c r="A124" s="9"/>
      <c r="B124" s="8"/>
      <c r="C124" s="9"/>
      <c r="D124" s="8"/>
      <c r="E124" s="9"/>
      <c r="F124" s="8"/>
      <c r="G124" s="37"/>
    </row>
    <row r="125" spans="1:7" ht="15.75" customHeight="1">
      <c r="A125" s="9"/>
      <c r="B125" s="8"/>
      <c r="C125" s="9"/>
      <c r="D125" s="8"/>
      <c r="E125" s="9"/>
      <c r="F125" s="8"/>
      <c r="G125" s="37"/>
    </row>
    <row r="126" spans="1:7" ht="15.75" customHeight="1">
      <c r="A126" s="9"/>
      <c r="B126" s="8"/>
      <c r="C126" s="9"/>
      <c r="D126" s="8"/>
      <c r="E126" s="9"/>
      <c r="F126" s="8"/>
      <c r="G126" s="37"/>
    </row>
    <row r="127" spans="1:7" ht="15.75" customHeight="1">
      <c r="A127" s="9"/>
      <c r="B127" s="8"/>
      <c r="C127" s="9"/>
      <c r="D127" s="8"/>
      <c r="E127" s="9"/>
      <c r="F127" s="8"/>
      <c r="G127" s="37"/>
    </row>
    <row r="128" spans="1:7" ht="15.75" customHeight="1">
      <c r="A128" s="9"/>
      <c r="B128" s="8"/>
      <c r="C128" s="9"/>
      <c r="D128" s="8"/>
      <c r="E128" s="9"/>
      <c r="F128" s="8"/>
      <c r="G128" s="37"/>
    </row>
    <row r="129" spans="1:7" ht="15.75" customHeight="1">
      <c r="A129" s="9"/>
      <c r="B129" s="8"/>
      <c r="C129" s="9"/>
      <c r="D129" s="8"/>
      <c r="E129" s="9"/>
      <c r="F129" s="8"/>
      <c r="G129" s="37"/>
    </row>
    <row r="130" spans="1:7" ht="15.75" customHeight="1">
      <c r="A130" s="9"/>
      <c r="B130" s="8"/>
      <c r="C130" s="9"/>
      <c r="D130" s="8"/>
      <c r="E130" s="9"/>
      <c r="F130" s="8"/>
      <c r="G130" s="37"/>
    </row>
    <row r="131" spans="1:7" ht="15.75" customHeight="1">
      <c r="A131" s="9"/>
      <c r="B131" s="8"/>
      <c r="C131" s="9"/>
      <c r="D131" s="8"/>
      <c r="E131" s="9"/>
      <c r="F131" s="8"/>
      <c r="G131" s="37"/>
    </row>
    <row r="132" spans="1:7" ht="15.75" customHeight="1">
      <c r="A132" s="9"/>
      <c r="B132" s="8"/>
      <c r="C132" s="9"/>
      <c r="D132" s="8"/>
      <c r="E132" s="9"/>
      <c r="F132" s="8"/>
      <c r="G132" s="37"/>
    </row>
    <row r="133" spans="1:7" ht="15.75" customHeight="1">
      <c r="A133" s="9"/>
      <c r="B133" s="8"/>
      <c r="C133" s="9"/>
      <c r="D133" s="8"/>
      <c r="E133" s="9"/>
      <c r="F133" s="8"/>
      <c r="G133" s="37"/>
    </row>
    <row r="134" spans="1:7" ht="15.75" customHeight="1">
      <c r="A134" s="9"/>
      <c r="B134" s="8"/>
      <c r="C134" s="9"/>
      <c r="D134" s="8"/>
      <c r="E134" s="9"/>
      <c r="F134" s="8"/>
      <c r="G134" s="37"/>
    </row>
    <row r="135" spans="1:7" ht="15.75" customHeight="1">
      <c r="A135" s="9"/>
      <c r="B135" s="8"/>
      <c r="C135" s="9"/>
      <c r="D135" s="8"/>
      <c r="E135" s="9"/>
      <c r="F135" s="8"/>
      <c r="G135" s="37"/>
    </row>
    <row r="136" spans="1:7" ht="15.75" customHeight="1">
      <c r="A136" s="9"/>
      <c r="B136" s="8"/>
      <c r="C136" s="9"/>
      <c r="D136" s="8"/>
      <c r="E136" s="9"/>
      <c r="F136" s="8"/>
      <c r="G136" s="37"/>
    </row>
    <row r="137" spans="1:7" ht="15.75" customHeight="1">
      <c r="A137" s="9"/>
      <c r="B137" s="8"/>
      <c r="C137" s="9"/>
      <c r="D137" s="8"/>
      <c r="E137" s="9"/>
      <c r="F137" s="8"/>
      <c r="G137" s="37"/>
    </row>
    <row r="138" spans="1:7" ht="15.75" customHeight="1">
      <c r="A138" s="9"/>
      <c r="B138" s="8"/>
      <c r="C138" s="9"/>
      <c r="D138" s="8"/>
      <c r="E138" s="9"/>
      <c r="F138" s="8"/>
      <c r="G138" s="37"/>
    </row>
    <row r="139" spans="1:7" ht="15.75" customHeight="1">
      <c r="A139" s="9"/>
      <c r="B139" s="8"/>
      <c r="C139" s="9"/>
      <c r="D139" s="8"/>
      <c r="E139" s="9"/>
      <c r="F139" s="8"/>
      <c r="G139" s="37"/>
    </row>
    <row r="140" spans="1:7" ht="15.75" customHeight="1">
      <c r="A140" s="9"/>
      <c r="B140" s="8"/>
      <c r="C140" s="9"/>
      <c r="D140" s="8"/>
      <c r="E140" s="9"/>
      <c r="F140" s="8"/>
      <c r="G140" s="37"/>
    </row>
    <row r="141" spans="1:7" ht="15.75" customHeight="1">
      <c r="A141" s="9"/>
      <c r="B141" s="8"/>
      <c r="C141" s="9"/>
      <c r="D141" s="8"/>
      <c r="E141" s="9"/>
      <c r="F141" s="8"/>
      <c r="G141" s="37"/>
    </row>
    <row r="142" spans="1:7" ht="15.75" customHeight="1">
      <c r="A142" s="9"/>
      <c r="B142" s="8"/>
      <c r="C142" s="9"/>
      <c r="D142" s="8"/>
      <c r="E142" s="9"/>
      <c r="F142" s="8"/>
      <c r="G142" s="37"/>
    </row>
    <row r="143" spans="1:7" ht="15.75" customHeight="1">
      <c r="A143" s="9"/>
      <c r="B143" s="8"/>
      <c r="C143" s="9"/>
      <c r="D143" s="8"/>
      <c r="E143" s="9"/>
      <c r="F143" s="8"/>
      <c r="G143" s="37"/>
    </row>
    <row r="144" spans="1:7" ht="15.75" customHeight="1">
      <c r="A144" s="9"/>
      <c r="B144" s="8"/>
      <c r="C144" s="9"/>
      <c r="D144" s="8"/>
      <c r="E144" s="9"/>
      <c r="F144" s="8"/>
      <c r="G144" s="37"/>
    </row>
    <row r="145" spans="1:7" ht="15.75" customHeight="1">
      <c r="A145" s="9"/>
      <c r="B145" s="8"/>
      <c r="C145" s="9"/>
      <c r="D145" s="8"/>
      <c r="E145" s="9"/>
      <c r="F145" s="8"/>
      <c r="G145" s="37"/>
    </row>
    <row r="146" spans="1:7" ht="15.75" customHeight="1">
      <c r="A146" s="9"/>
      <c r="B146" s="8"/>
      <c r="C146" s="9"/>
      <c r="D146" s="8"/>
      <c r="E146" s="9"/>
      <c r="F146" s="8"/>
      <c r="G146" s="37"/>
    </row>
    <row r="147" spans="1:7" ht="15.75" customHeight="1">
      <c r="A147" s="9"/>
      <c r="B147" s="8"/>
      <c r="C147" s="9"/>
      <c r="D147" s="8"/>
      <c r="E147" s="9"/>
      <c r="F147" s="8"/>
      <c r="G147" s="37"/>
    </row>
    <row r="148" spans="1:7" ht="15.75" customHeight="1">
      <c r="A148" s="9"/>
      <c r="B148" s="8"/>
      <c r="C148" s="9"/>
      <c r="D148" s="8"/>
      <c r="E148" s="9"/>
      <c r="F148" s="8"/>
      <c r="G148" s="37"/>
    </row>
    <row r="149" spans="1:7" ht="15.75" customHeight="1">
      <c r="A149" s="9"/>
      <c r="B149" s="8"/>
      <c r="C149" s="9"/>
      <c r="D149" s="8"/>
      <c r="E149" s="9"/>
      <c r="F149" s="8"/>
      <c r="G149" s="37"/>
    </row>
    <row r="150" spans="1:7" ht="15.75" customHeight="1">
      <c r="A150" s="9"/>
      <c r="B150" s="8"/>
      <c r="C150" s="9"/>
      <c r="D150" s="8"/>
      <c r="E150" s="9"/>
      <c r="F150" s="8"/>
      <c r="G150" s="37"/>
    </row>
    <row r="151" spans="1:7" ht="15.75" customHeight="1">
      <c r="A151" s="9"/>
      <c r="B151" s="8"/>
      <c r="C151" s="9"/>
      <c r="D151" s="8"/>
      <c r="E151" s="9"/>
      <c r="F151" s="8"/>
      <c r="G151" s="37"/>
    </row>
    <row r="152" spans="1:7" ht="15.75" customHeight="1">
      <c r="A152" s="9"/>
      <c r="B152" s="8"/>
      <c r="C152" s="9"/>
      <c r="D152" s="8"/>
      <c r="E152" s="9"/>
      <c r="F152" s="8"/>
      <c r="G152" s="37"/>
    </row>
    <row r="153" spans="1:7" ht="15.75" customHeight="1">
      <c r="A153" s="9"/>
      <c r="B153" s="8"/>
      <c r="C153" s="9"/>
      <c r="D153" s="8"/>
      <c r="E153" s="9"/>
      <c r="F153" s="8"/>
      <c r="G153" s="37"/>
    </row>
    <row r="154" spans="1:7" ht="15.75" customHeight="1">
      <c r="A154" s="9"/>
      <c r="B154" s="8"/>
      <c r="C154" s="9"/>
      <c r="D154" s="8"/>
      <c r="E154" s="9"/>
      <c r="F154" s="8"/>
      <c r="G154" s="37"/>
    </row>
    <row r="155" spans="1:7" ht="15.75" customHeight="1">
      <c r="A155" s="9"/>
      <c r="B155" s="8"/>
      <c r="C155" s="9"/>
      <c r="D155" s="8"/>
      <c r="E155" s="9"/>
      <c r="F155" s="8"/>
      <c r="G155" s="37"/>
    </row>
    <row r="156" spans="1:7" ht="15.75" customHeight="1">
      <c r="A156" s="9"/>
      <c r="B156" s="8"/>
      <c r="C156" s="9"/>
      <c r="D156" s="8"/>
      <c r="E156" s="9"/>
      <c r="F156" s="8"/>
      <c r="G156" s="37"/>
    </row>
    <row r="157" spans="1:7" ht="15.75" customHeight="1">
      <c r="A157" s="9"/>
      <c r="B157" s="8"/>
      <c r="C157" s="9"/>
      <c r="D157" s="8"/>
      <c r="E157" s="9"/>
      <c r="F157" s="8"/>
      <c r="G157" s="37"/>
    </row>
    <row r="158" spans="1:7" ht="15.75" customHeight="1">
      <c r="A158" s="9"/>
      <c r="B158" s="8"/>
      <c r="C158" s="9"/>
      <c r="D158" s="8"/>
      <c r="E158" s="9"/>
      <c r="F158" s="8"/>
      <c r="G158" s="37"/>
    </row>
    <row r="159" spans="1:7" ht="15.75" customHeight="1">
      <c r="A159" s="9"/>
      <c r="B159" s="8"/>
      <c r="C159" s="9"/>
      <c r="D159" s="8"/>
      <c r="E159" s="9"/>
      <c r="F159" s="8"/>
      <c r="G159" s="37"/>
    </row>
    <row r="160" spans="1:7" ht="15.75" customHeight="1">
      <c r="A160" s="9"/>
      <c r="B160" s="8"/>
      <c r="C160" s="9"/>
      <c r="D160" s="8"/>
      <c r="E160" s="9"/>
      <c r="F160" s="8"/>
      <c r="G160" s="37"/>
    </row>
    <row r="161" spans="1:7" ht="15.75" customHeight="1">
      <c r="A161" s="9"/>
      <c r="B161" s="8"/>
      <c r="C161" s="9"/>
      <c r="D161" s="8"/>
      <c r="E161" s="9"/>
      <c r="F161" s="8"/>
      <c r="G161" s="37"/>
    </row>
    <row r="162" spans="1:7" ht="15.75" customHeight="1">
      <c r="A162" s="9"/>
      <c r="B162" s="8"/>
      <c r="C162" s="9"/>
      <c r="D162" s="8"/>
      <c r="E162" s="9"/>
      <c r="F162" s="8"/>
      <c r="G162" s="37"/>
    </row>
    <row r="163" spans="1:7" ht="15.75" customHeight="1">
      <c r="A163" s="9"/>
      <c r="B163" s="8"/>
      <c r="C163" s="9"/>
      <c r="D163" s="8"/>
      <c r="E163" s="9"/>
      <c r="F163" s="8"/>
      <c r="G163" s="37"/>
    </row>
    <row r="164" spans="1:7" ht="15.75" customHeight="1">
      <c r="A164" s="9"/>
      <c r="B164" s="8"/>
      <c r="C164" s="9"/>
      <c r="D164" s="8"/>
      <c r="E164" s="9"/>
      <c r="F164" s="8"/>
      <c r="G164" s="37"/>
    </row>
    <row r="165" spans="1:7" ht="15.75" customHeight="1">
      <c r="A165" s="9"/>
      <c r="B165" s="8"/>
      <c r="C165" s="9"/>
      <c r="D165" s="8"/>
      <c r="E165" s="9"/>
      <c r="F165" s="8"/>
      <c r="G165" s="37"/>
    </row>
    <row r="166" spans="1:7" ht="15.75" customHeight="1">
      <c r="A166" s="9"/>
      <c r="B166" s="8"/>
      <c r="C166" s="9"/>
      <c r="D166" s="8"/>
      <c r="E166" s="9"/>
      <c r="F166" s="8"/>
      <c r="G166" s="37"/>
    </row>
    <row r="167" spans="1:7" ht="15.75" customHeight="1">
      <c r="A167" s="9"/>
      <c r="B167" s="8"/>
      <c r="C167" s="9"/>
      <c r="D167" s="8"/>
      <c r="E167" s="9"/>
      <c r="F167" s="8"/>
      <c r="G167" s="37"/>
    </row>
    <row r="168" spans="1:7" ht="15.75" customHeight="1">
      <c r="A168" s="9"/>
      <c r="B168" s="8"/>
      <c r="C168" s="9"/>
      <c r="D168" s="8"/>
      <c r="E168" s="9"/>
      <c r="F168" s="8"/>
      <c r="G168" s="37"/>
    </row>
    <row r="169" spans="1:7" ht="15.75" customHeight="1">
      <c r="A169" s="9"/>
      <c r="B169" s="8"/>
      <c r="C169" s="9"/>
      <c r="D169" s="8"/>
      <c r="E169" s="9"/>
      <c r="F169" s="8"/>
      <c r="G169" s="37"/>
    </row>
    <row r="170" spans="1:7" ht="15.75" customHeight="1">
      <c r="A170" s="9"/>
      <c r="B170" s="8"/>
      <c r="C170" s="9"/>
      <c r="D170" s="8"/>
      <c r="E170" s="9"/>
      <c r="F170" s="8"/>
      <c r="G170" s="37"/>
    </row>
    <row r="171" spans="1:7" ht="15.75" customHeight="1">
      <c r="A171" s="9"/>
      <c r="B171" s="8"/>
      <c r="C171" s="9"/>
      <c r="D171" s="8"/>
      <c r="E171" s="9"/>
      <c r="F171" s="8"/>
      <c r="G171" s="37"/>
    </row>
    <row r="172" spans="1:7" ht="15.75" customHeight="1">
      <c r="A172" s="9"/>
      <c r="B172" s="8"/>
      <c r="C172" s="9"/>
      <c r="D172" s="8"/>
      <c r="E172" s="9"/>
      <c r="F172" s="8"/>
      <c r="G172" s="37"/>
    </row>
    <row r="173" spans="1:7" ht="15.75" customHeight="1">
      <c r="A173" s="9"/>
      <c r="B173" s="8"/>
      <c r="C173" s="9"/>
      <c r="D173" s="8"/>
      <c r="E173" s="9"/>
      <c r="F173" s="8"/>
      <c r="G173" s="37"/>
    </row>
    <row r="174" spans="1:7" ht="15.75" customHeight="1">
      <c r="A174" s="9"/>
      <c r="B174" s="8"/>
      <c r="C174" s="9"/>
      <c r="D174" s="8"/>
      <c r="E174" s="9"/>
      <c r="F174" s="8"/>
      <c r="G174" s="37"/>
    </row>
    <row r="175" spans="1:7" ht="15.75" customHeight="1">
      <c r="A175" s="9"/>
      <c r="B175" s="8"/>
      <c r="C175" s="9"/>
      <c r="D175" s="8"/>
      <c r="E175" s="9"/>
      <c r="F175" s="8"/>
      <c r="G175" s="37"/>
    </row>
    <row r="176" spans="1:7" ht="15.75" customHeight="1">
      <c r="A176" s="9"/>
      <c r="B176" s="8"/>
      <c r="C176" s="9"/>
      <c r="D176" s="8"/>
      <c r="E176" s="9"/>
      <c r="F176" s="8"/>
      <c r="G176" s="37"/>
    </row>
    <row r="177" spans="1:7" ht="15.75" customHeight="1">
      <c r="A177" s="9"/>
      <c r="B177" s="8"/>
      <c r="C177" s="9"/>
      <c r="D177" s="8"/>
      <c r="E177" s="9"/>
      <c r="F177" s="8"/>
      <c r="G177" s="37"/>
    </row>
    <row r="178" spans="1:7" ht="15.75" customHeight="1">
      <c r="A178" s="9"/>
      <c r="B178" s="8"/>
      <c r="C178" s="9"/>
      <c r="D178" s="8"/>
      <c r="E178" s="9"/>
      <c r="F178" s="8"/>
      <c r="G178" s="37"/>
    </row>
    <row r="179" spans="1:7" ht="15.75" customHeight="1">
      <c r="A179" s="9"/>
      <c r="B179" s="8"/>
      <c r="C179" s="9"/>
      <c r="D179" s="8"/>
      <c r="E179" s="9"/>
      <c r="F179" s="8"/>
      <c r="G179" s="37"/>
    </row>
    <row r="180" spans="1:7" ht="15.75" customHeight="1">
      <c r="A180" s="9"/>
      <c r="B180" s="8"/>
      <c r="C180" s="9"/>
      <c r="D180" s="8"/>
      <c r="E180" s="9"/>
      <c r="F180" s="8"/>
      <c r="G180" s="37"/>
    </row>
    <row r="181" spans="1:7" ht="15.75" customHeight="1">
      <c r="A181" s="9"/>
      <c r="B181" s="8"/>
      <c r="C181" s="9"/>
      <c r="D181" s="8"/>
      <c r="E181" s="9"/>
      <c r="F181" s="8"/>
      <c r="G181" s="37"/>
    </row>
    <row r="182" spans="1:7" ht="15.75" customHeight="1">
      <c r="A182" s="9"/>
      <c r="B182" s="8"/>
      <c r="C182" s="9"/>
      <c r="D182" s="8"/>
      <c r="E182" s="9"/>
      <c r="F182" s="8"/>
      <c r="G182" s="37"/>
    </row>
    <row r="183" spans="1:7" ht="15.75" customHeight="1">
      <c r="A183" s="9"/>
      <c r="B183" s="8"/>
      <c r="C183" s="9"/>
      <c r="D183" s="8"/>
      <c r="E183" s="9"/>
      <c r="F183" s="8"/>
      <c r="G183" s="37"/>
    </row>
    <row r="184" spans="1:7" ht="15.75" customHeight="1">
      <c r="A184" s="9"/>
      <c r="B184" s="8"/>
      <c r="C184" s="9"/>
      <c r="D184" s="8"/>
      <c r="E184" s="9"/>
      <c r="F184" s="8"/>
      <c r="G184" s="37"/>
    </row>
    <row r="185" spans="1:7" ht="15.75" customHeight="1">
      <c r="A185" s="9"/>
      <c r="B185" s="8"/>
      <c r="C185" s="9"/>
      <c r="D185" s="8"/>
      <c r="E185" s="9"/>
      <c r="F185" s="8"/>
      <c r="G185" s="37"/>
    </row>
    <row r="186" spans="1:7" ht="15.75" customHeight="1">
      <c r="A186" s="9"/>
      <c r="B186" s="8"/>
      <c r="C186" s="9"/>
      <c r="D186" s="8"/>
      <c r="E186" s="9"/>
      <c r="F186" s="8"/>
      <c r="G186" s="37"/>
    </row>
    <row r="187" spans="1:7" ht="15.75" customHeight="1">
      <c r="A187" s="9"/>
      <c r="B187" s="8"/>
      <c r="C187" s="9"/>
      <c r="D187" s="8"/>
      <c r="E187" s="9"/>
      <c r="F187" s="8"/>
      <c r="G187" s="37"/>
    </row>
    <row r="188" spans="1:7" ht="15.75" customHeight="1">
      <c r="A188" s="9"/>
      <c r="B188" s="8"/>
      <c r="C188" s="9"/>
      <c r="D188" s="8"/>
      <c r="E188" s="9"/>
      <c r="F188" s="8"/>
      <c r="G188" s="37"/>
    </row>
    <row r="189" spans="1:7" ht="15.75" customHeight="1">
      <c r="A189" s="9"/>
      <c r="B189" s="8"/>
      <c r="C189" s="9"/>
      <c r="D189" s="8"/>
      <c r="E189" s="9"/>
      <c r="F189" s="8"/>
      <c r="G189" s="37"/>
    </row>
    <row r="190" spans="1:7" ht="15.75" customHeight="1">
      <c r="A190" s="9"/>
      <c r="B190" s="8"/>
      <c r="C190" s="9"/>
      <c r="D190" s="8"/>
      <c r="E190" s="9"/>
      <c r="F190" s="8"/>
      <c r="G190" s="37"/>
    </row>
    <row r="191" spans="1:7" ht="15.75" customHeight="1">
      <c r="A191" s="9"/>
      <c r="B191" s="8"/>
      <c r="C191" s="9"/>
      <c r="D191" s="8"/>
      <c r="E191" s="9"/>
      <c r="F191" s="8"/>
      <c r="G191" s="37"/>
    </row>
    <row r="192" spans="1:7" ht="15.75" customHeight="1">
      <c r="A192" s="9"/>
      <c r="B192" s="8"/>
      <c r="C192" s="9"/>
      <c r="D192" s="8"/>
      <c r="E192" s="9"/>
      <c r="F192" s="8"/>
      <c r="G192" s="37"/>
    </row>
    <row r="193" spans="1:7" ht="15.75" customHeight="1">
      <c r="A193" s="9"/>
      <c r="B193" s="8"/>
      <c r="C193" s="9"/>
      <c r="D193" s="8"/>
      <c r="E193" s="9"/>
      <c r="F193" s="8"/>
      <c r="G193" s="37"/>
    </row>
    <row r="194" spans="1:7" ht="15.75" customHeight="1">
      <c r="A194" s="9"/>
      <c r="B194" s="8"/>
      <c r="C194" s="9"/>
      <c r="D194" s="8"/>
      <c r="E194" s="9"/>
      <c r="F194" s="8"/>
      <c r="G194" s="37"/>
    </row>
    <row r="195" spans="1:7" ht="15.75" customHeight="1">
      <c r="A195" s="9"/>
      <c r="B195" s="8"/>
      <c r="C195" s="9"/>
      <c r="D195" s="8"/>
      <c r="E195" s="9"/>
      <c r="F195" s="8"/>
      <c r="G195" s="37"/>
    </row>
    <row r="196" spans="1:7" ht="15.75" customHeight="1">
      <c r="A196" s="9"/>
      <c r="B196" s="8"/>
      <c r="C196" s="9"/>
      <c r="D196" s="8"/>
      <c r="E196" s="9"/>
      <c r="F196" s="8"/>
      <c r="G196" s="37"/>
    </row>
    <row r="197" spans="1:7" ht="15.75" customHeight="1">
      <c r="A197" s="9"/>
      <c r="B197" s="8"/>
      <c r="C197" s="9"/>
      <c r="D197" s="8"/>
      <c r="E197" s="9"/>
      <c r="F197" s="8"/>
      <c r="G197" s="37"/>
    </row>
    <row r="198" spans="1:7" ht="15.75" customHeight="1">
      <c r="A198" s="9"/>
      <c r="B198" s="8"/>
      <c r="C198" s="9"/>
      <c r="D198" s="8"/>
      <c r="E198" s="9"/>
      <c r="F198" s="8"/>
      <c r="G198" s="37"/>
    </row>
    <row r="199" spans="1:7" ht="15.75" customHeight="1">
      <c r="A199" s="9"/>
      <c r="B199" s="8"/>
      <c r="C199" s="9"/>
      <c r="D199" s="8"/>
      <c r="E199" s="9"/>
      <c r="F199" s="8"/>
      <c r="G199" s="37"/>
    </row>
    <row r="200" spans="1:7" ht="15.75" customHeight="1">
      <c r="A200" s="9"/>
      <c r="B200" s="8"/>
      <c r="C200" s="9"/>
      <c r="D200" s="8"/>
      <c r="E200" s="9"/>
      <c r="F200" s="8"/>
      <c r="G200" s="37"/>
    </row>
    <row r="201" spans="1:7" ht="15.75" customHeight="1">
      <c r="A201" s="9"/>
      <c r="B201" s="8"/>
      <c r="C201" s="9"/>
      <c r="D201" s="8"/>
      <c r="E201" s="9"/>
      <c r="F201" s="8"/>
      <c r="G201" s="37"/>
    </row>
    <row r="202" spans="1:7" ht="15.75" customHeight="1">
      <c r="A202" s="9"/>
      <c r="B202" s="8"/>
      <c r="C202" s="9"/>
      <c r="D202" s="8"/>
      <c r="E202" s="9"/>
      <c r="F202" s="8"/>
      <c r="G202" s="37"/>
    </row>
    <row r="203" spans="1:7" ht="15.75" customHeight="1">
      <c r="A203" s="9"/>
      <c r="B203" s="8"/>
      <c r="C203" s="9"/>
      <c r="D203" s="8"/>
      <c r="E203" s="9"/>
      <c r="F203" s="8"/>
      <c r="G203" s="37"/>
    </row>
    <row r="204" spans="1:7" ht="15.75" customHeight="1">
      <c r="A204" s="9"/>
      <c r="B204" s="8"/>
      <c r="C204" s="9"/>
      <c r="D204" s="8"/>
      <c r="E204" s="9"/>
      <c r="F204" s="8"/>
      <c r="G204" s="37"/>
    </row>
    <row r="205" spans="1:7" ht="15.75" customHeight="1">
      <c r="A205" s="9"/>
      <c r="B205" s="8"/>
      <c r="C205" s="9"/>
      <c r="D205" s="8"/>
      <c r="E205" s="9"/>
      <c r="F205" s="8"/>
      <c r="G205" s="37"/>
    </row>
    <row r="206" spans="1:7" ht="15.75" customHeight="1">
      <c r="A206" s="9"/>
      <c r="B206" s="8"/>
      <c r="C206" s="9"/>
      <c r="D206" s="8"/>
      <c r="E206" s="9"/>
      <c r="F206" s="8"/>
      <c r="G206" s="37"/>
    </row>
    <row r="207" spans="1:7" ht="15.75" customHeight="1">
      <c r="A207" s="9"/>
      <c r="B207" s="8"/>
      <c r="C207" s="9"/>
      <c r="D207" s="8"/>
      <c r="E207" s="9"/>
      <c r="F207" s="8"/>
      <c r="G207" s="37"/>
    </row>
    <row r="208" spans="1:7" ht="15.75" customHeight="1">
      <c r="A208" s="9"/>
      <c r="B208" s="8"/>
      <c r="C208" s="9"/>
      <c r="D208" s="8"/>
      <c r="E208" s="9"/>
      <c r="F208" s="8"/>
      <c r="G208" s="37"/>
    </row>
    <row r="209" spans="1:7" ht="15.75" customHeight="1">
      <c r="A209" s="9"/>
      <c r="B209" s="8"/>
      <c r="C209" s="9"/>
      <c r="D209" s="8"/>
      <c r="E209" s="9"/>
      <c r="F209" s="8"/>
      <c r="G209" s="37"/>
    </row>
    <row r="210" spans="1:7" ht="15.75" customHeight="1">
      <c r="A210" s="9"/>
      <c r="B210" s="8"/>
      <c r="C210" s="9"/>
      <c r="D210" s="8"/>
      <c r="E210" s="9"/>
      <c r="F210" s="8"/>
      <c r="G210" s="37"/>
    </row>
    <row r="211" spans="1:7" ht="15.75" customHeight="1">
      <c r="A211" s="9"/>
      <c r="B211" s="8"/>
      <c r="C211" s="9"/>
      <c r="D211" s="8"/>
      <c r="E211" s="9"/>
      <c r="F211" s="8"/>
      <c r="G211" s="37"/>
    </row>
    <row r="212" spans="1:7" ht="15.75" customHeight="1">
      <c r="A212" s="9"/>
      <c r="B212" s="8"/>
      <c r="C212" s="9"/>
      <c r="D212" s="8"/>
      <c r="E212" s="9"/>
      <c r="F212" s="8"/>
      <c r="G212" s="37"/>
    </row>
    <row r="213" spans="1:7" ht="15.75" customHeight="1">
      <c r="A213" s="9"/>
      <c r="B213" s="8"/>
      <c r="C213" s="9"/>
      <c r="D213" s="8"/>
      <c r="E213" s="9"/>
      <c r="F213" s="8"/>
      <c r="G213" s="37"/>
    </row>
    <row r="214" spans="1:7" ht="15.75" customHeight="1">
      <c r="A214" s="9"/>
      <c r="B214" s="8"/>
      <c r="C214" s="9"/>
      <c r="D214" s="8"/>
      <c r="E214" s="9"/>
      <c r="F214" s="8"/>
      <c r="G214" s="37"/>
    </row>
    <row r="215" spans="1:7" ht="15.75" customHeight="1">
      <c r="A215" s="9"/>
      <c r="B215" s="8"/>
      <c r="C215" s="9"/>
      <c r="D215" s="8"/>
      <c r="E215" s="9"/>
      <c r="F215" s="8"/>
      <c r="G215" s="37"/>
    </row>
    <row r="216" spans="1:7" ht="15.75" customHeight="1">
      <c r="A216" s="9"/>
      <c r="B216" s="8"/>
      <c r="C216" s="9"/>
      <c r="D216" s="8"/>
      <c r="E216" s="9"/>
      <c r="F216" s="8"/>
      <c r="G216" s="37"/>
    </row>
    <row r="217" spans="1:7" ht="15.75" customHeight="1">
      <c r="A217" s="9"/>
      <c r="B217" s="8"/>
      <c r="C217" s="9"/>
      <c r="D217" s="8"/>
      <c r="E217" s="9"/>
      <c r="F217" s="8"/>
      <c r="G217" s="37"/>
    </row>
    <row r="218" spans="1:7" ht="15.75" customHeight="1">
      <c r="A218" s="9"/>
      <c r="B218" s="8"/>
      <c r="C218" s="9"/>
      <c r="D218" s="8"/>
      <c r="E218" s="9"/>
      <c r="F218" s="8"/>
      <c r="G218" s="37"/>
    </row>
    <row r="219" spans="1:7" ht="15.75" customHeight="1">
      <c r="A219" s="9"/>
      <c r="B219" s="8"/>
      <c r="C219" s="9"/>
      <c r="D219" s="8"/>
      <c r="E219" s="9"/>
      <c r="F219" s="8"/>
      <c r="G219" s="37"/>
    </row>
    <row r="220" spans="1:7" ht="15.75" customHeight="1">
      <c r="A220" s="9"/>
      <c r="B220" s="8"/>
      <c r="C220" s="9"/>
      <c r="D220" s="8"/>
      <c r="E220" s="9"/>
      <c r="F220" s="8"/>
      <c r="G220" s="37"/>
    </row>
    <row r="221" spans="1:7" ht="15.75" customHeight="1">
      <c r="A221" s="9"/>
      <c r="B221" s="8"/>
      <c r="C221" s="9"/>
      <c r="D221" s="8"/>
      <c r="E221" s="9"/>
      <c r="F221" s="8"/>
      <c r="G221" s="37"/>
    </row>
    <row r="222" spans="1:7" ht="15.75" customHeight="1">
      <c r="A222" s="9"/>
      <c r="B222" s="8"/>
      <c r="C222" s="9"/>
      <c r="D222" s="8"/>
      <c r="E222" s="9"/>
      <c r="F222" s="8"/>
      <c r="G222" s="37"/>
    </row>
    <row r="223" spans="1:7" ht="15.75" customHeight="1">
      <c r="A223" s="9"/>
      <c r="B223" s="8"/>
      <c r="C223" s="9"/>
      <c r="D223" s="8"/>
      <c r="E223" s="9"/>
      <c r="F223" s="8"/>
      <c r="G223" s="37"/>
    </row>
    <row r="224" spans="1:7" ht="15.75" customHeight="1">
      <c r="A224" s="9"/>
      <c r="B224" s="8"/>
      <c r="C224" s="9"/>
      <c r="D224" s="8"/>
      <c r="E224" s="9"/>
      <c r="F224" s="8"/>
      <c r="G224" s="37"/>
    </row>
    <row r="225" spans="1:7" ht="15.75" customHeight="1">
      <c r="A225" s="9"/>
      <c r="B225" s="8"/>
      <c r="C225" s="9"/>
      <c r="D225" s="8"/>
      <c r="E225" s="9"/>
      <c r="F225" s="8"/>
      <c r="G225" s="37"/>
    </row>
    <row r="226" spans="1:7" ht="15.75" customHeight="1">
      <c r="A226" s="9"/>
      <c r="B226" s="8"/>
      <c r="C226" s="9"/>
      <c r="D226" s="8"/>
      <c r="E226" s="9"/>
      <c r="F226" s="8"/>
      <c r="G226" s="37"/>
    </row>
    <row r="227" spans="1:7" ht="15.75" customHeight="1">
      <c r="A227" s="9"/>
      <c r="B227" s="8"/>
      <c r="C227" s="9"/>
      <c r="D227" s="8"/>
      <c r="E227" s="9"/>
      <c r="F227" s="8"/>
      <c r="G227" s="37"/>
    </row>
    <row r="228" spans="1:7" ht="15.75" customHeight="1">
      <c r="A228" s="9"/>
      <c r="B228" s="8"/>
      <c r="C228" s="9"/>
      <c r="D228" s="8"/>
      <c r="E228" s="9"/>
      <c r="F228" s="8"/>
      <c r="G228" s="37"/>
    </row>
    <row r="229" spans="1:7" ht="15.75" customHeight="1">
      <c r="A229" s="9"/>
      <c r="B229" s="8"/>
      <c r="C229" s="9"/>
      <c r="D229" s="8"/>
      <c r="E229" s="9"/>
      <c r="F229" s="8"/>
      <c r="G229" s="37"/>
    </row>
    <row r="230" spans="1:7" ht="15.75" customHeight="1">
      <c r="A230" s="9"/>
      <c r="B230" s="8"/>
      <c r="C230" s="9"/>
      <c r="D230" s="8"/>
      <c r="E230" s="9"/>
      <c r="F230" s="8"/>
      <c r="G230" s="37"/>
    </row>
    <row r="231" spans="1:7" ht="15.75" customHeight="1">
      <c r="A231" s="9"/>
      <c r="B231" s="8"/>
      <c r="C231" s="9"/>
      <c r="D231" s="8"/>
      <c r="E231" s="9"/>
      <c r="F231" s="8"/>
      <c r="G231" s="37"/>
    </row>
    <row r="232" spans="1:7" ht="15.75" customHeight="1">
      <c r="A232" s="9"/>
      <c r="B232" s="8"/>
      <c r="C232" s="9"/>
      <c r="D232" s="8"/>
      <c r="E232" s="9"/>
      <c r="F232" s="8"/>
      <c r="G232" s="37"/>
    </row>
    <row r="233" spans="1:7" ht="15.75" customHeight="1">
      <c r="A233" s="9"/>
      <c r="B233" s="8"/>
      <c r="C233" s="9"/>
      <c r="D233" s="8"/>
      <c r="E233" s="9"/>
      <c r="F233" s="8"/>
      <c r="G233" s="37"/>
    </row>
    <row r="234" spans="1:7" ht="15.75" customHeight="1">
      <c r="A234" s="9"/>
      <c r="B234" s="8"/>
      <c r="C234" s="9"/>
      <c r="D234" s="8"/>
      <c r="E234" s="9"/>
      <c r="F234" s="8"/>
      <c r="G234" s="37"/>
    </row>
    <row r="235" spans="1:7" ht="15.75" customHeight="1">
      <c r="A235" s="9"/>
      <c r="B235" s="8"/>
      <c r="C235" s="9"/>
      <c r="D235" s="8"/>
      <c r="E235" s="9"/>
      <c r="F235" s="8"/>
      <c r="G235" s="37"/>
    </row>
    <row r="236" spans="1:7" ht="15.75" customHeight="1">
      <c r="A236" s="9"/>
      <c r="B236" s="8"/>
      <c r="C236" s="9"/>
      <c r="D236" s="8"/>
      <c r="E236" s="9"/>
      <c r="F236" s="8"/>
      <c r="G236" s="37"/>
    </row>
    <row r="237" spans="1:7" ht="15.75" customHeight="1">
      <c r="A237" s="9"/>
      <c r="B237" s="8"/>
      <c r="C237" s="9"/>
      <c r="D237" s="8"/>
      <c r="E237" s="9"/>
      <c r="F237" s="8"/>
      <c r="G237" s="37"/>
    </row>
    <row r="238" spans="1:7" ht="15.75" customHeight="1">
      <c r="A238" s="9"/>
      <c r="B238" s="8"/>
      <c r="C238" s="9"/>
      <c r="D238" s="8"/>
      <c r="E238" s="9"/>
      <c r="F238" s="8"/>
      <c r="G238" s="37"/>
    </row>
    <row r="239" spans="1:7" ht="15.75" customHeight="1">
      <c r="A239" s="9"/>
      <c r="B239" s="8"/>
      <c r="C239" s="9"/>
      <c r="D239" s="8"/>
      <c r="E239" s="9"/>
      <c r="F239" s="8"/>
      <c r="G239" s="37"/>
    </row>
    <row r="240" spans="1:7" ht="15.75" customHeight="1">
      <c r="A240" s="9"/>
      <c r="B240" s="8"/>
      <c r="C240" s="9"/>
      <c r="D240" s="8"/>
      <c r="E240" s="9"/>
      <c r="F240" s="8"/>
      <c r="G240" s="37"/>
    </row>
    <row r="241" spans="1:7" ht="15.75" customHeight="1">
      <c r="A241" s="9"/>
      <c r="B241" s="8"/>
      <c r="C241" s="9"/>
      <c r="D241" s="8"/>
      <c r="E241" s="9"/>
      <c r="F241" s="8"/>
      <c r="G241" s="37"/>
    </row>
    <row r="242" spans="1:7" ht="15.75" customHeight="1">
      <c r="A242" s="9"/>
      <c r="B242" s="8"/>
      <c r="C242" s="9"/>
      <c r="D242" s="8"/>
      <c r="E242" s="9"/>
      <c r="F242" s="8"/>
      <c r="G242" s="37"/>
    </row>
    <row r="243" spans="1:7" ht="15.75" customHeight="1">
      <c r="A243" s="9"/>
      <c r="B243" s="8"/>
      <c r="C243" s="9"/>
      <c r="D243" s="8"/>
      <c r="E243" s="9"/>
      <c r="F243" s="8"/>
      <c r="G243" s="37"/>
    </row>
    <row r="244" spans="1:7" ht="15.75" customHeight="1">
      <c r="A244" s="9"/>
      <c r="B244" s="8"/>
      <c r="C244" s="9"/>
      <c r="D244" s="8"/>
      <c r="E244" s="9"/>
      <c r="F244" s="8"/>
      <c r="G244" s="37"/>
    </row>
    <row r="245" spans="1:7" ht="15.75" customHeight="1">
      <c r="A245" s="9"/>
      <c r="B245" s="8"/>
      <c r="C245" s="9"/>
      <c r="D245" s="8"/>
      <c r="E245" s="9"/>
      <c r="F245" s="8"/>
      <c r="G245" s="37"/>
    </row>
    <row r="246" spans="1:7" ht="15.75" customHeight="1">
      <c r="A246" s="9"/>
      <c r="B246" s="8"/>
      <c r="C246" s="9"/>
      <c r="D246" s="8"/>
      <c r="E246" s="9"/>
      <c r="F246" s="8"/>
      <c r="G246" s="37"/>
    </row>
    <row r="247" spans="1:7" ht="15.75" customHeight="1">
      <c r="A247" s="9"/>
      <c r="B247" s="8"/>
      <c r="C247" s="9"/>
      <c r="D247" s="8"/>
      <c r="E247" s="9"/>
      <c r="F247" s="8"/>
      <c r="G247" s="37"/>
    </row>
    <row r="248" spans="1:7" ht="15.75" customHeight="1">
      <c r="A248" s="9"/>
      <c r="B248" s="8"/>
      <c r="C248" s="9"/>
      <c r="D248" s="8"/>
      <c r="E248" s="9"/>
      <c r="F248" s="8"/>
      <c r="G248" s="37"/>
    </row>
    <row r="249" spans="1:7" ht="15.75" customHeight="1">
      <c r="A249" s="9"/>
      <c r="B249" s="8"/>
      <c r="C249" s="9"/>
      <c r="D249" s="8"/>
      <c r="E249" s="9"/>
      <c r="F249" s="8"/>
      <c r="G249" s="37"/>
    </row>
    <row r="250" spans="1:7" ht="15.75" customHeight="1">
      <c r="A250" s="9"/>
      <c r="B250" s="8"/>
      <c r="C250" s="9"/>
      <c r="D250" s="8"/>
      <c r="E250" s="9"/>
      <c r="F250" s="8"/>
      <c r="G250" s="37"/>
    </row>
    <row r="251" spans="1:7" ht="15.75" customHeight="1">
      <c r="A251" s="9"/>
      <c r="B251" s="8"/>
      <c r="C251" s="9"/>
      <c r="D251" s="8"/>
      <c r="E251" s="9"/>
      <c r="F251" s="8"/>
      <c r="G251" s="37"/>
    </row>
    <row r="252" spans="1:7" ht="15.75" customHeight="1">
      <c r="A252" s="9"/>
      <c r="B252" s="8"/>
      <c r="C252" s="9"/>
      <c r="D252" s="8"/>
      <c r="E252" s="9"/>
      <c r="F252" s="8"/>
      <c r="G252" s="37"/>
    </row>
    <row r="253" spans="1:7" ht="15.75" customHeight="1">
      <c r="A253" s="9"/>
      <c r="B253" s="8"/>
      <c r="C253" s="9"/>
      <c r="D253" s="8"/>
      <c r="E253" s="9"/>
      <c r="F253" s="8"/>
      <c r="G253" s="37"/>
    </row>
    <row r="254" spans="1:7" ht="15.75" customHeight="1">
      <c r="A254" s="9"/>
      <c r="B254" s="8"/>
      <c r="C254" s="9"/>
      <c r="D254" s="8"/>
      <c r="E254" s="9"/>
      <c r="F254" s="8"/>
      <c r="G254" s="37"/>
    </row>
    <row r="255" spans="1:7" ht="15.75" customHeight="1">
      <c r="A255" s="9"/>
      <c r="B255" s="8"/>
      <c r="C255" s="9"/>
      <c r="D255" s="8"/>
      <c r="E255" s="9"/>
      <c r="F255" s="8"/>
      <c r="G255" s="37"/>
    </row>
    <row r="256" spans="1:7" ht="15.75" customHeight="1">
      <c r="A256" s="9"/>
      <c r="B256" s="8"/>
      <c r="C256" s="9"/>
      <c r="D256" s="8"/>
      <c r="E256" s="9"/>
      <c r="F256" s="8"/>
      <c r="G256" s="37"/>
    </row>
    <row r="257" spans="1:7" ht="15.75" customHeight="1">
      <c r="A257" s="9"/>
      <c r="B257" s="8"/>
      <c r="C257" s="9"/>
      <c r="D257" s="8"/>
      <c r="E257" s="9"/>
      <c r="F257" s="8"/>
      <c r="G257" s="37"/>
    </row>
    <row r="258" spans="1:7" ht="15.75" customHeight="1">
      <c r="A258" s="9"/>
      <c r="B258" s="8"/>
      <c r="C258" s="9"/>
      <c r="D258" s="8"/>
      <c r="E258" s="9"/>
      <c r="F258" s="8"/>
      <c r="G258" s="37"/>
    </row>
    <row r="259" spans="1:7" ht="15.75" customHeight="1">
      <c r="A259" s="9"/>
      <c r="B259" s="8"/>
      <c r="C259" s="9"/>
      <c r="D259" s="8"/>
      <c r="E259" s="9"/>
      <c r="F259" s="8"/>
      <c r="G259" s="37"/>
    </row>
    <row r="260" spans="1:7" ht="15.75" customHeight="1">
      <c r="A260" s="9"/>
      <c r="B260" s="8"/>
      <c r="C260" s="9"/>
      <c r="D260" s="8"/>
      <c r="E260" s="9"/>
      <c r="F260" s="8"/>
      <c r="G260" s="37"/>
    </row>
    <row r="261" spans="1:7" ht="15.75" customHeight="1">
      <c r="A261" s="9"/>
      <c r="B261" s="8"/>
      <c r="C261" s="9"/>
      <c r="D261" s="8"/>
      <c r="E261" s="9"/>
      <c r="F261" s="8"/>
      <c r="G261" s="37"/>
    </row>
    <row r="262" spans="1:7" ht="15.75" customHeight="1">
      <c r="A262" s="9"/>
      <c r="B262" s="8"/>
      <c r="C262" s="9"/>
      <c r="D262" s="8"/>
      <c r="E262" s="9"/>
      <c r="F262" s="8"/>
      <c r="G262" s="37"/>
    </row>
    <row r="263" spans="1:7" ht="15.75" customHeight="1">
      <c r="A263" s="9"/>
      <c r="B263" s="8"/>
      <c r="C263" s="9"/>
      <c r="D263" s="8"/>
      <c r="E263" s="9"/>
      <c r="F263" s="8"/>
      <c r="G263" s="37"/>
    </row>
    <row r="264" spans="1:7" ht="15.75" customHeight="1">
      <c r="A264" s="9"/>
      <c r="B264" s="8"/>
      <c r="C264" s="9"/>
      <c r="D264" s="8"/>
      <c r="E264" s="9"/>
      <c r="F264" s="8"/>
      <c r="G264" s="37"/>
    </row>
    <row r="265" spans="1:7" ht="15.75" customHeight="1">
      <c r="A265" s="9"/>
      <c r="B265" s="8"/>
      <c r="C265" s="9"/>
      <c r="D265" s="8"/>
      <c r="E265" s="9"/>
      <c r="F265" s="8"/>
      <c r="G265" s="37"/>
    </row>
    <row r="266" spans="1:7" ht="15.75" customHeight="1">
      <c r="A266" s="9"/>
      <c r="B266" s="8"/>
      <c r="C266" s="9"/>
      <c r="D266" s="8"/>
      <c r="E266" s="9"/>
      <c r="F266" s="8"/>
      <c r="G266" s="37"/>
    </row>
    <row r="267" spans="1:7" ht="15.75" customHeight="1">
      <c r="A267" s="9"/>
      <c r="B267" s="8"/>
      <c r="C267" s="9"/>
      <c r="D267" s="8"/>
      <c r="E267" s="9"/>
      <c r="F267" s="8"/>
      <c r="G267" s="37"/>
    </row>
    <row r="268" spans="1:7" ht="15.75" customHeight="1">
      <c r="A268" s="9"/>
      <c r="B268" s="8"/>
      <c r="C268" s="9"/>
      <c r="D268" s="8"/>
      <c r="E268" s="9"/>
      <c r="F268" s="8"/>
      <c r="G268" s="37"/>
    </row>
    <row r="269" spans="1:7" ht="15.75" customHeight="1">
      <c r="A269" s="9"/>
      <c r="B269" s="8"/>
      <c r="C269" s="9"/>
      <c r="D269" s="8"/>
      <c r="E269" s="9"/>
      <c r="F269" s="8"/>
      <c r="G269" s="37"/>
    </row>
    <row r="270" spans="1:7" ht="15.75" customHeight="1">
      <c r="A270" s="9"/>
      <c r="B270" s="8"/>
      <c r="C270" s="9"/>
      <c r="D270" s="8"/>
      <c r="E270" s="9"/>
      <c r="F270" s="8"/>
      <c r="G270" s="37"/>
    </row>
    <row r="271" spans="1:7" ht="15.75" customHeight="1">
      <c r="A271" s="9"/>
      <c r="B271" s="8"/>
      <c r="C271" s="9"/>
      <c r="D271" s="8"/>
      <c r="E271" s="9"/>
      <c r="F271" s="8"/>
      <c r="G271" s="37"/>
    </row>
    <row r="272" spans="1:7" ht="15.75" customHeight="1">
      <c r="A272" s="9"/>
      <c r="B272" s="8"/>
      <c r="C272" s="9"/>
      <c r="D272" s="8"/>
      <c r="E272" s="9"/>
      <c r="F272" s="8"/>
      <c r="G272" s="37"/>
    </row>
    <row r="273" spans="1:7" ht="15.75" customHeight="1">
      <c r="A273" s="9"/>
      <c r="B273" s="8"/>
      <c r="C273" s="9"/>
      <c r="D273" s="8"/>
      <c r="E273" s="9"/>
      <c r="F273" s="8"/>
      <c r="G273" s="37"/>
    </row>
    <row r="274" spans="1:7" ht="15.75" customHeight="1">
      <c r="A274" s="9"/>
      <c r="B274" s="8"/>
      <c r="C274" s="9"/>
      <c r="D274" s="8"/>
      <c r="E274" s="9"/>
      <c r="F274" s="8"/>
      <c r="G274" s="37"/>
    </row>
    <row r="275" spans="1:7" ht="15.75" customHeight="1">
      <c r="A275" s="9"/>
      <c r="B275" s="8"/>
      <c r="C275" s="9"/>
      <c r="D275" s="8"/>
      <c r="E275" s="9"/>
      <c r="F275" s="8"/>
      <c r="G275" s="37"/>
    </row>
    <row r="276" spans="1:7" ht="15.75" customHeight="1">
      <c r="A276" s="9"/>
      <c r="B276" s="8"/>
      <c r="C276" s="9"/>
      <c r="D276" s="8"/>
      <c r="E276" s="9"/>
      <c r="F276" s="8"/>
      <c r="G276" s="37"/>
    </row>
    <row r="277" spans="1:7" ht="15.75" customHeight="1">
      <c r="A277" s="9"/>
      <c r="B277" s="8"/>
      <c r="C277" s="9"/>
      <c r="D277" s="8"/>
      <c r="E277" s="9"/>
      <c r="F277" s="8"/>
      <c r="G277" s="37"/>
    </row>
    <row r="278" spans="1:7" ht="15.75" customHeight="1">
      <c r="A278" s="9"/>
      <c r="B278" s="8"/>
      <c r="C278" s="9"/>
      <c r="D278" s="8"/>
      <c r="E278" s="9"/>
      <c r="F278" s="8"/>
      <c r="G278" s="37"/>
    </row>
    <row r="279" spans="1:7" ht="15.75" customHeight="1">
      <c r="A279" s="9"/>
      <c r="B279" s="8"/>
      <c r="C279" s="9"/>
      <c r="D279" s="8"/>
      <c r="E279" s="9"/>
      <c r="F279" s="8"/>
      <c r="G279" s="37"/>
    </row>
    <row r="280" spans="1:7" ht="15.75" customHeight="1">
      <c r="A280" s="9"/>
      <c r="B280" s="8"/>
      <c r="C280" s="9"/>
      <c r="D280" s="8"/>
      <c r="E280" s="9"/>
      <c r="F280" s="8"/>
      <c r="G280" s="37"/>
    </row>
    <row r="281" spans="1:7" ht="15.75" customHeight="1">
      <c r="A281" s="9"/>
      <c r="B281" s="8"/>
      <c r="C281" s="9"/>
      <c r="D281" s="8"/>
      <c r="E281" s="9"/>
      <c r="F281" s="8"/>
      <c r="G281" s="37"/>
    </row>
    <row r="282" spans="1:7" ht="15.75" customHeight="1">
      <c r="A282" s="9"/>
      <c r="B282" s="8"/>
      <c r="C282" s="9"/>
      <c r="D282" s="8"/>
      <c r="E282" s="9"/>
      <c r="F282" s="8"/>
      <c r="G282" s="37"/>
    </row>
    <row r="283" spans="1:7" ht="15.75" customHeight="1">
      <c r="A283" s="9"/>
      <c r="B283" s="8"/>
      <c r="C283" s="9"/>
      <c r="D283" s="8"/>
      <c r="E283" s="9"/>
      <c r="F283" s="8"/>
      <c r="G283" s="37"/>
    </row>
    <row r="284" spans="1:7" ht="15.75" customHeight="1">
      <c r="A284" s="9"/>
      <c r="B284" s="8"/>
      <c r="C284" s="9"/>
      <c r="D284" s="8"/>
      <c r="E284" s="9"/>
      <c r="F284" s="8"/>
      <c r="G284" s="37"/>
    </row>
    <row r="285" spans="1:7" ht="15.75" customHeight="1">
      <c r="A285" s="9"/>
      <c r="B285" s="8"/>
      <c r="C285" s="9"/>
      <c r="D285" s="8"/>
      <c r="E285" s="9"/>
      <c r="F285" s="8"/>
      <c r="G285" s="37"/>
    </row>
    <row r="286" spans="1:7" ht="15.75" customHeight="1">
      <c r="A286" s="9"/>
      <c r="B286" s="8"/>
      <c r="C286" s="9"/>
      <c r="D286" s="8"/>
      <c r="E286" s="9"/>
      <c r="F286" s="8"/>
      <c r="G286" s="37"/>
    </row>
    <row r="287" spans="1:7" ht="15.75" customHeight="1">
      <c r="A287" s="9"/>
      <c r="B287" s="8"/>
      <c r="C287" s="9"/>
      <c r="D287" s="8"/>
      <c r="E287" s="9"/>
      <c r="F287" s="8"/>
      <c r="G287" s="37"/>
    </row>
    <row r="288" spans="1:7" ht="15.75" customHeight="1">
      <c r="A288" s="9"/>
      <c r="B288" s="8"/>
      <c r="C288" s="9"/>
      <c r="D288" s="8"/>
      <c r="E288" s="9"/>
      <c r="F288" s="8"/>
      <c r="G288" s="37"/>
    </row>
    <row r="289" spans="1:7" ht="15.75" customHeight="1">
      <c r="A289" s="9"/>
      <c r="B289" s="8"/>
      <c r="C289" s="9"/>
      <c r="D289" s="8"/>
      <c r="E289" s="9"/>
      <c r="F289" s="8"/>
      <c r="G289" s="37"/>
    </row>
    <row r="290" spans="1:7" ht="15.75" customHeight="1">
      <c r="A290" s="9"/>
      <c r="B290" s="8"/>
      <c r="C290" s="9"/>
      <c r="D290" s="8"/>
      <c r="E290" s="9"/>
      <c r="F290" s="8"/>
      <c r="G290" s="37"/>
    </row>
    <row r="291" spans="1:7" ht="15.75" customHeight="1">
      <c r="A291" s="9"/>
      <c r="B291" s="8"/>
      <c r="C291" s="9"/>
      <c r="D291" s="8"/>
      <c r="E291" s="9"/>
      <c r="F291" s="8"/>
      <c r="G291" s="37"/>
    </row>
    <row r="292" spans="1:7" ht="15.75" customHeight="1">
      <c r="A292" s="9"/>
      <c r="B292" s="8"/>
      <c r="C292" s="9"/>
      <c r="D292" s="8"/>
      <c r="E292" s="9"/>
      <c r="F292" s="8"/>
      <c r="G292" s="37"/>
    </row>
    <row r="293" spans="1:7" ht="15.75" customHeight="1">
      <c r="A293" s="9"/>
      <c r="B293" s="8"/>
      <c r="C293" s="9"/>
      <c r="D293" s="8"/>
      <c r="E293" s="9"/>
      <c r="F293" s="8"/>
      <c r="G293" s="37"/>
    </row>
    <row r="294" spans="1:7" ht="15.75" customHeight="1">
      <c r="A294" s="9"/>
      <c r="B294" s="8"/>
      <c r="C294" s="9"/>
      <c r="D294" s="8"/>
      <c r="E294" s="9"/>
      <c r="F294" s="8"/>
      <c r="G294" s="37"/>
    </row>
    <row r="295" spans="1:7" ht="15.75" customHeight="1">
      <c r="A295" s="9"/>
      <c r="B295" s="8"/>
      <c r="C295" s="9"/>
      <c r="D295" s="8"/>
      <c r="E295" s="9"/>
      <c r="F295" s="8"/>
      <c r="G295" s="37"/>
    </row>
    <row r="296" spans="1:7" ht="15.75" customHeight="1">
      <c r="A296" s="9"/>
      <c r="B296" s="8"/>
      <c r="C296" s="9"/>
      <c r="D296" s="8"/>
      <c r="E296" s="9"/>
      <c r="F296" s="8"/>
      <c r="G296" s="37"/>
    </row>
    <row r="297" spans="1:7" ht="15.75" customHeight="1">
      <c r="A297" s="9"/>
      <c r="B297" s="8"/>
      <c r="C297" s="9"/>
      <c r="D297" s="8"/>
      <c r="E297" s="9"/>
      <c r="F297" s="8"/>
      <c r="G297" s="37"/>
    </row>
    <row r="298" spans="1:7" ht="15.75" customHeight="1">
      <c r="A298" s="9"/>
      <c r="B298" s="8"/>
      <c r="C298" s="9"/>
      <c r="D298" s="8"/>
      <c r="E298" s="9"/>
      <c r="F298" s="8"/>
      <c r="G298" s="37"/>
    </row>
    <row r="299" spans="1:7" ht="15.75" customHeight="1">
      <c r="A299" s="9"/>
      <c r="B299" s="8"/>
      <c r="C299" s="9"/>
      <c r="D299" s="8"/>
      <c r="E299" s="9"/>
      <c r="F299" s="8"/>
      <c r="G299" s="37"/>
    </row>
    <row r="300" spans="1:7" ht="15.75" customHeight="1">
      <c r="A300" s="9"/>
      <c r="B300" s="8"/>
      <c r="C300" s="9"/>
      <c r="D300" s="8"/>
      <c r="E300" s="9"/>
      <c r="F300" s="8"/>
      <c r="G300" s="37"/>
    </row>
    <row r="301" spans="1:7" ht="15.75" customHeight="1">
      <c r="A301" s="9"/>
      <c r="B301" s="8"/>
      <c r="C301" s="9"/>
      <c r="D301" s="8"/>
      <c r="E301" s="9"/>
      <c r="F301" s="8"/>
      <c r="G301" s="37"/>
    </row>
    <row r="302" spans="1:7" ht="15.75" customHeight="1">
      <c r="A302" s="9"/>
      <c r="B302" s="8"/>
      <c r="C302" s="9"/>
      <c r="D302" s="8"/>
      <c r="E302" s="9"/>
      <c r="F302" s="8"/>
      <c r="G302" s="37"/>
    </row>
    <row r="303" spans="1:7" ht="15.75" customHeight="1">
      <c r="A303" s="9"/>
      <c r="B303" s="8"/>
      <c r="C303" s="9"/>
      <c r="D303" s="8"/>
      <c r="E303" s="9"/>
      <c r="F303" s="8"/>
      <c r="G303" s="37"/>
    </row>
    <row r="304" spans="1:7" ht="15.75" customHeight="1">
      <c r="A304" s="9"/>
      <c r="B304" s="8"/>
      <c r="C304" s="9"/>
      <c r="D304" s="8"/>
      <c r="E304" s="9"/>
      <c r="F304" s="8"/>
      <c r="G304" s="37"/>
    </row>
    <row r="305" spans="1:7" ht="15.75" customHeight="1">
      <c r="A305" s="9"/>
      <c r="B305" s="8"/>
      <c r="C305" s="9"/>
      <c r="D305" s="8"/>
      <c r="E305" s="9"/>
      <c r="F305" s="8"/>
      <c r="G305" s="37"/>
    </row>
    <row r="306" spans="1:7" ht="15.75" customHeight="1">
      <c r="A306" s="9"/>
      <c r="B306" s="8"/>
      <c r="C306" s="9"/>
      <c r="D306" s="8"/>
      <c r="E306" s="9"/>
      <c r="F306" s="8"/>
      <c r="G306" s="37"/>
    </row>
    <row r="307" spans="1:7" ht="15.75" customHeight="1">
      <c r="A307" s="9"/>
      <c r="B307" s="8"/>
      <c r="C307" s="9"/>
      <c r="D307" s="8"/>
      <c r="E307" s="9"/>
      <c r="F307" s="8"/>
      <c r="G307" s="37"/>
    </row>
    <row r="308" spans="1:7" ht="15.75" customHeight="1">
      <c r="A308" s="9"/>
      <c r="B308" s="8"/>
      <c r="C308" s="9"/>
      <c r="D308" s="8"/>
      <c r="E308" s="9"/>
      <c r="F308" s="8"/>
      <c r="G308" s="37"/>
    </row>
    <row r="309" spans="1:7" ht="15.75" customHeight="1">
      <c r="A309" s="9"/>
      <c r="B309" s="8"/>
      <c r="C309" s="9"/>
      <c r="D309" s="8"/>
      <c r="E309" s="9"/>
      <c r="F309" s="8"/>
      <c r="G309" s="37"/>
    </row>
    <row r="310" spans="1:7" ht="15.75" customHeight="1">
      <c r="A310" s="9"/>
      <c r="B310" s="8"/>
      <c r="C310" s="9"/>
      <c r="D310" s="8"/>
      <c r="E310" s="9"/>
      <c r="F310" s="8"/>
      <c r="G310" s="37"/>
    </row>
    <row r="311" spans="1:7" ht="15.75" customHeight="1">
      <c r="A311" s="9"/>
      <c r="B311" s="8"/>
      <c r="C311" s="9"/>
      <c r="D311" s="8"/>
      <c r="E311" s="9"/>
      <c r="F311" s="8"/>
      <c r="G311" s="37"/>
    </row>
    <row r="312" spans="1:7" ht="15.75" customHeight="1">
      <c r="A312" s="9"/>
      <c r="B312" s="8"/>
      <c r="C312" s="9"/>
      <c r="D312" s="8"/>
      <c r="E312" s="9"/>
      <c r="F312" s="8"/>
      <c r="G312" s="37"/>
    </row>
    <row r="313" spans="1:7" ht="15.75" customHeight="1">
      <c r="A313" s="9"/>
      <c r="B313" s="8"/>
      <c r="C313" s="9"/>
      <c r="D313" s="8"/>
      <c r="E313" s="9"/>
      <c r="F313" s="8"/>
      <c r="G313" s="37"/>
    </row>
    <row r="314" spans="1:7" ht="15.75" customHeight="1">
      <c r="A314" s="9"/>
      <c r="B314" s="8"/>
      <c r="C314" s="9"/>
      <c r="D314" s="8"/>
      <c r="E314" s="9"/>
      <c r="F314" s="8"/>
      <c r="G314" s="37"/>
    </row>
    <row r="315" spans="1:7" ht="15.75" customHeight="1">
      <c r="A315" s="9"/>
      <c r="B315" s="8"/>
      <c r="C315" s="9"/>
      <c r="D315" s="8"/>
      <c r="E315" s="9"/>
      <c r="F315" s="8"/>
      <c r="G315" s="37"/>
    </row>
    <row r="316" spans="1:7" ht="15.75" customHeight="1">
      <c r="A316" s="9"/>
      <c r="B316" s="8"/>
      <c r="C316" s="9"/>
      <c r="D316" s="8"/>
      <c r="E316" s="9"/>
      <c r="F316" s="8"/>
      <c r="G316" s="37"/>
    </row>
    <row r="317" spans="1:7" ht="15.75" customHeight="1">
      <c r="A317" s="9"/>
      <c r="B317" s="8"/>
      <c r="C317" s="9"/>
      <c r="D317" s="8"/>
      <c r="E317" s="9"/>
      <c r="F317" s="8"/>
      <c r="G317" s="37"/>
    </row>
    <row r="318" spans="1:7" ht="15.75" customHeight="1">
      <c r="A318" s="9"/>
      <c r="B318" s="8"/>
      <c r="C318" s="9"/>
      <c r="D318" s="8"/>
      <c r="E318" s="9"/>
      <c r="F318" s="8"/>
      <c r="G318" s="37"/>
    </row>
    <row r="319" spans="1:7" ht="15.75" customHeight="1">
      <c r="A319" s="9"/>
      <c r="B319" s="8"/>
      <c r="C319" s="9"/>
      <c r="D319" s="8"/>
      <c r="E319" s="9"/>
      <c r="F319" s="8"/>
      <c r="G319" s="37"/>
    </row>
    <row r="320" spans="1:7" ht="15.75" customHeight="1">
      <c r="A320" s="9"/>
      <c r="B320" s="8"/>
      <c r="C320" s="9"/>
      <c r="D320" s="8"/>
      <c r="E320" s="9"/>
      <c r="F320" s="8"/>
      <c r="G320" s="37"/>
    </row>
    <row r="321" spans="1:7" ht="15.75" customHeight="1">
      <c r="A321" s="9"/>
      <c r="B321" s="8"/>
      <c r="C321" s="9"/>
      <c r="D321" s="8"/>
      <c r="E321" s="9"/>
      <c r="F321" s="8"/>
      <c r="G321" s="37"/>
    </row>
    <row r="322" spans="1:7" ht="15.75" customHeight="1">
      <c r="A322" s="9"/>
      <c r="B322" s="8"/>
      <c r="C322" s="9"/>
      <c r="D322" s="8"/>
      <c r="E322" s="9"/>
      <c r="F322" s="8"/>
      <c r="G322" s="37"/>
    </row>
    <row r="323" spans="1:7" ht="15.75" customHeight="1">
      <c r="A323" s="9"/>
      <c r="B323" s="8"/>
      <c r="C323" s="9"/>
      <c r="D323" s="8"/>
      <c r="E323" s="9"/>
      <c r="F323" s="8"/>
      <c r="G323" s="37"/>
    </row>
    <row r="324" spans="1:7" ht="15.75" customHeight="1">
      <c r="A324" s="9"/>
      <c r="B324" s="8"/>
      <c r="C324" s="9"/>
      <c r="D324" s="8"/>
      <c r="E324" s="9"/>
      <c r="F324" s="8"/>
      <c r="G324" s="37"/>
    </row>
    <row r="325" spans="1:7" ht="15.75" customHeight="1">
      <c r="A325" s="9"/>
      <c r="B325" s="8"/>
      <c r="C325" s="9"/>
      <c r="D325" s="8"/>
      <c r="E325" s="9"/>
      <c r="F325" s="8"/>
      <c r="G325" s="37"/>
    </row>
    <row r="326" spans="1:7" ht="15.75" customHeight="1">
      <c r="A326" s="9"/>
      <c r="B326" s="8"/>
      <c r="C326" s="9"/>
      <c r="D326" s="8"/>
      <c r="E326" s="9"/>
      <c r="F326" s="8"/>
      <c r="G326" s="37"/>
    </row>
    <row r="327" spans="1:7" ht="15.75" customHeight="1">
      <c r="A327" s="9"/>
      <c r="B327" s="8"/>
      <c r="C327" s="9"/>
      <c r="D327" s="8"/>
      <c r="E327" s="9"/>
      <c r="F327" s="8"/>
      <c r="G327" s="37"/>
    </row>
    <row r="328" spans="1:7" ht="15.75" customHeight="1">
      <c r="A328" s="9"/>
      <c r="B328" s="8"/>
      <c r="C328" s="9"/>
      <c r="D328" s="8"/>
      <c r="E328" s="9"/>
      <c r="F328" s="8"/>
      <c r="G328" s="37"/>
    </row>
    <row r="329" spans="1:7" ht="15.75" customHeight="1">
      <c r="A329" s="9"/>
      <c r="B329" s="8"/>
      <c r="C329" s="9"/>
      <c r="D329" s="8"/>
      <c r="E329" s="9"/>
      <c r="F329" s="8"/>
      <c r="G329" s="37"/>
    </row>
    <row r="330" spans="1:7" ht="15.75" customHeight="1">
      <c r="A330" s="9"/>
      <c r="B330" s="8"/>
      <c r="C330" s="9"/>
      <c r="D330" s="8"/>
      <c r="E330" s="9"/>
      <c r="F330" s="8"/>
      <c r="G330" s="37"/>
    </row>
    <row r="331" spans="1:7" ht="15.75" customHeight="1">
      <c r="A331" s="9"/>
      <c r="B331" s="8"/>
      <c r="C331" s="9"/>
      <c r="D331" s="8"/>
      <c r="E331" s="9"/>
      <c r="F331" s="8"/>
      <c r="G331" s="37"/>
    </row>
    <row r="332" spans="1:7" ht="15.75" customHeight="1">
      <c r="A332" s="9"/>
      <c r="B332" s="8"/>
      <c r="C332" s="9"/>
      <c r="D332" s="8"/>
      <c r="E332" s="9"/>
      <c r="F332" s="8"/>
      <c r="G332" s="37"/>
    </row>
    <row r="333" spans="1:7" ht="15.75" customHeight="1">
      <c r="A333" s="9"/>
      <c r="B333" s="8"/>
      <c r="C333" s="9"/>
      <c r="D333" s="8"/>
      <c r="E333" s="9"/>
      <c r="F333" s="8"/>
      <c r="G333" s="37"/>
    </row>
    <row r="334" spans="1:7" ht="15.75" customHeight="1">
      <c r="A334" s="9"/>
      <c r="B334" s="8"/>
      <c r="C334" s="9"/>
      <c r="D334" s="8"/>
      <c r="E334" s="9"/>
      <c r="F334" s="8"/>
      <c r="G334" s="37"/>
    </row>
    <row r="335" spans="1:7" ht="15.75" customHeight="1">
      <c r="A335" s="9"/>
      <c r="B335" s="8"/>
      <c r="C335" s="9"/>
      <c r="D335" s="8"/>
      <c r="E335" s="9"/>
      <c r="F335" s="8"/>
      <c r="G335" s="37"/>
    </row>
    <row r="336" spans="1:7" ht="15.75" customHeight="1">
      <c r="A336" s="9"/>
      <c r="B336" s="8"/>
      <c r="C336" s="9"/>
      <c r="D336" s="8"/>
      <c r="E336" s="9"/>
      <c r="F336" s="8"/>
      <c r="G336" s="37"/>
    </row>
    <row r="337" spans="1:7" ht="15.75" customHeight="1">
      <c r="A337" s="9"/>
      <c r="B337" s="8"/>
      <c r="C337" s="9"/>
      <c r="D337" s="8"/>
      <c r="E337" s="9"/>
      <c r="F337" s="8"/>
      <c r="G337" s="37"/>
    </row>
    <row r="338" spans="1:7" ht="15.75" customHeight="1">
      <c r="A338" s="9"/>
      <c r="B338" s="8"/>
      <c r="C338" s="9"/>
      <c r="D338" s="8"/>
      <c r="E338" s="9"/>
      <c r="F338" s="8"/>
      <c r="G338" s="37"/>
    </row>
    <row r="339" spans="1:7" ht="15.75" customHeight="1">
      <c r="A339" s="9"/>
      <c r="B339" s="8"/>
      <c r="C339" s="9"/>
      <c r="D339" s="8"/>
      <c r="E339" s="9"/>
      <c r="F339" s="8"/>
      <c r="G339" s="37"/>
    </row>
    <row r="340" spans="1:7" ht="15.75" customHeight="1">
      <c r="A340" s="9"/>
      <c r="B340" s="8"/>
      <c r="C340" s="9"/>
      <c r="D340" s="8"/>
      <c r="E340" s="9"/>
      <c r="F340" s="8"/>
      <c r="G340" s="37"/>
    </row>
    <row r="341" spans="1:7" ht="15.75" customHeight="1">
      <c r="A341" s="9"/>
      <c r="B341" s="8"/>
      <c r="C341" s="9"/>
      <c r="D341" s="8"/>
      <c r="E341" s="9"/>
      <c r="F341" s="8"/>
      <c r="G341" s="37"/>
    </row>
    <row r="342" spans="1:7" ht="15.75" customHeight="1">
      <c r="A342" s="9"/>
      <c r="B342" s="8"/>
      <c r="C342" s="9"/>
      <c r="D342" s="8"/>
      <c r="E342" s="9"/>
      <c r="F342" s="8"/>
      <c r="G342" s="37"/>
    </row>
    <row r="343" spans="1:7" ht="15.75" customHeight="1">
      <c r="A343" s="9"/>
      <c r="B343" s="8"/>
      <c r="C343" s="9"/>
      <c r="D343" s="8"/>
      <c r="E343" s="9"/>
      <c r="F343" s="8"/>
      <c r="G343" s="37"/>
    </row>
    <row r="344" spans="1:7" ht="15.75" customHeight="1">
      <c r="A344" s="9"/>
      <c r="B344" s="8"/>
      <c r="C344" s="9"/>
      <c r="D344" s="8"/>
      <c r="E344" s="9"/>
      <c r="F344" s="8"/>
      <c r="G344" s="37"/>
    </row>
    <row r="345" spans="1:7" ht="15.75" customHeight="1">
      <c r="A345" s="9"/>
      <c r="B345" s="8"/>
      <c r="C345" s="9"/>
      <c r="D345" s="8"/>
      <c r="E345" s="9"/>
      <c r="F345" s="8"/>
      <c r="G345" s="37"/>
    </row>
    <row r="346" spans="1:7" ht="15.75" customHeight="1">
      <c r="A346" s="9"/>
      <c r="B346" s="8"/>
      <c r="C346" s="9"/>
      <c r="D346" s="8"/>
      <c r="E346" s="9"/>
      <c r="F346" s="8"/>
      <c r="G346" s="37"/>
    </row>
    <row r="347" spans="1:7" ht="15.75" customHeight="1">
      <c r="A347" s="9"/>
      <c r="B347" s="8"/>
      <c r="C347" s="9"/>
      <c r="D347" s="8"/>
      <c r="E347" s="9"/>
      <c r="F347" s="8"/>
      <c r="G347" s="37"/>
    </row>
    <row r="348" spans="1:7" ht="15.75" customHeight="1">
      <c r="A348" s="9"/>
      <c r="B348" s="8"/>
      <c r="C348" s="9"/>
      <c r="D348" s="8"/>
      <c r="E348" s="9"/>
      <c r="F348" s="8"/>
      <c r="G348" s="37"/>
    </row>
    <row r="349" spans="1:7" ht="15.75" customHeight="1">
      <c r="A349" s="9"/>
      <c r="B349" s="8"/>
      <c r="C349" s="9"/>
      <c r="D349" s="8"/>
      <c r="E349" s="9"/>
      <c r="F349" s="8"/>
      <c r="G349" s="37"/>
    </row>
    <row r="350" spans="1:7" ht="15.75" customHeight="1">
      <c r="A350" s="9"/>
      <c r="B350" s="8"/>
      <c r="C350" s="9"/>
      <c r="D350" s="8"/>
      <c r="E350" s="9"/>
      <c r="F350" s="8"/>
      <c r="G350" s="37"/>
    </row>
    <row r="351" spans="1:7" ht="15.75" customHeight="1">
      <c r="A351" s="9"/>
      <c r="B351" s="8"/>
      <c r="C351" s="9"/>
      <c r="D351" s="8"/>
      <c r="E351" s="9"/>
      <c r="F351" s="8"/>
      <c r="G351" s="37"/>
    </row>
    <row r="352" spans="1:7" ht="15.75" customHeight="1">
      <c r="A352" s="9"/>
      <c r="B352" s="8"/>
      <c r="C352" s="9"/>
      <c r="D352" s="8"/>
      <c r="E352" s="9"/>
      <c r="F352" s="8"/>
      <c r="G352" s="37"/>
    </row>
    <row r="353" spans="1:7" ht="15.75" customHeight="1">
      <c r="A353" s="9"/>
      <c r="B353" s="8"/>
      <c r="C353" s="9"/>
      <c r="D353" s="8"/>
      <c r="E353" s="9"/>
      <c r="F353" s="8"/>
      <c r="G353" s="37"/>
    </row>
    <row r="354" spans="1:7" ht="15.75" customHeight="1">
      <c r="A354" s="9"/>
      <c r="B354" s="8"/>
      <c r="C354" s="9"/>
      <c r="D354" s="8"/>
      <c r="E354" s="9"/>
      <c r="F354" s="8"/>
      <c r="G354" s="37"/>
    </row>
    <row r="355" spans="1:7" ht="15.75" customHeight="1">
      <c r="A355" s="9"/>
      <c r="B355" s="8"/>
      <c r="C355" s="9"/>
      <c r="D355" s="8"/>
      <c r="E355" s="9"/>
      <c r="F355" s="8"/>
      <c r="G355" s="37"/>
    </row>
    <row r="356" spans="1:7" ht="15.75" customHeight="1">
      <c r="A356" s="9"/>
      <c r="B356" s="8"/>
      <c r="C356" s="9"/>
      <c r="D356" s="8"/>
      <c r="E356" s="9"/>
      <c r="F356" s="8"/>
      <c r="G356" s="37"/>
    </row>
    <row r="357" spans="1:7" ht="15.75" customHeight="1">
      <c r="A357" s="9"/>
      <c r="B357" s="8"/>
      <c r="C357" s="9"/>
      <c r="D357" s="8"/>
      <c r="E357" s="9"/>
      <c r="F357" s="8"/>
      <c r="G357" s="37"/>
    </row>
    <row r="358" spans="1:7" ht="15.75" customHeight="1">
      <c r="A358" s="9"/>
      <c r="B358" s="8"/>
      <c r="C358" s="9"/>
      <c r="D358" s="8"/>
      <c r="E358" s="9"/>
      <c r="F358" s="8"/>
      <c r="G358" s="37"/>
    </row>
    <row r="359" spans="1:7" ht="15.75" customHeight="1">
      <c r="A359" s="9"/>
      <c r="B359" s="8"/>
      <c r="C359" s="9"/>
      <c r="D359" s="8"/>
      <c r="E359" s="9"/>
      <c r="F359" s="8"/>
      <c r="G359" s="37"/>
    </row>
    <row r="360" spans="1:7" ht="15.75" customHeight="1">
      <c r="A360" s="9"/>
      <c r="B360" s="8"/>
      <c r="C360" s="9"/>
      <c r="D360" s="8"/>
      <c r="E360" s="9"/>
      <c r="F360" s="8"/>
      <c r="G360" s="37"/>
    </row>
    <row r="361" spans="1:7" ht="15.75" customHeight="1">
      <c r="A361" s="9"/>
      <c r="B361" s="8"/>
      <c r="C361" s="9"/>
      <c r="D361" s="8"/>
      <c r="E361" s="9"/>
      <c r="F361" s="8"/>
      <c r="G361" s="37"/>
    </row>
    <row r="362" spans="1:7" ht="15.75" customHeight="1">
      <c r="A362" s="9"/>
      <c r="B362" s="8"/>
      <c r="C362" s="9"/>
      <c r="D362" s="8"/>
      <c r="E362" s="9"/>
      <c r="F362" s="8"/>
      <c r="G362" s="37"/>
    </row>
    <row r="363" spans="1:7" ht="15.75" customHeight="1">
      <c r="A363" s="9"/>
      <c r="B363" s="8"/>
      <c r="C363" s="9"/>
      <c r="D363" s="8"/>
      <c r="E363" s="9"/>
      <c r="F363" s="8"/>
      <c r="G363" s="37"/>
    </row>
    <row r="364" spans="1:7" ht="15.75" customHeight="1">
      <c r="A364" s="9"/>
      <c r="B364" s="8"/>
      <c r="C364" s="9"/>
      <c r="D364" s="8"/>
      <c r="E364" s="9"/>
      <c r="F364" s="8"/>
      <c r="G364" s="37"/>
    </row>
    <row r="365" spans="1:7" ht="15.75" customHeight="1">
      <c r="A365" s="9"/>
      <c r="B365" s="8"/>
      <c r="C365" s="9"/>
      <c r="D365" s="8"/>
      <c r="E365" s="9"/>
      <c r="F365" s="8"/>
      <c r="G365" s="37"/>
    </row>
    <row r="366" spans="1:7" ht="15.75" customHeight="1">
      <c r="A366" s="9"/>
      <c r="B366" s="8"/>
      <c r="C366" s="9"/>
      <c r="D366" s="8"/>
      <c r="E366" s="9"/>
      <c r="F366" s="8"/>
      <c r="G366" s="37"/>
    </row>
    <row r="367" spans="1:7" ht="15.75" customHeight="1">
      <c r="A367" s="9"/>
      <c r="B367" s="8"/>
      <c r="C367" s="9"/>
      <c r="D367" s="8"/>
      <c r="E367" s="9"/>
      <c r="F367" s="8"/>
      <c r="G367" s="37"/>
    </row>
    <row r="368" spans="1:7" ht="15.75" customHeight="1">
      <c r="A368" s="9"/>
      <c r="B368" s="8"/>
      <c r="C368" s="9"/>
      <c r="D368" s="8"/>
      <c r="E368" s="9"/>
      <c r="F368" s="8"/>
      <c r="G368" s="37"/>
    </row>
    <row r="369" spans="1:7" ht="15.75" customHeight="1">
      <c r="A369" s="9"/>
      <c r="B369" s="8"/>
      <c r="C369" s="9"/>
      <c r="D369" s="8"/>
      <c r="E369" s="9"/>
      <c r="F369" s="8"/>
      <c r="G369" s="37"/>
    </row>
    <row r="370" spans="1:7" ht="15.75" customHeight="1">
      <c r="A370" s="9"/>
      <c r="B370" s="8"/>
      <c r="C370" s="9"/>
      <c r="D370" s="8"/>
      <c r="E370" s="9"/>
      <c r="F370" s="8"/>
      <c r="G370" s="37"/>
    </row>
    <row r="371" spans="1:7" ht="15.75" customHeight="1">
      <c r="A371" s="9"/>
      <c r="B371" s="8"/>
      <c r="C371" s="9"/>
      <c r="D371" s="8"/>
      <c r="E371" s="9"/>
      <c r="F371" s="8"/>
      <c r="G371" s="37"/>
    </row>
    <row r="372" spans="1:7" ht="15.75" customHeight="1">
      <c r="A372" s="9"/>
      <c r="B372" s="8"/>
      <c r="C372" s="9"/>
      <c r="D372" s="8"/>
      <c r="E372" s="9"/>
      <c r="F372" s="8"/>
      <c r="G372" s="37"/>
    </row>
    <row r="373" spans="1:7" ht="15.75" customHeight="1">
      <c r="A373" s="9"/>
      <c r="B373" s="8"/>
      <c r="C373" s="9"/>
      <c r="D373" s="8"/>
      <c r="E373" s="9"/>
      <c r="F373" s="8"/>
      <c r="G373" s="37"/>
    </row>
    <row r="374" spans="1:7" ht="15.75" customHeight="1">
      <c r="A374" s="9"/>
      <c r="B374" s="8"/>
      <c r="C374" s="9"/>
      <c r="D374" s="8"/>
      <c r="E374" s="9"/>
      <c r="F374" s="8"/>
      <c r="G374" s="37"/>
    </row>
    <row r="375" spans="1:7" ht="15.75" customHeight="1">
      <c r="A375" s="9"/>
      <c r="B375" s="8"/>
      <c r="C375" s="9"/>
      <c r="D375" s="8"/>
      <c r="E375" s="9"/>
      <c r="F375" s="8"/>
      <c r="G375" s="37"/>
    </row>
    <row r="376" spans="1:7" ht="15.75" customHeight="1">
      <c r="A376" s="9"/>
      <c r="B376" s="8"/>
      <c r="C376" s="9"/>
      <c r="D376" s="8"/>
      <c r="E376" s="9"/>
      <c r="F376" s="8"/>
      <c r="G376" s="37"/>
    </row>
    <row r="377" spans="1:7" ht="15.75" customHeight="1">
      <c r="A377" s="9"/>
      <c r="B377" s="8"/>
      <c r="C377" s="9"/>
      <c r="D377" s="8"/>
      <c r="E377" s="9"/>
      <c r="F377" s="8"/>
      <c r="G377" s="37"/>
    </row>
    <row r="378" spans="1:7" ht="15.75" customHeight="1">
      <c r="A378" s="9"/>
      <c r="B378" s="8"/>
      <c r="C378" s="9"/>
      <c r="D378" s="8"/>
      <c r="E378" s="9"/>
      <c r="F378" s="8"/>
      <c r="G378" s="37"/>
    </row>
    <row r="379" spans="1:7" ht="15.75" customHeight="1">
      <c r="A379" s="9"/>
      <c r="B379" s="8"/>
      <c r="C379" s="9"/>
      <c r="D379" s="8"/>
      <c r="E379" s="9"/>
      <c r="F379" s="8"/>
      <c r="G379" s="37"/>
    </row>
    <row r="380" spans="1:7" ht="15.75" customHeight="1">
      <c r="A380" s="9"/>
      <c r="B380" s="8"/>
      <c r="C380" s="9"/>
      <c r="D380" s="8"/>
      <c r="E380" s="9"/>
      <c r="F380" s="8"/>
      <c r="G380" s="37"/>
    </row>
    <row r="381" spans="1:7" ht="15.75" customHeight="1">
      <c r="A381" s="9"/>
      <c r="B381" s="8"/>
      <c r="C381" s="9"/>
      <c r="D381" s="8"/>
      <c r="E381" s="9"/>
      <c r="F381" s="8"/>
      <c r="G381" s="37"/>
    </row>
    <row r="382" spans="1:7" ht="15.75" customHeight="1">
      <c r="A382" s="9"/>
      <c r="B382" s="8"/>
      <c r="C382" s="9"/>
      <c r="D382" s="8"/>
      <c r="E382" s="9"/>
      <c r="F382" s="8"/>
      <c r="G382" s="37"/>
    </row>
    <row r="383" spans="1:7" ht="15.75" customHeight="1">
      <c r="A383" s="9"/>
      <c r="B383" s="8"/>
      <c r="C383" s="9"/>
      <c r="D383" s="8"/>
      <c r="E383" s="9"/>
      <c r="F383" s="8"/>
      <c r="G383" s="37"/>
    </row>
    <row r="384" spans="1:7" ht="15.75" customHeight="1">
      <c r="A384" s="9"/>
      <c r="B384" s="8"/>
      <c r="C384" s="9"/>
      <c r="D384" s="8"/>
      <c r="E384" s="9"/>
      <c r="F384" s="8"/>
      <c r="G384" s="37"/>
    </row>
    <row r="385" spans="1:7" ht="15.75" customHeight="1">
      <c r="A385" s="9"/>
      <c r="B385" s="8"/>
      <c r="C385" s="9"/>
      <c r="D385" s="8"/>
      <c r="E385" s="9"/>
      <c r="F385" s="8"/>
      <c r="G385" s="37"/>
    </row>
    <row r="386" spans="1:7" ht="15.75" customHeight="1">
      <c r="A386" s="9"/>
      <c r="B386" s="8"/>
      <c r="C386" s="9"/>
      <c r="D386" s="8"/>
      <c r="E386" s="9"/>
      <c r="F386" s="8"/>
      <c r="G386" s="37"/>
    </row>
    <row r="387" spans="1:7" ht="15.75" customHeight="1">
      <c r="A387" s="9"/>
      <c r="B387" s="8"/>
      <c r="C387" s="9"/>
      <c r="D387" s="8"/>
      <c r="E387" s="9"/>
      <c r="F387" s="8"/>
      <c r="G387" s="37"/>
    </row>
    <row r="388" spans="1:7" ht="15.75" customHeight="1">
      <c r="A388" s="9"/>
      <c r="B388" s="8"/>
      <c r="C388" s="9"/>
      <c r="D388" s="8"/>
      <c r="E388" s="9"/>
      <c r="F388" s="8"/>
      <c r="G388" s="37"/>
    </row>
    <row r="389" spans="1:7" ht="15.75" customHeight="1">
      <c r="A389" s="9"/>
      <c r="B389" s="8"/>
      <c r="C389" s="9"/>
      <c r="D389" s="8"/>
      <c r="E389" s="9"/>
      <c r="F389" s="8"/>
      <c r="G389" s="37"/>
    </row>
    <row r="390" spans="1:7" ht="15.75" customHeight="1">
      <c r="A390" s="9"/>
      <c r="B390" s="8"/>
      <c r="C390" s="9"/>
      <c r="D390" s="8"/>
      <c r="E390" s="9"/>
      <c r="F390" s="8"/>
      <c r="G390" s="37"/>
    </row>
    <row r="391" spans="1:7" ht="15.75" customHeight="1">
      <c r="A391" s="9"/>
      <c r="B391" s="8"/>
      <c r="C391" s="9"/>
      <c r="D391" s="8"/>
      <c r="E391" s="9"/>
      <c r="F391" s="8"/>
      <c r="G391" s="37"/>
    </row>
    <row r="392" spans="1:7" ht="15.75" customHeight="1">
      <c r="A392" s="9"/>
      <c r="B392" s="8"/>
      <c r="C392" s="9"/>
      <c r="D392" s="8"/>
      <c r="E392" s="9"/>
      <c r="F392" s="8"/>
      <c r="G392" s="37"/>
    </row>
    <row r="393" spans="1:7" ht="15.75" customHeight="1">
      <c r="A393" s="9"/>
      <c r="B393" s="8"/>
      <c r="C393" s="9"/>
      <c r="D393" s="8"/>
      <c r="E393" s="9"/>
      <c r="F393" s="8"/>
      <c r="G393" s="37"/>
    </row>
    <row r="394" spans="1:7" ht="15.75" customHeight="1">
      <c r="A394" s="9"/>
      <c r="B394" s="8"/>
      <c r="C394" s="9"/>
      <c r="D394" s="8"/>
      <c r="E394" s="9"/>
      <c r="F394" s="8"/>
      <c r="G394" s="37"/>
    </row>
    <row r="395" spans="1:7" ht="15.75" customHeight="1">
      <c r="A395" s="9"/>
      <c r="B395" s="8"/>
      <c r="C395" s="9"/>
      <c r="D395" s="8"/>
      <c r="E395" s="9"/>
      <c r="F395" s="8"/>
      <c r="G395" s="37"/>
    </row>
    <row r="396" spans="1:7" ht="15.75" customHeight="1">
      <c r="A396" s="9"/>
      <c r="B396" s="8"/>
      <c r="C396" s="9"/>
      <c r="D396" s="8"/>
      <c r="E396" s="9"/>
      <c r="F396" s="8"/>
      <c r="G396" s="37"/>
    </row>
    <row r="397" spans="1:7" ht="15.75" customHeight="1">
      <c r="A397" s="9"/>
      <c r="B397" s="8"/>
      <c r="C397" s="9"/>
      <c r="D397" s="8"/>
      <c r="E397" s="9"/>
      <c r="F397" s="8"/>
      <c r="G397" s="37"/>
    </row>
    <row r="398" spans="1:7" ht="15.75" customHeight="1">
      <c r="A398" s="9"/>
      <c r="B398" s="8"/>
      <c r="C398" s="9"/>
      <c r="D398" s="8"/>
      <c r="E398" s="9"/>
      <c r="F398" s="8"/>
      <c r="G398" s="37"/>
    </row>
    <row r="399" spans="1:7" ht="15.75" customHeight="1">
      <c r="A399" s="9"/>
      <c r="B399" s="8"/>
      <c r="C399" s="9"/>
      <c r="D399" s="8"/>
      <c r="E399" s="9"/>
      <c r="F399" s="8"/>
      <c r="G399" s="37"/>
    </row>
    <row r="400" spans="1:7" ht="15.75" customHeight="1">
      <c r="A400" s="9"/>
      <c r="B400" s="8"/>
      <c r="C400" s="9"/>
      <c r="D400" s="8"/>
      <c r="E400" s="9"/>
      <c r="F400" s="8"/>
      <c r="G400" s="37"/>
    </row>
    <row r="401" spans="1:7" ht="15.75" customHeight="1">
      <c r="A401" s="9"/>
      <c r="B401" s="8"/>
      <c r="C401" s="9"/>
      <c r="D401" s="8"/>
      <c r="E401" s="9"/>
      <c r="F401" s="8"/>
      <c r="G401" s="37"/>
    </row>
    <row r="402" spans="1:7" ht="15.75" customHeight="1">
      <c r="A402" s="9"/>
      <c r="B402" s="8"/>
      <c r="C402" s="9"/>
      <c r="D402" s="8"/>
      <c r="E402" s="9"/>
      <c r="F402" s="8"/>
      <c r="G402" s="37"/>
    </row>
    <row r="403" spans="1:7" ht="15.75" customHeight="1">
      <c r="A403" s="9"/>
      <c r="B403" s="8"/>
      <c r="C403" s="9"/>
      <c r="D403" s="8"/>
      <c r="E403" s="9"/>
      <c r="F403" s="8"/>
      <c r="G403" s="37"/>
    </row>
    <row r="404" spans="1:7" ht="15.75" customHeight="1">
      <c r="A404" s="9"/>
      <c r="B404" s="8"/>
      <c r="C404" s="9"/>
      <c r="D404" s="8"/>
      <c r="E404" s="9"/>
      <c r="F404" s="8"/>
      <c r="G404" s="37"/>
    </row>
    <row r="405" spans="1:7" ht="15.75" customHeight="1">
      <c r="A405" s="9"/>
      <c r="B405" s="8"/>
      <c r="C405" s="9"/>
      <c r="D405" s="8"/>
      <c r="E405" s="9"/>
      <c r="F405" s="8"/>
      <c r="G405" s="37"/>
    </row>
    <row r="406" spans="1:7" ht="15.75" customHeight="1">
      <c r="A406" s="9"/>
      <c r="B406" s="8"/>
      <c r="C406" s="9"/>
      <c r="D406" s="8"/>
      <c r="E406" s="9"/>
      <c r="F406" s="8"/>
      <c r="G406" s="37"/>
    </row>
    <row r="407" spans="1:7" ht="15.75" customHeight="1">
      <c r="A407" s="9"/>
      <c r="B407" s="8"/>
      <c r="C407" s="9"/>
      <c r="D407" s="8"/>
      <c r="E407" s="9"/>
      <c r="F407" s="8"/>
      <c r="G407" s="37"/>
    </row>
    <row r="408" spans="1:7" ht="15.75" customHeight="1">
      <c r="A408" s="9"/>
      <c r="B408" s="8"/>
      <c r="C408" s="9"/>
      <c r="D408" s="8"/>
      <c r="E408" s="9"/>
      <c r="F408" s="8"/>
      <c r="G408" s="37"/>
    </row>
    <row r="409" spans="1:7" ht="15.75" customHeight="1">
      <c r="A409" s="9"/>
      <c r="B409" s="8"/>
      <c r="C409" s="9"/>
      <c r="D409" s="8"/>
      <c r="E409" s="9"/>
      <c r="F409" s="8"/>
      <c r="G409" s="37"/>
    </row>
    <row r="410" spans="1:7" ht="15.75" customHeight="1">
      <c r="A410" s="9"/>
      <c r="B410" s="8"/>
      <c r="C410" s="9"/>
      <c r="D410" s="8"/>
      <c r="E410" s="9"/>
      <c r="F410" s="8"/>
      <c r="G410" s="37"/>
    </row>
    <row r="411" spans="1:7" ht="15.75" customHeight="1">
      <c r="A411" s="9"/>
      <c r="B411" s="8"/>
      <c r="C411" s="9"/>
      <c r="D411" s="8"/>
      <c r="E411" s="9"/>
      <c r="F411" s="8"/>
      <c r="G411" s="37"/>
    </row>
    <row r="412" spans="1:7" ht="15.75" customHeight="1">
      <c r="A412" s="9"/>
      <c r="B412" s="8"/>
      <c r="C412" s="9"/>
      <c r="D412" s="8"/>
      <c r="E412" s="9"/>
      <c r="F412" s="8"/>
      <c r="G412" s="37"/>
    </row>
    <row r="413" spans="1:7" ht="15.75" customHeight="1">
      <c r="A413" s="9"/>
      <c r="B413" s="8"/>
      <c r="C413" s="9"/>
      <c r="D413" s="8"/>
      <c r="E413" s="9"/>
      <c r="F413" s="8"/>
      <c r="G413" s="37"/>
    </row>
    <row r="414" spans="1:7" ht="15.75" customHeight="1">
      <c r="A414" s="9"/>
      <c r="B414" s="8"/>
      <c r="C414" s="9"/>
      <c r="D414" s="8"/>
      <c r="E414" s="9"/>
      <c r="F414" s="8"/>
      <c r="G414" s="37"/>
    </row>
    <row r="415" spans="1:7" ht="15.75" customHeight="1">
      <c r="A415" s="9"/>
      <c r="B415" s="8"/>
      <c r="C415" s="9"/>
      <c r="D415" s="8"/>
      <c r="E415" s="9"/>
      <c r="F415" s="8"/>
      <c r="G415" s="37"/>
    </row>
    <row r="416" spans="1:7" ht="15.75" customHeight="1">
      <c r="A416" s="9"/>
      <c r="B416" s="8"/>
      <c r="C416" s="9"/>
      <c r="D416" s="8"/>
      <c r="E416" s="9"/>
      <c r="F416" s="8"/>
      <c r="G416" s="37"/>
    </row>
    <row r="417" spans="1:7" ht="15.75" customHeight="1">
      <c r="A417" s="9"/>
      <c r="B417" s="8"/>
      <c r="C417" s="9"/>
      <c r="D417" s="8"/>
      <c r="E417" s="9"/>
      <c r="F417" s="8"/>
      <c r="G417" s="37"/>
    </row>
    <row r="418" spans="1:7" ht="15.75" customHeight="1">
      <c r="A418" s="9"/>
      <c r="B418" s="8"/>
      <c r="C418" s="9"/>
      <c r="D418" s="8"/>
      <c r="E418" s="9"/>
      <c r="F418" s="8"/>
      <c r="G418" s="37"/>
    </row>
    <row r="419" spans="1:7" ht="15.75" customHeight="1">
      <c r="A419" s="9"/>
      <c r="B419" s="8"/>
      <c r="C419" s="9"/>
      <c r="D419" s="8"/>
      <c r="E419" s="9"/>
      <c r="F419" s="8"/>
      <c r="G419" s="37"/>
    </row>
    <row r="420" spans="1:7" ht="15.75" customHeight="1">
      <c r="A420" s="9"/>
      <c r="B420" s="8"/>
      <c r="C420" s="9"/>
      <c r="D420" s="8"/>
      <c r="E420" s="9"/>
      <c r="F420" s="8"/>
      <c r="G420" s="37"/>
    </row>
    <row r="421" spans="1:7" ht="15.75" customHeight="1">
      <c r="A421" s="9"/>
      <c r="B421" s="8"/>
      <c r="C421" s="9"/>
      <c r="D421" s="8"/>
      <c r="E421" s="9"/>
      <c r="F421" s="8"/>
      <c r="G421" s="37"/>
    </row>
    <row r="422" spans="1:7" ht="15.75" customHeight="1">
      <c r="A422" s="9"/>
      <c r="B422" s="8"/>
      <c r="C422" s="9"/>
      <c r="D422" s="8"/>
      <c r="E422" s="9"/>
      <c r="F422" s="8"/>
      <c r="G422" s="37"/>
    </row>
    <row r="423" spans="1:7" ht="15.75" customHeight="1">
      <c r="A423" s="9"/>
      <c r="B423" s="8"/>
      <c r="C423" s="9"/>
      <c r="D423" s="8"/>
      <c r="E423" s="9"/>
      <c r="F423" s="8"/>
      <c r="G423" s="37"/>
    </row>
    <row r="424" spans="1:7" ht="15.75" customHeight="1">
      <c r="A424" s="9"/>
      <c r="B424" s="8"/>
      <c r="C424" s="9"/>
      <c r="D424" s="8"/>
      <c r="E424" s="9"/>
      <c r="F424" s="8"/>
      <c r="G424" s="37"/>
    </row>
    <row r="425" spans="1:7" ht="15.75" customHeight="1">
      <c r="A425" s="9"/>
      <c r="B425" s="8"/>
      <c r="C425" s="9"/>
      <c r="D425" s="8"/>
      <c r="E425" s="9"/>
      <c r="F425" s="8"/>
      <c r="G425" s="37"/>
    </row>
    <row r="426" spans="1:7" ht="15.75" customHeight="1">
      <c r="A426" s="9"/>
      <c r="B426" s="8"/>
      <c r="C426" s="9"/>
      <c r="D426" s="8"/>
      <c r="E426" s="9"/>
      <c r="F426" s="8"/>
      <c r="G426" s="37"/>
    </row>
    <row r="427" spans="1:7" ht="15.75" customHeight="1">
      <c r="A427" s="9"/>
      <c r="B427" s="8"/>
      <c r="C427" s="9"/>
      <c r="D427" s="8"/>
      <c r="E427" s="9"/>
      <c r="F427" s="8"/>
      <c r="G427" s="37"/>
    </row>
    <row r="428" spans="1:7" ht="15.75" customHeight="1">
      <c r="A428" s="9"/>
      <c r="B428" s="8"/>
      <c r="C428" s="9"/>
      <c r="D428" s="8"/>
      <c r="E428" s="9"/>
      <c r="F428" s="8"/>
      <c r="G428" s="37"/>
    </row>
    <row r="429" spans="1:7" ht="15.75" customHeight="1">
      <c r="A429" s="9"/>
      <c r="B429" s="8"/>
      <c r="C429" s="9"/>
      <c r="D429" s="8"/>
      <c r="E429" s="9"/>
      <c r="F429" s="8"/>
      <c r="G429" s="37"/>
    </row>
    <row r="430" spans="1:7" ht="15.75" customHeight="1">
      <c r="A430" s="9"/>
      <c r="B430" s="8"/>
      <c r="C430" s="9"/>
      <c r="D430" s="8"/>
      <c r="E430" s="9"/>
      <c r="F430" s="8"/>
      <c r="G430" s="37"/>
    </row>
    <row r="431" spans="1:7" ht="15.75" customHeight="1">
      <c r="A431" s="9"/>
      <c r="B431" s="8"/>
      <c r="C431" s="9"/>
      <c r="D431" s="8"/>
      <c r="E431" s="9"/>
      <c r="F431" s="8"/>
      <c r="G431" s="37"/>
    </row>
    <row r="432" spans="1:7" ht="15.75" customHeight="1">
      <c r="A432" s="9"/>
      <c r="B432" s="8"/>
      <c r="C432" s="9"/>
      <c r="D432" s="8"/>
      <c r="E432" s="9"/>
      <c r="F432" s="8"/>
      <c r="G432" s="37"/>
    </row>
    <row r="433" spans="1:7" ht="15.75" customHeight="1">
      <c r="A433" s="9"/>
      <c r="B433" s="8"/>
      <c r="C433" s="9"/>
      <c r="D433" s="8"/>
      <c r="E433" s="9"/>
      <c r="F433" s="8"/>
      <c r="G433" s="37"/>
    </row>
    <row r="434" spans="1:7" ht="15.75" customHeight="1">
      <c r="A434" s="9"/>
      <c r="B434" s="8"/>
      <c r="C434" s="9"/>
      <c r="D434" s="8"/>
      <c r="E434" s="9"/>
      <c r="F434" s="8"/>
      <c r="G434" s="37"/>
    </row>
    <row r="435" spans="1:7" ht="15.75" customHeight="1">
      <c r="A435" s="9"/>
      <c r="B435" s="8"/>
      <c r="C435" s="9"/>
      <c r="D435" s="8"/>
      <c r="E435" s="9"/>
      <c r="F435" s="8"/>
      <c r="G435" s="37"/>
    </row>
    <row r="436" spans="1:7" ht="15.75" customHeight="1">
      <c r="A436" s="9"/>
      <c r="B436" s="8"/>
      <c r="C436" s="9"/>
      <c r="D436" s="8"/>
      <c r="E436" s="9"/>
      <c r="F436" s="8"/>
      <c r="G436" s="37"/>
    </row>
    <row r="437" spans="1:7" ht="15.75" customHeight="1">
      <c r="A437" s="9"/>
      <c r="B437" s="8"/>
      <c r="C437" s="9"/>
      <c r="D437" s="8"/>
      <c r="E437" s="9"/>
      <c r="F437" s="8"/>
      <c r="G437" s="37"/>
    </row>
    <row r="438" spans="1:7" ht="15.75" customHeight="1">
      <c r="A438" s="9"/>
      <c r="B438" s="8"/>
      <c r="C438" s="9"/>
      <c r="D438" s="8"/>
      <c r="E438" s="9"/>
      <c r="F438" s="8"/>
      <c r="G438" s="37"/>
    </row>
    <row r="439" spans="1:7" ht="15.75" customHeight="1">
      <c r="A439" s="9"/>
      <c r="B439" s="8"/>
      <c r="C439" s="9"/>
      <c r="D439" s="8"/>
      <c r="E439" s="9"/>
      <c r="F439" s="8"/>
      <c r="G439" s="37"/>
    </row>
    <row r="440" spans="1:7" ht="15.75" customHeight="1">
      <c r="A440" s="9"/>
      <c r="B440" s="8"/>
      <c r="C440" s="9"/>
      <c r="D440" s="8"/>
      <c r="E440" s="9"/>
      <c r="F440" s="8"/>
      <c r="G440" s="37"/>
    </row>
    <row r="441" spans="1:7" ht="15.75" customHeight="1">
      <c r="A441" s="9"/>
      <c r="B441" s="8"/>
      <c r="C441" s="9"/>
      <c r="D441" s="8"/>
      <c r="E441" s="9"/>
      <c r="F441" s="8"/>
      <c r="G441" s="37"/>
    </row>
    <row r="442" spans="1:7" ht="15.75" customHeight="1">
      <c r="A442" s="9"/>
      <c r="B442" s="8"/>
      <c r="C442" s="9"/>
      <c r="D442" s="8"/>
      <c r="E442" s="9"/>
      <c r="F442" s="8"/>
      <c r="G442" s="37"/>
    </row>
    <row r="443" spans="1:7" ht="15.75" customHeight="1">
      <c r="A443" s="9"/>
      <c r="B443" s="8"/>
      <c r="C443" s="9"/>
      <c r="D443" s="8"/>
      <c r="E443" s="9"/>
      <c r="F443" s="8"/>
      <c r="G443" s="37"/>
    </row>
    <row r="444" spans="1:7" ht="15.75" customHeight="1">
      <c r="A444" s="9"/>
      <c r="B444" s="8"/>
      <c r="C444" s="9"/>
      <c r="D444" s="8"/>
      <c r="E444" s="9"/>
      <c r="F444" s="8"/>
      <c r="G444" s="37"/>
    </row>
    <row r="445" spans="1:7" ht="15.75" customHeight="1">
      <c r="A445" s="9"/>
      <c r="B445" s="8"/>
      <c r="C445" s="9"/>
      <c r="D445" s="8"/>
      <c r="E445" s="9"/>
      <c r="F445" s="8"/>
      <c r="G445" s="37"/>
    </row>
    <row r="446" spans="1:7" ht="15.75" customHeight="1">
      <c r="A446" s="9"/>
      <c r="B446" s="8"/>
      <c r="C446" s="9"/>
      <c r="D446" s="8"/>
      <c r="E446" s="9"/>
      <c r="F446" s="8"/>
      <c r="G446" s="37"/>
    </row>
    <row r="447" spans="1:7" ht="15.75" customHeight="1">
      <c r="A447" s="9"/>
      <c r="B447" s="8"/>
      <c r="C447" s="9"/>
      <c r="D447" s="8"/>
      <c r="E447" s="9"/>
      <c r="F447" s="8"/>
      <c r="G447" s="37"/>
    </row>
    <row r="448" spans="1:7" ht="15.75" customHeight="1">
      <c r="A448" s="9"/>
      <c r="B448" s="8"/>
      <c r="C448" s="9"/>
      <c r="D448" s="8"/>
      <c r="E448" s="9"/>
      <c r="F448" s="8"/>
      <c r="G448" s="37"/>
    </row>
    <row r="449" spans="1:7" ht="15.75" customHeight="1">
      <c r="A449" s="9"/>
      <c r="B449" s="8"/>
      <c r="C449" s="9"/>
      <c r="D449" s="8"/>
      <c r="E449" s="9"/>
      <c r="F449" s="8"/>
      <c r="G449" s="37"/>
    </row>
    <row r="450" spans="1:7" ht="15.75" customHeight="1">
      <c r="A450" s="9"/>
      <c r="B450" s="8"/>
      <c r="C450" s="9"/>
      <c r="D450" s="8"/>
      <c r="E450" s="9"/>
      <c r="F450" s="8"/>
      <c r="G450" s="37"/>
    </row>
    <row r="451" spans="1:7" ht="15.75" customHeight="1">
      <c r="A451" s="9"/>
      <c r="B451" s="8"/>
      <c r="C451" s="9"/>
      <c r="D451" s="8"/>
      <c r="E451" s="9"/>
      <c r="F451" s="8"/>
      <c r="G451" s="37"/>
    </row>
    <row r="452" spans="1:7" ht="15.75" customHeight="1">
      <c r="A452" s="9"/>
      <c r="B452" s="8"/>
      <c r="C452" s="9"/>
      <c r="D452" s="8"/>
      <c r="E452" s="9"/>
      <c r="F452" s="8"/>
      <c r="G452" s="37"/>
    </row>
    <row r="453" spans="1:7" ht="15.75" customHeight="1">
      <c r="A453" s="9"/>
      <c r="B453" s="8"/>
      <c r="C453" s="9"/>
      <c r="D453" s="8"/>
      <c r="E453" s="9"/>
      <c r="F453" s="8"/>
      <c r="G453" s="37"/>
    </row>
    <row r="454" spans="1:7" ht="15.75" customHeight="1">
      <c r="A454" s="9"/>
      <c r="B454" s="8"/>
      <c r="C454" s="9"/>
      <c r="D454" s="8"/>
      <c r="E454" s="9"/>
      <c r="F454" s="8"/>
      <c r="G454" s="37"/>
    </row>
    <row r="455" spans="1:7" ht="15.75" customHeight="1">
      <c r="A455" s="9"/>
      <c r="B455" s="8"/>
      <c r="C455" s="9"/>
      <c r="D455" s="8"/>
      <c r="E455" s="9"/>
      <c r="F455" s="8"/>
      <c r="G455" s="37"/>
    </row>
    <row r="456" spans="1:7" ht="15.75" customHeight="1">
      <c r="A456" s="9"/>
      <c r="B456" s="8"/>
      <c r="C456" s="9"/>
      <c r="D456" s="8"/>
      <c r="E456" s="9"/>
      <c r="F456" s="8"/>
      <c r="G456" s="37"/>
    </row>
    <row r="457" spans="1:7" ht="15.75" customHeight="1">
      <c r="A457" s="9"/>
      <c r="B457" s="8"/>
      <c r="C457" s="9"/>
      <c r="D457" s="8"/>
      <c r="E457" s="9"/>
      <c r="F457" s="8"/>
      <c r="G457" s="37"/>
    </row>
    <row r="458" spans="1:7" ht="15.75" customHeight="1">
      <c r="A458" s="9"/>
      <c r="B458" s="8"/>
      <c r="C458" s="9"/>
      <c r="D458" s="8"/>
      <c r="E458" s="9"/>
      <c r="F458" s="8"/>
      <c r="G458" s="37"/>
    </row>
    <row r="459" spans="1:7" ht="15.75" customHeight="1">
      <c r="A459" s="9"/>
      <c r="B459" s="8"/>
      <c r="C459" s="9"/>
      <c r="D459" s="8"/>
      <c r="E459" s="9"/>
      <c r="F459" s="8"/>
      <c r="G459" s="37"/>
    </row>
    <row r="460" spans="1:7" ht="15.75" customHeight="1">
      <c r="A460" s="9"/>
      <c r="B460" s="8"/>
      <c r="C460" s="9"/>
      <c r="D460" s="8"/>
      <c r="E460" s="9"/>
      <c r="F460" s="8"/>
      <c r="G460" s="37"/>
    </row>
    <row r="461" spans="1:7" ht="15.75" customHeight="1">
      <c r="A461" s="9"/>
      <c r="B461" s="8"/>
      <c r="C461" s="9"/>
      <c r="D461" s="8"/>
      <c r="E461" s="9"/>
      <c r="F461" s="8"/>
      <c r="G461" s="37"/>
    </row>
    <row r="462" spans="1:7" ht="15.75" customHeight="1">
      <c r="A462" s="9"/>
      <c r="B462" s="8"/>
      <c r="C462" s="9"/>
      <c r="D462" s="8"/>
      <c r="E462" s="9"/>
      <c r="F462" s="8"/>
      <c r="G462" s="37"/>
    </row>
    <row r="463" spans="1:7" ht="15.75" customHeight="1">
      <c r="A463" s="9"/>
      <c r="B463" s="8"/>
      <c r="C463" s="9"/>
      <c r="D463" s="8"/>
      <c r="E463" s="9"/>
      <c r="F463" s="8"/>
      <c r="G463" s="37"/>
    </row>
    <row r="464" spans="1:7" ht="15.75" customHeight="1">
      <c r="A464" s="9"/>
      <c r="B464" s="8"/>
      <c r="C464" s="9"/>
      <c r="D464" s="8"/>
      <c r="E464" s="9"/>
      <c r="F464" s="8"/>
      <c r="G464" s="37"/>
    </row>
    <row r="465" spans="1:7" ht="15.75" customHeight="1">
      <c r="A465" s="9"/>
      <c r="B465" s="8"/>
      <c r="C465" s="9"/>
      <c r="D465" s="8"/>
      <c r="E465" s="9"/>
      <c r="F465" s="8"/>
      <c r="G465" s="37"/>
    </row>
    <row r="466" spans="1:7" ht="15.75" customHeight="1">
      <c r="A466" s="9"/>
      <c r="B466" s="8"/>
      <c r="C466" s="9"/>
      <c r="D466" s="8"/>
      <c r="E466" s="9"/>
      <c r="F466" s="8"/>
      <c r="G466" s="37"/>
    </row>
    <row r="467" spans="1:7" ht="15.75" customHeight="1">
      <c r="A467" s="9"/>
      <c r="B467" s="8"/>
      <c r="C467" s="9"/>
      <c r="D467" s="8"/>
      <c r="E467" s="9"/>
      <c r="F467" s="8"/>
      <c r="G467" s="37"/>
    </row>
    <row r="468" spans="1:7" ht="15.75" customHeight="1">
      <c r="A468" s="9"/>
      <c r="B468" s="8"/>
      <c r="C468" s="9"/>
      <c r="D468" s="8"/>
      <c r="E468" s="9"/>
      <c r="F468" s="8"/>
      <c r="G468" s="37"/>
    </row>
    <row r="469" spans="1:7" ht="15.75" customHeight="1">
      <c r="A469" s="9"/>
      <c r="B469" s="8"/>
      <c r="C469" s="9"/>
      <c r="D469" s="8"/>
      <c r="E469" s="9"/>
      <c r="F469" s="8"/>
      <c r="G469" s="37"/>
    </row>
    <row r="470" spans="1:7" ht="15.75" customHeight="1">
      <c r="A470" s="9"/>
      <c r="B470" s="8"/>
      <c r="C470" s="9"/>
      <c r="D470" s="8"/>
      <c r="E470" s="9"/>
      <c r="F470" s="8"/>
      <c r="G470" s="37"/>
    </row>
    <row r="471" spans="1:7" ht="15.75" customHeight="1">
      <c r="A471" s="9"/>
      <c r="B471" s="8"/>
      <c r="C471" s="9"/>
      <c r="D471" s="8"/>
      <c r="E471" s="9"/>
      <c r="F471" s="8"/>
      <c r="G471" s="37"/>
    </row>
    <row r="472" spans="1:7" ht="15.75" customHeight="1">
      <c r="A472" s="9"/>
      <c r="B472" s="8"/>
      <c r="C472" s="9"/>
      <c r="D472" s="8"/>
      <c r="E472" s="9"/>
      <c r="F472" s="8"/>
      <c r="G472" s="37"/>
    </row>
    <row r="473" spans="1:7" ht="15.75" customHeight="1">
      <c r="A473" s="9"/>
      <c r="B473" s="8"/>
      <c r="C473" s="9"/>
      <c r="D473" s="8"/>
      <c r="E473" s="9"/>
      <c r="F473" s="8"/>
      <c r="G473" s="37"/>
    </row>
    <row r="474" spans="1:7" ht="15.75" customHeight="1">
      <c r="A474" s="9"/>
      <c r="B474" s="8"/>
      <c r="C474" s="9"/>
      <c r="D474" s="8"/>
      <c r="E474" s="9"/>
      <c r="F474" s="8"/>
      <c r="G474" s="37"/>
    </row>
    <row r="475" spans="1:7" ht="15.75" customHeight="1">
      <c r="A475" s="9"/>
      <c r="B475" s="8"/>
      <c r="C475" s="9"/>
      <c r="D475" s="8"/>
      <c r="E475" s="9"/>
      <c r="F475" s="8"/>
      <c r="G475" s="37"/>
    </row>
    <row r="476" spans="1:7" ht="15.75" customHeight="1">
      <c r="A476" s="9"/>
      <c r="B476" s="8"/>
      <c r="C476" s="9"/>
      <c r="D476" s="8"/>
      <c r="E476" s="9"/>
      <c r="F476" s="8"/>
      <c r="G476" s="37"/>
    </row>
    <row r="477" spans="1:7" ht="15.75" customHeight="1">
      <c r="A477" s="9"/>
      <c r="B477" s="8"/>
      <c r="C477" s="9"/>
      <c r="D477" s="8"/>
      <c r="E477" s="9"/>
      <c r="F477" s="8"/>
      <c r="G477" s="37"/>
    </row>
    <row r="478" spans="1:7" ht="15.75" customHeight="1">
      <c r="A478" s="9"/>
      <c r="B478" s="8"/>
      <c r="C478" s="9"/>
      <c r="D478" s="8"/>
      <c r="E478" s="9"/>
      <c r="F478" s="8"/>
      <c r="G478" s="37"/>
    </row>
    <row r="479" spans="1:7" ht="15.75" customHeight="1">
      <c r="A479" s="9"/>
      <c r="B479" s="8"/>
      <c r="C479" s="9"/>
      <c r="D479" s="8"/>
      <c r="E479" s="9"/>
      <c r="F479" s="8"/>
      <c r="G479" s="37"/>
    </row>
    <row r="480" spans="1:7" ht="15.75" customHeight="1">
      <c r="A480" s="9"/>
      <c r="B480" s="8"/>
      <c r="C480" s="9"/>
      <c r="D480" s="8"/>
      <c r="E480" s="9"/>
      <c r="F480" s="8"/>
      <c r="G480" s="37"/>
    </row>
    <row r="481" spans="1:7" ht="15.75" customHeight="1">
      <c r="A481" s="9"/>
      <c r="B481" s="8"/>
      <c r="C481" s="9"/>
      <c r="D481" s="8"/>
      <c r="E481" s="9"/>
      <c r="F481" s="8"/>
      <c r="G481" s="37"/>
    </row>
    <row r="482" spans="1:7" ht="15.75" customHeight="1">
      <c r="A482" s="9"/>
      <c r="B482" s="8"/>
      <c r="C482" s="9"/>
      <c r="D482" s="8"/>
      <c r="E482" s="9"/>
      <c r="F482" s="8"/>
      <c r="G482" s="37"/>
    </row>
    <row r="483" spans="1:7" ht="15.75" customHeight="1">
      <c r="A483" s="9"/>
      <c r="B483" s="8"/>
      <c r="C483" s="9"/>
      <c r="D483" s="8"/>
      <c r="E483" s="9"/>
      <c r="F483" s="8"/>
      <c r="G483" s="37"/>
    </row>
    <row r="484" spans="1:7" ht="15.75" customHeight="1">
      <c r="A484" s="9"/>
      <c r="B484" s="8"/>
      <c r="C484" s="9"/>
      <c r="D484" s="8"/>
      <c r="E484" s="9"/>
      <c r="F484" s="8"/>
      <c r="G484" s="37"/>
    </row>
    <row r="485" spans="1:7" ht="15.75" customHeight="1">
      <c r="A485" s="9"/>
      <c r="B485" s="8"/>
      <c r="C485" s="9"/>
      <c r="D485" s="8"/>
      <c r="E485" s="9"/>
      <c r="F485" s="8"/>
      <c r="G485" s="37"/>
    </row>
    <row r="486" spans="1:7" ht="15.75" customHeight="1">
      <c r="A486" s="9"/>
      <c r="B486" s="8"/>
      <c r="C486" s="9"/>
      <c r="D486" s="8"/>
      <c r="E486" s="9"/>
      <c r="F486" s="8"/>
      <c r="G486" s="37"/>
    </row>
    <row r="487" spans="1:7" ht="15.75" customHeight="1">
      <c r="A487" s="9"/>
      <c r="B487" s="8"/>
      <c r="C487" s="9"/>
      <c r="D487" s="8"/>
      <c r="E487" s="9"/>
      <c r="F487" s="8"/>
      <c r="G487" s="37"/>
    </row>
    <row r="488" spans="1:7" ht="15.75" customHeight="1">
      <c r="A488" s="9"/>
      <c r="B488" s="8"/>
      <c r="C488" s="9"/>
      <c r="D488" s="8"/>
      <c r="E488" s="9"/>
      <c r="F488" s="8"/>
      <c r="G488" s="37"/>
    </row>
    <row r="489" spans="1:7" ht="15.75" customHeight="1">
      <c r="A489" s="9"/>
      <c r="B489" s="8"/>
      <c r="C489" s="9"/>
      <c r="D489" s="8"/>
      <c r="E489" s="9"/>
      <c r="F489" s="8"/>
      <c r="G489" s="37"/>
    </row>
    <row r="490" spans="1:7" ht="15.75" customHeight="1">
      <c r="A490" s="9"/>
      <c r="B490" s="8"/>
      <c r="C490" s="9"/>
      <c r="D490" s="8"/>
      <c r="E490" s="9"/>
      <c r="F490" s="8"/>
      <c r="G490" s="37"/>
    </row>
    <row r="491" spans="1:7" ht="15.75" customHeight="1">
      <c r="A491" s="9"/>
      <c r="B491" s="8"/>
      <c r="C491" s="9"/>
      <c r="D491" s="8"/>
      <c r="E491" s="9"/>
      <c r="F491" s="8"/>
      <c r="G491" s="37"/>
    </row>
    <row r="492" spans="1:7" ht="15.75" customHeight="1">
      <c r="A492" s="9"/>
      <c r="B492" s="8"/>
      <c r="C492" s="9"/>
      <c r="D492" s="8"/>
      <c r="E492" s="9"/>
      <c r="F492" s="8"/>
      <c r="G492" s="37"/>
    </row>
    <row r="493" spans="1:7" ht="15.75" customHeight="1">
      <c r="A493" s="9"/>
      <c r="B493" s="8"/>
      <c r="C493" s="9"/>
      <c r="D493" s="8"/>
      <c r="E493" s="9"/>
      <c r="F493" s="8"/>
      <c r="G493" s="37"/>
    </row>
    <row r="494" spans="1:7" ht="15.75" customHeight="1">
      <c r="A494" s="9"/>
      <c r="B494" s="8"/>
      <c r="C494" s="9"/>
      <c r="D494" s="8"/>
      <c r="E494" s="9"/>
      <c r="F494" s="8"/>
      <c r="G494" s="37"/>
    </row>
    <row r="495" spans="1:7" ht="15.75" customHeight="1">
      <c r="A495" s="9"/>
      <c r="B495" s="8"/>
      <c r="C495" s="9"/>
      <c r="D495" s="8"/>
      <c r="E495" s="9"/>
      <c r="F495" s="8"/>
      <c r="G495" s="37"/>
    </row>
    <row r="496" spans="1:7" ht="15.75" customHeight="1">
      <c r="A496" s="9"/>
      <c r="B496" s="8"/>
      <c r="C496" s="9"/>
      <c r="D496" s="8"/>
      <c r="E496" s="9"/>
      <c r="F496" s="8"/>
      <c r="G496" s="37"/>
    </row>
    <row r="497" spans="1:7" ht="15.75" customHeight="1">
      <c r="A497" s="9"/>
      <c r="B497" s="8"/>
      <c r="C497" s="9"/>
      <c r="D497" s="8"/>
      <c r="E497" s="9"/>
      <c r="F497" s="8"/>
      <c r="G497" s="37"/>
    </row>
    <row r="498" spans="1:7" ht="15.75" customHeight="1">
      <c r="A498" s="9"/>
      <c r="B498" s="8"/>
      <c r="C498" s="9"/>
      <c r="D498" s="8"/>
      <c r="E498" s="9"/>
      <c r="F498" s="8"/>
      <c r="G498" s="37"/>
    </row>
    <row r="499" spans="1:7" ht="15.75" customHeight="1">
      <c r="A499" s="9"/>
      <c r="B499" s="8"/>
      <c r="C499" s="9"/>
      <c r="D499" s="8"/>
      <c r="E499" s="9"/>
      <c r="F499" s="8"/>
      <c r="G499" s="37"/>
    </row>
    <row r="500" spans="1:7" ht="15.75" customHeight="1">
      <c r="A500" s="9"/>
      <c r="B500" s="8"/>
      <c r="C500" s="9"/>
      <c r="D500" s="8"/>
      <c r="E500" s="9"/>
      <c r="F500" s="8"/>
      <c r="G500" s="37"/>
    </row>
    <row r="501" spans="1:7" ht="15.75" customHeight="1">
      <c r="A501" s="9"/>
      <c r="B501" s="8"/>
      <c r="C501" s="9"/>
      <c r="D501" s="8"/>
      <c r="E501" s="9"/>
      <c r="F501" s="8"/>
      <c r="G501" s="37"/>
    </row>
    <row r="502" spans="1:7" ht="15.75" customHeight="1">
      <c r="A502" s="9"/>
      <c r="B502" s="8"/>
      <c r="C502" s="9"/>
      <c r="D502" s="8"/>
      <c r="E502" s="9"/>
      <c r="F502" s="8"/>
      <c r="G502" s="37"/>
    </row>
    <row r="503" spans="1:7" ht="15.75" customHeight="1">
      <c r="A503" s="9"/>
      <c r="B503" s="8"/>
      <c r="C503" s="9"/>
      <c r="D503" s="8"/>
      <c r="E503" s="9"/>
      <c r="F503" s="8"/>
      <c r="G503" s="37"/>
    </row>
    <row r="504" spans="1:7" ht="15.75" customHeight="1">
      <c r="A504" s="9"/>
      <c r="B504" s="8"/>
      <c r="C504" s="9"/>
      <c r="D504" s="8"/>
      <c r="E504" s="9"/>
      <c r="F504" s="8"/>
      <c r="G504" s="37"/>
    </row>
    <row r="505" spans="1:7" ht="15.75" customHeight="1">
      <c r="A505" s="9"/>
      <c r="B505" s="8"/>
      <c r="C505" s="9"/>
      <c r="D505" s="8"/>
      <c r="E505" s="9"/>
      <c r="F505" s="8"/>
      <c r="G505" s="37"/>
    </row>
    <row r="506" spans="1:7" ht="15.75" customHeight="1">
      <c r="A506" s="9"/>
      <c r="B506" s="8"/>
      <c r="C506" s="9"/>
      <c r="D506" s="8"/>
      <c r="E506" s="9"/>
      <c r="F506" s="8"/>
      <c r="G506" s="37"/>
    </row>
    <row r="507" spans="1:7" ht="15.75" customHeight="1">
      <c r="A507" s="9"/>
      <c r="B507" s="8"/>
      <c r="C507" s="9"/>
      <c r="D507" s="8"/>
      <c r="E507" s="9"/>
      <c r="F507" s="8"/>
      <c r="G507" s="37"/>
    </row>
    <row r="508" spans="1:7" ht="15.75" customHeight="1">
      <c r="A508" s="9"/>
      <c r="B508" s="8"/>
      <c r="C508" s="9"/>
      <c r="D508" s="8"/>
      <c r="E508" s="9"/>
      <c r="F508" s="8"/>
      <c r="G508" s="37"/>
    </row>
    <row r="509" spans="1:7" ht="15.75" customHeight="1">
      <c r="A509" s="9"/>
      <c r="B509" s="8"/>
      <c r="C509" s="9"/>
      <c r="D509" s="8"/>
      <c r="E509" s="9"/>
      <c r="F509" s="8"/>
      <c r="G509" s="37"/>
    </row>
    <row r="510" spans="1:7" ht="15.75" customHeight="1">
      <c r="A510" s="9"/>
      <c r="B510" s="8"/>
      <c r="C510" s="9"/>
      <c r="D510" s="8"/>
      <c r="E510" s="9"/>
      <c r="F510" s="8"/>
      <c r="G510" s="37"/>
    </row>
    <row r="511" spans="1:7" ht="15.75" customHeight="1">
      <c r="A511" s="9"/>
      <c r="B511" s="8"/>
      <c r="C511" s="9"/>
      <c r="D511" s="8"/>
      <c r="E511" s="9"/>
      <c r="F511" s="8"/>
      <c r="G511" s="37"/>
    </row>
    <row r="512" spans="1:7" ht="15.75" customHeight="1">
      <c r="A512" s="9"/>
      <c r="B512" s="8"/>
      <c r="C512" s="9"/>
      <c r="D512" s="8"/>
      <c r="E512" s="9"/>
      <c r="F512" s="8"/>
      <c r="G512" s="37"/>
    </row>
    <row r="513" spans="1:7" ht="15.75" customHeight="1">
      <c r="A513" s="9"/>
      <c r="B513" s="8"/>
      <c r="C513" s="9"/>
      <c r="D513" s="8"/>
      <c r="E513" s="9"/>
      <c r="F513" s="8"/>
      <c r="G513" s="37"/>
    </row>
    <row r="514" spans="1:7" ht="15.75" customHeight="1">
      <c r="A514" s="9"/>
      <c r="B514" s="8"/>
      <c r="C514" s="9"/>
      <c r="D514" s="8"/>
      <c r="E514" s="9"/>
      <c r="F514" s="8"/>
      <c r="G514" s="37"/>
    </row>
    <row r="515" spans="1:7" ht="15.75" customHeight="1">
      <c r="A515" s="9"/>
      <c r="B515" s="8"/>
      <c r="C515" s="9"/>
      <c r="D515" s="8"/>
      <c r="E515" s="9"/>
      <c r="F515" s="8"/>
      <c r="G515" s="37"/>
    </row>
    <row r="516" spans="1:7" ht="15.75" customHeight="1">
      <c r="A516" s="9"/>
      <c r="B516" s="8"/>
      <c r="C516" s="9"/>
      <c r="D516" s="8"/>
      <c r="E516" s="9"/>
      <c r="F516" s="8"/>
      <c r="G516" s="37"/>
    </row>
    <row r="517" spans="1:7" ht="15.75" customHeight="1">
      <c r="A517" s="9"/>
      <c r="B517" s="8"/>
      <c r="C517" s="9"/>
      <c r="D517" s="8"/>
      <c r="E517" s="9"/>
      <c r="F517" s="8"/>
      <c r="G517" s="37"/>
    </row>
    <row r="518" spans="1:7" ht="15.75" customHeight="1">
      <c r="A518" s="9"/>
      <c r="B518" s="8"/>
      <c r="C518" s="9"/>
      <c r="D518" s="8"/>
      <c r="E518" s="9"/>
      <c r="F518" s="8"/>
      <c r="G518" s="37"/>
    </row>
    <row r="519" spans="1:7" ht="15.75" customHeight="1">
      <c r="A519" s="9"/>
      <c r="B519" s="8"/>
      <c r="C519" s="9"/>
      <c r="D519" s="8"/>
      <c r="E519" s="9"/>
      <c r="F519" s="8"/>
      <c r="G519" s="37"/>
    </row>
    <row r="520" spans="1:7" ht="15.75" customHeight="1">
      <c r="A520" s="9"/>
      <c r="B520" s="8"/>
      <c r="C520" s="9"/>
      <c r="D520" s="8"/>
      <c r="E520" s="9"/>
      <c r="F520" s="8"/>
      <c r="G520" s="37"/>
    </row>
    <row r="521" spans="1:7" ht="15.75" customHeight="1">
      <c r="A521" s="9"/>
      <c r="B521" s="8"/>
      <c r="C521" s="9"/>
      <c r="D521" s="8"/>
      <c r="E521" s="9"/>
      <c r="F521" s="8"/>
      <c r="G521" s="37"/>
    </row>
    <row r="522" spans="1:7" ht="15.75" customHeight="1">
      <c r="A522" s="9"/>
      <c r="B522" s="8"/>
      <c r="C522" s="9"/>
      <c r="D522" s="8"/>
      <c r="E522" s="9"/>
      <c r="F522" s="8"/>
      <c r="G522" s="37"/>
    </row>
    <row r="523" spans="1:7" ht="15.75" customHeight="1">
      <c r="A523" s="9"/>
      <c r="B523" s="8"/>
      <c r="C523" s="9"/>
      <c r="D523" s="8"/>
      <c r="E523" s="9"/>
      <c r="F523" s="8"/>
      <c r="G523" s="37"/>
    </row>
    <row r="524" spans="1:7" ht="15.75" customHeight="1">
      <c r="A524" s="9"/>
      <c r="B524" s="8"/>
      <c r="C524" s="9"/>
      <c r="D524" s="8"/>
      <c r="E524" s="9"/>
      <c r="F524" s="8"/>
      <c r="G524" s="37"/>
    </row>
    <row r="525" spans="1:7" ht="15.75" customHeight="1">
      <c r="A525" s="9"/>
      <c r="B525" s="8"/>
      <c r="C525" s="9"/>
      <c r="D525" s="8"/>
      <c r="E525" s="9"/>
      <c r="F525" s="8"/>
      <c r="G525" s="37"/>
    </row>
    <row r="526" spans="1:7" ht="15.75" customHeight="1">
      <c r="A526" s="9"/>
      <c r="B526" s="8"/>
      <c r="C526" s="9"/>
      <c r="D526" s="8"/>
      <c r="E526" s="9"/>
      <c r="F526" s="8"/>
      <c r="G526" s="37"/>
    </row>
    <row r="527" spans="1:7" ht="15.75" customHeight="1">
      <c r="A527" s="9"/>
      <c r="B527" s="8"/>
      <c r="C527" s="9"/>
      <c r="D527" s="8"/>
      <c r="E527" s="9"/>
      <c r="F527" s="8"/>
      <c r="G527" s="37"/>
    </row>
    <row r="528" spans="1:7" ht="15.75" customHeight="1">
      <c r="A528" s="9"/>
      <c r="B528" s="8"/>
      <c r="C528" s="9"/>
      <c r="D528" s="8"/>
      <c r="E528" s="9"/>
      <c r="F528" s="8"/>
      <c r="G528" s="37"/>
    </row>
    <row r="529" spans="1:7" ht="15.75" customHeight="1">
      <c r="A529" s="9"/>
      <c r="B529" s="8"/>
      <c r="C529" s="9"/>
      <c r="D529" s="8"/>
      <c r="E529" s="9"/>
      <c r="F529" s="8"/>
      <c r="G529" s="37"/>
    </row>
    <row r="530" spans="1:7" ht="15.75" customHeight="1">
      <c r="A530" s="9"/>
      <c r="B530" s="8"/>
      <c r="C530" s="9"/>
      <c r="D530" s="8"/>
      <c r="E530" s="9"/>
      <c r="F530" s="8"/>
      <c r="G530" s="37"/>
    </row>
    <row r="531" spans="1:7" ht="15.75" customHeight="1">
      <c r="A531" s="9"/>
      <c r="B531" s="8"/>
      <c r="C531" s="9"/>
      <c r="D531" s="8"/>
      <c r="E531" s="9"/>
      <c r="F531" s="8"/>
      <c r="G531" s="37"/>
    </row>
    <row r="532" spans="1:7" ht="15.75" customHeight="1">
      <c r="A532" s="9"/>
      <c r="B532" s="8"/>
      <c r="C532" s="9"/>
      <c r="D532" s="8"/>
      <c r="E532" s="9"/>
      <c r="F532" s="8"/>
      <c r="G532" s="37"/>
    </row>
    <row r="533" spans="1:7" ht="15.75" customHeight="1">
      <c r="A533" s="9"/>
      <c r="B533" s="8"/>
      <c r="C533" s="9"/>
      <c r="D533" s="8"/>
      <c r="E533" s="9"/>
      <c r="F533" s="8"/>
      <c r="G533" s="37"/>
    </row>
    <row r="534" spans="1:7" ht="15.75" customHeight="1">
      <c r="A534" s="9"/>
      <c r="B534" s="8"/>
      <c r="C534" s="9"/>
      <c r="D534" s="8"/>
      <c r="E534" s="9"/>
      <c r="F534" s="8"/>
      <c r="G534" s="37"/>
    </row>
    <row r="535" spans="1:7" ht="15.75" customHeight="1">
      <c r="A535" s="9"/>
      <c r="B535" s="8"/>
      <c r="C535" s="9"/>
      <c r="D535" s="8"/>
      <c r="E535" s="9"/>
      <c r="F535" s="8"/>
      <c r="G535" s="37"/>
    </row>
    <row r="536" spans="1:7" ht="15.75" customHeight="1">
      <c r="A536" s="9"/>
      <c r="B536" s="8"/>
      <c r="C536" s="9"/>
      <c r="D536" s="8"/>
      <c r="E536" s="9"/>
      <c r="F536" s="8"/>
      <c r="G536" s="37"/>
    </row>
    <row r="537" spans="1:7" ht="15.75" customHeight="1">
      <c r="A537" s="9"/>
      <c r="B537" s="8"/>
      <c r="C537" s="9"/>
      <c r="D537" s="8"/>
      <c r="E537" s="9"/>
      <c r="F537" s="8"/>
      <c r="G537" s="37"/>
    </row>
    <row r="538" spans="1:7" ht="15.75" customHeight="1">
      <c r="A538" s="9"/>
      <c r="B538" s="8"/>
      <c r="C538" s="9"/>
      <c r="D538" s="8"/>
      <c r="E538" s="9"/>
      <c r="F538" s="8"/>
      <c r="G538" s="37"/>
    </row>
    <row r="539" spans="1:7" ht="15.75" customHeight="1">
      <c r="A539" s="9"/>
      <c r="B539" s="8"/>
      <c r="C539" s="9"/>
      <c r="D539" s="8"/>
      <c r="E539" s="9"/>
      <c r="F539" s="8"/>
      <c r="G539" s="37"/>
    </row>
    <row r="540" spans="1:7" ht="15.75" customHeight="1">
      <c r="A540" s="9"/>
      <c r="B540" s="8"/>
      <c r="C540" s="9"/>
      <c r="D540" s="8"/>
      <c r="E540" s="9"/>
      <c r="F540" s="8"/>
      <c r="G540" s="37"/>
    </row>
    <row r="541" spans="1:7" ht="15.75" customHeight="1">
      <c r="A541" s="9"/>
      <c r="B541" s="8"/>
      <c r="C541" s="9"/>
      <c r="D541" s="8"/>
      <c r="E541" s="9"/>
      <c r="F541" s="8"/>
      <c r="G541" s="37"/>
    </row>
    <row r="542" spans="1:7" ht="15.75" customHeight="1">
      <c r="A542" s="9"/>
      <c r="B542" s="8"/>
      <c r="C542" s="9"/>
      <c r="D542" s="8"/>
      <c r="E542" s="9"/>
      <c r="F542" s="8"/>
      <c r="G542" s="37"/>
    </row>
    <row r="543" spans="1:7" ht="15.75" customHeight="1">
      <c r="A543" s="9"/>
      <c r="B543" s="8"/>
      <c r="C543" s="9"/>
      <c r="D543" s="8"/>
      <c r="E543" s="9"/>
      <c r="F543" s="8"/>
      <c r="G543" s="37"/>
    </row>
    <row r="544" spans="1:7" ht="15.75" customHeight="1">
      <c r="A544" s="9"/>
      <c r="B544" s="8"/>
      <c r="C544" s="9"/>
      <c r="D544" s="8"/>
      <c r="E544" s="9"/>
      <c r="F544" s="8"/>
      <c r="G544" s="37"/>
    </row>
    <row r="545" spans="1:7" ht="15.75" customHeight="1">
      <c r="A545" s="9"/>
      <c r="B545" s="8"/>
      <c r="C545" s="9"/>
      <c r="D545" s="8"/>
      <c r="E545" s="9"/>
      <c r="F545" s="8"/>
      <c r="G545" s="37"/>
    </row>
    <row r="546" spans="1:7" ht="15.75" customHeight="1">
      <c r="A546" s="9"/>
      <c r="B546" s="8"/>
      <c r="C546" s="9"/>
      <c r="D546" s="8"/>
      <c r="E546" s="9"/>
      <c r="F546" s="8"/>
      <c r="G546" s="37"/>
    </row>
    <row r="547" spans="1:7" ht="15.75" customHeight="1">
      <c r="A547" s="9"/>
      <c r="B547" s="8"/>
      <c r="C547" s="9"/>
      <c r="D547" s="8"/>
      <c r="E547" s="9"/>
      <c r="F547" s="8"/>
      <c r="G547" s="37"/>
    </row>
    <row r="548" spans="1:7" ht="15.75" customHeight="1">
      <c r="A548" s="9"/>
      <c r="B548" s="8"/>
      <c r="C548" s="9"/>
      <c r="D548" s="8"/>
      <c r="E548" s="9"/>
      <c r="F548" s="8"/>
      <c r="G548" s="37"/>
    </row>
    <row r="549" spans="1:7" ht="15.75" customHeight="1">
      <c r="A549" s="9"/>
      <c r="B549" s="8"/>
      <c r="C549" s="9"/>
      <c r="D549" s="8"/>
      <c r="E549" s="9"/>
      <c r="F549" s="8"/>
      <c r="G549" s="37"/>
    </row>
    <row r="550" spans="1:7" ht="15.75" customHeight="1">
      <c r="A550" s="9"/>
      <c r="B550" s="8"/>
      <c r="C550" s="9"/>
      <c r="D550" s="8"/>
      <c r="E550" s="9"/>
      <c r="F550" s="8"/>
      <c r="G550" s="37"/>
    </row>
    <row r="551" spans="1:7" ht="15.75" customHeight="1">
      <c r="A551" s="9"/>
      <c r="B551" s="8"/>
      <c r="C551" s="9"/>
      <c r="D551" s="8"/>
      <c r="E551" s="9"/>
      <c r="F551" s="8"/>
      <c r="G551" s="37"/>
    </row>
    <row r="552" spans="1:7" ht="15.75" customHeight="1">
      <c r="A552" s="9"/>
      <c r="B552" s="8"/>
      <c r="C552" s="9"/>
      <c r="D552" s="8"/>
      <c r="E552" s="9"/>
      <c r="F552" s="8"/>
      <c r="G552" s="37"/>
    </row>
    <row r="553" spans="1:7" ht="15.75" customHeight="1">
      <c r="A553" s="9"/>
      <c r="B553" s="8"/>
      <c r="C553" s="9"/>
      <c r="D553" s="8"/>
      <c r="E553" s="9"/>
      <c r="F553" s="8"/>
      <c r="G553" s="37"/>
    </row>
    <row r="554" spans="1:7" ht="15.75" customHeight="1">
      <c r="A554" s="9"/>
      <c r="B554" s="8"/>
      <c r="C554" s="9"/>
      <c r="D554" s="8"/>
      <c r="E554" s="9"/>
      <c r="F554" s="8"/>
      <c r="G554" s="37"/>
    </row>
    <row r="555" spans="1:7" ht="15.75" customHeight="1">
      <c r="A555" s="9"/>
      <c r="B555" s="8"/>
      <c r="C555" s="9"/>
      <c r="D555" s="8"/>
      <c r="E555" s="9"/>
      <c r="F555" s="8"/>
      <c r="G555" s="37"/>
    </row>
    <row r="556" spans="1:7" ht="15.75" customHeight="1">
      <c r="A556" s="9"/>
      <c r="B556" s="8"/>
      <c r="C556" s="9"/>
      <c r="D556" s="8"/>
      <c r="E556" s="9"/>
      <c r="F556" s="8"/>
      <c r="G556" s="37"/>
    </row>
    <row r="557" spans="1:7" ht="15.75" customHeight="1">
      <c r="A557" s="9"/>
      <c r="B557" s="8"/>
      <c r="C557" s="9"/>
      <c r="D557" s="8"/>
      <c r="E557" s="9"/>
      <c r="F557" s="8"/>
      <c r="G557" s="37"/>
    </row>
    <row r="558" spans="1:7" ht="15.75" customHeight="1">
      <c r="A558" s="9"/>
      <c r="B558" s="8"/>
      <c r="C558" s="9"/>
      <c r="D558" s="8"/>
      <c r="E558" s="9"/>
      <c r="F558" s="8"/>
      <c r="G558" s="37"/>
    </row>
    <row r="559" spans="1:7" ht="15.75" customHeight="1">
      <c r="A559" s="9"/>
      <c r="B559" s="8"/>
      <c r="C559" s="9"/>
      <c r="D559" s="8"/>
      <c r="E559" s="9"/>
      <c r="F559" s="8"/>
      <c r="G559" s="37"/>
    </row>
    <row r="560" spans="1:7" ht="15.75" customHeight="1">
      <c r="A560" s="9"/>
      <c r="B560" s="8"/>
      <c r="C560" s="9"/>
      <c r="D560" s="8"/>
      <c r="E560" s="9"/>
      <c r="F560" s="8"/>
      <c r="G560" s="37"/>
    </row>
    <row r="561" spans="1:7" ht="15.75" customHeight="1">
      <c r="A561" s="9"/>
      <c r="B561" s="8"/>
      <c r="C561" s="9"/>
      <c r="D561" s="8"/>
      <c r="E561" s="9"/>
      <c r="F561" s="8"/>
      <c r="G561" s="37"/>
    </row>
    <row r="562" spans="1:7" ht="15.75" customHeight="1">
      <c r="A562" s="9"/>
      <c r="B562" s="8"/>
      <c r="C562" s="9"/>
      <c r="D562" s="8"/>
      <c r="E562" s="9"/>
      <c r="F562" s="8"/>
      <c r="G562" s="37"/>
    </row>
    <row r="563" spans="1:7" ht="15.75" customHeight="1">
      <c r="A563" s="9"/>
      <c r="B563" s="8"/>
      <c r="C563" s="9"/>
      <c r="D563" s="8"/>
      <c r="E563" s="9"/>
      <c r="F563" s="8"/>
      <c r="G563" s="37"/>
    </row>
    <row r="564" spans="1:7" ht="15.75" customHeight="1">
      <c r="A564" s="9"/>
      <c r="B564" s="8"/>
      <c r="C564" s="9"/>
      <c r="D564" s="8"/>
      <c r="E564" s="9"/>
      <c r="F564" s="8"/>
      <c r="G564" s="37"/>
    </row>
    <row r="565" spans="1:7" ht="15.75" customHeight="1">
      <c r="A565" s="9"/>
      <c r="B565" s="8"/>
      <c r="C565" s="9"/>
      <c r="D565" s="8"/>
      <c r="E565" s="9"/>
      <c r="F565" s="8"/>
      <c r="G565" s="37"/>
    </row>
    <row r="566" spans="1:7" ht="15.75" customHeight="1">
      <c r="A566" s="9"/>
      <c r="B566" s="8"/>
      <c r="C566" s="9"/>
      <c r="D566" s="8"/>
      <c r="E566" s="9"/>
      <c r="F566" s="8"/>
      <c r="G566" s="37"/>
    </row>
    <row r="567" spans="1:7" ht="15.75" customHeight="1">
      <c r="A567" s="9"/>
      <c r="B567" s="8"/>
      <c r="C567" s="9"/>
      <c r="D567" s="8"/>
      <c r="E567" s="9"/>
      <c r="F567" s="8"/>
      <c r="G567" s="37"/>
    </row>
    <row r="568" spans="1:7" ht="15.75" customHeight="1">
      <c r="A568" s="9"/>
      <c r="B568" s="8"/>
      <c r="C568" s="9"/>
      <c r="D568" s="8"/>
      <c r="E568" s="9"/>
      <c r="F568" s="8"/>
      <c r="G568" s="37"/>
    </row>
    <row r="569" spans="1:7" ht="15.75" customHeight="1">
      <c r="A569" s="9"/>
      <c r="B569" s="8"/>
      <c r="C569" s="9"/>
      <c r="D569" s="8"/>
      <c r="E569" s="9"/>
      <c r="F569" s="8"/>
      <c r="G569" s="37"/>
    </row>
    <row r="570" spans="1:7" ht="15.75" customHeight="1">
      <c r="A570" s="9"/>
      <c r="B570" s="8"/>
      <c r="C570" s="9"/>
      <c r="D570" s="8"/>
      <c r="E570" s="9"/>
      <c r="F570" s="8"/>
      <c r="G570" s="37"/>
    </row>
    <row r="571" spans="1:7" ht="15.75" customHeight="1">
      <c r="A571" s="9"/>
      <c r="B571" s="8"/>
      <c r="C571" s="9"/>
      <c r="D571" s="8"/>
      <c r="E571" s="9"/>
      <c r="F571" s="8"/>
      <c r="G571" s="37"/>
    </row>
    <row r="572" spans="1:7" ht="15.75" customHeight="1">
      <c r="A572" s="9"/>
      <c r="B572" s="8"/>
      <c r="C572" s="9"/>
      <c r="D572" s="8"/>
      <c r="E572" s="9"/>
      <c r="F572" s="8"/>
      <c r="G572" s="37"/>
    </row>
    <row r="573" spans="1:7" ht="15.75" customHeight="1">
      <c r="A573" s="9"/>
      <c r="B573" s="8"/>
      <c r="C573" s="9"/>
      <c r="D573" s="8"/>
      <c r="E573" s="9"/>
      <c r="F573" s="8"/>
      <c r="G573" s="37"/>
    </row>
    <row r="574" spans="1:7" ht="15.75" customHeight="1">
      <c r="A574" s="9"/>
      <c r="B574" s="8"/>
      <c r="C574" s="9"/>
      <c r="D574" s="8"/>
      <c r="E574" s="9"/>
      <c r="F574" s="8"/>
      <c r="G574" s="37"/>
    </row>
    <row r="575" spans="1:7" ht="15.75" customHeight="1">
      <c r="A575" s="9"/>
      <c r="B575" s="8"/>
      <c r="C575" s="9"/>
      <c r="D575" s="8"/>
      <c r="E575" s="9"/>
      <c r="F575" s="8"/>
      <c r="G575" s="37"/>
    </row>
    <row r="576" spans="1:7" ht="15.75" customHeight="1">
      <c r="A576" s="9"/>
      <c r="B576" s="8"/>
      <c r="C576" s="9"/>
      <c r="D576" s="8"/>
      <c r="E576" s="9"/>
      <c r="F576" s="8"/>
      <c r="G576" s="37"/>
    </row>
    <row r="577" spans="1:7" ht="15.75" customHeight="1">
      <c r="A577" s="9"/>
      <c r="B577" s="8"/>
      <c r="C577" s="9"/>
      <c r="D577" s="8"/>
      <c r="E577" s="9"/>
      <c r="F577" s="8"/>
      <c r="G577" s="37"/>
    </row>
    <row r="578" spans="1:7" ht="15.75" customHeight="1">
      <c r="A578" s="9"/>
      <c r="B578" s="8"/>
      <c r="C578" s="9"/>
      <c r="D578" s="8"/>
      <c r="E578" s="9"/>
      <c r="F578" s="8"/>
      <c r="G578" s="37"/>
    </row>
    <row r="579" spans="1:7" ht="15.75" customHeight="1">
      <c r="A579" s="9"/>
      <c r="B579" s="8"/>
      <c r="C579" s="9"/>
      <c r="D579" s="8"/>
      <c r="E579" s="9"/>
      <c r="F579" s="8"/>
      <c r="G579" s="37"/>
    </row>
    <row r="580" spans="1:7" ht="15.75" customHeight="1">
      <c r="A580" s="9"/>
      <c r="B580" s="8"/>
      <c r="C580" s="9"/>
      <c r="D580" s="8"/>
      <c r="E580" s="9"/>
      <c r="F580" s="8"/>
      <c r="G580" s="37"/>
    </row>
    <row r="581" spans="1:7" ht="15.75" customHeight="1">
      <c r="A581" s="9"/>
      <c r="B581" s="8"/>
      <c r="C581" s="9"/>
      <c r="D581" s="8"/>
      <c r="E581" s="9"/>
      <c r="F581" s="8"/>
      <c r="G581" s="37"/>
    </row>
    <row r="582" spans="1:7" ht="15.75" customHeight="1">
      <c r="A582" s="9"/>
      <c r="B582" s="8"/>
      <c r="C582" s="9"/>
      <c r="D582" s="8"/>
      <c r="E582" s="9"/>
      <c r="F582" s="8"/>
      <c r="G582" s="37"/>
    </row>
    <row r="583" spans="1:7" ht="15.75" customHeight="1">
      <c r="A583" s="9"/>
      <c r="B583" s="8"/>
      <c r="C583" s="9"/>
      <c r="D583" s="8"/>
      <c r="E583" s="9"/>
      <c r="F583" s="8"/>
      <c r="G583" s="37"/>
    </row>
    <row r="584" spans="1:7" ht="15.75" customHeight="1">
      <c r="A584" s="9"/>
      <c r="B584" s="8"/>
      <c r="C584" s="9"/>
      <c r="D584" s="8"/>
      <c r="E584" s="9"/>
      <c r="F584" s="8"/>
      <c r="G584" s="37"/>
    </row>
    <row r="585" spans="1:7" ht="15.75" customHeight="1">
      <c r="A585" s="9"/>
      <c r="B585" s="8"/>
      <c r="C585" s="9"/>
      <c r="D585" s="8"/>
      <c r="E585" s="9"/>
      <c r="F585" s="8"/>
      <c r="G585" s="37"/>
    </row>
    <row r="586" spans="1:7" ht="15.75" customHeight="1">
      <c r="A586" s="9"/>
      <c r="B586" s="8"/>
      <c r="C586" s="9"/>
      <c r="D586" s="8"/>
      <c r="E586" s="9"/>
      <c r="F586" s="8"/>
      <c r="G586" s="37"/>
    </row>
    <row r="587" spans="1:7" ht="15.75" customHeight="1">
      <c r="A587" s="9"/>
      <c r="B587" s="8"/>
      <c r="C587" s="9"/>
      <c r="D587" s="8"/>
      <c r="E587" s="9"/>
      <c r="F587" s="8"/>
      <c r="G587" s="37"/>
    </row>
    <row r="588" spans="1:7" ht="15.75" customHeight="1">
      <c r="A588" s="9"/>
      <c r="B588" s="8"/>
      <c r="C588" s="9"/>
      <c r="D588" s="8"/>
      <c r="E588" s="9"/>
      <c r="F588" s="8"/>
      <c r="G588" s="37"/>
    </row>
    <row r="589" spans="1:7" ht="15.75" customHeight="1">
      <c r="A589" s="9"/>
      <c r="B589" s="8"/>
      <c r="C589" s="9"/>
      <c r="D589" s="8"/>
      <c r="E589" s="9"/>
      <c r="F589" s="8"/>
      <c r="G589" s="37"/>
    </row>
    <row r="590" spans="1:7" ht="15.75" customHeight="1">
      <c r="A590" s="9"/>
      <c r="B590" s="8"/>
      <c r="C590" s="9"/>
      <c r="D590" s="8"/>
      <c r="E590" s="9"/>
      <c r="F590" s="8"/>
      <c r="G590" s="37"/>
    </row>
    <row r="591" spans="1:7" ht="15.75" customHeight="1">
      <c r="A591" s="9"/>
      <c r="B591" s="8"/>
      <c r="C591" s="9"/>
      <c r="D591" s="8"/>
      <c r="E591" s="9"/>
      <c r="F591" s="8"/>
      <c r="G591" s="37"/>
    </row>
    <row r="592" spans="1:7" ht="15.75" customHeight="1">
      <c r="A592" s="9"/>
      <c r="B592" s="8"/>
      <c r="C592" s="9"/>
      <c r="D592" s="8"/>
      <c r="E592" s="9"/>
      <c r="F592" s="8"/>
      <c r="G592" s="37"/>
    </row>
    <row r="593" spans="1:7" ht="15.75" customHeight="1">
      <c r="A593" s="9"/>
      <c r="B593" s="8"/>
      <c r="C593" s="9"/>
      <c r="D593" s="8"/>
      <c r="E593" s="9"/>
      <c r="F593" s="8"/>
      <c r="G593" s="37"/>
    </row>
    <row r="594" spans="1:7" ht="15.75" customHeight="1">
      <c r="A594" s="9"/>
      <c r="B594" s="8"/>
      <c r="C594" s="9"/>
      <c r="D594" s="8"/>
      <c r="E594" s="9"/>
      <c r="F594" s="8"/>
      <c r="G594" s="37"/>
    </row>
    <row r="595" spans="1:7" ht="15.75" customHeight="1">
      <c r="A595" s="9"/>
      <c r="B595" s="8"/>
      <c r="C595" s="9"/>
      <c r="D595" s="8"/>
      <c r="E595" s="9"/>
      <c r="F595" s="8"/>
      <c r="G595" s="37"/>
    </row>
    <row r="596" spans="1:7" ht="15.75" customHeight="1">
      <c r="A596" s="9"/>
      <c r="B596" s="8"/>
      <c r="C596" s="9"/>
      <c r="D596" s="8"/>
      <c r="E596" s="9"/>
      <c r="F596" s="8"/>
      <c r="G596" s="37"/>
    </row>
    <row r="597" spans="1:7" ht="15.75" customHeight="1">
      <c r="A597" s="9"/>
      <c r="B597" s="8"/>
      <c r="C597" s="9"/>
      <c r="D597" s="8"/>
      <c r="E597" s="9"/>
      <c r="F597" s="8"/>
      <c r="G597" s="37"/>
    </row>
    <row r="598" spans="1:7" ht="15.75" customHeight="1">
      <c r="A598" s="9"/>
      <c r="B598" s="8"/>
      <c r="C598" s="9"/>
      <c r="D598" s="8"/>
      <c r="E598" s="9"/>
      <c r="F598" s="8"/>
      <c r="G598" s="37"/>
    </row>
    <row r="599" spans="1:7" ht="15.75" customHeight="1">
      <c r="A599" s="9"/>
      <c r="B599" s="8"/>
      <c r="C599" s="9"/>
      <c r="D599" s="8"/>
      <c r="E599" s="9"/>
      <c r="F599" s="8"/>
      <c r="G599" s="37"/>
    </row>
    <row r="600" spans="1:7" ht="15.75" customHeight="1">
      <c r="A600" s="9"/>
      <c r="B600" s="8"/>
      <c r="C600" s="9"/>
      <c r="D600" s="8"/>
      <c r="E600" s="9"/>
      <c r="F600" s="8"/>
      <c r="G600" s="37"/>
    </row>
    <row r="601" spans="1:7" ht="15.75" customHeight="1">
      <c r="A601" s="9"/>
      <c r="B601" s="8"/>
      <c r="C601" s="9"/>
      <c r="D601" s="8"/>
      <c r="E601" s="9"/>
      <c r="F601" s="8"/>
      <c r="G601" s="37"/>
    </row>
    <row r="602" spans="1:7" ht="15.75" customHeight="1">
      <c r="A602" s="9"/>
      <c r="B602" s="8"/>
      <c r="C602" s="9"/>
      <c r="D602" s="8"/>
      <c r="E602" s="9"/>
      <c r="F602" s="8"/>
      <c r="G602" s="37"/>
    </row>
    <row r="603" spans="1:7" ht="15.75" customHeight="1">
      <c r="A603" s="9"/>
      <c r="B603" s="8"/>
      <c r="C603" s="9"/>
      <c r="D603" s="8"/>
      <c r="E603" s="9"/>
      <c r="F603" s="8"/>
      <c r="G603" s="37"/>
    </row>
    <row r="604" spans="1:7" ht="15.75" customHeight="1">
      <c r="A604" s="9"/>
      <c r="B604" s="8"/>
      <c r="C604" s="9"/>
      <c r="D604" s="8"/>
      <c r="E604" s="9"/>
      <c r="F604" s="8"/>
      <c r="G604" s="37"/>
    </row>
    <row r="605" spans="1:7" ht="15.75" customHeight="1">
      <c r="A605" s="9"/>
      <c r="B605" s="8"/>
      <c r="C605" s="9"/>
      <c r="D605" s="8"/>
      <c r="E605" s="9"/>
      <c r="F605" s="8"/>
      <c r="G605" s="37"/>
    </row>
    <row r="606" spans="1:7" ht="15.75" customHeight="1">
      <c r="A606" s="9"/>
      <c r="B606" s="8"/>
      <c r="C606" s="9"/>
      <c r="D606" s="8"/>
      <c r="E606" s="9"/>
      <c r="F606" s="8"/>
      <c r="G606" s="37"/>
    </row>
    <row r="607" spans="1:7" ht="15.75" customHeight="1">
      <c r="A607" s="9"/>
      <c r="B607" s="8"/>
      <c r="C607" s="9"/>
      <c r="D607" s="8"/>
      <c r="E607" s="9"/>
      <c r="F607" s="8"/>
      <c r="G607" s="37"/>
    </row>
    <row r="608" spans="1:7" ht="15.75" customHeight="1">
      <c r="A608" s="9"/>
      <c r="B608" s="8"/>
      <c r="C608" s="9"/>
      <c r="D608" s="8"/>
      <c r="E608" s="9"/>
      <c r="F608" s="8"/>
      <c r="G608" s="37"/>
    </row>
    <row r="609" spans="1:7" ht="15.75" customHeight="1">
      <c r="A609" s="9"/>
      <c r="B609" s="8"/>
      <c r="C609" s="9"/>
      <c r="D609" s="8"/>
      <c r="E609" s="9"/>
      <c r="F609" s="8"/>
      <c r="G609" s="37"/>
    </row>
    <row r="610" spans="1:7" ht="15.75" customHeight="1">
      <c r="A610" s="9"/>
      <c r="B610" s="8"/>
      <c r="C610" s="9"/>
      <c r="D610" s="8"/>
      <c r="E610" s="9"/>
      <c r="F610" s="8"/>
      <c r="G610" s="37"/>
    </row>
    <row r="611" spans="1:7" ht="15.75" customHeight="1">
      <c r="A611" s="9"/>
      <c r="B611" s="8"/>
      <c r="C611" s="9"/>
      <c r="D611" s="8"/>
      <c r="E611" s="9"/>
      <c r="F611" s="8"/>
      <c r="G611" s="37"/>
    </row>
    <row r="612" spans="1:7" ht="15.75" customHeight="1">
      <c r="A612" s="9"/>
      <c r="B612" s="8"/>
      <c r="C612" s="9"/>
      <c r="D612" s="8"/>
      <c r="E612" s="9"/>
      <c r="F612" s="8"/>
      <c r="G612" s="37"/>
    </row>
    <row r="613" spans="1:7" ht="15.75" customHeight="1">
      <c r="A613" s="9"/>
      <c r="B613" s="8"/>
      <c r="C613" s="9"/>
      <c r="D613" s="8"/>
      <c r="E613" s="9"/>
      <c r="F613" s="8"/>
      <c r="G613" s="37"/>
    </row>
    <row r="614" spans="1:7" ht="15.75" customHeight="1">
      <c r="A614" s="9"/>
      <c r="B614" s="8"/>
      <c r="C614" s="9"/>
      <c r="D614" s="8"/>
      <c r="E614" s="9"/>
      <c r="F614" s="8"/>
      <c r="G614" s="37"/>
    </row>
    <row r="615" spans="1:7" ht="15.75" customHeight="1">
      <c r="A615" s="9"/>
      <c r="B615" s="8"/>
      <c r="C615" s="9"/>
      <c r="D615" s="8"/>
      <c r="E615" s="9"/>
      <c r="F615" s="8"/>
      <c r="G615" s="37"/>
    </row>
    <row r="616" spans="1:7" ht="15.75" customHeight="1">
      <c r="A616" s="9"/>
      <c r="B616" s="8"/>
      <c r="C616" s="9"/>
      <c r="D616" s="8"/>
      <c r="E616" s="9"/>
      <c r="F616" s="8"/>
      <c r="G616" s="37"/>
    </row>
    <row r="617" spans="1:7" ht="15.75" customHeight="1">
      <c r="A617" s="9"/>
      <c r="B617" s="8"/>
      <c r="C617" s="9"/>
      <c r="D617" s="8"/>
      <c r="E617" s="9"/>
      <c r="F617" s="8"/>
      <c r="G617" s="37"/>
    </row>
    <row r="618" spans="1:7" ht="15.75" customHeight="1">
      <c r="A618" s="9"/>
      <c r="B618" s="8"/>
      <c r="C618" s="9"/>
      <c r="D618" s="8"/>
      <c r="E618" s="9"/>
      <c r="F618" s="8"/>
      <c r="G618" s="37"/>
    </row>
    <row r="619" spans="1:7" ht="15.75" customHeight="1">
      <c r="A619" s="9"/>
      <c r="B619" s="8"/>
      <c r="C619" s="9"/>
      <c r="D619" s="8"/>
      <c r="E619" s="9"/>
      <c r="F619" s="8"/>
      <c r="G619" s="37"/>
    </row>
    <row r="620" spans="1:7" ht="15.75" customHeight="1">
      <c r="A620" s="9"/>
      <c r="B620" s="8"/>
      <c r="C620" s="9"/>
      <c r="D620" s="8"/>
      <c r="E620" s="9"/>
      <c r="F620" s="8"/>
      <c r="G620" s="37"/>
    </row>
    <row r="621" spans="1:7" ht="15.75" customHeight="1">
      <c r="A621" s="9"/>
      <c r="B621" s="8"/>
      <c r="C621" s="9"/>
      <c r="D621" s="8"/>
      <c r="E621" s="9"/>
      <c r="F621" s="8"/>
      <c r="G621" s="37"/>
    </row>
    <row r="622" spans="1:7" ht="15.75" customHeight="1">
      <c r="A622" s="9"/>
      <c r="B622" s="8"/>
      <c r="C622" s="9"/>
      <c r="D622" s="8"/>
      <c r="E622" s="9"/>
      <c r="F622" s="8"/>
      <c r="G622" s="37"/>
    </row>
    <row r="623" spans="1:7" ht="15.75" customHeight="1">
      <c r="A623" s="9"/>
      <c r="B623" s="8"/>
      <c r="C623" s="9"/>
      <c r="D623" s="8"/>
      <c r="E623" s="9"/>
      <c r="F623" s="8"/>
      <c r="G623" s="37"/>
    </row>
    <row r="624" spans="1:7" ht="15.75" customHeight="1">
      <c r="A624" s="9"/>
      <c r="B624" s="8"/>
      <c r="C624" s="9"/>
      <c r="D624" s="8"/>
      <c r="E624" s="9"/>
      <c r="F624" s="8"/>
      <c r="G624" s="37"/>
    </row>
    <row r="625" spans="1:7" ht="15.75" customHeight="1">
      <c r="A625" s="9"/>
      <c r="B625" s="8"/>
      <c r="C625" s="9"/>
      <c r="D625" s="8"/>
      <c r="E625" s="9"/>
      <c r="F625" s="8"/>
      <c r="G625" s="37"/>
    </row>
    <row r="626" spans="1:7" ht="15.75" customHeight="1">
      <c r="A626" s="9"/>
      <c r="B626" s="8"/>
      <c r="C626" s="9"/>
      <c r="D626" s="8"/>
      <c r="E626" s="9"/>
      <c r="F626" s="8"/>
      <c r="G626" s="37"/>
    </row>
    <row r="627" spans="1:7" ht="15.75" customHeight="1">
      <c r="A627" s="9"/>
      <c r="B627" s="8"/>
      <c r="C627" s="9"/>
      <c r="D627" s="8"/>
      <c r="E627" s="9"/>
      <c r="F627" s="8"/>
      <c r="G627" s="37"/>
    </row>
    <row r="628" spans="1:7" ht="15.75" customHeight="1">
      <c r="A628" s="9"/>
      <c r="B628" s="8"/>
      <c r="C628" s="9"/>
      <c r="D628" s="8"/>
      <c r="E628" s="9"/>
      <c r="F628" s="8"/>
      <c r="G628" s="37"/>
    </row>
    <row r="629" spans="1:7" ht="15.75" customHeight="1">
      <c r="A629" s="9"/>
      <c r="B629" s="8"/>
      <c r="C629" s="9"/>
      <c r="D629" s="8"/>
      <c r="E629" s="9"/>
      <c r="F629" s="8"/>
      <c r="G629" s="37"/>
    </row>
    <row r="630" spans="1:7" ht="15.75" customHeight="1">
      <c r="A630" s="9"/>
      <c r="B630" s="8"/>
      <c r="C630" s="9"/>
      <c r="D630" s="8"/>
      <c r="E630" s="9"/>
      <c r="F630" s="8"/>
      <c r="G630" s="37"/>
    </row>
    <row r="631" spans="1:7" ht="15.75" customHeight="1">
      <c r="A631" s="9"/>
      <c r="B631" s="8"/>
      <c r="C631" s="9"/>
      <c r="D631" s="8"/>
      <c r="E631" s="9"/>
      <c r="F631" s="8"/>
      <c r="G631" s="37"/>
    </row>
    <row r="632" spans="1:7" ht="15.75" customHeight="1">
      <c r="A632" s="9"/>
      <c r="B632" s="8"/>
      <c r="C632" s="9"/>
      <c r="D632" s="8"/>
      <c r="E632" s="9"/>
      <c r="F632" s="8"/>
      <c r="G632" s="37"/>
    </row>
    <row r="633" spans="1:7" ht="15.75" customHeight="1">
      <c r="A633" s="9"/>
      <c r="B633" s="8"/>
      <c r="C633" s="9"/>
      <c r="D633" s="8"/>
      <c r="E633" s="9"/>
      <c r="F633" s="8"/>
      <c r="G633" s="37"/>
    </row>
    <row r="634" spans="1:7" ht="15.75" customHeight="1">
      <c r="A634" s="9"/>
      <c r="B634" s="8"/>
      <c r="C634" s="9"/>
      <c r="D634" s="8"/>
      <c r="E634" s="9"/>
      <c r="F634" s="8"/>
      <c r="G634" s="37"/>
    </row>
    <row r="635" spans="1:7" ht="15.75" customHeight="1">
      <c r="A635" s="9"/>
      <c r="B635" s="8"/>
      <c r="C635" s="9"/>
      <c r="D635" s="8"/>
      <c r="E635" s="9"/>
      <c r="F635" s="8"/>
      <c r="G635" s="37"/>
    </row>
    <row r="636" spans="1:7" ht="15.75" customHeight="1">
      <c r="A636" s="9"/>
      <c r="B636" s="8"/>
      <c r="C636" s="9"/>
      <c r="D636" s="8"/>
      <c r="E636" s="9"/>
      <c r="F636" s="8"/>
      <c r="G636" s="37"/>
    </row>
    <row r="637" spans="1:7" ht="15.75" customHeight="1">
      <c r="A637" s="9"/>
      <c r="B637" s="8"/>
      <c r="C637" s="9"/>
      <c r="D637" s="8"/>
      <c r="E637" s="9"/>
      <c r="F637" s="8"/>
      <c r="G637" s="37"/>
    </row>
    <row r="638" spans="1:7" ht="15.75" customHeight="1">
      <c r="A638" s="9"/>
      <c r="B638" s="8"/>
      <c r="C638" s="9"/>
      <c r="D638" s="8"/>
      <c r="E638" s="9"/>
      <c r="F638" s="8"/>
      <c r="G638" s="37"/>
    </row>
    <row r="639" spans="1:7" ht="15.75" customHeight="1">
      <c r="A639" s="9"/>
      <c r="B639" s="8"/>
      <c r="C639" s="9"/>
      <c r="D639" s="8"/>
      <c r="E639" s="9"/>
      <c r="F639" s="8"/>
      <c r="G639" s="37"/>
    </row>
    <row r="640" spans="1:7" ht="15.75" customHeight="1">
      <c r="A640" s="9"/>
      <c r="B640" s="8"/>
      <c r="C640" s="9"/>
      <c r="D640" s="8"/>
      <c r="E640" s="9"/>
      <c r="F640" s="8"/>
      <c r="G640" s="37"/>
    </row>
    <row r="641" spans="1:7" ht="15.75" customHeight="1">
      <c r="A641" s="9"/>
      <c r="B641" s="8"/>
      <c r="C641" s="9"/>
      <c r="D641" s="8"/>
      <c r="E641" s="9"/>
      <c r="F641" s="8"/>
      <c r="G641" s="37"/>
    </row>
    <row r="642" spans="1:7" ht="15.75" customHeight="1">
      <c r="A642" s="9"/>
      <c r="B642" s="8"/>
      <c r="C642" s="9"/>
      <c r="D642" s="8"/>
      <c r="E642" s="9"/>
      <c r="F642" s="8"/>
      <c r="G642" s="37"/>
    </row>
    <row r="643" spans="1:7" ht="15.75" customHeight="1">
      <c r="A643" s="9"/>
      <c r="B643" s="8"/>
      <c r="C643" s="9"/>
      <c r="D643" s="8"/>
      <c r="E643" s="9"/>
      <c r="F643" s="8"/>
      <c r="G643" s="37"/>
    </row>
    <row r="644" spans="1:7" ht="15.75" customHeight="1">
      <c r="A644" s="9"/>
      <c r="B644" s="8"/>
      <c r="C644" s="9"/>
      <c r="D644" s="8"/>
      <c r="E644" s="9"/>
      <c r="F644" s="8"/>
      <c r="G644" s="37"/>
    </row>
    <row r="645" spans="1:7" ht="15.75" customHeight="1">
      <c r="A645" s="9"/>
      <c r="B645" s="8"/>
      <c r="C645" s="9"/>
      <c r="D645" s="8"/>
      <c r="E645" s="9"/>
      <c r="F645" s="8"/>
      <c r="G645" s="37"/>
    </row>
    <row r="646" spans="1:7" ht="15.75" customHeight="1">
      <c r="A646" s="9"/>
      <c r="B646" s="8"/>
      <c r="C646" s="9"/>
      <c r="D646" s="8"/>
      <c r="E646" s="9"/>
      <c r="F646" s="8"/>
      <c r="G646" s="37"/>
    </row>
    <row r="647" spans="1:7" ht="15.75" customHeight="1">
      <c r="A647" s="9"/>
      <c r="B647" s="8"/>
      <c r="C647" s="9"/>
      <c r="D647" s="8"/>
      <c r="E647" s="9"/>
      <c r="F647" s="8"/>
      <c r="G647" s="37"/>
    </row>
    <row r="648" spans="1:7" ht="15.75" customHeight="1">
      <c r="A648" s="9"/>
      <c r="B648" s="8"/>
      <c r="C648" s="9"/>
      <c r="D648" s="8"/>
      <c r="E648" s="9"/>
      <c r="F648" s="8"/>
      <c r="G648" s="37"/>
    </row>
    <row r="649" spans="1:7" ht="15.75" customHeight="1">
      <c r="A649" s="9"/>
      <c r="B649" s="8"/>
      <c r="C649" s="9"/>
      <c r="D649" s="8"/>
      <c r="E649" s="9"/>
      <c r="F649" s="8"/>
      <c r="G649" s="37"/>
    </row>
    <row r="650" spans="1:7" ht="15.75" customHeight="1">
      <c r="A650" s="9"/>
      <c r="B650" s="8"/>
      <c r="C650" s="9"/>
      <c r="D650" s="8"/>
      <c r="E650" s="9"/>
      <c r="F650" s="8"/>
      <c r="G650" s="37"/>
    </row>
    <row r="651" spans="1:7" ht="15.75" customHeight="1">
      <c r="A651" s="9"/>
      <c r="B651" s="8"/>
      <c r="C651" s="9"/>
      <c r="D651" s="8"/>
      <c r="E651" s="9"/>
      <c r="F651" s="8"/>
      <c r="G651" s="37"/>
    </row>
    <row r="652" spans="1:7" ht="15.75" customHeight="1">
      <c r="A652" s="9"/>
      <c r="B652" s="8"/>
      <c r="C652" s="9"/>
      <c r="D652" s="8"/>
      <c r="E652" s="9"/>
      <c r="F652" s="8"/>
      <c r="G652" s="37"/>
    </row>
    <row r="653" spans="1:7" ht="15.75" customHeight="1">
      <c r="A653" s="9"/>
      <c r="B653" s="8"/>
      <c r="C653" s="9"/>
      <c r="D653" s="8"/>
      <c r="E653" s="9"/>
      <c r="F653" s="8"/>
      <c r="G653" s="37"/>
    </row>
    <row r="654" spans="1:7" ht="15.75" customHeight="1">
      <c r="A654" s="9"/>
      <c r="B654" s="8"/>
      <c r="C654" s="9"/>
      <c r="D654" s="8"/>
      <c r="E654" s="9"/>
      <c r="F654" s="8"/>
      <c r="G654" s="37"/>
    </row>
    <row r="655" spans="1:7" ht="15.75" customHeight="1">
      <c r="A655" s="9"/>
      <c r="B655" s="8"/>
      <c r="C655" s="9"/>
      <c r="D655" s="8"/>
      <c r="E655" s="9"/>
      <c r="F655" s="8"/>
      <c r="G655" s="37"/>
    </row>
    <row r="656" spans="1:7" ht="15.75" customHeight="1">
      <c r="A656" s="9"/>
      <c r="B656" s="8"/>
      <c r="C656" s="9"/>
      <c r="D656" s="8"/>
      <c r="E656" s="9"/>
      <c r="F656" s="8"/>
      <c r="G656" s="37"/>
    </row>
    <row r="657" spans="1:7" ht="15.75" customHeight="1">
      <c r="A657" s="9"/>
      <c r="B657" s="8"/>
      <c r="C657" s="9"/>
      <c r="D657" s="8"/>
      <c r="E657" s="9"/>
      <c r="F657" s="8"/>
      <c r="G657" s="37"/>
    </row>
    <row r="658" spans="1:7" ht="15.75" customHeight="1">
      <c r="A658" s="9"/>
      <c r="B658" s="8"/>
      <c r="C658" s="9"/>
      <c r="D658" s="8"/>
      <c r="E658" s="9"/>
      <c r="F658" s="8"/>
      <c r="G658" s="37"/>
    </row>
    <row r="659" spans="1:7" ht="15.75" customHeight="1">
      <c r="A659" s="9"/>
      <c r="B659" s="8"/>
      <c r="C659" s="9"/>
      <c r="D659" s="8"/>
      <c r="E659" s="9"/>
      <c r="F659" s="8"/>
      <c r="G659" s="37"/>
    </row>
    <row r="660" spans="1:7" ht="15.75" customHeight="1">
      <c r="A660" s="9"/>
      <c r="B660" s="8"/>
      <c r="C660" s="9"/>
      <c r="D660" s="8"/>
      <c r="E660" s="9"/>
      <c r="F660" s="8"/>
      <c r="G660" s="37"/>
    </row>
    <row r="661" spans="1:7" ht="15.75" customHeight="1">
      <c r="A661" s="9"/>
      <c r="B661" s="8"/>
      <c r="C661" s="9"/>
      <c r="D661" s="8"/>
      <c r="E661" s="9"/>
      <c r="F661" s="8"/>
      <c r="G661" s="37"/>
    </row>
    <row r="662" spans="1:7" ht="15.75" customHeight="1">
      <c r="A662" s="9"/>
      <c r="B662" s="8"/>
      <c r="C662" s="9"/>
      <c r="D662" s="8"/>
      <c r="E662" s="9"/>
      <c r="F662" s="8"/>
      <c r="G662" s="37"/>
    </row>
    <row r="663" spans="1:7" ht="15.75" customHeight="1">
      <c r="A663" s="9"/>
      <c r="B663" s="8"/>
      <c r="C663" s="9"/>
      <c r="D663" s="8"/>
      <c r="E663" s="9"/>
      <c r="F663" s="8"/>
      <c r="G663" s="37"/>
    </row>
    <row r="664" spans="1:7" ht="15.75" customHeight="1">
      <c r="A664" s="9"/>
      <c r="B664" s="8"/>
      <c r="C664" s="9"/>
      <c r="D664" s="8"/>
      <c r="E664" s="9"/>
      <c r="F664" s="8"/>
      <c r="G664" s="37"/>
    </row>
    <row r="665" spans="1:7" ht="15.75" customHeight="1">
      <c r="A665" s="9"/>
      <c r="B665" s="8"/>
      <c r="C665" s="9"/>
      <c r="D665" s="8"/>
      <c r="E665" s="9"/>
      <c r="F665" s="8"/>
      <c r="G665" s="37"/>
    </row>
    <row r="666" spans="1:7" ht="15.75" customHeight="1">
      <c r="A666" s="9"/>
      <c r="B666" s="8"/>
      <c r="C666" s="9"/>
      <c r="D666" s="8"/>
      <c r="E666" s="9"/>
      <c r="F666" s="8"/>
      <c r="G666" s="37"/>
    </row>
    <row r="667" spans="1:7" ht="15.75" customHeight="1">
      <c r="A667" s="9"/>
      <c r="B667" s="8"/>
      <c r="C667" s="9"/>
      <c r="D667" s="8"/>
      <c r="E667" s="9"/>
      <c r="F667" s="8"/>
      <c r="G667" s="37"/>
    </row>
    <row r="668" spans="1:7" ht="15.75" customHeight="1">
      <c r="A668" s="9"/>
      <c r="B668" s="8"/>
      <c r="C668" s="9"/>
      <c r="D668" s="8"/>
      <c r="E668" s="9"/>
      <c r="F668" s="8"/>
      <c r="G668" s="37"/>
    </row>
    <row r="669" spans="1:7" ht="15.75" customHeight="1">
      <c r="A669" s="9"/>
      <c r="B669" s="8"/>
      <c r="C669" s="9"/>
      <c r="D669" s="8"/>
      <c r="E669" s="9"/>
      <c r="F669" s="8"/>
      <c r="G669" s="37"/>
    </row>
    <row r="670" spans="1:7" ht="15.75" customHeight="1">
      <c r="A670" s="9"/>
      <c r="B670" s="8"/>
      <c r="C670" s="9"/>
      <c r="D670" s="8"/>
      <c r="E670" s="9"/>
      <c r="F670" s="8"/>
      <c r="G670" s="37"/>
    </row>
    <row r="671" spans="1:7" ht="15.75" customHeight="1">
      <c r="A671" s="9"/>
      <c r="B671" s="8"/>
      <c r="C671" s="9"/>
      <c r="D671" s="8"/>
      <c r="E671" s="9"/>
      <c r="F671" s="8"/>
      <c r="G671" s="37"/>
    </row>
    <row r="672" spans="1:7" ht="15.75" customHeight="1">
      <c r="A672" s="9"/>
      <c r="B672" s="8"/>
      <c r="C672" s="9"/>
      <c r="D672" s="8"/>
      <c r="E672" s="9"/>
      <c r="F672" s="8"/>
      <c r="G672" s="37"/>
    </row>
    <row r="673" spans="1:7" ht="15.75" customHeight="1">
      <c r="A673" s="9"/>
      <c r="B673" s="8"/>
      <c r="C673" s="9"/>
      <c r="D673" s="8"/>
      <c r="E673" s="9"/>
      <c r="F673" s="8"/>
      <c r="G673" s="37"/>
    </row>
    <row r="674" spans="1:7" ht="15.75" customHeight="1">
      <c r="A674" s="9"/>
      <c r="B674" s="8"/>
      <c r="C674" s="9"/>
      <c r="D674" s="8"/>
      <c r="E674" s="9"/>
      <c r="F674" s="8"/>
      <c r="G674" s="37"/>
    </row>
    <row r="675" spans="1:7" ht="15.75" customHeight="1">
      <c r="A675" s="9"/>
      <c r="B675" s="8"/>
      <c r="C675" s="9"/>
      <c r="D675" s="8"/>
      <c r="E675" s="9"/>
      <c r="F675" s="8"/>
      <c r="G675" s="37"/>
    </row>
    <row r="676" spans="1:7" ht="15.75" customHeight="1">
      <c r="A676" s="9"/>
      <c r="B676" s="8"/>
      <c r="C676" s="9"/>
      <c r="D676" s="8"/>
      <c r="E676" s="9"/>
      <c r="F676" s="8"/>
      <c r="G676" s="37"/>
    </row>
    <row r="677" spans="1:7" ht="15.75" customHeight="1">
      <c r="A677" s="9"/>
      <c r="B677" s="8"/>
      <c r="C677" s="9"/>
      <c r="D677" s="8"/>
      <c r="E677" s="9"/>
      <c r="F677" s="8"/>
      <c r="G677" s="37"/>
    </row>
    <row r="678" spans="1:7" ht="15.75" customHeight="1">
      <c r="A678" s="9"/>
      <c r="B678" s="8"/>
      <c r="C678" s="9"/>
      <c r="D678" s="8"/>
      <c r="E678" s="9"/>
      <c r="F678" s="8"/>
      <c r="G678" s="37"/>
    </row>
    <row r="679" spans="1:7" ht="15.75" customHeight="1">
      <c r="A679" s="9"/>
      <c r="B679" s="8"/>
      <c r="C679" s="9"/>
      <c r="D679" s="8"/>
      <c r="E679" s="9"/>
      <c r="F679" s="8"/>
      <c r="G679" s="37"/>
    </row>
    <row r="680" spans="1:7" ht="15.75" customHeight="1">
      <c r="A680" s="9"/>
      <c r="B680" s="8"/>
      <c r="C680" s="9"/>
      <c r="D680" s="8"/>
      <c r="E680" s="9"/>
      <c r="F680" s="8"/>
      <c r="G680" s="37"/>
    </row>
    <row r="681" spans="1:7" ht="15.75" customHeight="1">
      <c r="A681" s="9"/>
      <c r="B681" s="8"/>
      <c r="C681" s="9"/>
      <c r="D681" s="8"/>
      <c r="E681" s="9"/>
      <c r="F681" s="8"/>
      <c r="G681" s="37"/>
    </row>
    <row r="682" spans="1:7" ht="15.75" customHeight="1">
      <c r="A682" s="9"/>
      <c r="B682" s="8"/>
      <c r="C682" s="9"/>
      <c r="D682" s="8"/>
      <c r="E682" s="9"/>
      <c r="F682" s="8"/>
      <c r="G682" s="37"/>
    </row>
    <row r="683" spans="1:7" ht="15.75" customHeight="1">
      <c r="A683" s="9"/>
      <c r="B683" s="8"/>
      <c r="C683" s="9"/>
      <c r="D683" s="8"/>
      <c r="E683" s="9"/>
      <c r="F683" s="8"/>
      <c r="G683" s="37"/>
    </row>
    <row r="684" spans="1:7" ht="15.75" customHeight="1">
      <c r="A684" s="9"/>
      <c r="B684" s="8"/>
      <c r="C684" s="9"/>
      <c r="D684" s="8"/>
      <c r="E684" s="9"/>
      <c r="F684" s="8"/>
      <c r="G684" s="37"/>
    </row>
    <row r="685" spans="1:7" ht="15.75" customHeight="1">
      <c r="A685" s="9"/>
      <c r="B685" s="8"/>
      <c r="C685" s="9"/>
      <c r="D685" s="8"/>
      <c r="E685" s="9"/>
      <c r="F685" s="8"/>
      <c r="G685" s="37"/>
    </row>
    <row r="686" spans="1:7" ht="15.75" customHeight="1">
      <c r="A686" s="9"/>
      <c r="B686" s="8"/>
      <c r="C686" s="9"/>
      <c r="D686" s="8"/>
      <c r="E686" s="9"/>
      <c r="F686" s="8"/>
      <c r="G686" s="37"/>
    </row>
    <row r="687" spans="1:7" ht="15.75" customHeight="1">
      <c r="A687" s="9"/>
      <c r="B687" s="8"/>
      <c r="C687" s="9"/>
      <c r="D687" s="8"/>
      <c r="E687" s="9"/>
      <c r="F687" s="8"/>
      <c r="G687" s="37"/>
    </row>
    <row r="688" spans="1:7" ht="15.75" customHeight="1">
      <c r="A688" s="9"/>
      <c r="B688" s="8"/>
      <c r="C688" s="9"/>
      <c r="D688" s="8"/>
      <c r="E688" s="9"/>
      <c r="F688" s="8"/>
      <c r="G688" s="37"/>
    </row>
    <row r="689" spans="1:7" ht="15.75" customHeight="1">
      <c r="A689" s="9"/>
      <c r="B689" s="8"/>
      <c r="C689" s="9"/>
      <c r="D689" s="8"/>
      <c r="E689" s="9"/>
      <c r="F689" s="8"/>
      <c r="G689" s="37"/>
    </row>
    <row r="690" spans="1:7" ht="15.75" customHeight="1">
      <c r="A690" s="9"/>
      <c r="B690" s="8"/>
      <c r="C690" s="9"/>
      <c r="D690" s="8"/>
      <c r="E690" s="9"/>
      <c r="F690" s="8"/>
      <c r="G690" s="37"/>
    </row>
    <row r="691" spans="1:7" ht="15.75" customHeight="1">
      <c r="A691" s="9"/>
      <c r="B691" s="8"/>
      <c r="C691" s="9"/>
      <c r="D691" s="8"/>
      <c r="E691" s="9"/>
      <c r="F691" s="8"/>
      <c r="G691" s="37"/>
    </row>
    <row r="692" spans="1:7" ht="15.75" customHeight="1">
      <c r="A692" s="9"/>
      <c r="B692" s="8"/>
      <c r="C692" s="9"/>
      <c r="D692" s="8"/>
      <c r="E692" s="9"/>
      <c r="F692" s="8"/>
      <c r="G692" s="37"/>
    </row>
    <row r="693" spans="1:7" ht="15.75" customHeight="1">
      <c r="A693" s="9"/>
      <c r="B693" s="8"/>
      <c r="C693" s="9"/>
      <c r="D693" s="8"/>
      <c r="E693" s="9"/>
      <c r="F693" s="8"/>
      <c r="G693" s="37"/>
    </row>
    <row r="694" spans="1:7" ht="15.75" customHeight="1">
      <c r="A694" s="9"/>
      <c r="B694" s="8"/>
      <c r="C694" s="9"/>
      <c r="D694" s="8"/>
      <c r="E694" s="9"/>
      <c r="F694" s="8"/>
      <c r="G694" s="37"/>
    </row>
    <row r="695" spans="1:7" ht="15.75" customHeight="1">
      <c r="A695" s="9"/>
      <c r="B695" s="8"/>
      <c r="C695" s="9"/>
      <c r="D695" s="8"/>
      <c r="E695" s="9"/>
      <c r="F695" s="8"/>
      <c r="G695" s="37"/>
    </row>
    <row r="696" spans="1:7" ht="15.75" customHeight="1">
      <c r="A696" s="9"/>
      <c r="B696" s="8"/>
      <c r="C696" s="9"/>
      <c r="D696" s="8"/>
      <c r="E696" s="9"/>
      <c r="F696" s="8"/>
      <c r="G696" s="37"/>
    </row>
    <row r="697" spans="1:7" ht="15.75" customHeight="1">
      <c r="A697" s="9"/>
      <c r="B697" s="8"/>
      <c r="C697" s="9"/>
      <c r="D697" s="8"/>
      <c r="E697" s="9"/>
      <c r="F697" s="8"/>
      <c r="G697" s="37"/>
    </row>
    <row r="698" spans="1:7" ht="15.75" customHeight="1">
      <c r="A698" s="9"/>
      <c r="B698" s="8"/>
      <c r="C698" s="9"/>
      <c r="D698" s="8"/>
      <c r="E698" s="9"/>
      <c r="F698" s="8"/>
      <c r="G698" s="37"/>
    </row>
    <row r="699" spans="1:7" ht="15.75" customHeight="1">
      <c r="A699" s="9"/>
      <c r="B699" s="8"/>
      <c r="C699" s="9"/>
      <c r="D699" s="8"/>
      <c r="E699" s="9"/>
      <c r="F699" s="8"/>
      <c r="G699" s="37"/>
    </row>
    <row r="700" spans="1:7" ht="15.75" customHeight="1">
      <c r="A700" s="9"/>
      <c r="B700" s="8"/>
      <c r="C700" s="9"/>
      <c r="D700" s="8"/>
      <c r="E700" s="9"/>
      <c r="F700" s="8"/>
      <c r="G700" s="37"/>
    </row>
    <row r="701" spans="1:7" ht="15.75" customHeight="1">
      <c r="A701" s="9"/>
      <c r="B701" s="8"/>
      <c r="C701" s="9"/>
      <c r="D701" s="8"/>
      <c r="E701" s="9"/>
      <c r="F701" s="8"/>
      <c r="G701" s="37"/>
    </row>
    <row r="702" spans="1:7" ht="15.75" customHeight="1">
      <c r="A702" s="9"/>
      <c r="B702" s="8"/>
      <c r="C702" s="9"/>
      <c r="D702" s="8"/>
      <c r="E702" s="9"/>
      <c r="F702" s="8"/>
      <c r="G702" s="37"/>
    </row>
    <row r="703" spans="1:7" ht="15.75" customHeight="1">
      <c r="A703" s="9"/>
      <c r="B703" s="8"/>
      <c r="C703" s="9"/>
      <c r="D703" s="8"/>
      <c r="E703" s="9"/>
      <c r="F703" s="8"/>
      <c r="G703" s="37"/>
    </row>
    <row r="704" spans="1:7" ht="15.75" customHeight="1">
      <c r="A704" s="9"/>
      <c r="B704" s="8"/>
      <c r="C704" s="9"/>
      <c r="D704" s="8"/>
      <c r="E704" s="9"/>
      <c r="F704" s="8"/>
      <c r="G704" s="37"/>
    </row>
    <row r="705" spans="1:7" ht="15.75" customHeight="1">
      <c r="A705" s="9"/>
      <c r="B705" s="8"/>
      <c r="C705" s="9"/>
      <c r="D705" s="8"/>
      <c r="E705" s="9"/>
      <c r="F705" s="8"/>
      <c r="G705" s="37"/>
    </row>
    <row r="706" spans="1:7" ht="15.75" customHeight="1">
      <c r="A706" s="9"/>
      <c r="B706" s="8"/>
      <c r="C706" s="9"/>
      <c r="D706" s="8"/>
      <c r="E706" s="9"/>
      <c r="F706" s="8"/>
      <c r="G706" s="37"/>
    </row>
    <row r="707" spans="1:7" ht="15.75" customHeight="1">
      <c r="A707" s="9"/>
      <c r="B707" s="8"/>
      <c r="C707" s="9"/>
      <c r="D707" s="8"/>
      <c r="E707" s="9"/>
      <c r="F707" s="8"/>
      <c r="G707" s="37"/>
    </row>
    <row r="708" spans="1:7" ht="15.75" customHeight="1">
      <c r="A708" s="9"/>
      <c r="B708" s="8"/>
      <c r="C708" s="9"/>
      <c r="D708" s="8"/>
      <c r="E708" s="9"/>
      <c r="F708" s="8"/>
      <c r="G708" s="37"/>
    </row>
    <row r="709" spans="1:7" ht="15.75" customHeight="1">
      <c r="A709" s="9"/>
      <c r="B709" s="8"/>
      <c r="C709" s="9"/>
      <c r="D709" s="8"/>
      <c r="E709" s="9"/>
      <c r="F709" s="8"/>
      <c r="G709" s="37"/>
    </row>
    <row r="710" spans="1:7" ht="15.75" customHeight="1">
      <c r="A710" s="9"/>
      <c r="B710" s="8"/>
      <c r="C710" s="9"/>
      <c r="D710" s="8"/>
      <c r="E710" s="9"/>
      <c r="F710" s="8"/>
      <c r="G710" s="37"/>
    </row>
    <row r="711" spans="1:7" ht="15.75" customHeight="1">
      <c r="A711" s="9"/>
      <c r="B711" s="8"/>
      <c r="C711" s="9"/>
      <c r="D711" s="8"/>
      <c r="E711" s="9"/>
      <c r="F711" s="8"/>
      <c r="G711" s="37"/>
    </row>
    <row r="712" spans="1:7" ht="15.75" customHeight="1">
      <c r="A712" s="9"/>
      <c r="B712" s="8"/>
      <c r="C712" s="9"/>
      <c r="D712" s="8"/>
      <c r="E712" s="9"/>
      <c r="F712" s="8"/>
      <c r="G712" s="37"/>
    </row>
    <row r="713" spans="1:7" ht="15.75" customHeight="1">
      <c r="A713" s="9"/>
      <c r="B713" s="8"/>
      <c r="C713" s="9"/>
      <c r="D713" s="8"/>
      <c r="E713" s="9"/>
      <c r="F713" s="8"/>
      <c r="G713" s="37"/>
    </row>
    <row r="714" spans="1:7" ht="15.75" customHeight="1">
      <c r="A714" s="9"/>
      <c r="B714" s="8"/>
      <c r="C714" s="9"/>
      <c r="D714" s="8"/>
      <c r="E714" s="9"/>
      <c r="F714" s="8"/>
      <c r="G714" s="37"/>
    </row>
    <row r="715" spans="1:7" ht="15.75" customHeight="1">
      <c r="A715" s="9"/>
      <c r="B715" s="8"/>
      <c r="C715" s="9"/>
      <c r="D715" s="8"/>
      <c r="E715" s="9"/>
      <c r="F715" s="8"/>
      <c r="G715" s="37"/>
    </row>
    <row r="716" spans="1:7" ht="15.75" customHeight="1">
      <c r="A716" s="9"/>
      <c r="B716" s="8"/>
      <c r="C716" s="9"/>
      <c r="D716" s="8"/>
      <c r="E716" s="9"/>
      <c r="F716" s="8"/>
      <c r="G716" s="37"/>
    </row>
    <row r="717" spans="1:7" ht="15.75" customHeight="1">
      <c r="A717" s="9"/>
      <c r="B717" s="8"/>
      <c r="C717" s="9"/>
      <c r="D717" s="8"/>
      <c r="E717" s="9"/>
      <c r="F717" s="8"/>
      <c r="G717" s="37"/>
    </row>
    <row r="718" spans="1:7" ht="15.75" customHeight="1">
      <c r="A718" s="9"/>
      <c r="B718" s="8"/>
      <c r="C718" s="9"/>
      <c r="D718" s="8"/>
      <c r="E718" s="9"/>
      <c r="F718" s="8"/>
      <c r="G718" s="37"/>
    </row>
    <row r="719" spans="1:7" ht="15.75" customHeight="1">
      <c r="A719" s="9"/>
      <c r="B719" s="8"/>
      <c r="C719" s="9"/>
      <c r="D719" s="8"/>
      <c r="E719" s="9"/>
      <c r="F719" s="8"/>
      <c r="G719" s="37"/>
    </row>
    <row r="720" spans="1:7" ht="15.75" customHeight="1">
      <c r="A720" s="9"/>
      <c r="B720" s="8"/>
      <c r="C720" s="9"/>
      <c r="D720" s="8"/>
      <c r="E720" s="9"/>
      <c r="F720" s="8"/>
      <c r="G720" s="37"/>
    </row>
    <row r="721" spans="1:7" ht="15.75" customHeight="1">
      <c r="A721" s="9"/>
      <c r="B721" s="8"/>
      <c r="C721" s="9"/>
      <c r="D721" s="8"/>
      <c r="E721" s="9"/>
      <c r="F721" s="8"/>
      <c r="G721" s="37"/>
    </row>
    <row r="722" spans="1:7" ht="15.75" customHeight="1">
      <c r="A722" s="9"/>
      <c r="B722" s="8"/>
      <c r="C722" s="9"/>
      <c r="D722" s="8"/>
      <c r="E722" s="9"/>
      <c r="F722" s="8"/>
      <c r="G722" s="37"/>
    </row>
    <row r="723" spans="1:7" ht="15.75" customHeight="1">
      <c r="A723" s="9"/>
      <c r="B723" s="8"/>
      <c r="C723" s="9"/>
      <c r="D723" s="8"/>
      <c r="E723" s="9"/>
      <c r="F723" s="8"/>
      <c r="G723" s="37"/>
    </row>
    <row r="724" spans="1:7" ht="15.75" customHeight="1">
      <c r="A724" s="9"/>
      <c r="B724" s="8"/>
      <c r="C724" s="9"/>
      <c r="D724" s="8"/>
      <c r="E724" s="9"/>
      <c r="F724" s="8"/>
      <c r="G724" s="37"/>
    </row>
    <row r="725" spans="1:7" ht="15.75" customHeight="1">
      <c r="A725" s="9"/>
      <c r="B725" s="8"/>
      <c r="C725" s="9"/>
      <c r="D725" s="8"/>
      <c r="E725" s="9"/>
      <c r="F725" s="8"/>
      <c r="G725" s="37"/>
    </row>
    <row r="726" spans="1:7" ht="15.75" customHeight="1">
      <c r="A726" s="9"/>
      <c r="B726" s="8"/>
      <c r="C726" s="9"/>
      <c r="D726" s="8"/>
      <c r="E726" s="9"/>
      <c r="F726" s="8"/>
      <c r="G726" s="37"/>
    </row>
    <row r="727" spans="1:7" ht="15.75" customHeight="1">
      <c r="A727" s="9"/>
      <c r="B727" s="8"/>
      <c r="C727" s="9"/>
      <c r="D727" s="8"/>
      <c r="E727" s="9"/>
      <c r="F727" s="8"/>
      <c r="G727" s="37"/>
    </row>
    <row r="728" spans="1:7" ht="15.75" customHeight="1">
      <c r="A728" s="9"/>
      <c r="B728" s="8"/>
      <c r="C728" s="9"/>
      <c r="D728" s="8"/>
      <c r="E728" s="9"/>
      <c r="F728" s="8"/>
      <c r="G728" s="37"/>
    </row>
    <row r="729" spans="1:7" ht="15.75" customHeight="1">
      <c r="A729" s="9"/>
      <c r="B729" s="8"/>
      <c r="C729" s="9"/>
      <c r="D729" s="8"/>
      <c r="E729" s="9"/>
      <c r="F729" s="8"/>
      <c r="G729" s="37"/>
    </row>
    <row r="730" spans="1:7" ht="15.75" customHeight="1">
      <c r="A730" s="9"/>
      <c r="B730" s="8"/>
      <c r="C730" s="9"/>
      <c r="D730" s="8"/>
      <c r="E730" s="9"/>
      <c r="F730" s="8"/>
      <c r="G730" s="37"/>
    </row>
    <row r="731" spans="1:7" ht="15.75" customHeight="1">
      <c r="A731" s="9"/>
      <c r="B731" s="8"/>
      <c r="C731" s="9"/>
      <c r="D731" s="8"/>
      <c r="E731" s="9"/>
      <c r="F731" s="8"/>
      <c r="G731" s="37"/>
    </row>
    <row r="732" spans="1:7" ht="15.75" customHeight="1">
      <c r="A732" s="9"/>
      <c r="B732" s="8"/>
      <c r="C732" s="9"/>
      <c r="D732" s="8"/>
      <c r="E732" s="9"/>
      <c r="F732" s="8"/>
      <c r="G732" s="37"/>
    </row>
    <row r="733" spans="1:7" ht="15.75" customHeight="1">
      <c r="A733" s="9"/>
      <c r="B733" s="8"/>
      <c r="C733" s="9"/>
      <c r="D733" s="8"/>
      <c r="E733" s="9"/>
      <c r="F733" s="8"/>
      <c r="G733" s="37"/>
    </row>
    <row r="734" spans="1:7" ht="15.75" customHeight="1">
      <c r="A734" s="9"/>
      <c r="B734" s="8"/>
      <c r="C734" s="9"/>
      <c r="D734" s="8"/>
      <c r="E734" s="9"/>
      <c r="F734" s="8"/>
      <c r="G734" s="37"/>
    </row>
    <row r="735" spans="1:7" ht="15.75" customHeight="1">
      <c r="A735" s="9"/>
      <c r="B735" s="8"/>
      <c r="C735" s="9"/>
      <c r="D735" s="8"/>
      <c r="E735" s="9"/>
      <c r="F735" s="8"/>
      <c r="G735" s="37"/>
    </row>
    <row r="736" spans="1:7" ht="15.75" customHeight="1">
      <c r="A736" s="9"/>
      <c r="B736" s="8"/>
      <c r="C736" s="9"/>
      <c r="D736" s="8"/>
      <c r="E736" s="9"/>
      <c r="F736" s="8"/>
      <c r="G736" s="37"/>
    </row>
    <row r="737" spans="1:7" ht="15.75" customHeight="1">
      <c r="A737" s="9"/>
      <c r="B737" s="8"/>
      <c r="C737" s="9"/>
      <c r="D737" s="8"/>
      <c r="E737" s="9"/>
      <c r="F737" s="8"/>
      <c r="G737" s="37"/>
    </row>
    <row r="738" spans="1:7" ht="15.75" customHeight="1">
      <c r="A738" s="9"/>
      <c r="B738" s="8"/>
      <c r="C738" s="9"/>
      <c r="D738" s="8"/>
      <c r="E738" s="9"/>
      <c r="F738" s="8"/>
      <c r="G738" s="37"/>
    </row>
    <row r="739" spans="1:7" ht="15.75" customHeight="1">
      <c r="A739" s="9"/>
      <c r="B739" s="8"/>
      <c r="C739" s="9"/>
      <c r="D739" s="8"/>
      <c r="E739" s="9"/>
      <c r="F739" s="8"/>
      <c r="G739" s="37"/>
    </row>
    <row r="740" spans="1:7" ht="15.75" customHeight="1">
      <c r="A740" s="9"/>
      <c r="B740" s="8"/>
      <c r="C740" s="9"/>
      <c r="D740" s="8"/>
      <c r="E740" s="9"/>
      <c r="F740" s="8"/>
      <c r="G740" s="37"/>
    </row>
    <row r="741" spans="1:7" ht="15.75" customHeight="1">
      <c r="A741" s="9"/>
      <c r="B741" s="8"/>
      <c r="C741" s="9"/>
      <c r="D741" s="8"/>
      <c r="E741" s="9"/>
      <c r="F741" s="8"/>
      <c r="G741" s="37"/>
    </row>
    <row r="742" spans="1:7" ht="15.75" customHeight="1">
      <c r="A742" s="9"/>
      <c r="B742" s="8"/>
      <c r="C742" s="9"/>
      <c r="D742" s="8"/>
      <c r="E742" s="9"/>
      <c r="F742" s="8"/>
      <c r="G742" s="37"/>
    </row>
    <row r="743" spans="1:7" ht="15.75" customHeight="1">
      <c r="A743" s="9"/>
      <c r="B743" s="8"/>
      <c r="C743" s="9"/>
      <c r="D743" s="8"/>
      <c r="E743" s="9"/>
      <c r="F743" s="8"/>
      <c r="G743" s="37"/>
    </row>
    <row r="744" spans="1:7" ht="15.75" customHeight="1">
      <c r="A744" s="9"/>
      <c r="B744" s="8"/>
      <c r="C744" s="9"/>
      <c r="D744" s="8"/>
      <c r="E744" s="9"/>
      <c r="F744" s="8"/>
      <c r="G744" s="37"/>
    </row>
    <row r="745" spans="1:7" ht="15.75" customHeight="1">
      <c r="A745" s="9"/>
      <c r="B745" s="8"/>
      <c r="C745" s="9"/>
      <c r="D745" s="8"/>
      <c r="E745" s="9"/>
      <c r="F745" s="8"/>
      <c r="G745" s="37"/>
    </row>
    <row r="746" spans="1:7" ht="15.75" customHeight="1">
      <c r="A746" s="9"/>
      <c r="B746" s="8"/>
      <c r="C746" s="9"/>
      <c r="D746" s="8"/>
      <c r="E746" s="9"/>
      <c r="F746" s="8"/>
      <c r="G746" s="37"/>
    </row>
    <row r="747" spans="1:7" ht="15.75" customHeight="1">
      <c r="A747" s="9"/>
      <c r="B747" s="8"/>
      <c r="C747" s="9"/>
      <c r="D747" s="8"/>
      <c r="E747" s="9"/>
      <c r="F747" s="8"/>
      <c r="G747" s="37"/>
    </row>
    <row r="748" spans="1:7" ht="15.75" customHeight="1">
      <c r="A748" s="9"/>
      <c r="B748" s="8"/>
      <c r="C748" s="9"/>
      <c r="D748" s="8"/>
      <c r="E748" s="9"/>
      <c r="F748" s="8"/>
      <c r="G748" s="37"/>
    </row>
    <row r="749" spans="1:7" ht="15.75" customHeight="1">
      <c r="A749" s="9"/>
      <c r="B749" s="8"/>
      <c r="C749" s="9"/>
      <c r="D749" s="8"/>
      <c r="E749" s="9"/>
      <c r="F749" s="8"/>
      <c r="G749" s="37"/>
    </row>
    <row r="750" spans="1:7" ht="15.75" customHeight="1">
      <c r="A750" s="9"/>
      <c r="B750" s="8"/>
      <c r="C750" s="9"/>
      <c r="D750" s="8"/>
      <c r="E750" s="9"/>
      <c r="F750" s="8"/>
      <c r="G750" s="37"/>
    </row>
    <row r="751" spans="1:7" ht="15.75" customHeight="1">
      <c r="A751" s="9"/>
      <c r="B751" s="8"/>
      <c r="C751" s="9"/>
      <c r="D751" s="8"/>
      <c r="E751" s="9"/>
      <c r="F751" s="8"/>
      <c r="G751" s="37"/>
    </row>
    <row r="752" spans="1:7" ht="15.75" customHeight="1">
      <c r="A752" s="9"/>
      <c r="B752" s="8"/>
      <c r="C752" s="9"/>
      <c r="D752" s="8"/>
      <c r="E752" s="9"/>
      <c r="F752" s="8"/>
      <c r="G752" s="37"/>
    </row>
    <row r="753" spans="1:7" ht="15.75" customHeight="1">
      <c r="A753" s="9"/>
      <c r="B753" s="8"/>
      <c r="C753" s="9"/>
      <c r="D753" s="8"/>
      <c r="E753" s="9"/>
      <c r="F753" s="8"/>
      <c r="G753" s="37"/>
    </row>
    <row r="754" spans="1:7" ht="15.75" customHeight="1">
      <c r="A754" s="9"/>
      <c r="B754" s="8"/>
      <c r="C754" s="9"/>
      <c r="D754" s="8"/>
      <c r="E754" s="9"/>
      <c r="F754" s="8"/>
      <c r="G754" s="37"/>
    </row>
    <row r="755" spans="1:7" ht="15.75" customHeight="1">
      <c r="A755" s="9"/>
      <c r="B755" s="8"/>
      <c r="C755" s="9"/>
      <c r="D755" s="8"/>
      <c r="E755" s="9"/>
      <c r="F755" s="8"/>
      <c r="G755" s="37"/>
    </row>
    <row r="756" spans="1:7" ht="15.75" customHeight="1">
      <c r="A756" s="9"/>
      <c r="B756" s="8"/>
      <c r="C756" s="9"/>
      <c r="D756" s="8"/>
      <c r="E756" s="9"/>
      <c r="F756" s="8"/>
      <c r="G756" s="37"/>
    </row>
    <row r="757" spans="1:7" ht="15.75" customHeight="1">
      <c r="A757" s="9"/>
      <c r="B757" s="8"/>
      <c r="C757" s="9"/>
      <c r="D757" s="8"/>
      <c r="E757" s="9"/>
      <c r="F757" s="8"/>
      <c r="G757" s="37"/>
    </row>
    <row r="758" spans="1:7" ht="15.75" customHeight="1">
      <c r="A758" s="9"/>
      <c r="B758" s="8"/>
      <c r="C758" s="9"/>
      <c r="D758" s="8"/>
      <c r="E758" s="9"/>
      <c r="F758" s="8"/>
      <c r="G758" s="37"/>
    </row>
    <row r="759" spans="1:7" ht="15.75" customHeight="1">
      <c r="A759" s="9"/>
      <c r="B759" s="8"/>
      <c r="C759" s="9"/>
      <c r="D759" s="8"/>
      <c r="E759" s="9"/>
      <c r="F759" s="8"/>
      <c r="G759" s="37"/>
    </row>
    <row r="760" spans="1:7" ht="15.75" customHeight="1">
      <c r="A760" s="9"/>
      <c r="B760" s="8"/>
      <c r="C760" s="9"/>
      <c r="D760" s="8"/>
      <c r="E760" s="9"/>
      <c r="F760" s="8"/>
      <c r="G760" s="37"/>
    </row>
    <row r="761" spans="1:7" ht="15.75" customHeight="1">
      <c r="A761" s="9"/>
      <c r="B761" s="8"/>
      <c r="C761" s="9"/>
      <c r="D761" s="8"/>
      <c r="E761" s="9"/>
      <c r="F761" s="8"/>
      <c r="G761" s="37"/>
    </row>
    <row r="762" spans="1:7" ht="15.75" customHeight="1">
      <c r="A762" s="9"/>
      <c r="B762" s="8"/>
      <c r="C762" s="9"/>
      <c r="D762" s="8"/>
      <c r="E762" s="9"/>
      <c r="F762" s="8"/>
      <c r="G762" s="37"/>
    </row>
    <row r="763" spans="1:7" ht="15.75" customHeight="1">
      <c r="A763" s="9"/>
      <c r="B763" s="8"/>
      <c r="C763" s="9"/>
      <c r="D763" s="8"/>
      <c r="E763" s="9"/>
      <c r="F763" s="8"/>
      <c r="G763" s="37"/>
    </row>
    <row r="764" spans="1:7" ht="15.75" customHeight="1">
      <c r="A764" s="9"/>
      <c r="B764" s="8"/>
      <c r="C764" s="9"/>
      <c r="D764" s="8"/>
      <c r="E764" s="9"/>
      <c r="F764" s="8"/>
      <c r="G764" s="37"/>
    </row>
    <row r="765" spans="1:7" ht="15.75" customHeight="1">
      <c r="A765" s="9"/>
      <c r="B765" s="8"/>
      <c r="C765" s="9"/>
      <c r="D765" s="8"/>
      <c r="E765" s="9"/>
      <c r="F765" s="8"/>
      <c r="G765" s="37"/>
    </row>
    <row r="766" spans="1:7" ht="15.75" customHeight="1">
      <c r="A766" s="9"/>
      <c r="B766" s="8"/>
      <c r="C766" s="9"/>
      <c r="D766" s="8"/>
      <c r="E766" s="9"/>
      <c r="F766" s="8"/>
      <c r="G766" s="37"/>
    </row>
    <row r="767" spans="1:7" ht="15.75" customHeight="1">
      <c r="A767" s="9"/>
      <c r="B767" s="8"/>
      <c r="C767" s="9"/>
      <c r="D767" s="8"/>
      <c r="E767" s="9"/>
      <c r="F767" s="8"/>
      <c r="G767" s="37"/>
    </row>
    <row r="768" spans="1:7" ht="15.75" customHeight="1">
      <c r="A768" s="9"/>
      <c r="B768" s="8"/>
      <c r="C768" s="9"/>
      <c r="D768" s="8"/>
      <c r="E768" s="9"/>
      <c r="F768" s="8"/>
      <c r="G768" s="37"/>
    </row>
    <row r="769" spans="1:7" ht="15.75" customHeight="1">
      <c r="A769" s="9"/>
      <c r="B769" s="8"/>
      <c r="C769" s="9"/>
      <c r="D769" s="8"/>
      <c r="E769" s="9"/>
      <c r="F769" s="8"/>
      <c r="G769" s="37"/>
    </row>
    <row r="770" spans="1:7" ht="15.75" customHeight="1">
      <c r="A770" s="9"/>
      <c r="B770" s="8"/>
      <c r="C770" s="9"/>
      <c r="D770" s="8"/>
      <c r="E770" s="9"/>
      <c r="F770" s="8"/>
      <c r="G770" s="37"/>
    </row>
    <row r="771" spans="1:7" ht="15.75" customHeight="1">
      <c r="A771" s="9"/>
      <c r="B771" s="8"/>
      <c r="C771" s="9"/>
      <c r="D771" s="8"/>
      <c r="E771" s="9"/>
      <c r="F771" s="8"/>
      <c r="G771" s="37"/>
    </row>
    <row r="772" spans="1:7" ht="15.75" customHeight="1">
      <c r="A772" s="9"/>
      <c r="B772" s="8"/>
      <c r="C772" s="9"/>
      <c r="D772" s="8"/>
      <c r="E772" s="9"/>
      <c r="F772" s="8"/>
      <c r="G772" s="37"/>
    </row>
    <row r="773" spans="1:7" ht="15.75" customHeight="1">
      <c r="A773" s="9"/>
      <c r="B773" s="8"/>
      <c r="C773" s="9"/>
      <c r="D773" s="8"/>
      <c r="E773" s="9"/>
      <c r="F773" s="8"/>
      <c r="G773" s="37"/>
    </row>
    <row r="774" spans="1:7" ht="15.75" customHeight="1">
      <c r="A774" s="9"/>
      <c r="B774" s="8"/>
      <c r="C774" s="9"/>
      <c r="D774" s="8"/>
      <c r="E774" s="9"/>
      <c r="F774" s="8"/>
      <c r="G774" s="37"/>
    </row>
    <row r="775" spans="1:7" ht="15.75" customHeight="1">
      <c r="A775" s="9"/>
      <c r="B775" s="8"/>
      <c r="C775" s="9"/>
      <c r="D775" s="8"/>
      <c r="E775" s="9"/>
      <c r="F775" s="8"/>
      <c r="G775" s="37"/>
    </row>
    <row r="776" spans="1:7" ht="15.75" customHeight="1">
      <c r="A776" s="9"/>
      <c r="B776" s="8"/>
      <c r="C776" s="9"/>
      <c r="D776" s="8"/>
      <c r="E776" s="9"/>
      <c r="F776" s="8"/>
      <c r="G776" s="37"/>
    </row>
    <row r="777" spans="1:7" ht="15.75" customHeight="1">
      <c r="A777" s="9"/>
      <c r="B777" s="8"/>
      <c r="C777" s="9"/>
      <c r="D777" s="8"/>
      <c r="E777" s="9"/>
      <c r="F777" s="8"/>
      <c r="G777" s="37"/>
    </row>
    <row r="778" spans="1:7" ht="15.75" customHeight="1">
      <c r="A778" s="9"/>
      <c r="B778" s="8"/>
      <c r="C778" s="9"/>
      <c r="D778" s="8"/>
      <c r="E778" s="9"/>
      <c r="F778" s="8"/>
      <c r="G778" s="37"/>
    </row>
    <row r="779" spans="1:7" ht="15.75" customHeight="1">
      <c r="A779" s="9"/>
      <c r="B779" s="8"/>
      <c r="C779" s="9"/>
      <c r="D779" s="8"/>
      <c r="E779" s="9"/>
      <c r="F779" s="8"/>
      <c r="G779" s="37"/>
    </row>
    <row r="780" spans="1:7" ht="15.75" customHeight="1">
      <c r="A780" s="9"/>
      <c r="B780" s="8"/>
      <c r="C780" s="9"/>
      <c r="D780" s="8"/>
      <c r="E780" s="9"/>
      <c r="F780" s="8"/>
      <c r="G780" s="37"/>
    </row>
    <row r="781" spans="1:7" ht="15.75" customHeight="1">
      <c r="A781" s="9"/>
      <c r="B781" s="8"/>
      <c r="C781" s="9"/>
      <c r="D781" s="8"/>
      <c r="E781" s="9"/>
      <c r="F781" s="8"/>
      <c r="G781" s="37"/>
    </row>
    <row r="782" spans="1:7" ht="15.75" customHeight="1">
      <c r="A782" s="9"/>
      <c r="B782" s="8"/>
      <c r="C782" s="9"/>
      <c r="D782" s="8"/>
      <c r="E782" s="9"/>
      <c r="F782" s="8"/>
      <c r="G782" s="37"/>
    </row>
    <row r="783" spans="1:7" ht="15.75" customHeight="1">
      <c r="A783" s="9"/>
      <c r="B783" s="8"/>
      <c r="C783" s="9"/>
      <c r="D783" s="8"/>
      <c r="E783" s="9"/>
      <c r="F783" s="8"/>
      <c r="G783" s="37"/>
    </row>
    <row r="784" spans="1:7" ht="15.75" customHeight="1">
      <c r="A784" s="9"/>
      <c r="B784" s="8"/>
      <c r="C784" s="9"/>
      <c r="D784" s="8"/>
      <c r="E784" s="9"/>
      <c r="F784" s="8"/>
      <c r="G784" s="37"/>
    </row>
    <row r="785" spans="1:7" ht="15.75" customHeight="1">
      <c r="A785" s="9"/>
      <c r="B785" s="8"/>
      <c r="C785" s="9"/>
      <c r="D785" s="8"/>
      <c r="E785" s="9"/>
      <c r="F785" s="8"/>
      <c r="G785" s="37"/>
    </row>
    <row r="786" spans="1:7" ht="15.75" customHeight="1">
      <c r="A786" s="9"/>
      <c r="B786" s="8"/>
      <c r="C786" s="9"/>
      <c r="D786" s="8"/>
      <c r="E786" s="9"/>
      <c r="F786" s="8"/>
      <c r="G786" s="37"/>
    </row>
    <row r="787" spans="1:7" ht="15.75" customHeight="1">
      <c r="A787" s="9"/>
      <c r="B787" s="8"/>
      <c r="C787" s="9"/>
      <c r="D787" s="8"/>
      <c r="E787" s="9"/>
      <c r="F787" s="8"/>
      <c r="G787" s="37"/>
    </row>
    <row r="788" spans="1:7" ht="15.75" customHeight="1">
      <c r="A788" s="9"/>
      <c r="B788" s="8"/>
      <c r="C788" s="9"/>
      <c r="D788" s="8"/>
      <c r="E788" s="9"/>
      <c r="F788" s="8"/>
      <c r="G788" s="37"/>
    </row>
    <row r="789" spans="1:7" ht="15.75" customHeight="1">
      <c r="A789" s="9"/>
      <c r="B789" s="8"/>
      <c r="C789" s="9"/>
      <c r="D789" s="8"/>
      <c r="E789" s="9"/>
      <c r="F789" s="8"/>
      <c r="G789" s="37"/>
    </row>
    <row r="790" spans="1:7" ht="15.75" customHeight="1">
      <c r="A790" s="9"/>
      <c r="B790" s="8"/>
      <c r="C790" s="9"/>
      <c r="D790" s="8"/>
      <c r="E790" s="9"/>
      <c r="F790" s="8"/>
      <c r="G790" s="37"/>
    </row>
    <row r="791" spans="1:7" ht="15.75" customHeight="1">
      <c r="A791" s="9"/>
      <c r="B791" s="8"/>
      <c r="C791" s="9"/>
      <c r="D791" s="8"/>
      <c r="E791" s="9"/>
      <c r="F791" s="8"/>
      <c r="G791" s="37"/>
    </row>
    <row r="792" spans="1:7" ht="15.75" customHeight="1">
      <c r="A792" s="9"/>
      <c r="B792" s="8"/>
      <c r="C792" s="9"/>
      <c r="D792" s="8"/>
      <c r="E792" s="9"/>
      <c r="F792" s="8"/>
      <c r="G792" s="37"/>
    </row>
    <row r="793" spans="1:7" ht="15.75" customHeight="1">
      <c r="A793" s="9"/>
      <c r="B793" s="8"/>
      <c r="C793" s="9"/>
      <c r="D793" s="8"/>
      <c r="E793" s="9"/>
      <c r="F793" s="8"/>
      <c r="G793" s="37"/>
    </row>
    <row r="794" spans="1:7" ht="15.75" customHeight="1">
      <c r="A794" s="9"/>
      <c r="B794" s="8"/>
      <c r="C794" s="9"/>
      <c r="D794" s="8"/>
      <c r="E794" s="9"/>
      <c r="F794" s="8"/>
      <c r="G794" s="37"/>
    </row>
    <row r="795" spans="1:7" ht="15.75" customHeight="1">
      <c r="A795" s="9"/>
      <c r="B795" s="8"/>
      <c r="C795" s="9"/>
      <c r="D795" s="8"/>
      <c r="E795" s="9"/>
      <c r="F795" s="8"/>
      <c r="G795" s="37"/>
    </row>
    <row r="796" spans="1:7" ht="15.75" customHeight="1">
      <c r="A796" s="9"/>
      <c r="B796" s="8"/>
      <c r="C796" s="9"/>
      <c r="D796" s="8"/>
      <c r="E796" s="9"/>
      <c r="F796" s="8"/>
      <c r="G796" s="37"/>
    </row>
    <row r="797" spans="1:7" ht="15.75" customHeight="1">
      <c r="A797" s="9"/>
      <c r="B797" s="8"/>
      <c r="C797" s="9"/>
      <c r="D797" s="8"/>
      <c r="E797" s="9"/>
      <c r="F797" s="8"/>
      <c r="G797" s="37"/>
    </row>
    <row r="798" spans="1:7" ht="15.75" customHeight="1">
      <c r="A798" s="9"/>
      <c r="B798" s="8"/>
      <c r="C798" s="9"/>
      <c r="D798" s="8"/>
      <c r="E798" s="9"/>
      <c r="F798" s="8"/>
      <c r="G798" s="37"/>
    </row>
    <row r="799" spans="1:7" ht="15.75" customHeight="1">
      <c r="A799" s="9"/>
      <c r="B799" s="8"/>
      <c r="C799" s="9"/>
      <c r="D799" s="8"/>
      <c r="E799" s="9"/>
      <c r="F799" s="8"/>
      <c r="G799" s="37"/>
    </row>
    <row r="800" spans="1:7" ht="15.75" customHeight="1">
      <c r="A800" s="9"/>
      <c r="B800" s="8"/>
      <c r="C800" s="9"/>
      <c r="D800" s="8"/>
      <c r="E800" s="9"/>
      <c r="F800" s="8"/>
      <c r="G800" s="37"/>
    </row>
    <row r="801" spans="1:7" ht="15.75" customHeight="1">
      <c r="A801" s="9"/>
      <c r="B801" s="8"/>
      <c r="C801" s="9"/>
      <c r="D801" s="8"/>
      <c r="E801" s="9"/>
      <c r="F801" s="8"/>
      <c r="G801" s="37"/>
    </row>
    <row r="802" spans="1:7" ht="15.75" customHeight="1">
      <c r="A802" s="9"/>
      <c r="B802" s="8"/>
      <c r="C802" s="9"/>
      <c r="D802" s="8"/>
      <c r="E802" s="9"/>
      <c r="F802" s="8"/>
      <c r="G802" s="37"/>
    </row>
    <row r="803" spans="1:7" ht="15.75" customHeight="1">
      <c r="A803" s="9"/>
      <c r="B803" s="8"/>
      <c r="C803" s="9"/>
      <c r="D803" s="8"/>
      <c r="E803" s="9"/>
      <c r="F803" s="8"/>
      <c r="G803" s="37"/>
    </row>
    <row r="804" spans="1:7" ht="15.75" customHeight="1">
      <c r="A804" s="9"/>
      <c r="B804" s="8"/>
      <c r="C804" s="9"/>
      <c r="D804" s="8"/>
      <c r="E804" s="9"/>
      <c r="F804" s="8"/>
      <c r="G804" s="37"/>
    </row>
    <row r="805" spans="1:7" ht="15.75" customHeight="1">
      <c r="A805" s="9"/>
      <c r="B805" s="8"/>
      <c r="C805" s="9"/>
      <c r="D805" s="8"/>
      <c r="E805" s="9"/>
      <c r="F805" s="8"/>
      <c r="G805" s="37"/>
    </row>
    <row r="806" spans="1:7" ht="15.75" customHeight="1">
      <c r="A806" s="9"/>
      <c r="B806" s="8"/>
      <c r="C806" s="9"/>
      <c r="D806" s="8"/>
      <c r="E806" s="9"/>
      <c r="F806" s="8"/>
      <c r="G806" s="37"/>
    </row>
    <row r="807" spans="1:7" ht="15.75" customHeight="1">
      <c r="A807" s="9"/>
      <c r="B807" s="8"/>
      <c r="C807" s="9"/>
      <c r="D807" s="8"/>
      <c r="E807" s="9"/>
      <c r="F807" s="8"/>
      <c r="G807" s="37"/>
    </row>
    <row r="808" spans="1:7" ht="15.75" customHeight="1">
      <c r="A808" s="9"/>
      <c r="B808" s="8"/>
      <c r="C808" s="9"/>
      <c r="D808" s="8"/>
      <c r="E808" s="9"/>
      <c r="F808" s="8"/>
      <c r="G808" s="37"/>
    </row>
    <row r="809" spans="1:7" ht="15.75" customHeight="1">
      <c r="A809" s="9"/>
      <c r="B809" s="8"/>
      <c r="C809" s="9"/>
      <c r="D809" s="8"/>
      <c r="E809" s="9"/>
      <c r="F809" s="8"/>
      <c r="G809" s="37"/>
    </row>
    <row r="810" spans="1:7" ht="15.75" customHeight="1">
      <c r="A810" s="9"/>
      <c r="B810" s="8"/>
      <c r="C810" s="9"/>
      <c r="D810" s="8"/>
      <c r="E810" s="9"/>
      <c r="F810" s="8"/>
      <c r="G810" s="37"/>
    </row>
    <row r="811" spans="1:7" ht="15.75" customHeight="1">
      <c r="A811" s="9"/>
      <c r="B811" s="8"/>
      <c r="C811" s="9"/>
      <c r="D811" s="8"/>
      <c r="E811" s="9"/>
      <c r="F811" s="8"/>
      <c r="G811" s="37"/>
    </row>
    <row r="812" spans="1:7" ht="15.75" customHeight="1">
      <c r="A812" s="9"/>
      <c r="B812" s="8"/>
      <c r="C812" s="9"/>
      <c r="D812" s="8"/>
      <c r="E812" s="9"/>
      <c r="F812" s="8"/>
      <c r="G812" s="37"/>
    </row>
    <row r="813" spans="1:7" ht="15.75" customHeight="1">
      <c r="A813" s="9"/>
      <c r="B813" s="8"/>
      <c r="C813" s="9"/>
      <c r="D813" s="8"/>
      <c r="E813" s="9"/>
      <c r="F813" s="8"/>
      <c r="G813" s="37"/>
    </row>
    <row r="814" spans="1:7" ht="15.75" customHeight="1">
      <c r="A814" s="9"/>
      <c r="B814" s="8"/>
      <c r="C814" s="9"/>
      <c r="D814" s="8"/>
      <c r="E814" s="9"/>
      <c r="F814" s="8"/>
      <c r="G814" s="37"/>
    </row>
    <row r="815" spans="1:7" ht="15.75" customHeight="1">
      <c r="A815" s="9"/>
      <c r="B815" s="8"/>
      <c r="C815" s="9"/>
      <c r="D815" s="8"/>
      <c r="E815" s="9"/>
      <c r="F815" s="8"/>
      <c r="G815" s="37"/>
    </row>
    <row r="816" spans="1:7" ht="15.75" customHeight="1">
      <c r="A816" s="9"/>
      <c r="B816" s="8"/>
      <c r="C816" s="9"/>
      <c r="D816" s="8"/>
      <c r="E816" s="9"/>
      <c r="F816" s="8"/>
      <c r="G816" s="37"/>
    </row>
    <row r="817" spans="1:7" ht="15.75" customHeight="1">
      <c r="A817" s="9"/>
      <c r="B817" s="8"/>
      <c r="C817" s="9"/>
      <c r="D817" s="8"/>
      <c r="E817" s="9"/>
      <c r="F817" s="8"/>
      <c r="G817" s="37"/>
    </row>
    <row r="818" spans="1:7" ht="15.75" customHeight="1">
      <c r="A818" s="9"/>
      <c r="B818" s="8"/>
      <c r="C818" s="9"/>
      <c r="D818" s="8"/>
      <c r="E818" s="9"/>
      <c r="F818" s="8"/>
      <c r="G818" s="37"/>
    </row>
    <row r="819" spans="1:7" ht="15.75" customHeight="1">
      <c r="A819" s="9"/>
      <c r="B819" s="8"/>
      <c r="C819" s="9"/>
      <c r="D819" s="8"/>
      <c r="E819" s="9"/>
      <c r="F819" s="8"/>
      <c r="G819" s="37"/>
    </row>
    <row r="820" spans="1:7" ht="15.75" customHeight="1">
      <c r="A820" s="9"/>
      <c r="B820" s="8"/>
      <c r="C820" s="9"/>
      <c r="D820" s="8"/>
      <c r="E820" s="9"/>
      <c r="F820" s="8"/>
      <c r="G820" s="37"/>
    </row>
    <row r="821" spans="1:7" ht="15.75" customHeight="1">
      <c r="A821" s="9"/>
      <c r="B821" s="8"/>
      <c r="C821" s="9"/>
      <c r="D821" s="8"/>
      <c r="E821" s="9"/>
      <c r="F821" s="8"/>
      <c r="G821" s="37"/>
    </row>
    <row r="822" spans="1:7" ht="15.75" customHeight="1">
      <c r="A822" s="9"/>
      <c r="B822" s="8"/>
      <c r="C822" s="9"/>
      <c r="D822" s="8"/>
      <c r="E822" s="9"/>
      <c r="F822" s="8"/>
      <c r="G822" s="37"/>
    </row>
    <row r="823" spans="1:7" ht="15.75" customHeight="1">
      <c r="A823" s="9"/>
      <c r="B823" s="8"/>
      <c r="C823" s="9"/>
      <c r="D823" s="8"/>
      <c r="E823" s="9"/>
      <c r="F823" s="8"/>
      <c r="G823" s="37"/>
    </row>
    <row r="824" spans="1:7" ht="15.75" customHeight="1">
      <c r="A824" s="9"/>
      <c r="B824" s="8"/>
      <c r="C824" s="9"/>
      <c r="D824" s="8"/>
      <c r="E824" s="9"/>
      <c r="F824" s="8"/>
      <c r="G824" s="37"/>
    </row>
    <row r="825" spans="1:7" ht="15.75" customHeight="1">
      <c r="A825" s="9"/>
      <c r="B825" s="8"/>
      <c r="C825" s="9"/>
      <c r="D825" s="8"/>
      <c r="E825" s="9"/>
      <c r="F825" s="8"/>
      <c r="G825" s="37"/>
    </row>
    <row r="826" spans="1:7" ht="15.75" customHeight="1">
      <c r="A826" s="9"/>
      <c r="B826" s="8"/>
      <c r="C826" s="9"/>
      <c r="D826" s="8"/>
      <c r="E826" s="9"/>
      <c r="F826" s="8"/>
      <c r="G826" s="37"/>
    </row>
    <row r="827" spans="1:7" ht="15.75" customHeight="1">
      <c r="A827" s="9"/>
      <c r="B827" s="8"/>
      <c r="C827" s="9"/>
      <c r="D827" s="8"/>
      <c r="E827" s="9"/>
      <c r="F827" s="8"/>
      <c r="G827" s="37"/>
    </row>
    <row r="828" spans="1:7" ht="15.75" customHeight="1">
      <c r="A828" s="9"/>
      <c r="B828" s="8"/>
      <c r="C828" s="9"/>
      <c r="D828" s="8"/>
      <c r="E828" s="9"/>
      <c r="F828" s="8"/>
      <c r="G828" s="37"/>
    </row>
    <row r="829" spans="1:7" ht="15.75" customHeight="1">
      <c r="A829" s="9"/>
      <c r="B829" s="8"/>
      <c r="C829" s="9"/>
      <c r="D829" s="8"/>
      <c r="E829" s="9"/>
      <c r="F829" s="8"/>
      <c r="G829" s="37"/>
    </row>
    <row r="830" spans="1:7" ht="15.75" customHeight="1">
      <c r="A830" s="9"/>
      <c r="B830" s="8"/>
      <c r="C830" s="9"/>
      <c r="D830" s="8"/>
      <c r="E830" s="9"/>
      <c r="F830" s="8"/>
      <c r="G830" s="37"/>
    </row>
    <row r="831" spans="1:7" ht="15.75" customHeight="1">
      <c r="A831" s="9"/>
      <c r="B831" s="8"/>
      <c r="C831" s="9"/>
      <c r="D831" s="8"/>
      <c r="E831" s="9"/>
      <c r="F831" s="8"/>
      <c r="G831" s="37"/>
    </row>
    <row r="832" spans="1:7" ht="15.75" customHeight="1">
      <c r="A832" s="9"/>
      <c r="B832" s="8"/>
      <c r="C832" s="9"/>
      <c r="D832" s="8"/>
      <c r="E832" s="9"/>
      <c r="F832" s="8"/>
      <c r="G832" s="37"/>
    </row>
    <row r="833" spans="1:7" ht="15.75" customHeight="1">
      <c r="A833" s="9"/>
      <c r="B833" s="8"/>
      <c r="C833" s="9"/>
      <c r="D833" s="8"/>
      <c r="E833" s="9"/>
      <c r="F833" s="8"/>
      <c r="G833" s="37"/>
    </row>
    <row r="834" spans="1:7" ht="15.75" customHeight="1">
      <c r="A834" s="9"/>
      <c r="B834" s="8"/>
      <c r="C834" s="9"/>
      <c r="D834" s="8"/>
      <c r="E834" s="9"/>
      <c r="F834" s="8"/>
      <c r="G834" s="37"/>
    </row>
    <row r="835" spans="1:7" ht="15.75" customHeight="1">
      <c r="A835" s="9"/>
      <c r="B835" s="8"/>
      <c r="C835" s="9"/>
      <c r="D835" s="8"/>
      <c r="E835" s="9"/>
      <c r="F835" s="8"/>
      <c r="G835" s="37"/>
    </row>
    <row r="836" spans="1:7" ht="15.75" customHeight="1">
      <c r="A836" s="9"/>
      <c r="B836" s="8"/>
      <c r="C836" s="9"/>
      <c r="D836" s="8"/>
      <c r="E836" s="9"/>
      <c r="F836" s="8"/>
      <c r="G836" s="37"/>
    </row>
    <row r="837" spans="1:7" ht="15.75" customHeight="1">
      <c r="A837" s="9"/>
      <c r="B837" s="8"/>
      <c r="C837" s="9"/>
      <c r="D837" s="8"/>
      <c r="E837" s="9"/>
      <c r="F837" s="8"/>
      <c r="G837" s="37"/>
    </row>
    <row r="838" spans="1:7" ht="15.75" customHeight="1">
      <c r="A838" s="9"/>
      <c r="B838" s="8"/>
      <c r="C838" s="9"/>
      <c r="D838" s="8"/>
      <c r="E838" s="9"/>
      <c r="F838" s="8"/>
      <c r="G838" s="37"/>
    </row>
    <row r="839" spans="1:7" ht="15.75" customHeight="1">
      <c r="A839" s="9"/>
      <c r="B839" s="8"/>
      <c r="C839" s="9"/>
      <c r="D839" s="8"/>
      <c r="E839" s="9"/>
      <c r="F839" s="8"/>
      <c r="G839" s="37"/>
    </row>
    <row r="840" spans="1:7" ht="15.75" customHeight="1">
      <c r="A840" s="9"/>
      <c r="B840" s="8"/>
      <c r="C840" s="9"/>
      <c r="D840" s="8"/>
      <c r="E840" s="9"/>
      <c r="F840" s="8"/>
      <c r="G840" s="37"/>
    </row>
    <row r="841" spans="1:7" ht="15.75" customHeight="1">
      <c r="A841" s="9"/>
      <c r="B841" s="8"/>
      <c r="C841" s="9"/>
      <c r="D841" s="8"/>
      <c r="E841" s="9"/>
      <c r="F841" s="8"/>
      <c r="G841" s="37"/>
    </row>
    <row r="842" spans="1:7" ht="15.75" customHeight="1">
      <c r="A842" s="9"/>
      <c r="B842" s="8"/>
      <c r="C842" s="9"/>
      <c r="D842" s="8"/>
      <c r="E842" s="9"/>
      <c r="F842" s="8"/>
      <c r="G842" s="37"/>
    </row>
    <row r="843" spans="1:7" ht="15.75" customHeight="1">
      <c r="A843" s="9"/>
      <c r="B843" s="8"/>
      <c r="C843" s="9"/>
      <c r="D843" s="8"/>
      <c r="E843" s="9"/>
      <c r="F843" s="8"/>
      <c r="G843" s="37"/>
    </row>
    <row r="844" spans="1:7" ht="15.75" customHeight="1">
      <c r="A844" s="9"/>
      <c r="B844" s="8"/>
      <c r="C844" s="9"/>
      <c r="D844" s="8"/>
      <c r="E844" s="9"/>
      <c r="F844" s="8"/>
      <c r="G844" s="37"/>
    </row>
    <row r="845" spans="1:7" ht="15.75" customHeight="1">
      <c r="A845" s="9"/>
      <c r="B845" s="8"/>
      <c r="C845" s="9"/>
      <c r="D845" s="8"/>
      <c r="E845" s="9"/>
      <c r="F845" s="8"/>
      <c r="G845" s="37"/>
    </row>
    <row r="846" spans="1:7" ht="15.75" customHeight="1">
      <c r="A846" s="9"/>
      <c r="B846" s="8"/>
      <c r="C846" s="9"/>
      <c r="D846" s="8"/>
      <c r="E846" s="9"/>
      <c r="F846" s="8"/>
      <c r="G846" s="37"/>
    </row>
    <row r="847" spans="1:7" ht="15.75" customHeight="1">
      <c r="A847" s="9"/>
      <c r="B847" s="8"/>
      <c r="C847" s="9"/>
      <c r="D847" s="8"/>
      <c r="E847" s="9"/>
      <c r="F847" s="8"/>
      <c r="G847" s="37"/>
    </row>
    <row r="848" spans="1:7" ht="15.75" customHeight="1">
      <c r="A848" s="9"/>
      <c r="B848" s="8"/>
      <c r="C848" s="9"/>
      <c r="D848" s="8"/>
      <c r="E848" s="9"/>
      <c r="F848" s="8"/>
      <c r="G848" s="37"/>
    </row>
    <row r="849" spans="1:7" ht="15.75" customHeight="1">
      <c r="A849" s="9"/>
      <c r="B849" s="8"/>
      <c r="C849" s="9"/>
      <c r="D849" s="8"/>
      <c r="E849" s="9"/>
      <c r="F849" s="8"/>
      <c r="G849" s="37"/>
    </row>
    <row r="850" spans="1:7" ht="15.75" customHeight="1">
      <c r="A850" s="9"/>
      <c r="B850" s="8"/>
      <c r="C850" s="9"/>
      <c r="D850" s="8"/>
      <c r="E850" s="9"/>
      <c r="F850" s="8"/>
      <c r="G850" s="37"/>
    </row>
    <row r="851" spans="1:7" ht="15.75" customHeight="1">
      <c r="A851" s="9"/>
      <c r="B851" s="8"/>
      <c r="C851" s="9"/>
      <c r="D851" s="8"/>
      <c r="E851" s="9"/>
      <c r="F851" s="8"/>
      <c r="G851" s="37"/>
    </row>
    <row r="852" spans="1:7" ht="15.75" customHeight="1">
      <c r="A852" s="9"/>
      <c r="B852" s="8"/>
      <c r="C852" s="9"/>
      <c r="D852" s="8"/>
      <c r="E852" s="9"/>
      <c r="F852" s="8"/>
      <c r="G852" s="37"/>
    </row>
    <row r="853" spans="1:7" ht="15.75" customHeight="1">
      <c r="A853" s="9"/>
      <c r="B853" s="8"/>
      <c r="C853" s="9"/>
      <c r="D853" s="8"/>
      <c r="E853" s="9"/>
      <c r="F853" s="8"/>
      <c r="G853" s="37"/>
    </row>
    <row r="854" spans="1:7" ht="15.75" customHeight="1">
      <c r="A854" s="9"/>
      <c r="B854" s="8"/>
      <c r="C854" s="9"/>
      <c r="D854" s="8"/>
      <c r="E854" s="9"/>
      <c r="F854" s="8"/>
      <c r="G854" s="37"/>
    </row>
    <row r="855" spans="1:7" ht="15.75" customHeight="1">
      <c r="A855" s="9"/>
      <c r="B855" s="8"/>
      <c r="C855" s="9"/>
      <c r="D855" s="8"/>
      <c r="E855" s="9"/>
      <c r="F855" s="8"/>
      <c r="G855" s="37"/>
    </row>
    <row r="856" spans="1:7" ht="15.75" customHeight="1">
      <c r="A856" s="9"/>
      <c r="B856" s="8"/>
      <c r="C856" s="9"/>
      <c r="D856" s="8"/>
      <c r="E856" s="9"/>
      <c r="F856" s="8"/>
      <c r="G856" s="37"/>
    </row>
    <row r="857" spans="1:7" ht="15.75" customHeight="1">
      <c r="A857" s="9"/>
      <c r="B857" s="8"/>
      <c r="C857" s="9"/>
      <c r="D857" s="8"/>
      <c r="E857" s="9"/>
      <c r="F857" s="8"/>
      <c r="G857" s="37"/>
    </row>
    <row r="858" spans="1:7" ht="15.75" customHeight="1">
      <c r="A858" s="9"/>
      <c r="B858" s="8"/>
      <c r="C858" s="9"/>
      <c r="D858" s="8"/>
      <c r="E858" s="9"/>
      <c r="F858" s="8"/>
      <c r="G858" s="37"/>
    </row>
    <row r="859" spans="1:7" ht="15.75" customHeight="1">
      <c r="A859" s="9"/>
      <c r="B859" s="8"/>
      <c r="C859" s="9"/>
      <c r="D859" s="8"/>
      <c r="E859" s="9"/>
      <c r="F859" s="8"/>
      <c r="G859" s="37"/>
    </row>
    <row r="860" spans="1:7" ht="15.75" customHeight="1">
      <c r="A860" s="9"/>
      <c r="B860" s="8"/>
      <c r="C860" s="9"/>
      <c r="D860" s="8"/>
      <c r="E860" s="9"/>
      <c r="F860" s="8"/>
      <c r="G860" s="37"/>
    </row>
    <row r="861" spans="1:7" ht="15.75" customHeight="1">
      <c r="A861" s="9"/>
      <c r="B861" s="8"/>
      <c r="C861" s="9"/>
      <c r="D861" s="8"/>
      <c r="E861" s="9"/>
      <c r="F861" s="8"/>
      <c r="G861" s="37"/>
    </row>
    <row r="862" spans="1:7" ht="15.75" customHeight="1">
      <c r="A862" s="9"/>
      <c r="B862" s="8"/>
      <c r="C862" s="9"/>
      <c r="D862" s="8"/>
      <c r="E862" s="9"/>
      <c r="F862" s="8"/>
      <c r="G862" s="37"/>
    </row>
    <row r="863" spans="1:7" ht="15.75" customHeight="1">
      <c r="A863" s="9"/>
      <c r="B863" s="8"/>
      <c r="C863" s="9"/>
      <c r="D863" s="8"/>
      <c r="E863" s="9"/>
      <c r="F863" s="8"/>
      <c r="G863" s="37"/>
    </row>
    <row r="864" spans="1:7" ht="15.75" customHeight="1">
      <c r="A864" s="9"/>
      <c r="B864" s="8"/>
      <c r="C864" s="9"/>
      <c r="D864" s="8"/>
      <c r="E864" s="9"/>
      <c r="F864" s="8"/>
      <c r="G864" s="37"/>
    </row>
    <row r="865" spans="1:7" ht="15.75" customHeight="1">
      <c r="A865" s="9"/>
      <c r="B865" s="8"/>
      <c r="C865" s="9"/>
      <c r="D865" s="8"/>
      <c r="E865" s="9"/>
      <c r="F865" s="8"/>
      <c r="G865" s="37"/>
    </row>
    <row r="866" spans="1:7" ht="15.75" customHeight="1">
      <c r="A866" s="9"/>
      <c r="B866" s="8"/>
      <c r="C866" s="9"/>
      <c r="D866" s="8"/>
      <c r="E866" s="9"/>
      <c r="F866" s="8"/>
      <c r="G866" s="37"/>
    </row>
    <row r="867" spans="1:7" ht="15.75" customHeight="1">
      <c r="A867" s="9"/>
      <c r="B867" s="8"/>
      <c r="C867" s="9"/>
      <c r="D867" s="8"/>
      <c r="E867" s="9"/>
      <c r="F867" s="8"/>
      <c r="G867" s="37"/>
    </row>
    <row r="868" spans="1:7" ht="15.75" customHeight="1">
      <c r="A868" s="9"/>
      <c r="B868" s="8"/>
      <c r="C868" s="9"/>
      <c r="D868" s="8"/>
      <c r="E868" s="9"/>
      <c r="F868" s="8"/>
      <c r="G868" s="37"/>
    </row>
    <row r="869" spans="1:7" ht="15.75" customHeight="1">
      <c r="A869" s="9"/>
      <c r="B869" s="8"/>
      <c r="C869" s="9"/>
      <c r="D869" s="8"/>
      <c r="E869" s="9"/>
      <c r="F869" s="8"/>
      <c r="G869" s="37"/>
    </row>
    <row r="870" spans="1:7" ht="15.75" customHeight="1">
      <c r="A870" s="9"/>
      <c r="B870" s="8"/>
      <c r="C870" s="9"/>
      <c r="D870" s="8"/>
      <c r="E870" s="9"/>
      <c r="F870" s="8"/>
      <c r="G870" s="37"/>
    </row>
    <row r="871" spans="1:7" ht="15.75" customHeight="1">
      <c r="A871" s="9"/>
      <c r="B871" s="8"/>
      <c r="C871" s="9"/>
      <c r="D871" s="8"/>
      <c r="E871" s="9"/>
      <c r="F871" s="8"/>
      <c r="G871" s="37"/>
    </row>
    <row r="872" spans="1:7" ht="15.75" customHeight="1">
      <c r="A872" s="9"/>
      <c r="B872" s="8"/>
      <c r="C872" s="9"/>
      <c r="D872" s="8"/>
      <c r="E872" s="9"/>
      <c r="F872" s="8"/>
      <c r="G872" s="37"/>
    </row>
    <row r="873" spans="1:7" ht="15.75" customHeight="1">
      <c r="A873" s="9"/>
      <c r="B873" s="8"/>
      <c r="C873" s="9"/>
      <c r="D873" s="8"/>
      <c r="E873" s="9"/>
      <c r="F873" s="8"/>
      <c r="G873" s="37"/>
    </row>
    <row r="874" spans="1:7" ht="15.75" customHeight="1">
      <c r="A874" s="9"/>
      <c r="B874" s="8"/>
      <c r="C874" s="9"/>
      <c r="D874" s="8"/>
      <c r="E874" s="9"/>
      <c r="F874" s="8"/>
      <c r="G874" s="37"/>
    </row>
    <row r="875" spans="1:7" ht="15.75" customHeight="1">
      <c r="A875" s="9"/>
      <c r="B875" s="8"/>
      <c r="C875" s="9"/>
      <c r="D875" s="8"/>
      <c r="E875" s="9"/>
      <c r="F875" s="8"/>
      <c r="G875" s="37"/>
    </row>
    <row r="876" spans="1:7" ht="15.75" customHeight="1">
      <c r="A876" s="9"/>
      <c r="B876" s="8"/>
      <c r="C876" s="9"/>
      <c r="D876" s="8"/>
      <c r="E876" s="9"/>
      <c r="F876" s="8"/>
      <c r="G876" s="37"/>
    </row>
    <row r="877" spans="1:7" ht="15.75" customHeight="1">
      <c r="A877" s="9"/>
      <c r="B877" s="8"/>
      <c r="C877" s="9"/>
      <c r="D877" s="8"/>
      <c r="E877" s="9"/>
      <c r="F877" s="8"/>
      <c r="G877" s="37"/>
    </row>
    <row r="878" spans="1:7" ht="15.75" customHeight="1">
      <c r="A878" s="9"/>
      <c r="B878" s="8"/>
      <c r="C878" s="9"/>
      <c r="D878" s="8"/>
      <c r="E878" s="9"/>
      <c r="F878" s="8"/>
      <c r="G878" s="37"/>
    </row>
    <row r="879" spans="1:7" ht="15.75" customHeight="1">
      <c r="A879" s="9"/>
      <c r="B879" s="8"/>
      <c r="C879" s="9"/>
      <c r="D879" s="8"/>
      <c r="E879" s="9"/>
      <c r="F879" s="8"/>
      <c r="G879" s="37"/>
    </row>
    <row r="880" spans="1:7" ht="15.75" customHeight="1">
      <c r="A880" s="9"/>
      <c r="B880" s="8"/>
      <c r="C880" s="9"/>
      <c r="D880" s="8"/>
      <c r="E880" s="9"/>
      <c r="F880" s="8"/>
      <c r="G880" s="37"/>
    </row>
    <row r="881" spans="1:7" ht="15.75" customHeight="1">
      <c r="A881" s="9"/>
      <c r="B881" s="8"/>
      <c r="C881" s="9"/>
      <c r="D881" s="8"/>
      <c r="E881" s="9"/>
      <c r="F881" s="8"/>
      <c r="G881" s="37"/>
    </row>
    <row r="882" spans="1:7" ht="15.75" customHeight="1">
      <c r="A882" s="9"/>
      <c r="B882" s="8"/>
      <c r="C882" s="9"/>
      <c r="D882" s="8"/>
      <c r="E882" s="9"/>
      <c r="F882" s="8"/>
      <c r="G882" s="37"/>
    </row>
    <row r="883" spans="1:7" ht="15.75" customHeight="1">
      <c r="A883" s="9"/>
      <c r="B883" s="8"/>
      <c r="C883" s="9"/>
      <c r="D883" s="8"/>
      <c r="E883" s="9"/>
      <c r="F883" s="8"/>
      <c r="G883" s="37"/>
    </row>
    <row r="884" spans="1:7" ht="15.75" customHeight="1">
      <c r="A884" s="9"/>
      <c r="B884" s="8"/>
      <c r="C884" s="9"/>
      <c r="D884" s="8"/>
      <c r="E884" s="9"/>
      <c r="F884" s="8"/>
      <c r="G884" s="37"/>
    </row>
    <row r="885" spans="1:7" ht="15.75" customHeight="1">
      <c r="A885" s="9"/>
      <c r="B885" s="8"/>
      <c r="C885" s="9"/>
      <c r="D885" s="8"/>
      <c r="E885" s="9"/>
      <c r="F885" s="8"/>
      <c r="G885" s="37"/>
    </row>
    <row r="886" spans="1:7" ht="15.75" customHeight="1">
      <c r="A886" s="9"/>
      <c r="B886" s="8"/>
      <c r="C886" s="9"/>
      <c r="D886" s="8"/>
      <c r="E886" s="9"/>
      <c r="F886" s="8"/>
      <c r="G886" s="37"/>
    </row>
    <row r="887" spans="1:7" ht="15.75" customHeight="1">
      <c r="A887" s="9"/>
      <c r="B887" s="8"/>
      <c r="C887" s="9"/>
      <c r="D887" s="8"/>
      <c r="E887" s="9"/>
      <c r="F887" s="8"/>
      <c r="G887" s="37"/>
    </row>
    <row r="888" spans="1:7" ht="15.75" customHeight="1">
      <c r="A888" s="9"/>
      <c r="B888" s="8"/>
      <c r="C888" s="9"/>
      <c r="D888" s="8"/>
      <c r="E888" s="9"/>
      <c r="F888" s="8"/>
      <c r="G888" s="37"/>
    </row>
    <row r="889" spans="1:7" ht="15.75" customHeight="1">
      <c r="A889" s="9"/>
      <c r="B889" s="8"/>
      <c r="C889" s="9"/>
      <c r="D889" s="8"/>
      <c r="E889" s="9"/>
      <c r="F889" s="8"/>
      <c r="G889" s="37"/>
    </row>
    <row r="890" spans="1:7" ht="15.75" customHeight="1">
      <c r="A890" s="9"/>
      <c r="B890" s="8"/>
      <c r="C890" s="9"/>
      <c r="D890" s="8"/>
      <c r="E890" s="9"/>
      <c r="F890" s="8"/>
      <c r="G890" s="37"/>
    </row>
    <row r="891" spans="1:7" ht="15.75" customHeight="1">
      <c r="A891" s="9"/>
      <c r="B891" s="8"/>
      <c r="C891" s="9"/>
      <c r="D891" s="8"/>
      <c r="E891" s="9"/>
      <c r="F891" s="8"/>
      <c r="G891" s="37"/>
    </row>
    <row r="892" spans="1:7" ht="15.75" customHeight="1">
      <c r="A892" s="9"/>
      <c r="B892" s="8"/>
      <c r="C892" s="9"/>
      <c r="D892" s="8"/>
      <c r="E892" s="9"/>
      <c r="F892" s="8"/>
      <c r="G892" s="37"/>
    </row>
    <row r="893" spans="1:7" ht="15.75" customHeight="1">
      <c r="A893" s="9"/>
      <c r="B893" s="8"/>
      <c r="C893" s="9"/>
      <c r="D893" s="8"/>
      <c r="E893" s="9"/>
      <c r="F893" s="8"/>
      <c r="G893" s="37"/>
    </row>
    <row r="894" spans="1:7" ht="15.75" customHeight="1">
      <c r="A894" s="9"/>
      <c r="B894" s="8"/>
      <c r="C894" s="9"/>
      <c r="D894" s="8"/>
      <c r="E894" s="9"/>
      <c r="F894" s="8"/>
      <c r="G894" s="37"/>
    </row>
    <row r="895" spans="1:7" ht="15.75" customHeight="1">
      <c r="A895" s="9"/>
      <c r="B895" s="8"/>
      <c r="C895" s="9"/>
      <c r="D895" s="8"/>
      <c r="E895" s="9"/>
      <c r="F895" s="8"/>
      <c r="G895" s="37"/>
    </row>
    <row r="896" spans="1:7" ht="15.75" customHeight="1">
      <c r="A896" s="9"/>
      <c r="B896" s="8"/>
      <c r="C896" s="9"/>
      <c r="D896" s="8"/>
      <c r="E896" s="9"/>
      <c r="F896" s="8"/>
      <c r="G896" s="37"/>
    </row>
    <row r="897" spans="1:7" ht="15.75" customHeight="1">
      <c r="A897" s="9"/>
      <c r="B897" s="8"/>
      <c r="C897" s="9"/>
      <c r="D897" s="8"/>
      <c r="E897" s="9"/>
      <c r="F897" s="8"/>
      <c r="G897" s="37"/>
    </row>
    <row r="898" spans="1:7" ht="15.75" customHeight="1">
      <c r="A898" s="9"/>
      <c r="B898" s="8"/>
      <c r="C898" s="9"/>
      <c r="D898" s="8"/>
      <c r="E898" s="9"/>
      <c r="F898" s="8"/>
      <c r="G898" s="37"/>
    </row>
    <row r="899" spans="1:7" ht="15.75" customHeight="1">
      <c r="A899" s="9"/>
      <c r="B899" s="8"/>
      <c r="C899" s="9"/>
      <c r="D899" s="8"/>
      <c r="E899" s="9"/>
      <c r="F899" s="8"/>
      <c r="G899" s="37"/>
    </row>
    <row r="900" spans="1:7" ht="15.75" customHeight="1">
      <c r="A900" s="9"/>
      <c r="B900" s="8"/>
      <c r="C900" s="9"/>
      <c r="D900" s="8"/>
      <c r="E900" s="9"/>
      <c r="F900" s="8"/>
      <c r="G900" s="37"/>
    </row>
    <row r="901" spans="1:7" ht="15.75" customHeight="1">
      <c r="A901" s="9"/>
      <c r="B901" s="8"/>
      <c r="C901" s="9"/>
      <c r="D901" s="8"/>
      <c r="E901" s="9"/>
      <c r="F901" s="8"/>
      <c r="G901" s="37"/>
    </row>
    <row r="902" spans="1:7" ht="15.75" customHeight="1">
      <c r="A902" s="9"/>
      <c r="B902" s="8"/>
      <c r="C902" s="9"/>
      <c r="D902" s="8"/>
      <c r="E902" s="9"/>
      <c r="F902" s="8"/>
      <c r="G902" s="37"/>
    </row>
    <row r="903" spans="1:7" ht="15.75" customHeight="1">
      <c r="A903" s="9"/>
      <c r="B903" s="8"/>
      <c r="C903" s="9"/>
      <c r="D903" s="8"/>
      <c r="E903" s="9"/>
      <c r="F903" s="8"/>
      <c r="G903" s="37"/>
    </row>
    <row r="904" spans="1:7" ht="15.75" customHeight="1">
      <c r="A904" s="9"/>
      <c r="B904" s="8"/>
      <c r="C904" s="9"/>
      <c r="D904" s="8"/>
      <c r="E904" s="9"/>
      <c r="F904" s="8"/>
      <c r="G904" s="37"/>
    </row>
    <row r="905" spans="1:7" ht="15.75" customHeight="1">
      <c r="A905" s="9"/>
      <c r="B905" s="8"/>
      <c r="C905" s="9"/>
      <c r="D905" s="8"/>
      <c r="E905" s="9"/>
      <c r="F905" s="8"/>
      <c r="G905" s="37"/>
    </row>
    <row r="906" spans="1:7" ht="15.75" customHeight="1">
      <c r="A906" s="9"/>
      <c r="B906" s="8"/>
      <c r="C906" s="9"/>
      <c r="D906" s="8"/>
      <c r="E906" s="9"/>
      <c r="F906" s="8"/>
      <c r="G906" s="37"/>
    </row>
    <row r="907" spans="1:7" ht="15.75" customHeight="1">
      <c r="A907" s="9"/>
      <c r="B907" s="8"/>
      <c r="C907" s="9"/>
      <c r="D907" s="8"/>
      <c r="E907" s="9"/>
      <c r="F907" s="8"/>
      <c r="G907" s="37"/>
    </row>
    <row r="908" spans="1:7" ht="15.75" customHeight="1">
      <c r="A908" s="9"/>
      <c r="B908" s="8"/>
      <c r="C908" s="9"/>
      <c r="D908" s="8"/>
      <c r="E908" s="9"/>
      <c r="F908" s="8"/>
      <c r="G908" s="37"/>
    </row>
    <row r="909" spans="1:7" ht="15.75" customHeight="1">
      <c r="A909" s="9"/>
      <c r="B909" s="8"/>
      <c r="C909" s="9"/>
      <c r="D909" s="8"/>
      <c r="E909" s="9"/>
      <c r="F909" s="8"/>
      <c r="G909" s="37"/>
    </row>
    <row r="910" spans="1:7" ht="15.75" customHeight="1">
      <c r="A910" s="9"/>
      <c r="B910" s="8"/>
      <c r="C910" s="9"/>
      <c r="D910" s="8"/>
      <c r="E910" s="9"/>
      <c r="F910" s="8"/>
      <c r="G910" s="37"/>
    </row>
    <row r="911" spans="1:7" ht="15.75" customHeight="1">
      <c r="A911" s="9"/>
      <c r="B911" s="8"/>
      <c r="C911" s="9"/>
      <c r="D911" s="8"/>
      <c r="E911" s="9"/>
      <c r="F911" s="8"/>
      <c r="G911" s="37"/>
    </row>
    <row r="912" spans="1:7" ht="15.75" customHeight="1">
      <c r="A912" s="9"/>
      <c r="B912" s="8"/>
      <c r="C912" s="9"/>
      <c r="D912" s="8"/>
      <c r="E912" s="9"/>
      <c r="F912" s="8"/>
      <c r="G912" s="37"/>
    </row>
    <row r="913" spans="1:7" ht="15.75" customHeight="1">
      <c r="A913" s="9"/>
      <c r="B913" s="8"/>
      <c r="C913" s="9"/>
      <c r="D913" s="8"/>
      <c r="E913" s="9"/>
      <c r="F913" s="8"/>
      <c r="G913" s="37"/>
    </row>
    <row r="914" spans="1:7" ht="15.75" customHeight="1">
      <c r="A914" s="9"/>
      <c r="B914" s="8"/>
      <c r="C914" s="9"/>
      <c r="D914" s="8"/>
      <c r="E914" s="9"/>
      <c r="F914" s="8"/>
      <c r="G914" s="37"/>
    </row>
    <row r="915" spans="1:7" ht="15.75" customHeight="1">
      <c r="A915" s="9"/>
      <c r="B915" s="8"/>
      <c r="C915" s="9"/>
      <c r="D915" s="8"/>
      <c r="E915" s="9"/>
      <c r="F915" s="8"/>
      <c r="G915" s="37"/>
    </row>
    <row r="916" spans="1:7" ht="15.75" customHeight="1">
      <c r="A916" s="9"/>
      <c r="B916" s="8"/>
      <c r="C916" s="9"/>
      <c r="D916" s="8"/>
      <c r="E916" s="9"/>
      <c r="F916" s="8"/>
      <c r="G916" s="37"/>
    </row>
    <row r="917" spans="1:7" ht="15.75" customHeight="1">
      <c r="A917" s="9"/>
      <c r="B917" s="8"/>
      <c r="C917" s="9"/>
      <c r="D917" s="8"/>
      <c r="E917" s="9"/>
      <c r="F917" s="8"/>
      <c r="G917" s="37"/>
    </row>
    <row r="918" spans="1:7" ht="15.75" customHeight="1">
      <c r="A918" s="9"/>
      <c r="B918" s="8"/>
      <c r="C918" s="9"/>
      <c r="D918" s="8"/>
      <c r="E918" s="9"/>
      <c r="F918" s="8"/>
      <c r="G918" s="37"/>
    </row>
    <row r="919" spans="1:7" ht="15.75" customHeight="1">
      <c r="A919" s="9"/>
      <c r="B919" s="8"/>
      <c r="C919" s="9"/>
      <c r="D919" s="8"/>
      <c r="E919" s="9"/>
      <c r="F919" s="8"/>
      <c r="G919" s="37"/>
    </row>
    <row r="920" spans="1:7" ht="15.75" customHeight="1">
      <c r="A920" s="9"/>
      <c r="B920" s="8"/>
      <c r="C920" s="9"/>
      <c r="D920" s="8"/>
      <c r="E920" s="9"/>
      <c r="F920" s="8"/>
      <c r="G920" s="37"/>
    </row>
    <row r="921" spans="1:7" ht="15.75" customHeight="1">
      <c r="A921" s="9"/>
      <c r="B921" s="8"/>
      <c r="C921" s="9"/>
      <c r="D921" s="8"/>
      <c r="E921" s="9"/>
      <c r="F921" s="8"/>
      <c r="G921" s="37"/>
    </row>
    <row r="922" spans="1:7" ht="15.75" customHeight="1">
      <c r="A922" s="9"/>
      <c r="B922" s="8"/>
      <c r="C922" s="9"/>
      <c r="D922" s="8"/>
      <c r="E922" s="9"/>
      <c r="F922" s="8"/>
      <c r="G922" s="37"/>
    </row>
    <row r="923" spans="1:7" ht="15.75" customHeight="1">
      <c r="A923" s="9"/>
      <c r="B923" s="8"/>
      <c r="C923" s="9"/>
      <c r="D923" s="8"/>
      <c r="E923" s="9"/>
      <c r="F923" s="8"/>
      <c r="G923" s="37"/>
    </row>
    <row r="924" spans="1:7" ht="15.75" customHeight="1">
      <c r="A924" s="9"/>
      <c r="B924" s="8"/>
      <c r="C924" s="9"/>
      <c r="D924" s="8"/>
      <c r="E924" s="9"/>
      <c r="F924" s="8"/>
      <c r="G924" s="37"/>
    </row>
    <row r="925" spans="1:7" ht="15.75" customHeight="1">
      <c r="A925" s="9"/>
      <c r="B925" s="8"/>
      <c r="C925" s="9"/>
      <c r="D925" s="8"/>
      <c r="E925" s="9"/>
      <c r="F925" s="8"/>
      <c r="G925" s="37"/>
    </row>
    <row r="926" spans="1:7" ht="15.75" customHeight="1">
      <c r="A926" s="9"/>
      <c r="B926" s="8"/>
      <c r="C926" s="9"/>
      <c r="D926" s="8"/>
      <c r="E926" s="9"/>
      <c r="F926" s="8"/>
      <c r="G926" s="37"/>
    </row>
    <row r="927" spans="1:7" ht="15.75" customHeight="1">
      <c r="A927" s="9"/>
      <c r="B927" s="8"/>
      <c r="C927" s="9"/>
      <c r="D927" s="8"/>
      <c r="E927" s="9"/>
      <c r="F927" s="8"/>
      <c r="G927" s="37"/>
    </row>
    <row r="928" spans="1:7" ht="15.75" customHeight="1">
      <c r="A928" s="9"/>
      <c r="B928" s="8"/>
      <c r="C928" s="9"/>
      <c r="D928" s="8"/>
      <c r="E928" s="9"/>
      <c r="F928" s="8"/>
      <c r="G928" s="37"/>
    </row>
    <row r="929" spans="1:7" ht="15.75" customHeight="1">
      <c r="A929" s="9"/>
      <c r="B929" s="8"/>
      <c r="C929" s="9"/>
      <c r="D929" s="8"/>
      <c r="E929" s="9"/>
      <c r="F929" s="8"/>
      <c r="G929" s="37"/>
    </row>
    <row r="930" spans="1:7" ht="15.75" customHeight="1">
      <c r="A930" s="9"/>
      <c r="B930" s="8"/>
      <c r="C930" s="9"/>
      <c r="D930" s="8"/>
      <c r="E930" s="9"/>
      <c r="F930" s="8"/>
      <c r="G930" s="37"/>
    </row>
    <row r="931" spans="1:7" ht="15.75" customHeight="1">
      <c r="A931" s="9"/>
      <c r="B931" s="8"/>
      <c r="C931" s="9"/>
      <c r="D931" s="8"/>
      <c r="E931" s="9"/>
      <c r="F931" s="8"/>
      <c r="G931" s="37"/>
    </row>
    <row r="932" spans="1:7" ht="15.75" customHeight="1">
      <c r="A932" s="9"/>
      <c r="B932" s="8"/>
      <c r="C932" s="9"/>
      <c r="D932" s="8"/>
      <c r="E932" s="9"/>
      <c r="F932" s="8"/>
      <c r="G932" s="37"/>
    </row>
    <row r="933" spans="1:7" ht="15.75" customHeight="1">
      <c r="A933" s="9"/>
      <c r="B933" s="8"/>
      <c r="C933" s="9"/>
      <c r="D933" s="8"/>
      <c r="E933" s="9"/>
      <c r="F933" s="8"/>
      <c r="G933" s="37"/>
    </row>
    <row r="934" spans="1:7" ht="15.75" customHeight="1">
      <c r="A934" s="9"/>
      <c r="B934" s="8"/>
      <c r="C934" s="9"/>
      <c r="D934" s="8"/>
      <c r="E934" s="9"/>
      <c r="F934" s="8"/>
      <c r="G934" s="37"/>
    </row>
    <row r="935" spans="1:7" ht="15.75" customHeight="1">
      <c r="A935" s="9"/>
      <c r="B935" s="8"/>
      <c r="C935" s="9"/>
      <c r="D935" s="8"/>
      <c r="E935" s="9"/>
      <c r="F935" s="8"/>
      <c r="G935" s="37"/>
    </row>
    <row r="936" spans="1:7" ht="15.75" customHeight="1">
      <c r="A936" s="9"/>
      <c r="B936" s="8"/>
      <c r="C936" s="9"/>
      <c r="D936" s="8"/>
      <c r="E936" s="9"/>
      <c r="F936" s="8"/>
      <c r="G936" s="37"/>
    </row>
    <row r="937" spans="1:7" ht="15.75" customHeight="1">
      <c r="A937" s="9"/>
      <c r="B937" s="8"/>
      <c r="C937" s="9"/>
      <c r="D937" s="8"/>
      <c r="E937" s="9"/>
      <c r="F937" s="8"/>
      <c r="G937" s="37"/>
    </row>
    <row r="938" spans="1:7" ht="15.75" customHeight="1">
      <c r="A938" s="9"/>
      <c r="B938" s="8"/>
      <c r="C938" s="9"/>
      <c r="D938" s="8"/>
      <c r="E938" s="9"/>
      <c r="F938" s="8"/>
      <c r="G938" s="37"/>
    </row>
    <row r="939" spans="1:7" ht="15.75" customHeight="1">
      <c r="A939" s="9"/>
      <c r="B939" s="8"/>
      <c r="C939" s="9"/>
      <c r="D939" s="8"/>
      <c r="E939" s="9"/>
      <c r="F939" s="8"/>
      <c r="G939" s="37"/>
    </row>
    <row r="940" spans="1:7" ht="15.75" customHeight="1">
      <c r="A940" s="9"/>
      <c r="B940" s="8"/>
      <c r="C940" s="9"/>
      <c r="D940" s="8"/>
      <c r="E940" s="9"/>
      <c r="F940" s="8"/>
      <c r="G940" s="37"/>
    </row>
    <row r="941" spans="1:7" ht="15.75" customHeight="1">
      <c r="A941" s="9"/>
      <c r="B941" s="8"/>
      <c r="C941" s="9"/>
      <c r="D941" s="8"/>
      <c r="E941" s="9"/>
      <c r="F941" s="8"/>
      <c r="G941" s="37"/>
    </row>
    <row r="942" spans="1:7" ht="15.75" customHeight="1">
      <c r="A942" s="9"/>
      <c r="B942" s="8"/>
      <c r="C942" s="9"/>
      <c r="D942" s="8"/>
      <c r="E942" s="9"/>
      <c r="F942" s="8"/>
      <c r="G942" s="37"/>
    </row>
    <row r="943" spans="1:7" ht="15.75" customHeight="1">
      <c r="A943" s="9"/>
      <c r="B943" s="8"/>
      <c r="C943" s="9"/>
      <c r="D943" s="8"/>
      <c r="E943" s="9"/>
      <c r="F943" s="8"/>
      <c r="G943" s="37"/>
    </row>
    <row r="944" spans="1:7" ht="15.75" customHeight="1">
      <c r="A944" s="9"/>
      <c r="B944" s="8"/>
      <c r="C944" s="9"/>
      <c r="D944" s="8"/>
      <c r="E944" s="9"/>
      <c r="F944" s="8"/>
      <c r="G944" s="37"/>
    </row>
    <row r="945" spans="1:7" ht="15.75" customHeight="1">
      <c r="A945" s="9"/>
      <c r="B945" s="8"/>
      <c r="C945" s="9"/>
      <c r="D945" s="8"/>
      <c r="E945" s="9"/>
      <c r="F945" s="8"/>
      <c r="G945" s="37"/>
    </row>
    <row r="946" spans="1:7" ht="15.75" customHeight="1">
      <c r="A946" s="9"/>
      <c r="B946" s="8"/>
      <c r="C946" s="9"/>
      <c r="D946" s="8"/>
      <c r="E946" s="9"/>
      <c r="F946" s="8"/>
      <c r="G946" s="37"/>
    </row>
    <row r="947" spans="1:7" ht="15.75" customHeight="1">
      <c r="A947" s="9"/>
      <c r="B947" s="8"/>
      <c r="C947" s="9"/>
      <c r="D947" s="8"/>
      <c r="E947" s="9"/>
      <c r="F947" s="8"/>
      <c r="G947" s="37"/>
    </row>
    <row r="948" spans="1:7" ht="15.75" customHeight="1">
      <c r="A948" s="9"/>
      <c r="B948" s="8"/>
      <c r="C948" s="9"/>
      <c r="D948" s="8"/>
      <c r="E948" s="9"/>
      <c r="F948" s="8"/>
      <c r="G948" s="37"/>
    </row>
    <row r="949" spans="1:7" ht="15.75" customHeight="1">
      <c r="A949" s="9"/>
      <c r="B949" s="8"/>
      <c r="C949" s="9"/>
      <c r="D949" s="8"/>
      <c r="E949" s="9"/>
      <c r="F949" s="8"/>
      <c r="G949" s="37"/>
    </row>
    <row r="950" spans="1:7" ht="15.75" customHeight="1">
      <c r="A950" s="9"/>
      <c r="B950" s="8"/>
      <c r="C950" s="9"/>
      <c r="D950" s="8"/>
      <c r="E950" s="9"/>
      <c r="F950" s="8"/>
      <c r="G950" s="37"/>
    </row>
    <row r="951" spans="1:7" ht="15.75" customHeight="1">
      <c r="A951" s="9"/>
      <c r="B951" s="8"/>
      <c r="C951" s="9"/>
      <c r="D951" s="8"/>
      <c r="E951" s="9"/>
      <c r="F951" s="8"/>
      <c r="G951" s="37"/>
    </row>
    <row r="952" spans="1:7" ht="15.75" customHeight="1">
      <c r="A952" s="9"/>
      <c r="B952" s="8"/>
      <c r="C952" s="9"/>
      <c r="D952" s="8"/>
      <c r="E952" s="9"/>
      <c r="F952" s="8"/>
      <c r="G952" s="37"/>
    </row>
    <row r="953" spans="1:7" ht="15.75" customHeight="1">
      <c r="A953" s="9"/>
      <c r="B953" s="8"/>
      <c r="C953" s="9"/>
      <c r="D953" s="8"/>
      <c r="E953" s="9"/>
      <c r="F953" s="8"/>
      <c r="G953" s="37"/>
    </row>
    <row r="954" spans="1:7" ht="15.75" customHeight="1">
      <c r="A954" s="9"/>
      <c r="B954" s="8"/>
      <c r="C954" s="9"/>
      <c r="D954" s="8"/>
      <c r="E954" s="9"/>
      <c r="F954" s="8"/>
      <c r="G954" s="37"/>
    </row>
    <row r="955" spans="1:7" ht="15.75" customHeight="1">
      <c r="A955" s="9"/>
      <c r="B955" s="8"/>
      <c r="C955" s="9"/>
      <c r="D955" s="8"/>
      <c r="E955" s="9"/>
      <c r="F955" s="8"/>
      <c r="G955" s="37"/>
    </row>
    <row r="956" spans="1:7" ht="15.75" customHeight="1">
      <c r="A956" s="9"/>
      <c r="B956" s="8"/>
      <c r="C956" s="9"/>
      <c r="D956" s="8"/>
      <c r="E956" s="9"/>
      <c r="F956" s="8"/>
      <c r="G956" s="37"/>
    </row>
    <row r="957" spans="1:7" ht="15.75" customHeight="1">
      <c r="A957" s="9"/>
      <c r="B957" s="8"/>
      <c r="C957" s="9"/>
      <c r="D957" s="8"/>
      <c r="E957" s="9"/>
      <c r="F957" s="8"/>
      <c r="G957" s="37"/>
    </row>
    <row r="958" spans="1:7" ht="15.75" customHeight="1">
      <c r="A958" s="9"/>
      <c r="B958" s="8"/>
      <c r="C958" s="9"/>
      <c r="D958" s="8"/>
      <c r="E958" s="9"/>
      <c r="F958" s="8"/>
      <c r="G958" s="37"/>
    </row>
    <row r="959" spans="1:7" ht="15.75" customHeight="1">
      <c r="A959" s="9"/>
      <c r="B959" s="8"/>
      <c r="C959" s="9"/>
      <c r="D959" s="8"/>
      <c r="E959" s="9"/>
      <c r="F959" s="8"/>
      <c r="G959" s="37"/>
    </row>
    <row r="960" spans="1:7" ht="15.75" customHeight="1">
      <c r="A960" s="9"/>
      <c r="B960" s="8"/>
      <c r="C960" s="9"/>
      <c r="D960" s="8"/>
      <c r="E960" s="9"/>
      <c r="F960" s="8"/>
      <c r="G960" s="37"/>
    </row>
    <row r="961" spans="1:7" ht="15.75" customHeight="1">
      <c r="A961" s="9"/>
      <c r="B961" s="8"/>
      <c r="C961" s="9"/>
      <c r="D961" s="8"/>
      <c r="E961" s="9"/>
      <c r="F961" s="8"/>
      <c r="G961" s="37"/>
    </row>
    <row r="962" spans="1:7" ht="15.75" customHeight="1">
      <c r="A962" s="9"/>
      <c r="B962" s="8"/>
      <c r="C962" s="9"/>
      <c r="D962" s="8"/>
      <c r="E962" s="9"/>
      <c r="F962" s="8"/>
      <c r="G962" s="37"/>
    </row>
    <row r="963" spans="1:7" ht="15.75" customHeight="1">
      <c r="A963" s="9"/>
      <c r="B963" s="8"/>
      <c r="C963" s="9"/>
      <c r="D963" s="8"/>
      <c r="E963" s="9"/>
      <c r="F963" s="8"/>
      <c r="G963" s="37"/>
    </row>
    <row r="964" spans="1:7" ht="15.75" customHeight="1">
      <c r="A964" s="9"/>
      <c r="B964" s="8"/>
      <c r="C964" s="9"/>
      <c r="D964" s="8"/>
      <c r="E964" s="9"/>
      <c r="F964" s="8"/>
      <c r="G964" s="37"/>
    </row>
    <row r="965" spans="1:7" ht="15.75" customHeight="1">
      <c r="A965" s="9"/>
      <c r="B965" s="8"/>
      <c r="C965" s="9"/>
      <c r="D965" s="8"/>
      <c r="E965" s="9"/>
      <c r="F965" s="8"/>
      <c r="G965" s="37"/>
    </row>
    <row r="966" spans="1:7" ht="15.75" customHeight="1">
      <c r="A966" s="9"/>
      <c r="B966" s="8"/>
      <c r="C966" s="9"/>
      <c r="D966" s="8"/>
      <c r="E966" s="9"/>
      <c r="F966" s="8"/>
      <c r="G966" s="37"/>
    </row>
    <row r="967" spans="1:7" ht="15.75" customHeight="1">
      <c r="A967" s="9"/>
      <c r="B967" s="8"/>
      <c r="C967" s="9"/>
      <c r="D967" s="8"/>
      <c r="E967" s="9"/>
      <c r="F967" s="8"/>
      <c r="G967" s="37"/>
    </row>
    <row r="968" spans="1:7" ht="15.75" customHeight="1">
      <c r="A968" s="9"/>
      <c r="B968" s="8"/>
      <c r="C968" s="9"/>
      <c r="D968" s="8"/>
      <c r="E968" s="9"/>
      <c r="F968" s="8"/>
      <c r="G968" s="37"/>
    </row>
    <row r="969" spans="1:7" ht="15.75" customHeight="1">
      <c r="A969" s="9"/>
      <c r="B969" s="8"/>
      <c r="C969" s="9"/>
      <c r="D969" s="8"/>
      <c r="E969" s="9"/>
      <c r="F969" s="8"/>
      <c r="G969" s="37"/>
    </row>
    <row r="970" spans="1:7" ht="15.75" customHeight="1">
      <c r="A970" s="9"/>
      <c r="B970" s="8"/>
      <c r="C970" s="9"/>
      <c r="D970" s="8"/>
      <c r="E970" s="9"/>
      <c r="F970" s="8"/>
      <c r="G970" s="37"/>
    </row>
    <row r="971" spans="1:7" ht="15.75" customHeight="1">
      <c r="A971" s="9"/>
      <c r="B971" s="8"/>
      <c r="C971" s="9"/>
      <c r="D971" s="8"/>
      <c r="E971" s="9"/>
      <c r="F971" s="8"/>
      <c r="G971" s="37"/>
    </row>
    <row r="972" spans="1:7" ht="15.75" customHeight="1">
      <c r="A972" s="9"/>
      <c r="B972" s="8"/>
      <c r="C972" s="9"/>
      <c r="D972" s="8"/>
      <c r="E972" s="9"/>
      <c r="F972" s="8"/>
      <c r="G972" s="37"/>
    </row>
    <row r="973" spans="1:7" ht="15.75" customHeight="1">
      <c r="A973" s="9"/>
      <c r="B973" s="8"/>
      <c r="C973" s="9"/>
      <c r="D973" s="8"/>
      <c r="E973" s="9"/>
      <c r="F973" s="8"/>
      <c r="G973" s="37"/>
    </row>
    <row r="974" spans="1:7" ht="15.75" customHeight="1">
      <c r="A974" s="9"/>
      <c r="B974" s="8"/>
      <c r="C974" s="9"/>
      <c r="D974" s="8"/>
      <c r="E974" s="9"/>
      <c r="F974" s="8"/>
      <c r="G974" s="37"/>
    </row>
    <row r="975" spans="1:7" ht="15.75" customHeight="1">
      <c r="A975" s="9"/>
      <c r="B975" s="8"/>
      <c r="C975" s="9"/>
      <c r="D975" s="8"/>
      <c r="E975" s="9"/>
      <c r="F975" s="8"/>
      <c r="G975" s="37"/>
    </row>
    <row r="976" spans="1:7" ht="15.75" customHeight="1">
      <c r="A976" s="9"/>
      <c r="B976" s="8"/>
      <c r="C976" s="9"/>
      <c r="D976" s="8"/>
      <c r="E976" s="9"/>
      <c r="F976" s="8"/>
      <c r="G976" s="37"/>
    </row>
    <row r="977" spans="1:7" ht="15.75" customHeight="1">
      <c r="A977" s="9"/>
      <c r="B977" s="8"/>
      <c r="C977" s="9"/>
      <c r="D977" s="8"/>
      <c r="E977" s="9"/>
      <c r="F977" s="8"/>
      <c r="G977" s="37"/>
    </row>
    <row r="978" spans="1:7" ht="15.75" customHeight="1">
      <c r="A978" s="9"/>
      <c r="B978" s="8"/>
      <c r="C978" s="9"/>
      <c r="D978" s="8"/>
      <c r="E978" s="9"/>
      <c r="F978" s="8"/>
      <c r="G978" s="37"/>
    </row>
    <row r="979" spans="1:7" ht="15.75" customHeight="1">
      <c r="A979" s="9"/>
      <c r="B979" s="8"/>
      <c r="C979" s="9"/>
      <c r="D979" s="8"/>
      <c r="E979" s="9"/>
      <c r="F979" s="8"/>
      <c r="G979" s="37"/>
    </row>
    <row r="980" spans="1:7" ht="15.75" customHeight="1">
      <c r="A980" s="9"/>
      <c r="B980" s="8"/>
      <c r="C980" s="9"/>
      <c r="D980" s="8"/>
      <c r="E980" s="9"/>
      <c r="F980" s="8"/>
      <c r="G980" s="37"/>
    </row>
    <row r="981" spans="1:7" ht="15.75" customHeight="1">
      <c r="A981" s="9"/>
      <c r="B981" s="8"/>
      <c r="C981" s="9"/>
      <c r="D981" s="8"/>
      <c r="E981" s="9"/>
      <c r="F981" s="8"/>
      <c r="G981" s="37"/>
    </row>
    <row r="982" spans="1:7" ht="15.75" customHeight="1">
      <c r="A982" s="9"/>
      <c r="B982" s="8"/>
      <c r="C982" s="9"/>
      <c r="D982" s="8"/>
      <c r="E982" s="9"/>
      <c r="F982" s="8"/>
      <c r="G982" s="37"/>
    </row>
    <row r="983" spans="1:7" ht="15.75" customHeight="1">
      <c r="A983" s="9"/>
      <c r="B983" s="8"/>
      <c r="C983" s="9"/>
      <c r="D983" s="8"/>
      <c r="E983" s="9"/>
      <c r="F983" s="8"/>
      <c r="G983" s="37"/>
    </row>
    <row r="984" spans="1:7" ht="15.75" customHeight="1">
      <c r="A984" s="9"/>
      <c r="B984" s="8"/>
      <c r="C984" s="9"/>
      <c r="D984" s="8"/>
      <c r="E984" s="9"/>
      <c r="F984" s="8"/>
      <c r="G984" s="37"/>
    </row>
    <row r="985" spans="1:7" ht="15.75" customHeight="1">
      <c r="A985" s="9"/>
      <c r="B985" s="8"/>
      <c r="C985" s="9"/>
      <c r="D985" s="8"/>
      <c r="E985" s="9"/>
      <c r="F985" s="8"/>
      <c r="G985" s="37"/>
    </row>
    <row r="986" spans="1:7" ht="15.75" customHeight="1">
      <c r="A986" s="9"/>
      <c r="B986" s="8"/>
      <c r="C986" s="9"/>
      <c r="D986" s="8"/>
      <c r="E986" s="9"/>
      <c r="F986" s="8"/>
      <c r="G986" s="37"/>
    </row>
    <row r="987" spans="1:7" ht="15.75" customHeight="1">
      <c r="A987" s="9"/>
      <c r="B987" s="8"/>
      <c r="C987" s="9"/>
      <c r="D987" s="8"/>
      <c r="E987" s="9"/>
      <c r="F987" s="8"/>
      <c r="G987" s="37"/>
    </row>
    <row r="988" spans="1:7" ht="15.75" customHeight="1">
      <c r="A988" s="9"/>
      <c r="B988" s="8"/>
      <c r="C988" s="9"/>
      <c r="D988" s="8"/>
      <c r="E988" s="9"/>
      <c r="F988" s="8"/>
      <c r="G988" s="37"/>
    </row>
    <row r="989" spans="1:7" ht="15.75" customHeight="1">
      <c r="A989" s="9"/>
      <c r="B989" s="8"/>
      <c r="C989" s="9"/>
      <c r="D989" s="8"/>
      <c r="E989" s="9"/>
      <c r="F989" s="8"/>
      <c r="G989" s="37"/>
    </row>
    <row r="990" spans="1:7" ht="15.75" customHeight="1">
      <c r="A990" s="9"/>
      <c r="B990" s="8"/>
      <c r="C990" s="9"/>
      <c r="D990" s="8"/>
      <c r="E990" s="9"/>
      <c r="F990" s="8"/>
      <c r="G990" s="37"/>
    </row>
    <row r="991" spans="1:7" ht="15.75" customHeight="1">
      <c r="A991" s="9"/>
      <c r="B991" s="8"/>
      <c r="C991" s="9"/>
      <c r="D991" s="8"/>
      <c r="E991" s="9"/>
      <c r="F991" s="8"/>
      <c r="G991" s="37"/>
    </row>
    <row r="992" spans="1:7" ht="15.75" customHeight="1">
      <c r="A992" s="9"/>
      <c r="B992" s="8"/>
      <c r="C992" s="9"/>
      <c r="D992" s="8"/>
      <c r="E992" s="9"/>
      <c r="F992" s="8"/>
      <c r="G992" s="37"/>
    </row>
    <row r="993" spans="1:7" ht="15.75" customHeight="1">
      <c r="A993" s="9"/>
      <c r="B993" s="8"/>
      <c r="C993" s="9"/>
      <c r="D993" s="8"/>
      <c r="E993" s="9"/>
      <c r="F993" s="8"/>
      <c r="G993" s="37"/>
    </row>
    <row r="994" spans="1:7" ht="15.75" customHeight="1">
      <c r="A994" s="9"/>
      <c r="B994" s="8"/>
      <c r="C994" s="9"/>
      <c r="D994" s="8"/>
      <c r="E994" s="9"/>
      <c r="F994" s="8"/>
      <c r="G994" s="37"/>
    </row>
    <row r="995" spans="1:7" ht="15.75" customHeight="1">
      <c r="A995" s="9"/>
      <c r="B995" s="8"/>
      <c r="C995" s="9"/>
      <c r="D995" s="8"/>
      <c r="E995" s="9"/>
      <c r="F995" s="8"/>
      <c r="G995" s="37"/>
    </row>
    <row r="996" spans="1:7" ht="15.75" customHeight="1">
      <c r="A996" s="9"/>
      <c r="B996" s="8"/>
      <c r="C996" s="9"/>
      <c r="D996" s="8"/>
      <c r="E996" s="9"/>
      <c r="F996" s="8"/>
      <c r="G996" s="37"/>
    </row>
    <row r="997" spans="1:7" ht="15.75" customHeight="1">
      <c r="A997" s="9"/>
      <c r="B997" s="8"/>
      <c r="C997" s="9"/>
      <c r="D997" s="8"/>
      <c r="E997" s="9"/>
      <c r="F997" s="8"/>
      <c r="G997" s="37"/>
    </row>
    <row r="998" spans="1:7" ht="15.75" customHeight="1">
      <c r="A998" s="9"/>
      <c r="B998" s="8"/>
      <c r="C998" s="9"/>
      <c r="D998" s="8"/>
      <c r="E998" s="9"/>
      <c r="F998" s="8"/>
      <c r="G998" s="37"/>
    </row>
    <row r="999" spans="1:7" ht="15.75" customHeight="1">
      <c r="A999" s="9"/>
      <c r="B999" s="8"/>
      <c r="C999" s="9"/>
      <c r="D999" s="8"/>
      <c r="E999" s="9"/>
      <c r="F999" s="8"/>
      <c r="G999" s="37"/>
    </row>
    <row r="1000" spans="1:7" ht="15.75" customHeight="1">
      <c r="A1000" s="9"/>
      <c r="B1000" s="8"/>
      <c r="C1000" s="9"/>
      <c r="D1000" s="8"/>
      <c r="E1000" s="9"/>
      <c r="F1000" s="8"/>
      <c r="G1000" s="37"/>
    </row>
    <row r="1001" spans="1:7" ht="15.75" customHeight="1">
      <c r="A1001" s="9"/>
      <c r="B1001" s="8"/>
      <c r="C1001" s="9"/>
      <c r="D1001" s="8"/>
      <c r="E1001" s="9"/>
      <c r="F1001" s="8"/>
      <c r="G1001" s="37"/>
    </row>
    <row r="1002" spans="1:7" ht="15.75" customHeight="1">
      <c r="A1002" s="9"/>
      <c r="B1002" s="8"/>
      <c r="C1002" s="9"/>
      <c r="D1002" s="8"/>
      <c r="E1002" s="9"/>
      <c r="F1002" s="8"/>
      <c r="G1002" s="37"/>
    </row>
    <row r="1003" spans="1:7" ht="15.75" customHeight="1">
      <c r="A1003" s="9"/>
      <c r="B1003" s="8"/>
      <c r="C1003" s="9"/>
      <c r="D1003" s="8"/>
      <c r="E1003" s="9"/>
      <c r="F1003" s="8"/>
      <c r="G1003" s="37"/>
    </row>
    <row r="1004" spans="1:7" ht="15.75" customHeight="1">
      <c r="A1004" s="9"/>
      <c r="B1004" s="8"/>
      <c r="C1004" s="9"/>
      <c r="D1004" s="8"/>
      <c r="E1004" s="9"/>
      <c r="F1004" s="8"/>
      <c r="G1004" s="37"/>
    </row>
    <row r="1005" spans="1:7" ht="15.75" customHeight="1">
      <c r="A1005" s="9"/>
      <c r="B1005" s="8"/>
      <c r="C1005" s="9"/>
      <c r="D1005" s="8"/>
      <c r="E1005" s="9"/>
      <c r="F1005" s="8"/>
      <c r="G1005" s="37"/>
    </row>
    <row r="1006" spans="1:7" ht="15.75" customHeight="1">
      <c r="A1006" s="9"/>
      <c r="B1006" s="8"/>
      <c r="C1006" s="9"/>
      <c r="D1006" s="8"/>
      <c r="E1006" s="9"/>
      <c r="F1006" s="8"/>
      <c r="G1006" s="37"/>
    </row>
    <row r="1007" spans="1:7" ht="15.75" customHeight="1">
      <c r="A1007" s="9"/>
      <c r="B1007" s="8"/>
      <c r="C1007" s="9"/>
      <c r="D1007" s="8"/>
      <c r="E1007" s="9"/>
      <c r="F1007" s="8"/>
      <c r="G1007" s="37"/>
    </row>
    <row r="1008" spans="1:7" ht="15.75" customHeight="1">
      <c r="A1008" s="9"/>
      <c r="B1008" s="8"/>
      <c r="C1008" s="9"/>
      <c r="D1008" s="8"/>
      <c r="E1008" s="9"/>
      <c r="F1008" s="8"/>
      <c r="G1008" s="37"/>
    </row>
    <row r="1009" spans="1:7" ht="15.75" customHeight="1">
      <c r="A1009" s="9"/>
      <c r="B1009" s="8"/>
      <c r="C1009" s="9"/>
      <c r="D1009" s="8"/>
      <c r="E1009" s="9"/>
      <c r="F1009" s="8"/>
      <c r="G1009" s="37"/>
    </row>
    <row r="1010" spans="1:7" ht="15.75" customHeight="1">
      <c r="A1010" s="9"/>
      <c r="B1010" s="8"/>
      <c r="C1010" s="9"/>
      <c r="D1010" s="8"/>
      <c r="E1010" s="9"/>
      <c r="F1010" s="8"/>
      <c r="G1010" s="37"/>
    </row>
    <row r="1011" spans="1:7" ht="15.75" customHeight="1">
      <c r="A1011" s="9"/>
      <c r="B1011" s="8"/>
      <c r="C1011" s="9"/>
      <c r="D1011" s="8"/>
      <c r="E1011" s="9"/>
      <c r="F1011" s="8"/>
      <c r="G1011" s="37"/>
    </row>
    <row r="1012" spans="1:7" ht="15.75" customHeight="1">
      <c r="A1012" s="9"/>
      <c r="B1012" s="8"/>
      <c r="C1012" s="9"/>
      <c r="D1012" s="8"/>
      <c r="E1012" s="9"/>
      <c r="F1012" s="8"/>
      <c r="G1012" s="37"/>
    </row>
    <row r="1013" spans="1:7" ht="15.75" customHeight="1">
      <c r="A1013" s="9"/>
      <c r="B1013" s="8"/>
      <c r="C1013" s="9"/>
      <c r="D1013" s="8"/>
      <c r="E1013" s="9"/>
      <c r="F1013" s="8"/>
      <c r="G1013" s="37"/>
    </row>
    <row r="1014" spans="1:7" ht="15.75" customHeight="1">
      <c r="A1014" s="9"/>
      <c r="B1014" s="8"/>
      <c r="C1014" s="9"/>
      <c r="D1014" s="8"/>
      <c r="E1014" s="9"/>
      <c r="F1014" s="8"/>
      <c r="G1014" s="37"/>
    </row>
    <row r="1015" spans="1:7" ht="15.75" customHeight="1">
      <c r="A1015" s="9"/>
      <c r="B1015" s="8"/>
      <c r="C1015" s="9"/>
      <c r="D1015" s="8"/>
      <c r="E1015" s="9"/>
      <c r="F1015" s="8"/>
      <c r="G1015" s="3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47"/>
  <sheetViews>
    <sheetView workbookViewId="0">
      <selection activeCell="K40" sqref="K40"/>
    </sheetView>
  </sheetViews>
  <sheetFormatPr baseColWidth="10" defaultColWidth="8.83203125" defaultRowHeight="13"/>
  <cols>
    <col min="1" max="1" width="29.1640625" bestFit="1" customWidth="1"/>
    <col min="2" max="2" width="10.6640625" bestFit="1" customWidth="1"/>
    <col min="3" max="3" width="11.1640625" bestFit="1" customWidth="1"/>
    <col min="4" max="5" width="12.1640625" bestFit="1" customWidth="1"/>
    <col min="6" max="6" width="14.5" customWidth="1"/>
    <col min="7" max="7" width="13.1640625" customWidth="1"/>
    <col min="8" max="8" width="9" bestFit="1" customWidth="1"/>
    <col min="9" max="9" width="13.5" customWidth="1"/>
    <col min="10" max="10" width="15.1640625" customWidth="1"/>
    <col min="11" max="11" width="16.6640625" customWidth="1"/>
  </cols>
  <sheetData>
    <row r="1" spans="1:11" ht="29.25" customHeight="1">
      <c r="B1" s="67" t="s">
        <v>191</v>
      </c>
      <c r="C1" s="68">
        <v>19223</v>
      </c>
      <c r="D1" s="69" t="s">
        <v>188</v>
      </c>
      <c r="E1" s="69" t="s">
        <v>189</v>
      </c>
      <c r="F1" s="69" t="s">
        <v>190</v>
      </c>
      <c r="G1" s="69">
        <v>11938</v>
      </c>
      <c r="H1" s="69" t="s">
        <v>2</v>
      </c>
      <c r="I1" s="69" t="s">
        <v>223</v>
      </c>
      <c r="J1" s="69" t="s">
        <v>224</v>
      </c>
      <c r="K1" s="69" t="s">
        <v>225</v>
      </c>
    </row>
    <row r="2" spans="1:11">
      <c r="A2" t="s">
        <v>186</v>
      </c>
      <c r="B2">
        <v>800</v>
      </c>
      <c r="C2">
        <v>800</v>
      </c>
      <c r="D2">
        <v>2000</v>
      </c>
      <c r="E2">
        <v>4100</v>
      </c>
      <c r="F2">
        <v>4100</v>
      </c>
      <c r="G2">
        <v>4850</v>
      </c>
      <c r="H2">
        <v>4850</v>
      </c>
    </row>
    <row r="3" spans="1:11">
      <c r="A3" t="s">
        <v>187</v>
      </c>
      <c r="B3" s="63">
        <v>42508</v>
      </c>
      <c r="C3" s="63">
        <v>42508</v>
      </c>
      <c r="D3" s="63">
        <v>42506</v>
      </c>
      <c r="E3" s="63">
        <v>42507</v>
      </c>
      <c r="F3" s="63">
        <v>42507</v>
      </c>
      <c r="G3" s="63">
        <v>42509</v>
      </c>
      <c r="H3" s="63">
        <v>42509</v>
      </c>
      <c r="I3" s="63">
        <v>42508</v>
      </c>
      <c r="J3" s="63">
        <v>42508</v>
      </c>
      <c r="K3" s="63">
        <v>42508</v>
      </c>
    </row>
    <row r="4" spans="1:11">
      <c r="A4" s="65" t="s">
        <v>199</v>
      </c>
      <c r="C4">
        <v>250</v>
      </c>
      <c r="D4" s="64">
        <v>1400</v>
      </c>
      <c r="E4">
        <v>800</v>
      </c>
      <c r="G4">
        <v>17000</v>
      </c>
      <c r="H4" t="s">
        <v>227</v>
      </c>
    </row>
    <row r="5" spans="1:11">
      <c r="A5" s="65" t="s">
        <v>200</v>
      </c>
      <c r="B5">
        <v>9.9</v>
      </c>
      <c r="C5">
        <v>12.6</v>
      </c>
      <c r="D5">
        <v>16.100000000000001</v>
      </c>
      <c r="E5">
        <v>22.6</v>
      </c>
      <c r="F5">
        <v>22.6</v>
      </c>
      <c r="G5">
        <v>31.1</v>
      </c>
      <c r="H5">
        <v>21.6</v>
      </c>
      <c r="I5">
        <v>14.8</v>
      </c>
      <c r="J5">
        <v>12.6</v>
      </c>
      <c r="K5">
        <v>13.8</v>
      </c>
    </row>
    <row r="6" spans="1:11">
      <c r="A6" t="s">
        <v>192</v>
      </c>
      <c r="B6" s="77">
        <v>8.2380874002139741</v>
      </c>
      <c r="C6" s="77">
        <v>7.9418154884371654</v>
      </c>
      <c r="D6" s="77">
        <v>7.5714755987161553</v>
      </c>
      <c r="E6" s="77">
        <v>8.6248868405892516</v>
      </c>
      <c r="F6" s="77">
        <v>8.5672784132993165</v>
      </c>
      <c r="G6" s="77">
        <v>8.6084272899349834</v>
      </c>
      <c r="H6" s="77">
        <v>8.9705374043288622</v>
      </c>
      <c r="I6" s="77">
        <v>8.8964694263846589</v>
      </c>
      <c r="J6" s="77">
        <v>8.6495761665706521</v>
      </c>
      <c r="K6" s="77">
        <v>8.9458480783474599</v>
      </c>
    </row>
    <row r="7" spans="1:11">
      <c r="A7" t="s">
        <v>193</v>
      </c>
      <c r="B7">
        <v>-132</v>
      </c>
      <c r="C7">
        <v>-101</v>
      </c>
      <c r="D7">
        <v>14</v>
      </c>
      <c r="E7">
        <v>-171</v>
      </c>
      <c r="F7">
        <v>-163</v>
      </c>
      <c r="G7">
        <v>-133</v>
      </c>
      <c r="H7">
        <v>-134</v>
      </c>
      <c r="I7">
        <v>94</v>
      </c>
      <c r="J7">
        <v>83</v>
      </c>
      <c r="K7">
        <v>59</v>
      </c>
    </row>
    <row r="8" spans="1:11">
      <c r="A8" s="65" t="s">
        <v>213</v>
      </c>
      <c r="B8">
        <v>952.3</v>
      </c>
      <c r="C8">
        <v>605.1</v>
      </c>
      <c r="D8">
        <v>3048</v>
      </c>
      <c r="E8">
        <v>1765</v>
      </c>
      <c r="F8">
        <v>1770</v>
      </c>
      <c r="G8">
        <v>1534</v>
      </c>
      <c r="H8">
        <v>7883</v>
      </c>
      <c r="I8">
        <v>774.5</v>
      </c>
      <c r="J8">
        <v>539.1</v>
      </c>
      <c r="K8">
        <v>437.6</v>
      </c>
    </row>
    <row r="9" spans="1:11">
      <c r="A9" t="s">
        <v>194</v>
      </c>
      <c r="B9">
        <v>687</v>
      </c>
      <c r="C9">
        <v>427.5</v>
      </c>
      <c r="D9">
        <v>2302</v>
      </c>
      <c r="E9">
        <v>1292</v>
      </c>
      <c r="F9">
        <v>1294</v>
      </c>
      <c r="G9">
        <v>1107</v>
      </c>
      <c r="H9">
        <v>6554</v>
      </c>
      <c r="I9">
        <v>549.79999999999995</v>
      </c>
      <c r="J9">
        <v>378.4</v>
      </c>
      <c r="K9">
        <v>305.60000000000002</v>
      </c>
    </row>
    <row r="10" spans="1:11">
      <c r="A10" s="65" t="s">
        <v>201</v>
      </c>
      <c r="B10">
        <v>0.2</v>
      </c>
      <c r="C10">
        <v>0.1</v>
      </c>
      <c r="D10">
        <v>0.8</v>
      </c>
      <c r="E10">
        <v>0.9</v>
      </c>
      <c r="F10">
        <v>0.9</v>
      </c>
      <c r="G10">
        <v>0.7</v>
      </c>
      <c r="H10">
        <v>0.3</v>
      </c>
    </row>
    <row r="11" spans="1:11">
      <c r="A11" s="65" t="s">
        <v>202</v>
      </c>
      <c r="B11">
        <v>0.08</v>
      </c>
      <c r="C11">
        <v>0.02</v>
      </c>
      <c r="D11">
        <v>0.24</v>
      </c>
      <c r="E11" s="66" t="s">
        <v>215</v>
      </c>
      <c r="F11" s="66" t="s">
        <v>219</v>
      </c>
      <c r="G11">
        <v>0.48</v>
      </c>
      <c r="H11">
        <v>0.13</v>
      </c>
    </row>
    <row r="12" spans="1:11">
      <c r="A12" s="65" t="s">
        <v>203</v>
      </c>
      <c r="B12">
        <v>2.6</v>
      </c>
      <c r="C12">
        <v>0.28999999999999998</v>
      </c>
      <c r="D12">
        <v>1.8</v>
      </c>
      <c r="E12">
        <v>0</v>
      </c>
      <c r="F12">
        <v>0.03</v>
      </c>
      <c r="G12">
        <v>0</v>
      </c>
      <c r="H12">
        <v>0.08</v>
      </c>
    </row>
    <row r="13" spans="1:11">
      <c r="A13" s="65" t="s">
        <v>204</v>
      </c>
      <c r="B13" t="s">
        <v>46</v>
      </c>
      <c r="C13">
        <v>7</v>
      </c>
      <c r="D13">
        <v>7</v>
      </c>
      <c r="E13" s="66" t="s">
        <v>217</v>
      </c>
      <c r="F13" s="66" t="s">
        <v>220</v>
      </c>
      <c r="G13">
        <v>354</v>
      </c>
      <c r="H13">
        <v>86</v>
      </c>
    </row>
    <row r="14" spans="1:11">
      <c r="A14" s="65" t="s">
        <v>205</v>
      </c>
      <c r="B14">
        <v>5.3999999999999999E-2</v>
      </c>
      <c r="C14">
        <v>0.30399999999999999</v>
      </c>
      <c r="D14">
        <v>3.1</v>
      </c>
      <c r="E14" s="66" t="s">
        <v>222</v>
      </c>
      <c r="F14" s="66" t="s">
        <v>221</v>
      </c>
      <c r="G14" t="s">
        <v>46</v>
      </c>
      <c r="H14">
        <v>0.68</v>
      </c>
    </row>
    <row r="15" spans="1:11">
      <c r="A15" s="65" t="s">
        <v>206</v>
      </c>
      <c r="B15">
        <v>450</v>
      </c>
      <c r="C15">
        <v>250</v>
      </c>
      <c r="D15">
        <v>500</v>
      </c>
      <c r="E15">
        <v>600</v>
      </c>
      <c r="F15">
        <v>350</v>
      </c>
      <c r="G15">
        <v>300</v>
      </c>
      <c r="H15">
        <v>600</v>
      </c>
    </row>
    <row r="16" spans="1:11">
      <c r="A16" s="65" t="s">
        <v>207</v>
      </c>
      <c r="B16">
        <v>10</v>
      </c>
      <c r="C16">
        <v>10</v>
      </c>
      <c r="D16">
        <v>10</v>
      </c>
      <c r="E16">
        <v>10</v>
      </c>
      <c r="F16">
        <v>10</v>
      </c>
      <c r="G16">
        <v>10</v>
      </c>
      <c r="H16">
        <v>10</v>
      </c>
    </row>
    <row r="17" spans="1:8">
      <c r="A17" s="65" t="s">
        <v>208</v>
      </c>
      <c r="B17">
        <v>15</v>
      </c>
      <c r="C17">
        <v>20</v>
      </c>
      <c r="D17">
        <v>20</v>
      </c>
      <c r="E17">
        <v>10</v>
      </c>
      <c r="F17">
        <v>15</v>
      </c>
      <c r="G17">
        <v>35</v>
      </c>
      <c r="H17">
        <v>5</v>
      </c>
    </row>
    <row r="18" spans="1:8">
      <c r="A18" s="65" t="s">
        <v>209</v>
      </c>
      <c r="D18">
        <v>17</v>
      </c>
      <c r="E18" t="s">
        <v>274</v>
      </c>
      <c r="F18" t="s">
        <v>275</v>
      </c>
      <c r="G18">
        <v>28</v>
      </c>
      <c r="H18">
        <v>30</v>
      </c>
    </row>
    <row r="19" spans="1:8">
      <c r="A19" t="s">
        <v>195</v>
      </c>
      <c r="B19" t="s">
        <v>210</v>
      </c>
      <c r="C19" t="s">
        <v>210</v>
      </c>
      <c r="D19" s="65" t="s">
        <v>210</v>
      </c>
      <c r="E19" t="s">
        <v>210</v>
      </c>
      <c r="F19" t="s">
        <v>210</v>
      </c>
      <c r="G19" t="s">
        <v>210</v>
      </c>
      <c r="H19" t="s">
        <v>210</v>
      </c>
    </row>
    <row r="20" spans="1:8">
      <c r="A20" t="s">
        <v>196</v>
      </c>
      <c r="B20" t="s">
        <v>210</v>
      </c>
      <c r="C20" t="s">
        <v>210</v>
      </c>
      <c r="D20" s="65" t="s">
        <v>210</v>
      </c>
      <c r="E20" t="s">
        <v>210</v>
      </c>
      <c r="F20" t="s">
        <v>210</v>
      </c>
      <c r="G20" t="s">
        <v>210</v>
      </c>
      <c r="H20" t="s">
        <v>210</v>
      </c>
    </row>
    <row r="21" spans="1:8">
      <c r="A21" s="65" t="s">
        <v>211</v>
      </c>
      <c r="B21" t="s">
        <v>212</v>
      </c>
      <c r="C21" t="s">
        <v>212</v>
      </c>
      <c r="D21" s="65" t="s">
        <v>212</v>
      </c>
      <c r="E21" t="s">
        <v>212</v>
      </c>
      <c r="F21" t="s">
        <v>212</v>
      </c>
      <c r="G21" t="s">
        <v>212</v>
      </c>
      <c r="H21" t="s">
        <v>228</v>
      </c>
    </row>
    <row r="22" spans="1:8">
      <c r="A22" t="s">
        <v>197</v>
      </c>
      <c r="B22">
        <v>950</v>
      </c>
      <c r="C22">
        <v>650</v>
      </c>
      <c r="D22" s="65">
        <v>1100</v>
      </c>
      <c r="E22" s="65">
        <v>900</v>
      </c>
      <c r="F22">
        <v>1050</v>
      </c>
      <c r="G22">
        <v>1000</v>
      </c>
      <c r="H22">
        <v>850</v>
      </c>
    </row>
    <row r="23" spans="1:8">
      <c r="A23" t="s">
        <v>198</v>
      </c>
      <c r="B23">
        <v>1000</v>
      </c>
      <c r="D23" s="65">
        <v>1250</v>
      </c>
      <c r="G23">
        <v>450</v>
      </c>
    </row>
    <row r="24" spans="1:8">
      <c r="A24" t="s">
        <v>226</v>
      </c>
      <c r="D24" s="65"/>
      <c r="E24">
        <v>480</v>
      </c>
    </row>
    <row r="26" spans="1:8">
      <c r="A26" s="191" t="s">
        <v>214</v>
      </c>
      <c r="B26" s="191"/>
      <c r="C26" s="191"/>
      <c r="D26" s="191"/>
      <c r="E26" s="191"/>
    </row>
    <row r="27" spans="1:8">
      <c r="A27" s="191" t="s">
        <v>216</v>
      </c>
      <c r="B27" s="191"/>
      <c r="C27" s="191"/>
      <c r="D27" s="191"/>
      <c r="E27" s="191"/>
    </row>
    <row r="28" spans="1:8">
      <c r="A28" s="191" t="s">
        <v>218</v>
      </c>
      <c r="B28" s="191"/>
      <c r="C28" s="191"/>
      <c r="D28" s="191"/>
      <c r="E28" s="191"/>
    </row>
    <row r="29" spans="1:8">
      <c r="A29" s="191"/>
      <c r="B29" s="191"/>
      <c r="C29" s="191"/>
      <c r="D29" s="191"/>
      <c r="E29" s="191"/>
    </row>
    <row r="30" spans="1:8">
      <c r="A30" s="65" t="s">
        <v>270</v>
      </c>
    </row>
    <row r="32" spans="1:8">
      <c r="B32" s="65" t="s">
        <v>286</v>
      </c>
      <c r="C32" s="65" t="s">
        <v>287</v>
      </c>
    </row>
    <row r="33" spans="1:3">
      <c r="A33" t="s">
        <v>285</v>
      </c>
      <c r="B33">
        <v>4.01</v>
      </c>
      <c r="C33">
        <v>3.66</v>
      </c>
    </row>
    <row r="34" spans="1:3">
      <c r="B34">
        <v>7</v>
      </c>
      <c r="C34">
        <v>7.15</v>
      </c>
    </row>
    <row r="35" spans="1:3">
      <c r="B35">
        <v>10.01</v>
      </c>
      <c r="C35">
        <v>10.95</v>
      </c>
    </row>
    <row r="37" spans="1:3">
      <c r="B37" s="65" t="s">
        <v>287</v>
      </c>
      <c r="C37" s="65" t="s">
        <v>288</v>
      </c>
    </row>
    <row r="38" spans="1:3">
      <c r="A38" s="75" t="s">
        <v>191</v>
      </c>
      <c r="B38">
        <v>8.75</v>
      </c>
      <c r="C38">
        <f>(B38+1.2601)/1.2151</f>
        <v>8.2380874002139741</v>
      </c>
    </row>
    <row r="39" spans="1:3">
      <c r="A39" s="73">
        <v>19223</v>
      </c>
      <c r="B39">
        <v>8.39</v>
      </c>
      <c r="C39">
        <f t="shared" ref="C39:C47" si="0">(B39+1.2601)/1.2151</f>
        <v>7.9418154884371654</v>
      </c>
    </row>
    <row r="40" spans="1:3" ht="14">
      <c r="A40" s="76" t="s">
        <v>188</v>
      </c>
      <c r="B40">
        <v>7.94</v>
      </c>
      <c r="C40">
        <f t="shared" si="0"/>
        <v>7.5714755987161553</v>
      </c>
    </row>
    <row r="41" spans="1:3" ht="14">
      <c r="A41" s="76" t="s">
        <v>189</v>
      </c>
      <c r="B41">
        <v>9.2200000000000006</v>
      </c>
      <c r="C41">
        <f t="shared" si="0"/>
        <v>8.6248868405892516</v>
      </c>
    </row>
    <row r="42" spans="1:3" ht="14">
      <c r="A42" s="76" t="s">
        <v>190</v>
      </c>
      <c r="B42">
        <v>9.15</v>
      </c>
      <c r="C42">
        <f t="shared" si="0"/>
        <v>8.5672784132993165</v>
      </c>
    </row>
    <row r="43" spans="1:3">
      <c r="A43" s="76">
        <v>11938</v>
      </c>
      <c r="B43">
        <v>9.1999999999999993</v>
      </c>
      <c r="C43">
        <f t="shared" si="0"/>
        <v>8.6084272899349834</v>
      </c>
    </row>
    <row r="44" spans="1:3" ht="14">
      <c r="A44" s="76" t="s">
        <v>2</v>
      </c>
      <c r="B44">
        <v>9.64</v>
      </c>
      <c r="C44">
        <f t="shared" si="0"/>
        <v>8.9705374043288622</v>
      </c>
    </row>
    <row r="45" spans="1:3" ht="14">
      <c r="A45" s="76" t="s">
        <v>223</v>
      </c>
      <c r="B45">
        <v>9.5500000000000007</v>
      </c>
      <c r="C45">
        <f t="shared" si="0"/>
        <v>8.8964694263846589</v>
      </c>
    </row>
    <row r="46" spans="1:3" ht="14">
      <c r="A46" s="76" t="s">
        <v>224</v>
      </c>
      <c r="B46">
        <v>9.25</v>
      </c>
      <c r="C46">
        <f t="shared" si="0"/>
        <v>8.6495761665706521</v>
      </c>
    </row>
    <row r="47" spans="1:3" ht="28">
      <c r="A47" s="76" t="s">
        <v>225</v>
      </c>
      <c r="B47">
        <v>9.61</v>
      </c>
      <c r="C47">
        <f t="shared" si="0"/>
        <v>8.9458480783474599</v>
      </c>
    </row>
  </sheetData>
  <mergeCells count="4">
    <mergeCell ref="A26:E26"/>
    <mergeCell ref="A27:E27"/>
    <mergeCell ref="A28:E28"/>
    <mergeCell ref="A29:E2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0"/>
  <sheetViews>
    <sheetView workbookViewId="0">
      <selection activeCell="H26" sqref="H26"/>
    </sheetView>
  </sheetViews>
  <sheetFormatPr baseColWidth="10" defaultColWidth="8.83203125" defaultRowHeight="13"/>
  <cols>
    <col min="1" max="1" width="29.1640625" bestFit="1" customWidth="1"/>
    <col min="2" max="2" width="10.6640625" bestFit="1" customWidth="1"/>
    <col min="3" max="3" width="11.1640625" bestFit="1" customWidth="1"/>
    <col min="4" max="5" width="12.1640625" bestFit="1" customWidth="1"/>
    <col min="6" max="6" width="14.5" customWidth="1"/>
    <col min="7" max="7" width="13.1640625" customWidth="1"/>
    <col min="8" max="8" width="9" bestFit="1" customWidth="1"/>
    <col min="9" max="9" width="13.5" customWidth="1"/>
    <col min="10" max="10" width="15.1640625" customWidth="1"/>
    <col min="11" max="11" width="16.6640625" customWidth="1"/>
  </cols>
  <sheetData>
    <row r="1" spans="1:11" ht="29.25" customHeight="1">
      <c r="B1" s="67" t="s">
        <v>191</v>
      </c>
      <c r="C1" s="68">
        <v>19223</v>
      </c>
      <c r="D1" s="69">
        <v>24790</v>
      </c>
      <c r="E1" s="69" t="s">
        <v>272</v>
      </c>
      <c r="F1" s="69" t="s">
        <v>273</v>
      </c>
      <c r="G1" s="69">
        <v>11938</v>
      </c>
      <c r="H1" s="69" t="s">
        <v>2</v>
      </c>
      <c r="I1" s="69" t="s">
        <v>223</v>
      </c>
      <c r="J1" s="69" t="s">
        <v>224</v>
      </c>
      <c r="K1" s="69" t="s">
        <v>225</v>
      </c>
    </row>
    <row r="2" spans="1:11">
      <c r="A2" t="s">
        <v>186</v>
      </c>
      <c r="B2">
        <v>800</v>
      </c>
      <c r="C2">
        <v>800</v>
      </c>
      <c r="D2">
        <v>2000</v>
      </c>
      <c r="E2">
        <v>4100</v>
      </c>
      <c r="F2">
        <v>4100</v>
      </c>
      <c r="G2">
        <v>4850</v>
      </c>
      <c r="H2">
        <v>4850</v>
      </c>
    </row>
    <row r="3" spans="1:11">
      <c r="A3" t="s">
        <v>187</v>
      </c>
      <c r="B3" s="63">
        <v>42562</v>
      </c>
      <c r="C3" s="63">
        <v>42562</v>
      </c>
      <c r="D3" s="63">
        <v>42563</v>
      </c>
      <c r="E3" s="63">
        <v>42562</v>
      </c>
      <c r="F3" s="63">
        <v>42562</v>
      </c>
      <c r="G3" s="63">
        <v>42564</v>
      </c>
      <c r="H3" s="63">
        <v>42564</v>
      </c>
      <c r="I3" s="63"/>
      <c r="J3" s="63"/>
      <c r="K3" s="63"/>
    </row>
    <row r="4" spans="1:11">
      <c r="A4" s="65" t="s">
        <v>199</v>
      </c>
      <c r="B4">
        <f>AVERAGE(2920, 2960, 2920)</f>
        <v>2933.3333333333335</v>
      </c>
      <c r="C4">
        <f>AVERAGE(300, 290, 296)</f>
        <v>295.33333333333331</v>
      </c>
      <c r="D4" s="64">
        <f>1250</f>
        <v>1250</v>
      </c>
      <c r="F4" t="s">
        <v>277</v>
      </c>
      <c r="G4">
        <f>AVERAGE(14400, 14400, 13800)</f>
        <v>14200</v>
      </c>
      <c r="H4" s="66" t="s">
        <v>278</v>
      </c>
    </row>
    <row r="5" spans="1:11">
      <c r="A5" s="65" t="s">
        <v>200</v>
      </c>
      <c r="B5">
        <v>10.199999999999999</v>
      </c>
      <c r="C5">
        <v>12.5</v>
      </c>
      <c r="D5">
        <v>16.100000000000001</v>
      </c>
      <c r="E5">
        <v>22.7</v>
      </c>
      <c r="F5">
        <v>22.7</v>
      </c>
      <c r="G5">
        <v>32.1</v>
      </c>
      <c r="H5">
        <v>22.1</v>
      </c>
    </row>
    <row r="6" spans="1:11">
      <c r="A6" t="s">
        <v>192</v>
      </c>
      <c r="B6">
        <v>7.62</v>
      </c>
      <c r="C6">
        <v>8.1199999999999992</v>
      </c>
      <c r="D6">
        <v>7.42</v>
      </c>
      <c r="E6">
        <v>7.82</v>
      </c>
      <c r="F6">
        <v>8.07</v>
      </c>
      <c r="G6">
        <v>8.75</v>
      </c>
      <c r="H6">
        <v>9.18</v>
      </c>
    </row>
    <row r="7" spans="1:11">
      <c r="A7" t="s">
        <v>193</v>
      </c>
      <c r="B7">
        <v>-42</v>
      </c>
      <c r="C7">
        <v>-150</v>
      </c>
      <c r="D7">
        <v>52</v>
      </c>
      <c r="E7">
        <v>-169</v>
      </c>
      <c r="F7">
        <v>-250</v>
      </c>
      <c r="G7">
        <v>-312</v>
      </c>
      <c r="H7">
        <v>-314</v>
      </c>
    </row>
    <row r="8" spans="1:11">
      <c r="A8" s="65" t="s">
        <v>213</v>
      </c>
      <c r="B8">
        <v>950.2</v>
      </c>
      <c r="C8">
        <v>618.5</v>
      </c>
      <c r="D8">
        <v>3036</v>
      </c>
      <c r="E8">
        <v>1918</v>
      </c>
      <c r="F8">
        <v>1768</v>
      </c>
      <c r="G8">
        <v>1542</v>
      </c>
      <c r="H8">
        <v>7875</v>
      </c>
    </row>
    <row r="9" spans="1:11">
      <c r="A9" t="s">
        <v>194</v>
      </c>
      <c r="B9">
        <v>680.4</v>
      </c>
      <c r="C9">
        <v>436.7</v>
      </c>
      <c r="D9">
        <v>2310</v>
      </c>
      <c r="E9">
        <v>1413</v>
      </c>
      <c r="F9">
        <v>1291</v>
      </c>
      <c r="G9">
        <v>1108</v>
      </c>
      <c r="H9">
        <v>6538</v>
      </c>
    </row>
    <row r="10" spans="1:11">
      <c r="A10" s="65" t="s">
        <v>201</v>
      </c>
      <c r="B10">
        <v>0.2</v>
      </c>
      <c r="C10">
        <v>0.2</v>
      </c>
      <c r="D10">
        <v>0.2</v>
      </c>
      <c r="F10">
        <v>1</v>
      </c>
      <c r="G10">
        <v>0.8</v>
      </c>
      <c r="H10">
        <v>0.2</v>
      </c>
    </row>
    <row r="11" spans="1:11">
      <c r="A11" s="65" t="s">
        <v>276</v>
      </c>
      <c r="B11">
        <v>0.09</v>
      </c>
      <c r="C11">
        <v>0.02</v>
      </c>
      <c r="D11">
        <v>0.21</v>
      </c>
      <c r="F11" s="66" t="s">
        <v>279</v>
      </c>
      <c r="G11">
        <v>0.47</v>
      </c>
      <c r="H11">
        <v>0.13</v>
      </c>
    </row>
    <row r="12" spans="1:11">
      <c r="A12" s="65" t="s">
        <v>203</v>
      </c>
      <c r="B12">
        <v>2.12</v>
      </c>
      <c r="C12">
        <v>0.31</v>
      </c>
      <c r="D12">
        <v>2.83</v>
      </c>
      <c r="F12">
        <v>0.01</v>
      </c>
      <c r="G12">
        <v>0</v>
      </c>
      <c r="H12">
        <v>0.09</v>
      </c>
    </row>
    <row r="13" spans="1:11">
      <c r="A13" s="65" t="s">
        <v>204</v>
      </c>
      <c r="B13">
        <v>0</v>
      </c>
      <c r="C13">
        <v>16</v>
      </c>
      <c r="D13">
        <v>0</v>
      </c>
      <c r="F13" s="66" t="s">
        <v>280</v>
      </c>
      <c r="G13">
        <v>336</v>
      </c>
      <c r="H13">
        <v>98</v>
      </c>
    </row>
    <row r="14" spans="1:11">
      <c r="A14" s="65" t="s">
        <v>205</v>
      </c>
      <c r="B14">
        <v>0.1</v>
      </c>
      <c r="C14">
        <v>0.215</v>
      </c>
      <c r="D14">
        <f>AVERAGE(0.007, 0.01)</f>
        <v>8.5000000000000006E-3</v>
      </c>
      <c r="F14" s="66">
        <v>4.1000000000000002E-2</v>
      </c>
      <c r="G14">
        <v>7.0000000000000001E-3</v>
      </c>
      <c r="H14">
        <v>1.4999999999999999E-2</v>
      </c>
    </row>
    <row r="15" spans="1:11">
      <c r="A15" s="65" t="s">
        <v>206</v>
      </c>
      <c r="B15">
        <v>350</v>
      </c>
      <c r="C15">
        <v>250</v>
      </c>
      <c r="D15">
        <v>400</v>
      </c>
      <c r="E15" s="66" t="s">
        <v>227</v>
      </c>
      <c r="F15">
        <v>600</v>
      </c>
      <c r="G15">
        <v>380</v>
      </c>
      <c r="H15">
        <v>1400</v>
      </c>
    </row>
    <row r="16" spans="1:11">
      <c r="A16" s="65" t="s">
        <v>207</v>
      </c>
      <c r="B16">
        <v>10</v>
      </c>
      <c r="C16">
        <v>10</v>
      </c>
      <c r="D16">
        <v>10</v>
      </c>
      <c r="F16">
        <v>10</v>
      </c>
      <c r="G16">
        <v>10</v>
      </c>
      <c r="H16">
        <v>10</v>
      </c>
    </row>
    <row r="17" spans="1:8">
      <c r="A17" s="65" t="s">
        <v>208</v>
      </c>
      <c r="B17">
        <v>20</v>
      </c>
      <c r="C17">
        <v>20</v>
      </c>
      <c r="D17">
        <v>10</v>
      </c>
      <c r="F17">
        <v>10</v>
      </c>
      <c r="G17">
        <v>22</v>
      </c>
      <c r="H17">
        <v>5</v>
      </c>
    </row>
    <row r="18" spans="1:8">
      <c r="A18" s="65" t="s">
        <v>209</v>
      </c>
      <c r="B18">
        <v>29</v>
      </c>
      <c r="C18" t="s">
        <v>274</v>
      </c>
      <c r="D18">
        <v>29</v>
      </c>
      <c r="F18">
        <v>38</v>
      </c>
      <c r="G18">
        <v>29</v>
      </c>
      <c r="H18">
        <v>30</v>
      </c>
    </row>
    <row r="19" spans="1:8">
      <c r="A19" t="s">
        <v>195</v>
      </c>
      <c r="B19" t="s">
        <v>210</v>
      </c>
      <c r="C19" t="s">
        <v>210</v>
      </c>
      <c r="D19" t="s">
        <v>210</v>
      </c>
      <c r="E19" t="s">
        <v>210</v>
      </c>
      <c r="F19" t="s">
        <v>210</v>
      </c>
      <c r="G19" t="s">
        <v>210</v>
      </c>
      <c r="H19" t="s">
        <v>210</v>
      </c>
    </row>
    <row r="20" spans="1:8">
      <c r="A20" t="s">
        <v>196</v>
      </c>
      <c r="B20" t="s">
        <v>210</v>
      </c>
      <c r="C20" t="s">
        <v>210</v>
      </c>
      <c r="D20" t="s">
        <v>210</v>
      </c>
      <c r="E20" t="s">
        <v>210</v>
      </c>
      <c r="F20" t="s">
        <v>210</v>
      </c>
      <c r="G20" t="s">
        <v>210</v>
      </c>
      <c r="H20" t="s">
        <v>210</v>
      </c>
    </row>
    <row r="21" spans="1:8">
      <c r="A21" s="65" t="s">
        <v>211</v>
      </c>
      <c r="B21" t="s">
        <v>212</v>
      </c>
      <c r="C21" t="s">
        <v>212</v>
      </c>
      <c r="D21" t="s">
        <v>212</v>
      </c>
      <c r="E21" t="s">
        <v>212</v>
      </c>
      <c r="F21" t="s">
        <v>212</v>
      </c>
      <c r="G21" t="s">
        <v>212</v>
      </c>
      <c r="H21" t="s">
        <v>212</v>
      </c>
    </row>
    <row r="22" spans="1:8">
      <c r="A22" t="s">
        <v>197</v>
      </c>
      <c r="B22">
        <v>950</v>
      </c>
      <c r="C22">
        <v>700</v>
      </c>
      <c r="D22" s="65">
        <v>1500</v>
      </c>
      <c r="E22" s="65"/>
      <c r="F22">
        <v>1600</v>
      </c>
      <c r="G22">
        <v>1350</v>
      </c>
      <c r="H22">
        <v>1350</v>
      </c>
    </row>
    <row r="23" spans="1:8">
      <c r="A23" t="s">
        <v>198</v>
      </c>
      <c r="B23">
        <v>1000</v>
      </c>
      <c r="D23" s="65">
        <v>1500</v>
      </c>
      <c r="F23">
        <v>1400</v>
      </c>
      <c r="G23">
        <v>1300</v>
      </c>
      <c r="H23">
        <v>1300</v>
      </c>
    </row>
    <row r="24" spans="1:8">
      <c r="A24" t="s">
        <v>226</v>
      </c>
      <c r="D24" s="65"/>
    </row>
    <row r="26" spans="1:8">
      <c r="A26" s="191" t="s">
        <v>214</v>
      </c>
      <c r="B26" s="191"/>
      <c r="C26" s="191"/>
      <c r="D26" s="191"/>
      <c r="E26" s="191"/>
    </row>
    <row r="27" spans="1:8">
      <c r="A27" s="191" t="s">
        <v>216</v>
      </c>
      <c r="B27" s="191"/>
      <c r="C27" s="191"/>
      <c r="D27" s="191"/>
      <c r="E27" s="191"/>
    </row>
    <row r="28" spans="1:8">
      <c r="A28" s="191" t="s">
        <v>218</v>
      </c>
      <c r="B28" s="191"/>
      <c r="C28" s="191"/>
      <c r="D28" s="191"/>
      <c r="E28" s="191"/>
    </row>
    <row r="29" spans="1:8">
      <c r="A29" s="191"/>
      <c r="B29" s="191"/>
      <c r="C29" s="191"/>
      <c r="D29" s="191"/>
      <c r="E29" s="191"/>
    </row>
    <row r="30" spans="1:8">
      <c r="A30" s="65" t="s">
        <v>270</v>
      </c>
    </row>
  </sheetData>
  <mergeCells count="4">
    <mergeCell ref="A26:E26"/>
    <mergeCell ref="A27:E27"/>
    <mergeCell ref="A28:E28"/>
    <mergeCell ref="A29:E2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2"/>
  <sheetViews>
    <sheetView workbookViewId="0">
      <selection activeCell="J4" sqref="J4"/>
    </sheetView>
  </sheetViews>
  <sheetFormatPr baseColWidth="10" defaultColWidth="8.83203125" defaultRowHeight="13"/>
  <cols>
    <col min="1" max="1" width="29.1640625" bestFit="1" customWidth="1"/>
    <col min="2" max="2" width="10.6640625" bestFit="1" customWidth="1"/>
    <col min="3" max="3" width="10.6640625" customWidth="1"/>
    <col min="4" max="4" width="11.1640625" bestFit="1" customWidth="1"/>
    <col min="5" max="5" width="11.1640625" customWidth="1"/>
    <col min="6" max="6" width="12.1640625" bestFit="1" customWidth="1"/>
    <col min="7" max="7" width="12.1640625" customWidth="1"/>
    <col min="8" max="8" width="14.5" customWidth="1"/>
    <col min="9" max="9" width="13" customWidth="1"/>
    <col min="10" max="11" width="13.1640625" customWidth="1"/>
    <col min="12" max="12" width="10.83203125" customWidth="1"/>
    <col min="13" max="13" width="11.6640625" customWidth="1"/>
    <col min="14" max="14" width="13.5" customWidth="1"/>
    <col min="15" max="15" width="15.1640625" customWidth="1"/>
    <col min="16" max="16" width="16.6640625" customWidth="1"/>
  </cols>
  <sheetData>
    <row r="1" spans="1:16" ht="42">
      <c r="B1" s="67" t="s">
        <v>191</v>
      </c>
      <c r="C1" s="82" t="s">
        <v>291</v>
      </c>
      <c r="D1" s="68">
        <v>19223</v>
      </c>
      <c r="E1" s="85" t="s">
        <v>295</v>
      </c>
      <c r="F1" s="69">
        <v>24790</v>
      </c>
      <c r="G1" s="85" t="s">
        <v>297</v>
      </c>
      <c r="H1" s="69">
        <v>24228</v>
      </c>
      <c r="I1" s="85" t="s">
        <v>296</v>
      </c>
      <c r="J1" s="69">
        <v>11938</v>
      </c>
      <c r="K1" s="85" t="s">
        <v>298</v>
      </c>
      <c r="L1" s="69" t="s">
        <v>2</v>
      </c>
      <c r="M1" s="85" t="s">
        <v>299</v>
      </c>
      <c r="N1" s="69" t="s">
        <v>223</v>
      </c>
      <c r="O1" s="69" t="s">
        <v>224</v>
      </c>
      <c r="P1" s="69" t="s">
        <v>225</v>
      </c>
    </row>
    <row r="2" spans="1:16">
      <c r="A2" t="s">
        <v>186</v>
      </c>
      <c r="B2">
        <v>800</v>
      </c>
      <c r="C2">
        <v>800</v>
      </c>
      <c r="D2">
        <v>800</v>
      </c>
      <c r="E2">
        <v>800</v>
      </c>
      <c r="F2">
        <v>2000</v>
      </c>
      <c r="G2">
        <v>2000</v>
      </c>
      <c r="H2">
        <v>4100</v>
      </c>
      <c r="I2">
        <v>4100</v>
      </c>
      <c r="J2">
        <v>4850</v>
      </c>
      <c r="K2">
        <v>4850</v>
      </c>
      <c r="L2">
        <v>4850</v>
      </c>
      <c r="M2">
        <v>4850</v>
      </c>
    </row>
    <row r="3" spans="1:16">
      <c r="A3" t="s">
        <v>187</v>
      </c>
      <c r="B3" s="63">
        <v>42633</v>
      </c>
      <c r="C3" s="63">
        <v>42633</v>
      </c>
      <c r="D3" s="63">
        <v>42633</v>
      </c>
      <c r="E3" s="63">
        <v>42633</v>
      </c>
      <c r="F3" s="63">
        <v>42634</v>
      </c>
      <c r="G3" s="86">
        <v>42634</v>
      </c>
      <c r="H3" s="63">
        <v>42633</v>
      </c>
      <c r="I3" s="63">
        <v>42633</v>
      </c>
      <c r="J3" s="63">
        <v>42635</v>
      </c>
      <c r="K3" s="63">
        <v>42635</v>
      </c>
      <c r="L3" s="63">
        <v>42635</v>
      </c>
      <c r="M3" s="63">
        <v>42635</v>
      </c>
      <c r="N3" s="63">
        <v>42636</v>
      </c>
      <c r="O3" s="63">
        <v>42636</v>
      </c>
      <c r="P3" s="63">
        <v>42636</v>
      </c>
    </row>
    <row r="4" spans="1:16">
      <c r="A4" s="65" t="s">
        <v>199</v>
      </c>
      <c r="B4" s="79">
        <f>AVERAGE((720*4), (720*4), (715*4))</f>
        <v>2873.3333333333335</v>
      </c>
      <c r="C4" s="83" t="s">
        <v>292</v>
      </c>
      <c r="D4" s="79">
        <f>AVERAGE((160*2), (160*2), (160*2))</f>
        <v>320</v>
      </c>
      <c r="E4" s="79">
        <f>AVERAGE((110*2), (110*2), (110*2))</f>
        <v>220</v>
      </c>
      <c r="F4" s="79">
        <v>1346</v>
      </c>
      <c r="G4" s="79">
        <f>AVERAGE(175, 175, 175)</f>
        <v>175</v>
      </c>
      <c r="H4" s="79">
        <f>AVERAGE(900, 900, 900)</f>
        <v>900</v>
      </c>
      <c r="I4" s="79">
        <f>AVERAGE((240*2), (220*2), (240*2))</f>
        <v>466.66666666666669</v>
      </c>
      <c r="J4" s="79">
        <f>(AVERAGE((1400*12),(1300*12),(1400*12)))</f>
        <v>16400</v>
      </c>
      <c r="K4" s="79">
        <f>AVERAGE((180*2), (190*2), (200*2))</f>
        <v>380</v>
      </c>
      <c r="L4" s="81"/>
      <c r="M4" s="81">
        <f>AVERAGE(10, 10, 10)</f>
        <v>10</v>
      </c>
      <c r="N4" s="79"/>
      <c r="O4" s="79"/>
      <c r="P4" s="79"/>
    </row>
    <row r="5" spans="1:16">
      <c r="A5" s="65" t="s">
        <v>200</v>
      </c>
      <c r="B5">
        <v>10.1</v>
      </c>
      <c r="C5">
        <v>10.199999999999999</v>
      </c>
      <c r="D5">
        <v>12.4</v>
      </c>
      <c r="E5">
        <v>12.4</v>
      </c>
      <c r="F5">
        <v>16.100000000000001</v>
      </c>
      <c r="G5">
        <v>16.2</v>
      </c>
      <c r="H5">
        <v>22.7</v>
      </c>
      <c r="I5">
        <v>22.5</v>
      </c>
      <c r="J5">
        <v>31.5</v>
      </c>
      <c r="K5">
        <v>30.6</v>
      </c>
      <c r="L5">
        <v>21.8</v>
      </c>
      <c r="M5">
        <v>21.1</v>
      </c>
      <c r="N5">
        <v>15</v>
      </c>
      <c r="O5">
        <v>12.3</v>
      </c>
      <c r="P5">
        <v>12.9</v>
      </c>
    </row>
    <row r="6" spans="1:16">
      <c r="A6" t="s">
        <v>192</v>
      </c>
      <c r="B6">
        <v>6.66</v>
      </c>
      <c r="C6">
        <v>6.1</v>
      </c>
      <c r="D6">
        <v>7.5</v>
      </c>
      <c r="E6">
        <v>7.54</v>
      </c>
      <c r="F6">
        <v>7.03</v>
      </c>
      <c r="G6">
        <v>7.44</v>
      </c>
      <c r="H6">
        <v>8.4</v>
      </c>
      <c r="I6">
        <v>8.15</v>
      </c>
      <c r="J6">
        <v>8.83</v>
      </c>
      <c r="K6">
        <v>8.8699999999999992</v>
      </c>
      <c r="L6">
        <v>8.14</v>
      </c>
      <c r="M6">
        <v>8.33</v>
      </c>
      <c r="N6">
        <v>8.7899999999999991</v>
      </c>
      <c r="O6">
        <v>8.92</v>
      </c>
      <c r="P6">
        <v>8.9499999999999993</v>
      </c>
    </row>
    <row r="7" spans="1:16">
      <c r="A7" t="s">
        <v>193</v>
      </c>
      <c r="B7">
        <v>-59</v>
      </c>
      <c r="C7">
        <v>-27</v>
      </c>
      <c r="D7">
        <v>-98</v>
      </c>
      <c r="E7">
        <v>-82</v>
      </c>
      <c r="F7">
        <v>-42</v>
      </c>
      <c r="G7">
        <v>-59</v>
      </c>
      <c r="H7">
        <v>-254</v>
      </c>
      <c r="I7">
        <v>-251</v>
      </c>
      <c r="J7">
        <v>-232</v>
      </c>
      <c r="K7">
        <v>-240</v>
      </c>
      <c r="L7">
        <v>-250</v>
      </c>
      <c r="M7">
        <v>-215</v>
      </c>
      <c r="N7">
        <v>59</v>
      </c>
      <c r="O7">
        <v>102</v>
      </c>
      <c r="P7">
        <v>95</v>
      </c>
    </row>
    <row r="8" spans="1:16">
      <c r="A8" s="65" t="s">
        <v>213</v>
      </c>
      <c r="B8">
        <v>937</v>
      </c>
      <c r="C8">
        <v>970</v>
      </c>
      <c r="D8">
        <v>616.9</v>
      </c>
      <c r="E8">
        <v>611.4</v>
      </c>
      <c r="F8">
        <v>2998</v>
      </c>
      <c r="G8">
        <v>3036</v>
      </c>
      <c r="H8">
        <v>1760</v>
      </c>
      <c r="I8">
        <v>1760</v>
      </c>
      <c r="J8">
        <v>1536</v>
      </c>
      <c r="K8">
        <v>1546</v>
      </c>
      <c r="L8">
        <v>7987</v>
      </c>
      <c r="M8">
        <v>7911</v>
      </c>
      <c r="N8">
        <v>1364</v>
      </c>
      <c r="O8">
        <v>630</v>
      </c>
      <c r="P8">
        <v>488.7</v>
      </c>
    </row>
    <row r="9" spans="1:16">
      <c r="A9" t="s">
        <v>194</v>
      </c>
      <c r="B9">
        <v>674.3</v>
      </c>
      <c r="D9">
        <v>435.5</v>
      </c>
      <c r="E9">
        <v>431.5</v>
      </c>
      <c r="F9">
        <v>2281</v>
      </c>
      <c r="G9">
        <v>2313</v>
      </c>
      <c r="H9">
        <v>1284</v>
      </c>
      <c r="I9">
        <v>1284</v>
      </c>
      <c r="J9">
        <v>1107</v>
      </c>
      <c r="K9">
        <v>1108</v>
      </c>
      <c r="L9">
        <v>6636</v>
      </c>
      <c r="M9">
        <v>6579</v>
      </c>
      <c r="N9">
        <v>992.1</v>
      </c>
      <c r="O9">
        <v>446.3</v>
      </c>
      <c r="P9">
        <v>342.2</v>
      </c>
    </row>
    <row r="10" spans="1:16">
      <c r="A10" s="65" t="s">
        <v>201</v>
      </c>
      <c r="B10">
        <v>0.3</v>
      </c>
      <c r="D10">
        <v>0</v>
      </c>
      <c r="F10">
        <v>0.3</v>
      </c>
      <c r="H10">
        <v>1.1000000000000001</v>
      </c>
      <c r="J10">
        <v>0.8</v>
      </c>
      <c r="L10">
        <v>0.3</v>
      </c>
    </row>
    <row r="11" spans="1:16">
      <c r="A11" s="65" t="s">
        <v>276</v>
      </c>
      <c r="B11">
        <v>0.08</v>
      </c>
      <c r="D11">
        <v>0.02</v>
      </c>
      <c r="F11">
        <v>0.31</v>
      </c>
      <c r="H11" s="84" t="s">
        <v>279</v>
      </c>
      <c r="I11" s="84"/>
      <c r="J11">
        <v>0.5</v>
      </c>
      <c r="L11">
        <v>0.06</v>
      </c>
    </row>
    <row r="12" spans="1:16">
      <c r="A12" s="65" t="s">
        <v>203</v>
      </c>
      <c r="B12">
        <v>2.4900000000000002</v>
      </c>
      <c r="D12">
        <v>0.25</v>
      </c>
      <c r="F12">
        <v>2.71</v>
      </c>
      <c r="H12">
        <v>0.01</v>
      </c>
      <c r="J12">
        <v>0.01</v>
      </c>
      <c r="L12">
        <v>2.0299999999999998</v>
      </c>
    </row>
    <row r="13" spans="1:16">
      <c r="A13" s="65" t="s">
        <v>204</v>
      </c>
      <c r="B13">
        <v>0</v>
      </c>
      <c r="D13">
        <v>32</v>
      </c>
      <c r="F13">
        <v>8</v>
      </c>
      <c r="H13" s="84" t="s">
        <v>294</v>
      </c>
      <c r="I13" s="84"/>
      <c r="J13">
        <v>397</v>
      </c>
      <c r="L13">
        <v>73</v>
      </c>
    </row>
    <row r="14" spans="1:16">
      <c r="A14" s="65" t="s">
        <v>205</v>
      </c>
      <c r="B14">
        <v>0.11700000000000001</v>
      </c>
      <c r="D14">
        <v>0.27600000000000002</v>
      </c>
      <c r="F14">
        <v>3.4000000000000002E-2</v>
      </c>
      <c r="H14" s="66">
        <v>0.127</v>
      </c>
      <c r="I14" s="66"/>
      <c r="J14">
        <v>7.0000000000000007E-2</v>
      </c>
      <c r="L14">
        <v>7.0000000000000007E-2</v>
      </c>
    </row>
    <row r="15" spans="1:16">
      <c r="A15" s="65" t="s">
        <v>206</v>
      </c>
      <c r="B15">
        <v>300</v>
      </c>
      <c r="D15">
        <v>300</v>
      </c>
      <c r="F15">
        <v>350</v>
      </c>
      <c r="H15">
        <v>560</v>
      </c>
      <c r="J15">
        <v>500</v>
      </c>
      <c r="L15">
        <v>480</v>
      </c>
    </row>
    <row r="16" spans="1:16">
      <c r="A16" s="65" t="s">
        <v>207</v>
      </c>
      <c r="B16">
        <v>10</v>
      </c>
      <c r="D16">
        <v>10</v>
      </c>
      <c r="F16">
        <v>10</v>
      </c>
      <c r="H16">
        <v>10</v>
      </c>
      <c r="J16">
        <v>10</v>
      </c>
      <c r="L16">
        <v>10</v>
      </c>
    </row>
    <row r="17" spans="1:12">
      <c r="A17" s="65" t="s">
        <v>208</v>
      </c>
      <c r="B17">
        <v>10</v>
      </c>
      <c r="D17">
        <v>10</v>
      </c>
      <c r="F17">
        <v>15</v>
      </c>
      <c r="H17">
        <v>10</v>
      </c>
      <c r="J17">
        <v>11</v>
      </c>
      <c r="L17">
        <v>10</v>
      </c>
    </row>
    <row r="18" spans="1:12">
      <c r="A18" s="65" t="s">
        <v>209</v>
      </c>
      <c r="B18">
        <v>30</v>
      </c>
      <c r="D18">
        <v>30</v>
      </c>
      <c r="F18">
        <v>30</v>
      </c>
      <c r="H18">
        <v>30</v>
      </c>
      <c r="J18">
        <v>28</v>
      </c>
    </row>
    <row r="19" spans="1:12">
      <c r="A19" t="s">
        <v>195</v>
      </c>
      <c r="B19" s="65" t="s">
        <v>210</v>
      </c>
      <c r="C19" s="65"/>
      <c r="D19" s="65" t="s">
        <v>210</v>
      </c>
      <c r="E19" s="65"/>
      <c r="F19" s="65" t="s">
        <v>210</v>
      </c>
      <c r="H19" s="65" t="s">
        <v>210</v>
      </c>
      <c r="I19" s="65"/>
      <c r="J19" s="65" t="s">
        <v>210</v>
      </c>
      <c r="L19" s="65" t="s">
        <v>210</v>
      </c>
    </row>
    <row r="20" spans="1:12">
      <c r="A20" s="65" t="s">
        <v>290</v>
      </c>
      <c r="B20" s="65" t="s">
        <v>210</v>
      </c>
      <c r="C20" s="65"/>
      <c r="D20" s="65" t="s">
        <v>210</v>
      </c>
      <c r="E20" s="65"/>
      <c r="F20" s="65" t="s">
        <v>210</v>
      </c>
      <c r="H20" s="65" t="s">
        <v>210</v>
      </c>
      <c r="I20" s="65"/>
      <c r="J20" s="65" t="s">
        <v>210</v>
      </c>
      <c r="L20" s="65" t="s">
        <v>212</v>
      </c>
    </row>
    <row r="21" spans="1:12">
      <c r="A21" t="s">
        <v>196</v>
      </c>
      <c r="B21" s="65" t="s">
        <v>210</v>
      </c>
      <c r="C21" s="65"/>
      <c r="D21" s="65" t="s">
        <v>210</v>
      </c>
      <c r="E21" s="65"/>
      <c r="F21" s="65" t="s">
        <v>210</v>
      </c>
      <c r="H21" s="65" t="s">
        <v>210</v>
      </c>
      <c r="I21" s="65"/>
      <c r="J21" s="65" t="s">
        <v>210</v>
      </c>
      <c r="L21" s="65" t="s">
        <v>210</v>
      </c>
    </row>
    <row r="22" spans="1:12">
      <c r="A22" s="65" t="s">
        <v>211</v>
      </c>
      <c r="B22" s="65" t="s">
        <v>212</v>
      </c>
      <c r="C22" s="65"/>
      <c r="D22" s="65" t="s">
        <v>212</v>
      </c>
      <c r="E22" s="65"/>
      <c r="F22" s="65" t="s">
        <v>212</v>
      </c>
      <c r="H22" s="65" t="s">
        <v>212</v>
      </c>
      <c r="I22" s="65"/>
      <c r="J22" s="65" t="s">
        <v>212</v>
      </c>
      <c r="L22" s="65" t="s">
        <v>212</v>
      </c>
    </row>
    <row r="23" spans="1:12">
      <c r="A23" t="s">
        <v>197</v>
      </c>
      <c r="B23">
        <v>950</v>
      </c>
      <c r="D23">
        <v>1050</v>
      </c>
      <c r="F23" s="65">
        <v>1500</v>
      </c>
      <c r="G23" s="65"/>
      <c r="H23">
        <v>1150</v>
      </c>
      <c r="J23">
        <v>1500</v>
      </c>
      <c r="L23">
        <v>1400</v>
      </c>
    </row>
    <row r="24" spans="1:12">
      <c r="A24" t="s">
        <v>198</v>
      </c>
      <c r="B24">
        <v>800</v>
      </c>
      <c r="D24">
        <v>1050</v>
      </c>
      <c r="F24" s="65">
        <v>1700</v>
      </c>
      <c r="G24" s="65"/>
      <c r="H24">
        <v>1400</v>
      </c>
      <c r="J24">
        <v>1500</v>
      </c>
      <c r="L24">
        <v>1200</v>
      </c>
    </row>
    <row r="25" spans="1:12">
      <c r="A25" t="s">
        <v>226</v>
      </c>
      <c r="F25" s="65"/>
      <c r="G25" s="65"/>
    </row>
    <row r="27" spans="1:12">
      <c r="A27" s="191" t="s">
        <v>214</v>
      </c>
      <c r="B27" s="191"/>
      <c r="C27" s="191"/>
      <c r="D27" s="191"/>
      <c r="E27" s="191"/>
      <c r="F27" s="191"/>
      <c r="G27" s="78"/>
    </row>
    <row r="28" spans="1:12">
      <c r="A28" s="191" t="s">
        <v>216</v>
      </c>
      <c r="B28" s="191"/>
      <c r="C28" s="191"/>
      <c r="D28" s="191"/>
      <c r="E28" s="191"/>
      <c r="F28" s="191"/>
      <c r="G28" s="78"/>
    </row>
    <row r="29" spans="1:12">
      <c r="A29" s="191" t="s">
        <v>218</v>
      </c>
      <c r="B29" s="191"/>
      <c r="C29" s="191"/>
      <c r="D29" s="191"/>
      <c r="E29" s="191"/>
      <c r="F29" s="191"/>
      <c r="G29" s="78"/>
    </row>
    <row r="30" spans="1:12">
      <c r="A30" s="80" t="s">
        <v>293</v>
      </c>
      <c r="B30" s="78"/>
      <c r="C30" s="78"/>
      <c r="D30" s="78"/>
      <c r="E30" s="78"/>
      <c r="F30" s="78"/>
      <c r="G30" s="78"/>
    </row>
    <row r="31" spans="1:12">
      <c r="A31" s="191"/>
      <c r="B31" s="191"/>
      <c r="C31" s="191"/>
      <c r="D31" s="191"/>
      <c r="E31" s="191"/>
      <c r="F31" s="191"/>
      <c r="G31" s="78"/>
    </row>
    <row r="32" spans="1:12">
      <c r="A32" s="65" t="s">
        <v>300</v>
      </c>
    </row>
  </sheetData>
  <mergeCells count="4">
    <mergeCell ref="A27:F27"/>
    <mergeCell ref="A28:F28"/>
    <mergeCell ref="A29:F29"/>
    <mergeCell ref="A31:F3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3"/>
  <sheetViews>
    <sheetView workbookViewId="0">
      <selection activeCell="B71" sqref="B71"/>
    </sheetView>
  </sheetViews>
  <sheetFormatPr baseColWidth="10" defaultColWidth="8.83203125" defaultRowHeight="13"/>
  <cols>
    <col min="1" max="1" width="29.1640625" bestFit="1" customWidth="1"/>
    <col min="2" max="2" width="10.6640625" bestFit="1" customWidth="1"/>
    <col min="3" max="3" width="11.1640625" bestFit="1" customWidth="1"/>
    <col min="4" max="4" width="12.1640625" bestFit="1" customWidth="1"/>
    <col min="5" max="5" width="14.5" customWidth="1"/>
    <col min="6" max="6" width="13.1640625" customWidth="1"/>
    <col min="7" max="7" width="10.83203125" customWidth="1"/>
  </cols>
  <sheetData>
    <row r="1" spans="1:7" ht="14">
      <c r="B1" s="67" t="s">
        <v>191</v>
      </c>
      <c r="C1" s="68">
        <v>19223</v>
      </c>
      <c r="D1" s="69">
        <v>24790</v>
      </c>
      <c r="E1" s="69">
        <v>24228</v>
      </c>
      <c r="F1" s="69">
        <v>11938</v>
      </c>
      <c r="G1" s="69" t="s">
        <v>2</v>
      </c>
    </row>
    <row r="2" spans="1:7" ht="14">
      <c r="B2" s="88" t="s">
        <v>301</v>
      </c>
      <c r="C2" s="89" t="s">
        <v>302</v>
      </c>
      <c r="D2" s="85" t="s">
        <v>303</v>
      </c>
      <c r="E2" s="85" t="s">
        <v>304</v>
      </c>
      <c r="F2" s="85" t="s">
        <v>305</v>
      </c>
      <c r="G2" s="85" t="s">
        <v>306</v>
      </c>
    </row>
    <row r="3" spans="1:7">
      <c r="A3" t="s">
        <v>186</v>
      </c>
      <c r="B3">
        <v>800</v>
      </c>
      <c r="C3">
        <v>800</v>
      </c>
      <c r="D3">
        <v>2000</v>
      </c>
      <c r="E3">
        <v>4100</v>
      </c>
      <c r="F3">
        <v>4850</v>
      </c>
      <c r="G3">
        <v>4850</v>
      </c>
    </row>
    <row r="4" spans="1:7">
      <c r="A4" t="s">
        <v>187</v>
      </c>
      <c r="B4" s="63">
        <v>42713</v>
      </c>
      <c r="C4" s="63">
        <v>42713</v>
      </c>
      <c r="D4" s="63">
        <v>42712</v>
      </c>
      <c r="E4" s="63">
        <v>42710</v>
      </c>
      <c r="F4" s="63">
        <v>42711</v>
      </c>
      <c r="G4" s="63">
        <v>42711</v>
      </c>
    </row>
    <row r="5" spans="1:7">
      <c r="A5" s="65" t="s">
        <v>199</v>
      </c>
      <c r="B5" s="79">
        <v>2800</v>
      </c>
      <c r="C5" s="79">
        <v>300</v>
      </c>
      <c r="D5" s="79">
        <v>3500</v>
      </c>
      <c r="E5" s="79">
        <v>820</v>
      </c>
      <c r="F5" s="79">
        <v>17280</v>
      </c>
      <c r="G5" s="81"/>
    </row>
    <row r="6" spans="1:7">
      <c r="A6" s="65" t="s">
        <v>200</v>
      </c>
      <c r="B6">
        <v>10</v>
      </c>
      <c r="C6">
        <v>12.5</v>
      </c>
      <c r="D6">
        <v>16.2</v>
      </c>
      <c r="E6">
        <v>22.6</v>
      </c>
      <c r="F6">
        <v>31.4</v>
      </c>
      <c r="G6">
        <v>24.6</v>
      </c>
    </row>
    <row r="7" spans="1:7">
      <c r="A7" t="s">
        <v>192</v>
      </c>
      <c r="B7">
        <v>7.37</v>
      </c>
      <c r="C7">
        <v>7.72</v>
      </c>
      <c r="D7">
        <v>7.27</v>
      </c>
      <c r="E7">
        <v>8.8800000000000008</v>
      </c>
      <c r="F7">
        <v>9.07</v>
      </c>
      <c r="G7">
        <v>8.64</v>
      </c>
    </row>
    <row r="8" spans="1:7">
      <c r="A8" t="s">
        <v>193</v>
      </c>
      <c r="B8">
        <v>-96</v>
      </c>
      <c r="C8">
        <v>-93</v>
      </c>
      <c r="D8">
        <v>-30</v>
      </c>
      <c r="E8">
        <v>-278</v>
      </c>
      <c r="F8">
        <v>-233</v>
      </c>
      <c r="G8">
        <v>-205</v>
      </c>
    </row>
    <row r="9" spans="1:7">
      <c r="A9" s="65" t="s">
        <v>213</v>
      </c>
      <c r="B9">
        <v>956.1</v>
      </c>
      <c r="C9">
        <v>626.5</v>
      </c>
      <c r="D9">
        <v>3036</v>
      </c>
      <c r="E9">
        <v>1774</v>
      </c>
      <c r="F9">
        <v>1540</v>
      </c>
      <c r="G9">
        <v>7978</v>
      </c>
    </row>
    <row r="10" spans="1:7">
      <c r="A10" s="65" t="s">
        <v>289</v>
      </c>
      <c r="B10">
        <v>688.7</v>
      </c>
      <c r="C10">
        <v>443.5</v>
      </c>
      <c r="D10">
        <v>2313</v>
      </c>
      <c r="E10">
        <v>1296</v>
      </c>
      <c r="F10">
        <v>1109</v>
      </c>
      <c r="G10">
        <v>6685</v>
      </c>
    </row>
    <row r="11" spans="1:7">
      <c r="A11" s="65" t="s">
        <v>201</v>
      </c>
      <c r="B11">
        <v>0.2</v>
      </c>
      <c r="C11">
        <v>0.1</v>
      </c>
      <c r="D11">
        <v>0.2</v>
      </c>
      <c r="E11">
        <v>1</v>
      </c>
      <c r="F11">
        <v>0.7</v>
      </c>
      <c r="G11">
        <v>0.4</v>
      </c>
    </row>
    <row r="12" spans="1:7">
      <c r="A12" s="65" t="s">
        <v>276</v>
      </c>
      <c r="B12">
        <v>7.0000000000000007E-2</v>
      </c>
      <c r="C12">
        <v>0.03</v>
      </c>
      <c r="D12">
        <v>0.28000000000000003</v>
      </c>
      <c r="E12" s="84">
        <f>0.39*4</f>
        <v>1.56</v>
      </c>
      <c r="F12">
        <v>0.46</v>
      </c>
      <c r="G12">
        <v>0.08</v>
      </c>
    </row>
    <row r="13" spans="1:7">
      <c r="A13" s="65" t="s">
        <v>203</v>
      </c>
      <c r="B13">
        <v>2.27</v>
      </c>
      <c r="C13">
        <v>0.31</v>
      </c>
      <c r="D13">
        <v>2.92</v>
      </c>
      <c r="E13">
        <v>0.01</v>
      </c>
      <c r="F13">
        <v>0</v>
      </c>
      <c r="G13">
        <v>1.23</v>
      </c>
    </row>
    <row r="14" spans="1:7">
      <c r="A14" s="65" t="s">
        <v>204</v>
      </c>
      <c r="B14">
        <v>0</v>
      </c>
      <c r="C14">
        <v>29</v>
      </c>
      <c r="D14">
        <v>0</v>
      </c>
      <c r="E14" s="84">
        <v>537</v>
      </c>
      <c r="F14">
        <v>329</v>
      </c>
      <c r="G14">
        <v>55</v>
      </c>
    </row>
    <row r="15" spans="1:7">
      <c r="A15" s="65" t="s">
        <v>205</v>
      </c>
      <c r="B15">
        <v>0</v>
      </c>
      <c r="C15">
        <v>0.54</v>
      </c>
      <c r="D15">
        <v>0.14699999999999999</v>
      </c>
      <c r="E15" s="66">
        <v>4.2999999999999997E-2</v>
      </c>
      <c r="F15">
        <v>5.8000000000000003E-2</v>
      </c>
      <c r="G15">
        <v>0.09</v>
      </c>
    </row>
    <row r="16" spans="1:7">
      <c r="A16" s="65" t="s">
        <v>206</v>
      </c>
      <c r="E16">
        <f>140*12</f>
        <v>1680</v>
      </c>
      <c r="F16">
        <v>400</v>
      </c>
      <c r="G16">
        <v>880</v>
      </c>
    </row>
    <row r="17" spans="1:7">
      <c r="A17" s="65" t="s">
        <v>207</v>
      </c>
      <c r="E17" s="66">
        <v>10</v>
      </c>
      <c r="F17">
        <v>10</v>
      </c>
      <c r="G17">
        <v>10</v>
      </c>
    </row>
    <row r="18" spans="1:7">
      <c r="A18" s="65" t="s">
        <v>208</v>
      </c>
      <c r="E18" s="66">
        <v>17</v>
      </c>
      <c r="F18">
        <v>15</v>
      </c>
      <c r="G18">
        <v>10</v>
      </c>
    </row>
    <row r="19" spans="1:7">
      <c r="A19" s="65" t="s">
        <v>209</v>
      </c>
      <c r="E19" s="66">
        <v>30</v>
      </c>
      <c r="F19">
        <v>19</v>
      </c>
      <c r="G19">
        <v>30</v>
      </c>
    </row>
    <row r="20" spans="1:7">
      <c r="A20" t="s">
        <v>195</v>
      </c>
      <c r="B20" s="65" t="s">
        <v>210</v>
      </c>
      <c r="C20" s="65" t="s">
        <v>210</v>
      </c>
      <c r="D20" s="65" t="s">
        <v>210</v>
      </c>
      <c r="E20" s="65" t="s">
        <v>210</v>
      </c>
      <c r="F20" s="65" t="s">
        <v>210</v>
      </c>
      <c r="G20" s="65" t="s">
        <v>210</v>
      </c>
    </row>
    <row r="21" spans="1:7">
      <c r="A21" s="65" t="s">
        <v>290</v>
      </c>
      <c r="B21" s="65" t="s">
        <v>210</v>
      </c>
      <c r="C21" s="65" t="s">
        <v>210</v>
      </c>
      <c r="D21" s="65" t="s">
        <v>210</v>
      </c>
      <c r="E21" s="65" t="s">
        <v>210</v>
      </c>
      <c r="F21" s="65" t="s">
        <v>210</v>
      </c>
      <c r="G21" s="65" t="s">
        <v>212</v>
      </c>
    </row>
    <row r="22" spans="1:7">
      <c r="A22" t="s">
        <v>196</v>
      </c>
      <c r="B22" s="65" t="s">
        <v>210</v>
      </c>
      <c r="C22" s="65" t="s">
        <v>210</v>
      </c>
      <c r="D22" s="65" t="s">
        <v>210</v>
      </c>
      <c r="E22" s="65" t="s">
        <v>210</v>
      </c>
      <c r="F22" s="65" t="s">
        <v>210</v>
      </c>
      <c r="G22" s="65" t="s">
        <v>210</v>
      </c>
    </row>
    <row r="23" spans="1:7">
      <c r="A23" s="65" t="s">
        <v>211</v>
      </c>
      <c r="B23" s="65" t="s">
        <v>212</v>
      </c>
      <c r="C23" s="65" t="s">
        <v>212</v>
      </c>
      <c r="D23" s="65" t="s">
        <v>212</v>
      </c>
      <c r="E23" s="65" t="s">
        <v>212</v>
      </c>
      <c r="F23" s="65" t="s">
        <v>212</v>
      </c>
      <c r="G23" s="65" t="s">
        <v>212</v>
      </c>
    </row>
    <row r="24" spans="1:7">
      <c r="A24" t="s">
        <v>197</v>
      </c>
      <c r="D24" s="65"/>
    </row>
    <row r="25" spans="1:7">
      <c r="A25" t="s">
        <v>198</v>
      </c>
      <c r="D25" s="65"/>
    </row>
    <row r="26" spans="1:7">
      <c r="D26" s="65"/>
    </row>
    <row r="28" spans="1:7">
      <c r="A28" s="191" t="s">
        <v>214</v>
      </c>
      <c r="B28" s="191"/>
      <c r="C28" s="191"/>
      <c r="D28" s="191"/>
    </row>
    <row r="29" spans="1:7">
      <c r="A29" s="191" t="s">
        <v>216</v>
      </c>
      <c r="B29" s="191"/>
      <c r="C29" s="191"/>
      <c r="D29" s="191"/>
    </row>
    <row r="30" spans="1:7">
      <c r="A30" s="191" t="s">
        <v>218</v>
      </c>
      <c r="B30" s="191"/>
      <c r="C30" s="191"/>
      <c r="D30" s="191"/>
    </row>
    <row r="31" spans="1:7">
      <c r="A31" s="80" t="s">
        <v>293</v>
      </c>
      <c r="B31" s="87"/>
      <c r="C31" s="87"/>
      <c r="D31" s="87"/>
    </row>
    <row r="32" spans="1:7">
      <c r="A32" s="191"/>
      <c r="B32" s="191"/>
      <c r="C32" s="191"/>
      <c r="D32" s="191"/>
    </row>
    <row r="33" spans="1:1">
      <c r="A33" s="65" t="s">
        <v>300</v>
      </c>
    </row>
  </sheetData>
  <mergeCells count="4">
    <mergeCell ref="A28:D28"/>
    <mergeCell ref="A29:D29"/>
    <mergeCell ref="A30:D30"/>
    <mergeCell ref="A32:D3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G24"/>
  <sheetViews>
    <sheetView workbookViewId="0">
      <selection activeCell="N42" sqref="N42"/>
    </sheetView>
  </sheetViews>
  <sheetFormatPr baseColWidth="10" defaultColWidth="8.83203125" defaultRowHeight="13"/>
  <sheetData>
    <row r="4" spans="1:7">
      <c r="A4" t="s">
        <v>268</v>
      </c>
    </row>
    <row r="5" spans="1:7">
      <c r="A5" t="s">
        <v>269</v>
      </c>
      <c r="B5">
        <v>11938</v>
      </c>
      <c r="C5" t="s">
        <v>2</v>
      </c>
      <c r="D5">
        <v>24228</v>
      </c>
      <c r="E5">
        <v>24790</v>
      </c>
      <c r="F5">
        <v>19223</v>
      </c>
      <c r="G5" s="62" t="s">
        <v>239</v>
      </c>
    </row>
    <row r="6" spans="1:7">
      <c r="A6">
        <v>1</v>
      </c>
      <c r="B6">
        <v>32.799999999999997</v>
      </c>
      <c r="C6">
        <v>21</v>
      </c>
      <c r="D6">
        <v>22.9</v>
      </c>
      <c r="E6">
        <v>16.3</v>
      </c>
      <c r="F6">
        <v>12.7</v>
      </c>
      <c r="G6">
        <v>9.9</v>
      </c>
    </row>
    <row r="7" spans="1:7">
      <c r="A7">
        <v>147</v>
      </c>
      <c r="D7">
        <v>22.7</v>
      </c>
    </row>
    <row r="8" spans="1:7">
      <c r="A8">
        <v>148</v>
      </c>
      <c r="B8">
        <v>32.6</v>
      </c>
      <c r="G8">
        <v>10.9</v>
      </c>
    </row>
    <row r="9" spans="1:7">
      <c r="A9">
        <v>149</v>
      </c>
      <c r="B9">
        <v>32</v>
      </c>
      <c r="C9">
        <v>21.3</v>
      </c>
      <c r="E9">
        <v>16.3</v>
      </c>
    </row>
    <row r="10" spans="1:7">
      <c r="A10">
        <v>150</v>
      </c>
      <c r="B10">
        <v>32.1</v>
      </c>
      <c r="E10">
        <v>16.7</v>
      </c>
    </row>
    <row r="11" spans="1:7">
      <c r="A11">
        <v>160</v>
      </c>
      <c r="D11">
        <v>22.6</v>
      </c>
      <c r="E11">
        <v>16.100000000000001</v>
      </c>
    </row>
    <row r="12" spans="1:7">
      <c r="A12">
        <v>161</v>
      </c>
      <c r="D12">
        <v>22.6</v>
      </c>
    </row>
    <row r="13" spans="1:7">
      <c r="A13">
        <v>164</v>
      </c>
      <c r="B13">
        <v>31.1</v>
      </c>
      <c r="C13">
        <v>21.6</v>
      </c>
      <c r="F13">
        <v>12.6</v>
      </c>
      <c r="G13">
        <v>9.9</v>
      </c>
    </row>
    <row r="24" spans="1:1">
      <c r="A24" s="65"/>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14"/>
  <sheetViews>
    <sheetView workbookViewId="0">
      <selection activeCell="K70" sqref="K70"/>
    </sheetView>
  </sheetViews>
  <sheetFormatPr baseColWidth="10" defaultRowHeight="13"/>
  <sheetData>
    <row r="1" spans="1:7">
      <c r="B1" t="s">
        <v>310</v>
      </c>
      <c r="C1">
        <v>19223</v>
      </c>
      <c r="D1">
        <v>24790</v>
      </c>
      <c r="E1">
        <v>24228</v>
      </c>
      <c r="F1">
        <v>11938</v>
      </c>
      <c r="G1" t="s">
        <v>2</v>
      </c>
    </row>
    <row r="2" spans="1:7">
      <c r="B2" t="s">
        <v>311</v>
      </c>
      <c r="C2" t="s">
        <v>312</v>
      </c>
      <c r="D2" t="s">
        <v>313</v>
      </c>
      <c r="E2" t="s">
        <v>314</v>
      </c>
      <c r="F2" t="s">
        <v>315</v>
      </c>
      <c r="G2" t="s">
        <v>316</v>
      </c>
    </row>
    <row r="3" spans="1:7">
      <c r="A3" t="s">
        <v>186</v>
      </c>
      <c r="B3">
        <v>800</v>
      </c>
      <c r="C3">
        <v>800</v>
      </c>
      <c r="D3">
        <v>2000</v>
      </c>
      <c r="E3">
        <v>4100</v>
      </c>
      <c r="F3">
        <v>4850</v>
      </c>
      <c r="G3">
        <v>4850</v>
      </c>
    </row>
    <row r="4" spans="1:7">
      <c r="A4" t="s">
        <v>187</v>
      </c>
      <c r="B4" s="63">
        <v>42781</v>
      </c>
      <c r="C4" s="63">
        <v>42781</v>
      </c>
      <c r="D4" s="63">
        <v>42782</v>
      </c>
      <c r="E4" s="63">
        <v>42781</v>
      </c>
      <c r="F4" s="63">
        <v>42780</v>
      </c>
      <c r="G4" s="63">
        <v>42780</v>
      </c>
    </row>
    <row r="5" spans="1:7">
      <c r="A5" s="65" t="s">
        <v>199</v>
      </c>
      <c r="B5">
        <v>2787</v>
      </c>
      <c r="C5">
        <v>300</v>
      </c>
      <c r="D5">
        <v>1400</v>
      </c>
      <c r="E5">
        <v>850</v>
      </c>
      <c r="F5">
        <v>16100</v>
      </c>
    </row>
    <row r="6" spans="1:7">
      <c r="A6" s="65" t="s">
        <v>200</v>
      </c>
      <c r="B6">
        <v>10</v>
      </c>
      <c r="C6">
        <v>12.5</v>
      </c>
      <c r="D6">
        <v>16.3</v>
      </c>
      <c r="E6">
        <v>22.6</v>
      </c>
      <c r="F6">
        <v>32</v>
      </c>
      <c r="G6">
        <v>20.8</v>
      </c>
    </row>
    <row r="7" spans="1:7">
      <c r="A7" t="s">
        <v>192</v>
      </c>
      <c r="B7">
        <v>7.52</v>
      </c>
      <c r="C7">
        <v>7.67</v>
      </c>
      <c r="D7">
        <v>7.04</v>
      </c>
      <c r="E7">
        <v>7.28</v>
      </c>
      <c r="F7">
        <v>8.3800000000000008</v>
      </c>
      <c r="G7">
        <v>8.11</v>
      </c>
    </row>
    <row r="8" spans="1:7">
      <c r="A8" t="s">
        <v>193</v>
      </c>
      <c r="B8">
        <v>-120</v>
      </c>
      <c r="C8">
        <v>-97</v>
      </c>
      <c r="D8">
        <v>-57</v>
      </c>
      <c r="E8">
        <v>-200</v>
      </c>
      <c r="F8">
        <v>-133</v>
      </c>
      <c r="G8">
        <v>-213</v>
      </c>
    </row>
    <row r="9" spans="1:7">
      <c r="A9" s="65" t="s">
        <v>213</v>
      </c>
      <c r="B9">
        <v>949.1</v>
      </c>
      <c r="C9">
        <v>630.29999999999995</v>
      </c>
      <c r="D9">
        <v>3029</v>
      </c>
      <c r="E9">
        <v>1767</v>
      </c>
      <c r="F9">
        <v>1540</v>
      </c>
      <c r="G9">
        <v>7937</v>
      </c>
    </row>
    <row r="10" spans="1:7">
      <c r="A10" s="65" t="s">
        <v>289</v>
      </c>
      <c r="B10">
        <v>671.4</v>
      </c>
      <c r="C10">
        <v>444.8</v>
      </c>
      <c r="D10">
        <v>2305</v>
      </c>
      <c r="E10">
        <v>1290</v>
      </c>
      <c r="F10">
        <v>1110</v>
      </c>
      <c r="G10">
        <v>6619</v>
      </c>
    </row>
    <row r="11" spans="1:7">
      <c r="A11" s="65" t="s">
        <v>201</v>
      </c>
      <c r="B11">
        <v>0.3</v>
      </c>
      <c r="C11">
        <v>0.2</v>
      </c>
      <c r="D11">
        <v>0.1</v>
      </c>
      <c r="E11">
        <v>0.9</v>
      </c>
      <c r="F11">
        <v>0.8</v>
      </c>
      <c r="G11">
        <v>0.3</v>
      </c>
    </row>
    <row r="12" spans="1:7">
      <c r="A12" s="65" t="s">
        <v>276</v>
      </c>
      <c r="B12">
        <v>0.06</v>
      </c>
      <c r="C12">
        <v>0.02</v>
      </c>
      <c r="D12">
        <v>0.2</v>
      </c>
      <c r="E12">
        <v>1.24</v>
      </c>
      <c r="F12">
        <v>0.49</v>
      </c>
      <c r="G12">
        <v>0.08</v>
      </c>
    </row>
    <row r="13" spans="1:7">
      <c r="A13" s="65" t="s">
        <v>203</v>
      </c>
      <c r="B13">
        <v>2.33</v>
      </c>
      <c r="C13">
        <v>0.32</v>
      </c>
      <c r="D13">
        <v>2.58</v>
      </c>
      <c r="E13">
        <v>0</v>
      </c>
      <c r="F13">
        <v>0</v>
      </c>
      <c r="G13">
        <v>1.43</v>
      </c>
    </row>
    <row r="14" spans="1:7">
      <c r="A14" s="65" t="s">
        <v>204</v>
      </c>
      <c r="B14">
        <v>0</v>
      </c>
      <c r="C14">
        <v>16</v>
      </c>
      <c r="D14">
        <v>14</v>
      </c>
      <c r="E14">
        <v>864</v>
      </c>
      <c r="F14">
        <v>336</v>
      </c>
      <c r="G14">
        <v>74</v>
      </c>
    </row>
    <row r="15" spans="1:7">
      <c r="A15" s="65" t="s">
        <v>205</v>
      </c>
      <c r="C15">
        <v>0.56100000000000005</v>
      </c>
      <c r="D15">
        <v>1.6E-2</v>
      </c>
      <c r="E15">
        <v>2.7E-2</v>
      </c>
      <c r="F15">
        <v>8.0000000000000002E-3</v>
      </c>
      <c r="G15">
        <v>0.02</v>
      </c>
    </row>
    <row r="16" spans="1:7">
      <c r="A16" s="63" t="s">
        <v>169</v>
      </c>
      <c r="B16">
        <v>0.42599999999999999</v>
      </c>
      <c r="C16">
        <v>0.41699999999999998</v>
      </c>
      <c r="D16">
        <v>0.20499999999999999</v>
      </c>
      <c r="E16">
        <v>0.16800000000000001</v>
      </c>
      <c r="F16">
        <v>0.123</v>
      </c>
      <c r="G16">
        <v>0.13600000000000001</v>
      </c>
    </row>
    <row r="17" spans="1:7">
      <c r="A17" s="90" t="s">
        <v>240</v>
      </c>
      <c r="B17" s="90"/>
      <c r="C17" s="90"/>
      <c r="D17" s="90">
        <v>0.06</v>
      </c>
      <c r="F17" s="90"/>
      <c r="G17" s="90"/>
    </row>
    <row r="18" spans="1:7">
      <c r="A18" s="90" t="s">
        <v>241</v>
      </c>
      <c r="B18" s="90"/>
      <c r="C18" s="90">
        <v>0.05</v>
      </c>
      <c r="D18" s="90"/>
      <c r="E18" s="90"/>
      <c r="F18" s="90"/>
      <c r="G18" s="90"/>
    </row>
    <row r="19" spans="1:7">
      <c r="A19" s="90" t="s">
        <v>242</v>
      </c>
      <c r="B19" s="90">
        <v>3.7999999999999999E-2</v>
      </c>
      <c r="C19" s="90">
        <v>0.125</v>
      </c>
      <c r="D19" s="90">
        <v>2.5000000000000001E-2</v>
      </c>
      <c r="E19" s="90">
        <v>3.6999999999999998E-2</v>
      </c>
      <c r="F19" s="90">
        <v>0.06</v>
      </c>
      <c r="G19" s="90">
        <v>5.0000000000000001E-3</v>
      </c>
    </row>
    <row r="20" spans="1:7">
      <c r="A20" s="90" t="s">
        <v>263</v>
      </c>
      <c r="B20" s="90">
        <v>0.18</v>
      </c>
      <c r="C20" s="90">
        <v>0.06</v>
      </c>
      <c r="D20" s="90">
        <v>0.12</v>
      </c>
      <c r="E20" s="90">
        <v>0.6</v>
      </c>
      <c r="F20" s="90">
        <v>0.51</v>
      </c>
      <c r="G20" s="90">
        <v>0.92</v>
      </c>
    </row>
    <row r="21" spans="1:7">
      <c r="A21" s="90" t="s">
        <v>244</v>
      </c>
      <c r="B21" s="90"/>
      <c r="C21" s="90"/>
      <c r="D21" s="90"/>
      <c r="E21" s="90"/>
      <c r="F21" s="90"/>
      <c r="G21" s="90"/>
    </row>
    <row r="22" spans="1:7">
      <c r="A22" s="90" t="s">
        <v>245</v>
      </c>
      <c r="B22" s="90">
        <v>118</v>
      </c>
      <c r="C22" s="90">
        <v>47.1</v>
      </c>
      <c r="D22" s="90">
        <v>347</v>
      </c>
      <c r="E22" s="90">
        <v>7</v>
      </c>
      <c r="F22" s="90">
        <v>3.8</v>
      </c>
      <c r="G22" s="90">
        <v>327</v>
      </c>
    </row>
    <row r="23" spans="1:7">
      <c r="A23" s="90" t="s">
        <v>247</v>
      </c>
      <c r="B23" s="90"/>
      <c r="C23" s="90"/>
      <c r="D23" s="90"/>
      <c r="E23" s="90"/>
      <c r="F23" s="90"/>
      <c r="G23" s="90"/>
    </row>
    <row r="24" spans="1:7">
      <c r="A24" s="90" t="s">
        <v>248</v>
      </c>
      <c r="B24" s="90"/>
      <c r="C24" s="90"/>
      <c r="D24" s="90"/>
      <c r="E24" s="90"/>
      <c r="F24" s="90"/>
      <c r="G24" s="90"/>
    </row>
    <row r="25" spans="1:7">
      <c r="A25" s="90" t="s">
        <v>249</v>
      </c>
      <c r="B25" s="90">
        <v>4.92</v>
      </c>
      <c r="C25" s="90">
        <v>0.35</v>
      </c>
      <c r="D25" s="90">
        <v>3.1</v>
      </c>
      <c r="E25" s="90"/>
      <c r="F25" s="90">
        <v>0.02</v>
      </c>
      <c r="G25" s="90">
        <v>2.5</v>
      </c>
    </row>
    <row r="26" spans="1:7">
      <c r="A26" s="90" t="s">
        <v>250</v>
      </c>
      <c r="B26" s="90"/>
      <c r="C26" s="90"/>
      <c r="D26" s="90"/>
      <c r="E26" s="90"/>
      <c r="F26" s="90"/>
      <c r="G26" s="90"/>
    </row>
    <row r="27" spans="1:7">
      <c r="A27" s="90" t="s">
        <v>252</v>
      </c>
      <c r="B27" s="90">
        <v>4.4999999999999998E-2</v>
      </c>
      <c r="C27" s="90">
        <v>3.9E-2</v>
      </c>
      <c r="D27" s="90">
        <v>0.127</v>
      </c>
      <c r="E27" s="90">
        <v>0.255</v>
      </c>
      <c r="F27" s="90">
        <v>0.23300000000000001</v>
      </c>
      <c r="G27" s="90">
        <v>2.23</v>
      </c>
    </row>
    <row r="28" spans="1:7">
      <c r="A28" s="90" t="s">
        <v>253</v>
      </c>
      <c r="B28" s="90">
        <v>37.799999999999997</v>
      </c>
      <c r="C28" s="90">
        <v>29.9</v>
      </c>
      <c r="D28" s="90">
        <v>242</v>
      </c>
      <c r="E28" s="90">
        <v>8</v>
      </c>
      <c r="F28" s="90">
        <v>5.2</v>
      </c>
      <c r="G28" s="90">
        <v>98</v>
      </c>
    </row>
    <row r="29" spans="1:7">
      <c r="A29" s="90" t="s">
        <v>254</v>
      </c>
      <c r="B29" s="90">
        <v>0.17499999999999999</v>
      </c>
      <c r="C29" s="90">
        <v>5.1999999999999998E-2</v>
      </c>
      <c r="D29" s="90">
        <v>0.28000000000000003</v>
      </c>
      <c r="E29" s="90">
        <v>7.0000000000000001E-3</v>
      </c>
      <c r="F29" s="90"/>
      <c r="G29" s="90">
        <v>0.39</v>
      </c>
    </row>
    <row r="30" spans="1:7">
      <c r="A30" s="90" t="s">
        <v>255</v>
      </c>
      <c r="B30" s="90"/>
      <c r="C30" s="90"/>
      <c r="D30" s="90"/>
      <c r="E30" s="90"/>
      <c r="F30" s="90"/>
      <c r="G30" s="90"/>
    </row>
    <row r="31" spans="1:7">
      <c r="A31" s="90" t="s">
        <v>256</v>
      </c>
      <c r="B31" s="90">
        <v>1.0999999999999999E-2</v>
      </c>
      <c r="C31" s="90"/>
      <c r="D31" s="90"/>
      <c r="E31" s="90"/>
      <c r="F31" s="90"/>
      <c r="G31" s="90"/>
    </row>
    <row r="32" spans="1:7">
      <c r="A32" s="90" t="s">
        <v>257</v>
      </c>
      <c r="B32" s="90"/>
      <c r="C32" s="90"/>
      <c r="D32" s="90"/>
      <c r="E32" s="90"/>
      <c r="F32" s="90"/>
      <c r="G32" s="90"/>
    </row>
    <row r="33" spans="1:7">
      <c r="A33" s="90" t="s">
        <v>258</v>
      </c>
      <c r="B33" s="90">
        <v>7.9</v>
      </c>
      <c r="C33" s="90">
        <v>5</v>
      </c>
      <c r="D33" s="90">
        <v>6.6</v>
      </c>
      <c r="E33" s="90">
        <v>8.1</v>
      </c>
      <c r="F33" s="90">
        <v>7.1</v>
      </c>
      <c r="G33" s="90">
        <v>5.3</v>
      </c>
    </row>
    <row r="34" spans="1:7">
      <c r="A34" s="90" t="s">
        <v>259</v>
      </c>
      <c r="B34" s="90"/>
      <c r="C34" s="90"/>
      <c r="D34" s="90"/>
      <c r="E34" s="90"/>
      <c r="F34" s="90"/>
      <c r="G34" s="90"/>
    </row>
    <row r="35" spans="1:7">
      <c r="A35" s="90" t="s">
        <v>260</v>
      </c>
      <c r="B35" s="90">
        <v>28</v>
      </c>
      <c r="C35" s="90">
        <v>40.1</v>
      </c>
      <c r="D35" s="90">
        <v>111</v>
      </c>
      <c r="E35" s="90">
        <v>382</v>
      </c>
      <c r="F35" s="90">
        <v>344</v>
      </c>
      <c r="G35" s="90">
        <v>1600</v>
      </c>
    </row>
    <row r="36" spans="1:7">
      <c r="A36" s="90" t="s">
        <v>262</v>
      </c>
      <c r="B36" s="90"/>
      <c r="C36" s="90"/>
      <c r="D36" s="90"/>
      <c r="E36" s="90"/>
      <c r="F36" s="90"/>
      <c r="G36" s="90"/>
    </row>
    <row r="37" spans="1:7">
      <c r="A37" s="90" t="s">
        <v>243</v>
      </c>
      <c r="B37" s="90"/>
      <c r="C37" s="90"/>
      <c r="D37" s="90"/>
      <c r="E37" s="90"/>
      <c r="F37" s="90"/>
      <c r="G37" s="90"/>
    </row>
    <row r="38" spans="1:7">
      <c r="A38" s="90" t="s">
        <v>246</v>
      </c>
      <c r="B38" s="90">
        <v>11.2</v>
      </c>
      <c r="C38" s="90">
        <v>17</v>
      </c>
      <c r="D38" s="90"/>
      <c r="E38" s="90">
        <v>21.2</v>
      </c>
      <c r="F38" s="90">
        <v>19.5</v>
      </c>
      <c r="G38" s="90">
        <v>216</v>
      </c>
    </row>
    <row r="39" spans="1:7">
      <c r="A39" s="90" t="s">
        <v>251</v>
      </c>
      <c r="B39" s="90">
        <v>0.44</v>
      </c>
      <c r="C39" s="90">
        <v>0.84</v>
      </c>
      <c r="D39" s="90"/>
      <c r="E39" s="90">
        <v>6.83</v>
      </c>
      <c r="F39" s="90">
        <v>5.83</v>
      </c>
      <c r="G39" s="90">
        <v>3.48</v>
      </c>
    </row>
    <row r="40" spans="1:7">
      <c r="A40" s="90" t="s">
        <v>261</v>
      </c>
      <c r="B40" s="90">
        <v>325</v>
      </c>
      <c r="C40" s="90">
        <v>91.2</v>
      </c>
      <c r="D40" s="90">
        <v>1610</v>
      </c>
      <c r="E40" s="90">
        <v>289</v>
      </c>
      <c r="F40" s="90">
        <v>173</v>
      </c>
      <c r="G40" s="90">
        <v>4280</v>
      </c>
    </row>
    <row r="42" spans="1:7" ht="13" customHeight="1"/>
    <row r="43" spans="1:7">
      <c r="A43" s="65" t="s">
        <v>206</v>
      </c>
      <c r="B43">
        <v>500</v>
      </c>
      <c r="C43">
        <v>300</v>
      </c>
      <c r="D43">
        <v>550</v>
      </c>
      <c r="E43">
        <v>350</v>
      </c>
      <c r="F43">
        <v>900</v>
      </c>
      <c r="G43">
        <v>600</v>
      </c>
    </row>
    <row r="44" spans="1:7">
      <c r="A44" s="65" t="s">
        <v>207</v>
      </c>
      <c r="B44">
        <v>10</v>
      </c>
      <c r="C44">
        <v>10</v>
      </c>
      <c r="D44">
        <v>10</v>
      </c>
      <c r="E44">
        <v>10</v>
      </c>
      <c r="F44">
        <v>10</v>
      </c>
      <c r="G44">
        <v>10</v>
      </c>
    </row>
    <row r="45" spans="1:7">
      <c r="A45" s="65" t="s">
        <v>208</v>
      </c>
      <c r="B45">
        <v>10</v>
      </c>
      <c r="C45">
        <v>20</v>
      </c>
      <c r="D45">
        <v>15</v>
      </c>
      <c r="E45">
        <v>10</v>
      </c>
      <c r="F45">
        <v>7</v>
      </c>
      <c r="G45">
        <v>10</v>
      </c>
    </row>
    <row r="46" spans="1:7">
      <c r="A46" s="65" t="s">
        <v>209</v>
      </c>
      <c r="B46">
        <v>29</v>
      </c>
      <c r="C46">
        <v>30</v>
      </c>
      <c r="D46">
        <v>38</v>
      </c>
      <c r="E46">
        <v>29</v>
      </c>
      <c r="F46">
        <v>16</v>
      </c>
      <c r="G46">
        <v>30</v>
      </c>
    </row>
    <row r="47" spans="1:7">
      <c r="A47" t="s">
        <v>195</v>
      </c>
      <c r="B47" t="s">
        <v>210</v>
      </c>
      <c r="C47" t="s">
        <v>210</v>
      </c>
      <c r="D47" t="s">
        <v>210</v>
      </c>
      <c r="E47" t="s">
        <v>210</v>
      </c>
      <c r="F47" t="s">
        <v>210</v>
      </c>
      <c r="G47" t="s">
        <v>210</v>
      </c>
    </row>
    <row r="48" spans="1:7">
      <c r="A48" s="65" t="s">
        <v>290</v>
      </c>
      <c r="B48" t="s">
        <v>210</v>
      </c>
      <c r="C48" t="s">
        <v>210</v>
      </c>
      <c r="D48" t="s">
        <v>210</v>
      </c>
      <c r="E48" t="s">
        <v>210</v>
      </c>
      <c r="F48" t="s">
        <v>210</v>
      </c>
      <c r="G48" t="s">
        <v>212</v>
      </c>
    </row>
    <row r="49" spans="1:7">
      <c r="A49" t="s">
        <v>196</v>
      </c>
      <c r="B49" t="s">
        <v>210</v>
      </c>
      <c r="C49" t="s">
        <v>210</v>
      </c>
      <c r="D49" t="s">
        <v>210</v>
      </c>
      <c r="E49" t="s">
        <v>210</v>
      </c>
      <c r="F49" t="s">
        <v>210</v>
      </c>
      <c r="G49" t="s">
        <v>210</v>
      </c>
    </row>
    <row r="50" spans="1:7">
      <c r="A50" s="65" t="s">
        <v>211</v>
      </c>
      <c r="B50" t="s">
        <v>212</v>
      </c>
      <c r="C50" t="s">
        <v>212</v>
      </c>
      <c r="D50" t="s">
        <v>212</v>
      </c>
      <c r="E50" t="s">
        <v>212</v>
      </c>
      <c r="F50" t="s">
        <v>212</v>
      </c>
      <c r="G50" t="s">
        <v>212</v>
      </c>
    </row>
    <row r="51" spans="1:7">
      <c r="A51" t="s">
        <v>197</v>
      </c>
      <c r="B51">
        <v>1800</v>
      </c>
      <c r="C51">
        <v>2050</v>
      </c>
      <c r="D51">
        <v>1300</v>
      </c>
      <c r="E51">
        <v>1250</v>
      </c>
      <c r="F51">
        <v>2300</v>
      </c>
      <c r="G51">
        <v>1600</v>
      </c>
    </row>
    <row r="52" spans="1:7">
      <c r="A52" t="s">
        <v>198</v>
      </c>
      <c r="B52">
        <v>1650</v>
      </c>
      <c r="C52">
        <v>1900</v>
      </c>
      <c r="D52">
        <v>1250</v>
      </c>
      <c r="E52">
        <v>1050</v>
      </c>
      <c r="F52">
        <v>2300</v>
      </c>
      <c r="G52">
        <v>1350</v>
      </c>
    </row>
    <row r="90" spans="1:9">
      <c r="A90" s="90" t="s">
        <v>317</v>
      </c>
      <c r="B90" s="90" t="s">
        <v>240</v>
      </c>
      <c r="C90" s="90"/>
      <c r="D90" s="90" t="s">
        <v>318</v>
      </c>
      <c r="E90" s="90" t="s">
        <v>240</v>
      </c>
      <c r="F90" s="90">
        <v>0.12</v>
      </c>
      <c r="G90" s="90" t="s">
        <v>319</v>
      </c>
    </row>
    <row r="91" spans="1:9">
      <c r="A91" s="90" t="s">
        <v>317</v>
      </c>
      <c r="B91" s="90" t="s">
        <v>241</v>
      </c>
      <c r="C91" s="90"/>
      <c r="D91" s="90" t="s">
        <v>318</v>
      </c>
      <c r="E91" s="90" t="s">
        <v>241</v>
      </c>
      <c r="F91" s="90"/>
      <c r="G91" s="90" t="s">
        <v>319</v>
      </c>
      <c r="H91" s="90" t="s">
        <v>240</v>
      </c>
      <c r="I91" s="90">
        <v>0.14000000000000001</v>
      </c>
    </row>
    <row r="92" spans="1:9">
      <c r="A92" s="90" t="s">
        <v>317</v>
      </c>
      <c r="B92" s="90" t="s">
        <v>242</v>
      </c>
      <c r="C92" s="90">
        <v>0.06</v>
      </c>
      <c r="D92" s="90" t="s">
        <v>318</v>
      </c>
      <c r="E92" s="90" t="s">
        <v>242</v>
      </c>
      <c r="F92" s="90">
        <v>0.06</v>
      </c>
      <c r="G92" s="90" t="s">
        <v>319</v>
      </c>
      <c r="H92" s="90" t="s">
        <v>241</v>
      </c>
      <c r="I92" s="90"/>
    </row>
    <row r="93" spans="1:9">
      <c r="A93" s="90" t="s">
        <v>317</v>
      </c>
      <c r="B93" s="90" t="s">
        <v>263</v>
      </c>
      <c r="C93" s="90">
        <v>0.5</v>
      </c>
      <c r="D93" s="90" t="s">
        <v>318</v>
      </c>
      <c r="E93" s="90" t="s">
        <v>263</v>
      </c>
      <c r="F93" s="90">
        <v>0.5</v>
      </c>
      <c r="G93" s="90" t="s">
        <v>319</v>
      </c>
      <c r="H93" s="90" t="s">
        <v>242</v>
      </c>
      <c r="I93" s="90">
        <v>6.2E-2</v>
      </c>
    </row>
    <row r="94" spans="1:9">
      <c r="A94" s="90" t="s">
        <v>317</v>
      </c>
      <c r="B94" s="90" t="s">
        <v>244</v>
      </c>
      <c r="C94" s="90"/>
      <c r="D94" s="90" t="s">
        <v>318</v>
      </c>
      <c r="E94" s="90" t="s">
        <v>244</v>
      </c>
      <c r="F94" s="90"/>
      <c r="G94" s="90" t="s">
        <v>319</v>
      </c>
      <c r="H94" s="90" t="s">
        <v>263</v>
      </c>
      <c r="I94" s="90">
        <v>0.49</v>
      </c>
    </row>
    <row r="95" spans="1:9">
      <c r="A95" s="90" t="s">
        <v>317</v>
      </c>
      <c r="B95" s="90" t="s">
        <v>245</v>
      </c>
      <c r="C95" s="90">
        <v>3.9</v>
      </c>
      <c r="D95" s="90" t="s">
        <v>318</v>
      </c>
      <c r="E95" s="90" t="s">
        <v>245</v>
      </c>
      <c r="F95" s="90">
        <v>4</v>
      </c>
      <c r="G95" s="90" t="s">
        <v>319</v>
      </c>
      <c r="H95" s="90" t="s">
        <v>244</v>
      </c>
      <c r="I95" s="90"/>
    </row>
    <row r="96" spans="1:9">
      <c r="A96" s="90" t="s">
        <v>317</v>
      </c>
      <c r="B96" s="90" t="s">
        <v>247</v>
      </c>
      <c r="C96" s="90"/>
      <c r="D96" s="90" t="s">
        <v>318</v>
      </c>
      <c r="E96" s="90" t="s">
        <v>247</v>
      </c>
      <c r="F96" s="90"/>
      <c r="G96" s="90" t="s">
        <v>319</v>
      </c>
      <c r="H96" s="90" t="s">
        <v>245</v>
      </c>
      <c r="I96" s="90">
        <v>4.0999999999999996</v>
      </c>
    </row>
    <row r="97" spans="1:9">
      <c r="A97" s="90" t="s">
        <v>317</v>
      </c>
      <c r="B97" s="90" t="s">
        <v>248</v>
      </c>
      <c r="C97" s="90"/>
      <c r="D97" s="90" t="s">
        <v>318</v>
      </c>
      <c r="E97" s="90" t="s">
        <v>248</v>
      </c>
      <c r="F97" s="90"/>
      <c r="G97" s="90" t="s">
        <v>319</v>
      </c>
      <c r="H97" s="90" t="s">
        <v>247</v>
      </c>
      <c r="I97" s="90"/>
    </row>
    <row r="98" spans="1:9">
      <c r="A98" s="90" t="s">
        <v>317</v>
      </c>
      <c r="B98" s="90" t="s">
        <v>249</v>
      </c>
      <c r="C98" s="90"/>
      <c r="D98" s="90" t="s">
        <v>318</v>
      </c>
      <c r="E98" s="90" t="s">
        <v>249</v>
      </c>
      <c r="F98" s="90">
        <v>0.42</v>
      </c>
      <c r="G98" s="90" t="s">
        <v>319</v>
      </c>
      <c r="H98" s="90" t="s">
        <v>248</v>
      </c>
      <c r="I98" s="90"/>
    </row>
    <row r="99" spans="1:9">
      <c r="A99" s="90" t="s">
        <v>317</v>
      </c>
      <c r="B99" s="90" t="s">
        <v>250</v>
      </c>
      <c r="C99" s="90"/>
      <c r="D99" s="90" t="s">
        <v>318</v>
      </c>
      <c r="E99" s="90" t="s">
        <v>250</v>
      </c>
      <c r="F99" s="90"/>
      <c r="G99" s="90" t="s">
        <v>319</v>
      </c>
      <c r="H99" s="90" t="s">
        <v>249</v>
      </c>
      <c r="I99" s="90">
        <v>0.69</v>
      </c>
    </row>
    <row r="100" spans="1:9">
      <c r="A100" s="90" t="s">
        <v>317</v>
      </c>
      <c r="B100" s="90" t="s">
        <v>252</v>
      </c>
      <c r="C100" s="90">
        <v>0.23</v>
      </c>
      <c r="D100" s="90" t="s">
        <v>318</v>
      </c>
      <c r="E100" s="90" t="s">
        <v>252</v>
      </c>
      <c r="F100" s="90">
        <v>0.23100000000000001</v>
      </c>
      <c r="G100" s="90" t="s">
        <v>319</v>
      </c>
      <c r="H100" s="90" t="s">
        <v>250</v>
      </c>
      <c r="I100" s="90"/>
    </row>
    <row r="101" spans="1:9">
      <c r="A101" s="90" t="s">
        <v>317</v>
      </c>
      <c r="B101" s="90" t="s">
        <v>253</v>
      </c>
      <c r="C101" s="90">
        <v>5.2</v>
      </c>
      <c r="D101" s="90" t="s">
        <v>318</v>
      </c>
      <c r="E101" s="90" t="s">
        <v>253</v>
      </c>
      <c r="F101" s="90">
        <v>5.3</v>
      </c>
      <c r="G101" s="90" t="s">
        <v>319</v>
      </c>
      <c r="H101" s="90" t="s">
        <v>252</v>
      </c>
      <c r="I101" s="90">
        <v>0.23599999999999999</v>
      </c>
    </row>
    <row r="102" spans="1:9">
      <c r="A102" s="90" t="s">
        <v>317</v>
      </c>
      <c r="B102" s="90" t="s">
        <v>254</v>
      </c>
      <c r="C102" s="90"/>
      <c r="D102" s="90" t="s">
        <v>318</v>
      </c>
      <c r="E102" s="90" t="s">
        <v>254</v>
      </c>
      <c r="F102" s="90">
        <v>1.4E-2</v>
      </c>
      <c r="G102" s="90" t="s">
        <v>319</v>
      </c>
      <c r="H102" s="90" t="s">
        <v>253</v>
      </c>
      <c r="I102" s="90">
        <v>5.4</v>
      </c>
    </row>
    <row r="103" spans="1:9">
      <c r="A103" s="90" t="s">
        <v>317</v>
      </c>
      <c r="B103" s="90" t="s">
        <v>255</v>
      </c>
      <c r="C103" s="90"/>
      <c r="D103" s="90" t="s">
        <v>318</v>
      </c>
      <c r="E103" s="90" t="s">
        <v>255</v>
      </c>
      <c r="F103" s="90"/>
      <c r="G103" s="90" t="s">
        <v>319</v>
      </c>
      <c r="H103" s="90" t="s">
        <v>254</v>
      </c>
      <c r="I103" s="90">
        <v>3.5000000000000003E-2</v>
      </c>
    </row>
    <row r="104" spans="1:9">
      <c r="A104" s="90" t="s">
        <v>317</v>
      </c>
      <c r="B104" s="90" t="s">
        <v>256</v>
      </c>
      <c r="C104" s="90"/>
      <c r="D104" s="90" t="s">
        <v>318</v>
      </c>
      <c r="E104" s="90" t="s">
        <v>256</v>
      </c>
      <c r="F104" s="90"/>
      <c r="G104" s="90" t="s">
        <v>319</v>
      </c>
      <c r="H104" s="90" t="s">
        <v>255</v>
      </c>
      <c r="I104" s="90"/>
    </row>
    <row r="105" spans="1:9">
      <c r="A105" s="90" t="s">
        <v>317</v>
      </c>
      <c r="B105" s="90" t="s">
        <v>257</v>
      </c>
      <c r="C105" s="90"/>
      <c r="D105" s="90" t="s">
        <v>318</v>
      </c>
      <c r="E105" s="90" t="s">
        <v>257</v>
      </c>
      <c r="F105" s="90"/>
      <c r="G105" s="90" t="s">
        <v>319</v>
      </c>
      <c r="H105" s="90" t="s">
        <v>256</v>
      </c>
      <c r="I105" s="90"/>
    </row>
    <row r="106" spans="1:9">
      <c r="A106" s="90" t="s">
        <v>317</v>
      </c>
      <c r="B106" s="90" t="s">
        <v>258</v>
      </c>
      <c r="C106" s="90">
        <v>7</v>
      </c>
      <c r="D106" s="90" t="s">
        <v>318</v>
      </c>
      <c r="E106" s="90" t="s">
        <v>258</v>
      </c>
      <c r="F106" s="90">
        <v>7.3</v>
      </c>
      <c r="G106" s="90" t="s">
        <v>319</v>
      </c>
      <c r="H106" s="90" t="s">
        <v>257</v>
      </c>
      <c r="I106" s="90"/>
    </row>
    <row r="107" spans="1:9">
      <c r="A107" s="90" t="s">
        <v>317</v>
      </c>
      <c r="B107" s="90" t="s">
        <v>259</v>
      </c>
      <c r="C107" s="90"/>
      <c r="D107" s="90" t="s">
        <v>318</v>
      </c>
      <c r="E107" s="90" t="s">
        <v>259</v>
      </c>
      <c r="F107" s="90"/>
      <c r="G107" s="90" t="s">
        <v>319</v>
      </c>
      <c r="H107" s="90" t="s">
        <v>258</v>
      </c>
      <c r="I107" s="90">
        <v>7.4</v>
      </c>
    </row>
    <row r="108" spans="1:9">
      <c r="A108" s="90" t="s">
        <v>317</v>
      </c>
      <c r="B108" s="90" t="s">
        <v>260</v>
      </c>
      <c r="C108" s="90">
        <v>340</v>
      </c>
      <c r="D108" s="90" t="s">
        <v>318</v>
      </c>
      <c r="E108" s="90" t="s">
        <v>260</v>
      </c>
      <c r="F108" s="90">
        <v>345</v>
      </c>
      <c r="G108" s="90" t="s">
        <v>319</v>
      </c>
      <c r="H108" s="90" t="s">
        <v>259</v>
      </c>
      <c r="I108" s="90"/>
    </row>
    <row r="109" spans="1:9">
      <c r="A109" s="90" t="s">
        <v>317</v>
      </c>
      <c r="B109" s="90" t="s">
        <v>262</v>
      </c>
      <c r="C109" s="90"/>
      <c r="D109" s="90" t="s">
        <v>318</v>
      </c>
      <c r="E109" s="90" t="s">
        <v>262</v>
      </c>
      <c r="F109" s="90"/>
      <c r="G109" s="90" t="s">
        <v>319</v>
      </c>
      <c r="H109" s="90" t="s">
        <v>260</v>
      </c>
      <c r="I109" s="90">
        <v>348</v>
      </c>
    </row>
    <row r="110" spans="1:9">
      <c r="A110" s="90" t="s">
        <v>317</v>
      </c>
      <c r="B110" s="90" t="s">
        <v>243</v>
      </c>
      <c r="C110" s="90"/>
      <c r="D110" s="90" t="s">
        <v>318</v>
      </c>
      <c r="E110" s="90" t="s">
        <v>243</v>
      </c>
      <c r="F110" s="90"/>
      <c r="G110" s="90" t="s">
        <v>319</v>
      </c>
      <c r="H110" s="90" t="s">
        <v>262</v>
      </c>
      <c r="I110" s="90"/>
    </row>
    <row r="111" spans="1:9">
      <c r="A111" s="90" t="s">
        <v>317</v>
      </c>
      <c r="B111" s="90" t="s">
        <v>246</v>
      </c>
      <c r="C111" s="90">
        <v>19.3</v>
      </c>
      <c r="D111" s="90" t="s">
        <v>318</v>
      </c>
      <c r="E111" s="90" t="s">
        <v>246</v>
      </c>
      <c r="F111" s="90">
        <v>19.399999999999999</v>
      </c>
      <c r="G111" s="90" t="s">
        <v>319</v>
      </c>
      <c r="H111" s="90" t="s">
        <v>243</v>
      </c>
      <c r="I111" s="90"/>
    </row>
    <row r="112" spans="1:9">
      <c r="A112" s="90" t="s">
        <v>317</v>
      </c>
      <c r="B112" s="90" t="s">
        <v>251</v>
      </c>
      <c r="C112" s="90">
        <v>5.88</v>
      </c>
      <c r="D112" s="90" t="s">
        <v>318</v>
      </c>
      <c r="E112" s="90" t="s">
        <v>251</v>
      </c>
      <c r="F112" s="90">
        <v>5.85</v>
      </c>
      <c r="G112" s="90" t="s">
        <v>319</v>
      </c>
      <c r="H112" s="90" t="s">
        <v>246</v>
      </c>
      <c r="I112" s="90">
        <v>19.399999999999999</v>
      </c>
    </row>
    <row r="113" spans="1:9">
      <c r="A113" s="90" t="s">
        <v>317</v>
      </c>
      <c r="B113" s="90" t="s">
        <v>261</v>
      </c>
      <c r="C113" s="90">
        <v>172</v>
      </c>
      <c r="D113" s="90" t="s">
        <v>318</v>
      </c>
      <c r="E113" s="90" t="s">
        <v>261</v>
      </c>
      <c r="F113" s="90">
        <v>170</v>
      </c>
      <c r="G113" s="90" t="s">
        <v>319</v>
      </c>
      <c r="H113" s="90" t="s">
        <v>251</v>
      </c>
      <c r="I113" s="90">
        <v>5.86</v>
      </c>
    </row>
    <row r="114" spans="1:9">
      <c r="H114" s="90" t="s">
        <v>261</v>
      </c>
      <c r="I114" s="90">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3"/>
  <sheetViews>
    <sheetView workbookViewId="0">
      <selection activeCell="B2" sqref="B2:B25"/>
    </sheetView>
  </sheetViews>
  <sheetFormatPr baseColWidth="10" defaultColWidth="8.83203125" defaultRowHeight="13"/>
  <cols>
    <col min="1" max="1" width="39.33203125" customWidth="1"/>
  </cols>
  <sheetData>
    <row r="1" spans="1:7" ht="14">
      <c r="B1" s="67" t="s">
        <v>191</v>
      </c>
      <c r="C1" s="68">
        <v>19223</v>
      </c>
      <c r="D1" s="69">
        <v>24790</v>
      </c>
      <c r="E1" s="69">
        <v>24228</v>
      </c>
      <c r="F1" s="69">
        <v>11938</v>
      </c>
      <c r="G1" s="69" t="s">
        <v>2</v>
      </c>
    </row>
    <row r="2" spans="1:7" ht="14">
      <c r="B2" s="88" t="s">
        <v>301</v>
      </c>
      <c r="C2" s="89" t="s">
        <v>302</v>
      </c>
      <c r="D2" s="85" t="s">
        <v>303</v>
      </c>
      <c r="E2" s="85" t="s">
        <v>304</v>
      </c>
      <c r="F2" s="85" t="s">
        <v>305</v>
      </c>
      <c r="G2" s="85" t="s">
        <v>306</v>
      </c>
    </row>
    <row r="3" spans="1:7">
      <c r="A3" t="s">
        <v>186</v>
      </c>
      <c r="B3">
        <v>800</v>
      </c>
      <c r="C3">
        <v>800</v>
      </c>
      <c r="D3">
        <v>2000</v>
      </c>
      <c r="E3">
        <v>4100</v>
      </c>
      <c r="F3">
        <v>4850</v>
      </c>
      <c r="G3">
        <v>4850</v>
      </c>
    </row>
    <row r="4" spans="1:7">
      <c r="A4" t="s">
        <v>187</v>
      </c>
      <c r="B4" s="63">
        <v>42864</v>
      </c>
      <c r="C4" s="63">
        <v>42864</v>
      </c>
      <c r="D4" s="63">
        <v>42866</v>
      </c>
      <c r="E4" s="63">
        <v>42864</v>
      </c>
      <c r="F4" s="63">
        <v>42865</v>
      </c>
      <c r="G4" s="63">
        <v>42865</v>
      </c>
    </row>
    <row r="5" spans="1:7">
      <c r="A5" s="65" t="s">
        <v>199</v>
      </c>
      <c r="B5" s="79">
        <f>AVERAGE(3000,3000,3000)</f>
        <v>3000</v>
      </c>
      <c r="C5" s="79">
        <f>AVERAGE(600,600,600)</f>
        <v>600</v>
      </c>
      <c r="D5" s="79">
        <f>AVERAGE(1200,1200,1200)</f>
        <v>1200</v>
      </c>
      <c r="E5" s="79">
        <v>580</v>
      </c>
      <c r="F5" s="79">
        <f>AVERAGE((1100*12),(1150*12),(1250*12))</f>
        <v>14000</v>
      </c>
      <c r="G5" s="81"/>
    </row>
    <row r="6" spans="1:7">
      <c r="A6" s="65" t="s">
        <v>200</v>
      </c>
      <c r="B6">
        <v>10.5</v>
      </c>
      <c r="C6">
        <v>12.5</v>
      </c>
      <c r="D6">
        <v>16.2</v>
      </c>
      <c r="E6">
        <v>22.1</v>
      </c>
      <c r="F6">
        <v>31.1</v>
      </c>
      <c r="G6">
        <v>20.2</v>
      </c>
    </row>
    <row r="7" spans="1:7">
      <c r="A7" t="s">
        <v>192</v>
      </c>
      <c r="B7">
        <v>6.49</v>
      </c>
      <c r="C7">
        <v>7.27</v>
      </c>
      <c r="D7">
        <v>6.89</v>
      </c>
      <c r="E7">
        <v>8.2200000000000006</v>
      </c>
      <c r="F7">
        <v>8.7799999999999994</v>
      </c>
      <c r="G7">
        <v>8.2899999999999991</v>
      </c>
    </row>
    <row r="8" spans="1:7">
      <c r="A8" t="s">
        <v>193</v>
      </c>
      <c r="B8">
        <v>-47</v>
      </c>
      <c r="C8">
        <v>-93</v>
      </c>
      <c r="D8">
        <v>-39</v>
      </c>
      <c r="E8">
        <v>-172</v>
      </c>
      <c r="F8">
        <v>-223</v>
      </c>
      <c r="G8">
        <v>-257</v>
      </c>
    </row>
    <row r="9" spans="1:7">
      <c r="A9" s="65" t="s">
        <v>213</v>
      </c>
      <c r="B9">
        <v>1052</v>
      </c>
      <c r="C9">
        <v>608.20000000000005</v>
      </c>
      <c r="D9">
        <v>3039</v>
      </c>
      <c r="E9">
        <v>1777</v>
      </c>
      <c r="F9">
        <v>1539</v>
      </c>
      <c r="G9">
        <v>7952</v>
      </c>
    </row>
    <row r="10" spans="1:7">
      <c r="A10" s="65" t="s">
        <v>289</v>
      </c>
      <c r="B10">
        <v>758.5</v>
      </c>
      <c r="C10">
        <v>429.6</v>
      </c>
      <c r="D10">
        <v>2313</v>
      </c>
      <c r="E10">
        <v>1296</v>
      </c>
      <c r="F10">
        <v>1107</v>
      </c>
      <c r="G10">
        <v>6621</v>
      </c>
    </row>
    <row r="11" spans="1:7">
      <c r="A11" s="65" t="s">
        <v>201</v>
      </c>
      <c r="B11">
        <v>0.1</v>
      </c>
      <c r="C11">
        <v>0.3</v>
      </c>
      <c r="D11">
        <v>0.3</v>
      </c>
      <c r="E11">
        <v>1.1000000000000001</v>
      </c>
      <c r="F11">
        <v>0.9</v>
      </c>
      <c r="G11">
        <v>0.3</v>
      </c>
    </row>
    <row r="12" spans="1:7">
      <c r="A12" s="65" t="s">
        <v>276</v>
      </c>
      <c r="B12">
        <v>0.05</v>
      </c>
      <c r="C12">
        <v>0.01</v>
      </c>
      <c r="D12">
        <v>0.21</v>
      </c>
      <c r="E12" s="84">
        <v>1</v>
      </c>
      <c r="F12">
        <v>0.47</v>
      </c>
      <c r="G12">
        <v>0.06</v>
      </c>
    </row>
    <row r="13" spans="1:7">
      <c r="A13" s="65" t="s">
        <v>203</v>
      </c>
      <c r="B13">
        <v>1.6</v>
      </c>
      <c r="C13">
        <v>0.3</v>
      </c>
      <c r="D13">
        <v>2.2999999999999998</v>
      </c>
      <c r="E13">
        <v>0</v>
      </c>
      <c r="F13">
        <v>0.01</v>
      </c>
      <c r="G13">
        <v>1.74</v>
      </c>
    </row>
    <row r="14" spans="1:7">
      <c r="A14" s="65" t="s">
        <v>204</v>
      </c>
      <c r="B14">
        <v>2</v>
      </c>
      <c r="C14">
        <v>12</v>
      </c>
      <c r="D14">
        <v>21</v>
      </c>
      <c r="E14" s="84">
        <v>678</v>
      </c>
      <c r="F14">
        <v>348</v>
      </c>
      <c r="G14">
        <v>122</v>
      </c>
    </row>
    <row r="15" spans="1:7">
      <c r="A15" s="65" t="s">
        <v>205</v>
      </c>
      <c r="B15">
        <v>1.9E-2</v>
      </c>
      <c r="C15">
        <v>0.47499999999999998</v>
      </c>
      <c r="D15">
        <v>3.1E-2</v>
      </c>
      <c r="E15" s="66">
        <v>2.7E-2</v>
      </c>
      <c r="F15">
        <v>4.1000000000000002E-2</v>
      </c>
      <c r="G15">
        <v>0.312</v>
      </c>
    </row>
    <row r="16" spans="1:7">
      <c r="A16" s="65" t="s">
        <v>206</v>
      </c>
      <c r="B16">
        <v>1200</v>
      </c>
      <c r="C16">
        <v>320</v>
      </c>
      <c r="D16">
        <v>500</v>
      </c>
      <c r="E16" s="66">
        <v>250</v>
      </c>
      <c r="F16">
        <v>350</v>
      </c>
    </row>
    <row r="17" spans="1:7">
      <c r="A17" s="65" t="s">
        <v>207</v>
      </c>
      <c r="B17">
        <v>10</v>
      </c>
      <c r="C17">
        <v>10</v>
      </c>
      <c r="D17">
        <v>10</v>
      </c>
      <c r="E17" s="66">
        <v>10</v>
      </c>
      <c r="F17">
        <v>10</v>
      </c>
    </row>
    <row r="18" spans="1:7">
      <c r="A18" s="65" t="s">
        <v>208</v>
      </c>
      <c r="B18">
        <v>7</v>
      </c>
      <c r="C18">
        <v>20</v>
      </c>
      <c r="D18">
        <v>10</v>
      </c>
      <c r="E18" s="66">
        <v>20</v>
      </c>
      <c r="F18">
        <v>15</v>
      </c>
    </row>
    <row r="19" spans="1:7">
      <c r="A19" s="65" t="s">
        <v>209</v>
      </c>
      <c r="B19">
        <v>0</v>
      </c>
      <c r="C19">
        <v>30</v>
      </c>
      <c r="D19">
        <v>25</v>
      </c>
      <c r="E19" s="66">
        <v>30</v>
      </c>
      <c r="F19">
        <v>30</v>
      </c>
    </row>
    <row r="20" spans="1:7">
      <c r="A20" t="s">
        <v>195</v>
      </c>
      <c r="B20" s="65" t="s">
        <v>210</v>
      </c>
      <c r="C20" s="65" t="s">
        <v>210</v>
      </c>
      <c r="D20" s="65" t="s">
        <v>210</v>
      </c>
      <c r="E20" s="65" t="s">
        <v>210</v>
      </c>
      <c r="F20" s="65" t="s">
        <v>210</v>
      </c>
      <c r="G20" s="65" t="s">
        <v>210</v>
      </c>
    </row>
    <row r="21" spans="1:7">
      <c r="A21" s="65" t="s">
        <v>290</v>
      </c>
      <c r="B21" s="65" t="s">
        <v>210</v>
      </c>
      <c r="C21" s="65" t="s">
        <v>210</v>
      </c>
      <c r="D21" s="65" t="s">
        <v>210</v>
      </c>
      <c r="E21" s="65" t="s">
        <v>210</v>
      </c>
      <c r="F21" s="65" t="s">
        <v>210</v>
      </c>
      <c r="G21" s="65" t="s">
        <v>212</v>
      </c>
    </row>
    <row r="22" spans="1:7">
      <c r="A22" t="s">
        <v>196</v>
      </c>
      <c r="B22" s="65" t="s">
        <v>210</v>
      </c>
      <c r="C22" s="65" t="s">
        <v>210</v>
      </c>
      <c r="D22" s="65" t="s">
        <v>210</v>
      </c>
      <c r="E22" s="65" t="s">
        <v>210</v>
      </c>
      <c r="F22" s="65" t="s">
        <v>210</v>
      </c>
      <c r="G22" s="65" t="s">
        <v>210</v>
      </c>
    </row>
    <row r="23" spans="1:7">
      <c r="A23" s="65" t="s">
        <v>211</v>
      </c>
      <c r="B23" s="65" t="s">
        <v>212</v>
      </c>
      <c r="C23" s="65" t="s">
        <v>212</v>
      </c>
      <c r="D23" s="65" t="s">
        <v>212</v>
      </c>
      <c r="E23" s="65" t="s">
        <v>212</v>
      </c>
      <c r="F23" s="65" t="s">
        <v>212</v>
      </c>
      <c r="G23" s="65" t="s">
        <v>212</v>
      </c>
    </row>
    <row r="24" spans="1:7">
      <c r="A24" t="s">
        <v>197</v>
      </c>
      <c r="B24">
        <v>1900</v>
      </c>
      <c r="C24">
        <v>1650</v>
      </c>
      <c r="D24" s="65">
        <v>1600</v>
      </c>
      <c r="E24" s="65">
        <v>800</v>
      </c>
      <c r="F24" s="65">
        <v>1700</v>
      </c>
      <c r="G24" s="65">
        <v>600</v>
      </c>
    </row>
    <row r="25" spans="1:7">
      <c r="A25" t="s">
        <v>198</v>
      </c>
      <c r="B25">
        <v>1850</v>
      </c>
      <c r="C25">
        <v>2000</v>
      </c>
      <c r="D25" s="65">
        <v>1450</v>
      </c>
      <c r="E25" s="65">
        <v>800</v>
      </c>
      <c r="F25" s="65">
        <v>1350</v>
      </c>
      <c r="G25" s="65">
        <v>450</v>
      </c>
    </row>
    <row r="26" spans="1:7">
      <c r="D26" s="65"/>
    </row>
    <row r="28" spans="1:7">
      <c r="A28" s="191" t="s">
        <v>214</v>
      </c>
      <c r="B28" s="191"/>
      <c r="C28" s="191"/>
      <c r="D28" s="191"/>
    </row>
    <row r="29" spans="1:7">
      <c r="A29" s="191" t="s">
        <v>216</v>
      </c>
      <c r="B29" s="191"/>
      <c r="C29" s="191"/>
      <c r="D29" s="191"/>
    </row>
    <row r="30" spans="1:7">
      <c r="A30" s="191" t="s">
        <v>218</v>
      </c>
      <c r="B30" s="191"/>
      <c r="C30" s="191"/>
      <c r="D30" s="191"/>
    </row>
    <row r="31" spans="1:7">
      <c r="A31" s="80" t="s">
        <v>293</v>
      </c>
      <c r="B31" s="144"/>
      <c r="C31" s="144"/>
      <c r="D31" s="144"/>
    </row>
    <row r="32" spans="1:7">
      <c r="A32" s="191"/>
      <c r="B32" s="191"/>
      <c r="C32" s="191"/>
      <c r="D32" s="191"/>
    </row>
    <row r="33" spans="1:1">
      <c r="A33" s="65" t="s">
        <v>300</v>
      </c>
    </row>
  </sheetData>
  <mergeCells count="4">
    <mergeCell ref="A28:D28"/>
    <mergeCell ref="A29:D29"/>
    <mergeCell ref="A30:D30"/>
    <mergeCell ref="A32:D3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31"/>
  <sheetViews>
    <sheetView workbookViewId="0">
      <selection activeCell="B17" sqref="B17:AP31"/>
    </sheetView>
  </sheetViews>
  <sheetFormatPr baseColWidth="10" defaultRowHeight="13"/>
  <sheetData>
    <row r="1" spans="1:39">
      <c r="C1" t="s">
        <v>282</v>
      </c>
      <c r="D1" t="s">
        <v>200</v>
      </c>
      <c r="E1" t="s">
        <v>192</v>
      </c>
      <c r="F1" t="s">
        <v>193</v>
      </c>
      <c r="G1" t="s">
        <v>213</v>
      </c>
      <c r="H1" s="65" t="s">
        <v>289</v>
      </c>
      <c r="I1" t="s">
        <v>201</v>
      </c>
      <c r="J1" t="s">
        <v>202</v>
      </c>
      <c r="K1" t="s">
        <v>203</v>
      </c>
      <c r="L1" t="s">
        <v>204</v>
      </c>
      <c r="M1" t="s">
        <v>205</v>
      </c>
      <c r="N1" t="s">
        <v>271</v>
      </c>
      <c r="O1" t="s">
        <v>327</v>
      </c>
      <c r="P1" t="s">
        <v>326</v>
      </c>
      <c r="Q1" t="s">
        <v>350</v>
      </c>
      <c r="R1" t="s">
        <v>240</v>
      </c>
      <c r="S1" t="s">
        <v>241</v>
      </c>
      <c r="T1" t="s">
        <v>242</v>
      </c>
      <c r="U1" t="s">
        <v>263</v>
      </c>
      <c r="V1" t="s">
        <v>243</v>
      </c>
      <c r="W1" t="s">
        <v>245</v>
      </c>
      <c r="X1" t="s">
        <v>246</v>
      </c>
      <c r="Y1" t="s">
        <v>251</v>
      </c>
      <c r="Z1" t="s">
        <v>249</v>
      </c>
      <c r="AA1" t="s">
        <v>250</v>
      </c>
      <c r="AB1" t="s">
        <v>252</v>
      </c>
      <c r="AC1" t="s">
        <v>253</v>
      </c>
      <c r="AD1" t="s">
        <v>254</v>
      </c>
      <c r="AE1" t="s">
        <v>256</v>
      </c>
      <c r="AF1" t="s">
        <v>257</v>
      </c>
      <c r="AG1" t="s">
        <v>258</v>
      </c>
      <c r="AH1" t="s">
        <v>259</v>
      </c>
      <c r="AI1" t="s">
        <v>260</v>
      </c>
      <c r="AJ1" t="s">
        <v>261</v>
      </c>
      <c r="AK1" t="s">
        <v>262</v>
      </c>
      <c r="AL1" t="s">
        <v>308</v>
      </c>
      <c r="AM1" t="s">
        <v>309</v>
      </c>
    </row>
    <row r="2" spans="1:39">
      <c r="A2" t="s">
        <v>321</v>
      </c>
      <c r="B2" t="s">
        <v>311</v>
      </c>
      <c r="C2" s="93">
        <v>2848.3333333333335</v>
      </c>
      <c r="D2" s="93">
        <v>10.142857142857142</v>
      </c>
      <c r="E2" s="93">
        <v>7.5699999999999994</v>
      </c>
      <c r="F2" s="93">
        <v>-94.428571428571431</v>
      </c>
      <c r="G2" s="93">
        <v>949.17142857142869</v>
      </c>
      <c r="H2" s="93">
        <v>681.41428571428571</v>
      </c>
      <c r="I2" s="93">
        <v>0.28333333333333333</v>
      </c>
      <c r="J2" s="93">
        <v>7.3333333333333334E-2</v>
      </c>
      <c r="K2" s="93">
        <v>2.3483333333333332</v>
      </c>
      <c r="L2" s="93">
        <v>1.3333333333333333</v>
      </c>
      <c r="M2" s="93">
        <v>9.4199999999999992E-2</v>
      </c>
      <c r="N2" s="93">
        <v>0.43640000000000001</v>
      </c>
      <c r="O2" s="77">
        <v>4.3004482116887948</v>
      </c>
      <c r="P2" s="77">
        <v>-11.634954310437331</v>
      </c>
      <c r="Q2" s="77">
        <v>1575.0613659999999</v>
      </c>
      <c r="R2" s="93">
        <v>0.05</v>
      </c>
      <c r="S2" s="93">
        <v>0.04</v>
      </c>
      <c r="T2" s="93">
        <v>4.1142857142857141E-2</v>
      </c>
      <c r="U2" s="93">
        <v>0.19142857142857142</v>
      </c>
      <c r="V2" s="93">
        <v>0</v>
      </c>
      <c r="W2" s="93">
        <v>117.42857142857143</v>
      </c>
      <c r="X2" s="93">
        <v>11.12857142857143</v>
      </c>
      <c r="Y2" s="93">
        <v>0.39999999999999997</v>
      </c>
      <c r="Z2" s="93">
        <v>5.0685714285714285</v>
      </c>
      <c r="AA2" s="93">
        <v>0</v>
      </c>
      <c r="AB2" s="93">
        <v>4.2142857142857142E-2</v>
      </c>
      <c r="AC2" s="93">
        <v>36.828571428571429</v>
      </c>
      <c r="AD2" s="93">
        <v>0.17957142857142858</v>
      </c>
      <c r="AE2" s="93">
        <v>1.3199999999999998E-2</v>
      </c>
      <c r="AF2" s="93">
        <v>0</v>
      </c>
      <c r="AG2" s="93">
        <v>7.8142857142857149</v>
      </c>
      <c r="AH2" s="93">
        <v>0</v>
      </c>
      <c r="AI2" s="93">
        <v>26.728571428571428</v>
      </c>
      <c r="AJ2" s="93">
        <v>320.14285714285717</v>
      </c>
      <c r="AK2" s="93">
        <v>0.01</v>
      </c>
      <c r="AL2" s="93">
        <v>-119</v>
      </c>
      <c r="AM2" s="93">
        <v>-15.8</v>
      </c>
    </row>
    <row r="3" spans="1:39">
      <c r="B3" t="s">
        <v>312</v>
      </c>
      <c r="C3" s="93">
        <v>293</v>
      </c>
      <c r="D3" s="93">
        <v>12.533333333333331</v>
      </c>
      <c r="E3" s="93">
        <v>7.8683333333333332</v>
      </c>
      <c r="F3" s="93">
        <v>-121.83333333333333</v>
      </c>
      <c r="G3" s="93">
        <v>620.15</v>
      </c>
      <c r="H3" s="93">
        <v>438.15000000000003</v>
      </c>
      <c r="I3" s="93">
        <v>0.18333333333333335</v>
      </c>
      <c r="J3" s="93">
        <v>1.8333333333333333E-2</v>
      </c>
      <c r="K3" s="93">
        <v>0.29333333333333339</v>
      </c>
      <c r="L3" s="93">
        <v>27</v>
      </c>
      <c r="M3" s="93">
        <v>2.3160000000000003</v>
      </c>
      <c r="N3" s="93">
        <v>0.43899999999999989</v>
      </c>
      <c r="O3" s="77">
        <v>4.0208972243172267</v>
      </c>
      <c r="P3" s="77">
        <v>-10.741504692365487</v>
      </c>
      <c r="Q3" s="77">
        <v>8959.1159081666665</v>
      </c>
      <c r="R3" s="93">
        <v>0.04</v>
      </c>
      <c r="S3" s="93">
        <v>4.8333333333333332E-2</v>
      </c>
      <c r="T3" s="93">
        <v>0.12985714285714287</v>
      </c>
      <c r="U3" s="93">
        <v>6.5714285714285711E-2</v>
      </c>
      <c r="V3" s="93">
        <v>0</v>
      </c>
      <c r="W3" s="93">
        <v>45.628571428571426</v>
      </c>
      <c r="X3" s="93">
        <v>16.24285714285714</v>
      </c>
      <c r="Y3" s="93">
        <v>0.79999999999999993</v>
      </c>
      <c r="Z3" s="93">
        <v>0.34428571428571425</v>
      </c>
      <c r="AA3" s="93">
        <v>0</v>
      </c>
      <c r="AB3" s="93">
        <v>3.6285714285714289E-2</v>
      </c>
      <c r="AC3" s="93">
        <v>28.685714285714287</v>
      </c>
      <c r="AD3" s="93">
        <v>4.6571428571428562E-2</v>
      </c>
      <c r="AE3" s="93">
        <v>0</v>
      </c>
      <c r="AF3" s="93">
        <v>0</v>
      </c>
      <c r="AG3" s="93">
        <v>4.8714285714285719</v>
      </c>
      <c r="AH3" s="93">
        <v>0</v>
      </c>
      <c r="AI3" s="93">
        <v>38.271428571428579</v>
      </c>
      <c r="AJ3" s="93">
        <v>83.742857142857147</v>
      </c>
      <c r="AK3" s="93">
        <v>0</v>
      </c>
      <c r="AL3" s="93">
        <v>-126</v>
      </c>
      <c r="AM3" s="93">
        <v>-17.100000000000001</v>
      </c>
    </row>
    <row r="4" spans="1:39">
      <c r="B4" t="s">
        <v>313</v>
      </c>
      <c r="C4" s="93">
        <v>1779.2</v>
      </c>
      <c r="D4" s="93">
        <v>16.262499999999999</v>
      </c>
      <c r="E4" s="93">
        <v>7.3137499999999998</v>
      </c>
      <c r="F4" s="93">
        <v>-19.75</v>
      </c>
      <c r="G4" s="93">
        <v>3032.125</v>
      </c>
      <c r="H4" s="93">
        <v>2308</v>
      </c>
      <c r="I4" s="93">
        <v>0.34285714285714292</v>
      </c>
      <c r="J4" s="93">
        <v>0.24714285714285714</v>
      </c>
      <c r="K4" s="93">
        <v>2.5157142857142856</v>
      </c>
      <c r="L4" s="93">
        <v>6.1428571428571432</v>
      </c>
      <c r="M4" s="93">
        <v>0.90078571428571419</v>
      </c>
      <c r="N4" s="93">
        <v>0.25742857142857145</v>
      </c>
      <c r="O4" s="77">
        <v>8.0435865731040028</v>
      </c>
      <c r="P4" s="77">
        <v>-7.5322968216784618</v>
      </c>
      <c r="Q4" s="77">
        <v>21322.891822099999</v>
      </c>
      <c r="R4" s="93">
        <v>5.2499999999999998E-2</v>
      </c>
      <c r="S4" s="93">
        <v>0.05</v>
      </c>
      <c r="T4" s="93">
        <v>2.8999999999999998E-2</v>
      </c>
      <c r="U4" s="93">
        <v>0.13125000000000001</v>
      </c>
      <c r="V4" s="93">
        <v>0</v>
      </c>
      <c r="W4" s="93">
        <v>350.5</v>
      </c>
      <c r="X4" s="93">
        <v>8.6300000000000008</v>
      </c>
      <c r="Y4" s="93">
        <v>0.49</v>
      </c>
      <c r="Z4" s="93">
        <v>2.7150000000000003</v>
      </c>
      <c r="AA4" s="93">
        <v>0.03</v>
      </c>
      <c r="AB4" s="93">
        <v>0.1225</v>
      </c>
      <c r="AC4" s="93">
        <v>236.625</v>
      </c>
      <c r="AD4" s="93">
        <v>0.26887499999999998</v>
      </c>
      <c r="AE4" s="93">
        <v>0</v>
      </c>
      <c r="AF4" s="93">
        <v>0.05</v>
      </c>
      <c r="AG4" s="93">
        <v>6.3125</v>
      </c>
      <c r="AH4" s="93">
        <v>0</v>
      </c>
      <c r="AI4" s="93">
        <v>102.4375</v>
      </c>
      <c r="AJ4" s="93">
        <v>1664.2857142857142</v>
      </c>
      <c r="AK4" s="93">
        <v>0</v>
      </c>
      <c r="AL4" s="93">
        <v>-120</v>
      </c>
      <c r="AM4" s="93">
        <v>-16.3</v>
      </c>
    </row>
    <row r="5" spans="1:39">
      <c r="B5" t="s">
        <v>314</v>
      </c>
      <c r="C5" s="93">
        <v>842.5</v>
      </c>
      <c r="D5" s="93">
        <v>22.677777777777774</v>
      </c>
      <c r="E5" s="93">
        <v>8.3435739170987304</v>
      </c>
      <c r="F5" s="93">
        <v>-222.44444444444446</v>
      </c>
      <c r="G5" s="93">
        <v>1782.5555555555557</v>
      </c>
      <c r="H5" s="93">
        <v>1303.5555555555557</v>
      </c>
      <c r="I5" s="93">
        <v>0.97142857142857153</v>
      </c>
      <c r="J5" s="93">
        <v>1.4714285714285713</v>
      </c>
      <c r="K5" s="93">
        <v>2.4285714285714292E-2</v>
      </c>
      <c r="L5" s="93">
        <v>894.42857142857144</v>
      </c>
      <c r="M5" s="93">
        <v>0.19542857142857137</v>
      </c>
      <c r="N5" s="93">
        <v>0.2217142857142857</v>
      </c>
      <c r="O5" s="77">
        <v>13.586268226633516</v>
      </c>
      <c r="P5" s="77">
        <v>-10.029173111252893</v>
      </c>
      <c r="Q5" s="77">
        <v>6859.2403139999997</v>
      </c>
      <c r="R5" s="93">
        <v>4.1000000000000002E-2</v>
      </c>
      <c r="S5" s="93">
        <v>4.4999999999999998E-2</v>
      </c>
      <c r="T5" s="93">
        <v>3.9875000000000001E-2</v>
      </c>
      <c r="U5" s="93">
        <v>0.6</v>
      </c>
      <c r="V5" s="93">
        <v>9.7500000000000003E-2</v>
      </c>
      <c r="W5" s="93">
        <v>7.1999999999999993</v>
      </c>
      <c r="X5" s="93">
        <v>20.499999999999996</v>
      </c>
      <c r="Y5" s="93">
        <v>6.3937499999999989</v>
      </c>
      <c r="Z5" s="93">
        <v>0.06</v>
      </c>
      <c r="AA5" s="93">
        <v>0</v>
      </c>
      <c r="AB5" s="93">
        <v>0.25162499999999999</v>
      </c>
      <c r="AC5" s="93">
        <v>8.0250000000000004</v>
      </c>
      <c r="AD5" s="93">
        <v>6.0000000000000001E-3</v>
      </c>
      <c r="AE5" s="93">
        <v>0</v>
      </c>
      <c r="AF5" s="93">
        <v>7.0000000000000007E-2</v>
      </c>
      <c r="AG5" s="93">
        <v>7.95</v>
      </c>
      <c r="AH5" s="93">
        <v>0</v>
      </c>
      <c r="AI5" s="93">
        <v>371.625</v>
      </c>
      <c r="AJ5" s="93">
        <v>284.375</v>
      </c>
      <c r="AK5" s="93">
        <v>0</v>
      </c>
      <c r="AL5" s="93">
        <v>-126</v>
      </c>
      <c r="AM5" s="93">
        <v>-17.100000000000001</v>
      </c>
    </row>
    <row r="6" spans="1:39">
      <c r="B6" t="s">
        <v>315</v>
      </c>
      <c r="C6" s="93">
        <v>13136</v>
      </c>
      <c r="D6" s="93">
        <v>31.955555555555559</v>
      </c>
      <c r="E6" s="93">
        <v>8.7499999999999982</v>
      </c>
      <c r="F6" s="93">
        <v>-219.55555555555554</v>
      </c>
      <c r="G6" s="93">
        <v>1545.8888888888889</v>
      </c>
      <c r="H6" s="93">
        <v>1113.6666666666667</v>
      </c>
      <c r="I6" s="93">
        <v>0.71249999999999991</v>
      </c>
      <c r="J6" s="93">
        <v>0.44874999999999998</v>
      </c>
      <c r="K6" s="93">
        <v>2.1250000000000002E-2</v>
      </c>
      <c r="L6" s="93">
        <v>304.25</v>
      </c>
      <c r="M6" s="93">
        <v>1.1303749999999999</v>
      </c>
      <c r="N6" s="93">
        <v>0.18920000000000001</v>
      </c>
      <c r="O6" s="77">
        <v>13.410936493615429</v>
      </c>
      <c r="P6" s="77">
        <v>-9.8065902473956346</v>
      </c>
      <c r="Q6" s="77">
        <v>5091.8003909999998</v>
      </c>
      <c r="R6" s="93">
        <v>0.05</v>
      </c>
      <c r="S6" s="93">
        <v>4.6666666666666669E-2</v>
      </c>
      <c r="T6" s="93">
        <v>6.1777777777777786E-2</v>
      </c>
      <c r="U6" s="93">
        <v>0.51222222222222225</v>
      </c>
      <c r="V6" s="93">
        <v>0.107</v>
      </c>
      <c r="W6" s="93">
        <v>4.0333333333333332</v>
      </c>
      <c r="X6" s="93">
        <v>19.111111111111111</v>
      </c>
      <c r="Y6" s="93">
        <v>5.7044444444444444</v>
      </c>
      <c r="Z6" s="93">
        <v>7.333333333333332E-2</v>
      </c>
      <c r="AA6" s="93">
        <v>0</v>
      </c>
      <c r="AB6" s="93">
        <v>0.23155555555555557</v>
      </c>
      <c r="AC6" s="93">
        <v>5.3777777777777782</v>
      </c>
      <c r="AD6" s="93">
        <v>7.0000000000000001E-3</v>
      </c>
      <c r="AE6" s="93">
        <v>0</v>
      </c>
      <c r="AF6" s="93">
        <v>7.0000000000000007E-2</v>
      </c>
      <c r="AG6" s="93">
        <v>7</v>
      </c>
      <c r="AH6" s="93">
        <v>0</v>
      </c>
      <c r="AI6" s="93">
        <v>339.55555555555554</v>
      </c>
      <c r="AJ6" s="93">
        <v>172.77777777777777</v>
      </c>
      <c r="AK6" s="93">
        <v>0</v>
      </c>
      <c r="AL6" s="93">
        <v>-127</v>
      </c>
      <c r="AM6" s="93">
        <v>-17.100000000000001</v>
      </c>
    </row>
    <row r="7" spans="1:39">
      <c r="B7" t="s">
        <v>316</v>
      </c>
      <c r="C7" s="93"/>
      <c r="D7" s="93">
        <v>21.88571428571429</v>
      </c>
      <c r="E7" s="93">
        <v>8.8157142857142858</v>
      </c>
      <c r="F7" s="93">
        <v>-255.71428571428572</v>
      </c>
      <c r="G7" s="93">
        <v>7911.2857142857147</v>
      </c>
      <c r="H7" s="93">
        <v>6591.5714285714284</v>
      </c>
      <c r="I7" s="93">
        <v>0.3</v>
      </c>
      <c r="J7" s="93">
        <v>9.9999999999999992E-2</v>
      </c>
      <c r="K7" s="93">
        <v>0.84</v>
      </c>
      <c r="L7" s="93">
        <v>74.5</v>
      </c>
      <c r="M7" s="93">
        <v>0.32916666666666672</v>
      </c>
      <c r="N7" s="93">
        <v>0.22599999999999998</v>
      </c>
      <c r="O7" s="77">
        <v>2.6944023492604567</v>
      </c>
      <c r="P7" s="77">
        <v>-13.431225838562876</v>
      </c>
      <c r="Q7" s="77">
        <v>258672.81550999996</v>
      </c>
      <c r="R7" s="93">
        <v>8.666666666666667E-2</v>
      </c>
      <c r="S7" s="93">
        <v>6.5000000000000002E-2</v>
      </c>
      <c r="T7" s="93">
        <v>9.8333333333333328E-3</v>
      </c>
      <c r="U7" s="93">
        <v>0.83857142857142841</v>
      </c>
      <c r="V7" s="93">
        <v>0</v>
      </c>
      <c r="W7" s="93">
        <v>320.28571428571428</v>
      </c>
      <c r="X7" s="93">
        <v>212.14285714285714</v>
      </c>
      <c r="Y7" s="93">
        <v>3.0850000000000004</v>
      </c>
      <c r="Z7" s="93">
        <v>1.3914285714285715</v>
      </c>
      <c r="AA7" s="93">
        <v>0</v>
      </c>
      <c r="AB7" s="93">
        <v>2.2485714285714287</v>
      </c>
      <c r="AC7" s="93">
        <v>95.114285714285728</v>
      </c>
      <c r="AD7" s="93">
        <v>0.25328571428571428</v>
      </c>
      <c r="AE7" s="93">
        <v>1.0999999999999999E-2</v>
      </c>
      <c r="AF7" s="93">
        <v>0</v>
      </c>
      <c r="AG7" s="93">
        <v>2.9857142857142862</v>
      </c>
      <c r="AH7" s="93">
        <v>0</v>
      </c>
      <c r="AI7" s="93">
        <v>1531.4285714285713</v>
      </c>
      <c r="AJ7" s="93">
        <v>4187.1428571428569</v>
      </c>
      <c r="AK7" s="93">
        <v>0</v>
      </c>
      <c r="AL7" s="93">
        <v>-113</v>
      </c>
      <c r="AM7" s="93">
        <v>-15.8</v>
      </c>
    </row>
    <row r="8" spans="1:39">
      <c r="C8" s="93"/>
      <c r="D8" s="93"/>
      <c r="E8" s="93"/>
      <c r="F8" s="93"/>
      <c r="G8" s="93"/>
      <c r="H8" s="93"/>
      <c r="I8" s="93"/>
      <c r="J8" s="93"/>
      <c r="K8" s="93"/>
      <c r="L8" s="93"/>
      <c r="M8" s="93"/>
      <c r="N8" s="93"/>
      <c r="O8" s="77"/>
      <c r="P8" s="77"/>
      <c r="Q8" s="77"/>
      <c r="R8" s="93"/>
      <c r="S8" s="93"/>
      <c r="T8" s="93"/>
      <c r="U8" s="93"/>
      <c r="V8" s="93"/>
      <c r="W8" s="93"/>
      <c r="X8" s="93"/>
      <c r="Y8" s="93"/>
      <c r="Z8" s="93"/>
      <c r="AA8" s="93"/>
      <c r="AB8" s="93"/>
      <c r="AC8" s="93"/>
      <c r="AD8" s="93"/>
      <c r="AE8" s="93"/>
      <c r="AF8" s="93"/>
      <c r="AG8" s="93"/>
      <c r="AH8" s="93"/>
      <c r="AI8" s="93"/>
      <c r="AJ8" s="93"/>
      <c r="AK8" s="93"/>
      <c r="AL8" s="93"/>
      <c r="AM8" s="93"/>
    </row>
    <row r="9" spans="1:39">
      <c r="A9" t="s">
        <v>322</v>
      </c>
      <c r="B9" t="s">
        <v>311</v>
      </c>
      <c r="C9" s="93">
        <v>68.04736912213761</v>
      </c>
      <c r="D9" s="93">
        <v>0.35050983275386566</v>
      </c>
      <c r="E9" s="93">
        <v>0.49295030175464949</v>
      </c>
      <c r="F9" s="93">
        <v>32.755951840121824</v>
      </c>
      <c r="G9" s="93">
        <v>7.0568440268329322</v>
      </c>
      <c r="H9" s="93">
        <v>6.4563737426485952</v>
      </c>
      <c r="I9" s="93">
        <v>0.11690451944500128</v>
      </c>
      <c r="J9" s="93">
        <v>1.2110601416389987E-2</v>
      </c>
      <c r="K9" s="93">
        <v>0.17127949867589723</v>
      </c>
      <c r="L9" s="93">
        <v>3.2659863237109041</v>
      </c>
      <c r="M9" s="93">
        <v>7.4560042918442607E-2</v>
      </c>
      <c r="N9" s="93">
        <v>3.2966649814623258E-2</v>
      </c>
      <c r="O9" s="77">
        <v>0.10287273574517425</v>
      </c>
      <c r="P9" s="77">
        <v>0.10287273574517425</v>
      </c>
      <c r="Q9" s="77">
        <v>414.02917337898879</v>
      </c>
      <c r="R9" s="93">
        <v>0</v>
      </c>
      <c r="S9" s="93">
        <v>0</v>
      </c>
      <c r="T9" s="93">
        <v>2.3401261667248788E-3</v>
      </c>
      <c r="U9" s="93">
        <v>8.9973541084243814E-3</v>
      </c>
      <c r="V9" s="93">
        <v>0</v>
      </c>
      <c r="W9" s="93">
        <v>4.1975049278169543</v>
      </c>
      <c r="X9" s="93">
        <v>0.34503277967117713</v>
      </c>
      <c r="Y9" s="93">
        <v>8.921883209278203E-2</v>
      </c>
      <c r="Z9" s="93">
        <v>0.53576825125012684</v>
      </c>
      <c r="AA9" s="93">
        <v>0</v>
      </c>
      <c r="AB9" s="93">
        <v>4.29839394148448E-3</v>
      </c>
      <c r="AC9" s="93">
        <v>1.1686377906410026</v>
      </c>
      <c r="AD9" s="93">
        <v>1.1103410029613171E-2</v>
      </c>
      <c r="AE9" s="93">
        <v>3.2710854467592246E-3</v>
      </c>
      <c r="AF9" s="93">
        <v>0</v>
      </c>
      <c r="AG9" s="93">
        <v>0.3287784027201881</v>
      </c>
      <c r="AH9" s="93">
        <v>0</v>
      </c>
      <c r="AI9" s="93">
        <v>1.0641338977689567</v>
      </c>
      <c r="AJ9" s="93">
        <v>21.082603977597039</v>
      </c>
      <c r="AK9" s="93">
        <v>0</v>
      </c>
      <c r="AL9" s="93">
        <v>0</v>
      </c>
      <c r="AM9" s="93">
        <v>0</v>
      </c>
    </row>
    <row r="10" spans="1:39">
      <c r="B10" t="s">
        <v>312</v>
      </c>
      <c r="C10" s="93">
        <v>25.88435821108957</v>
      </c>
      <c r="D10" s="93">
        <v>0.10327955589886409</v>
      </c>
      <c r="E10" s="93">
        <v>0.28944199188553582</v>
      </c>
      <c r="F10" s="93">
        <v>40.414931234219189</v>
      </c>
      <c r="G10" s="93">
        <v>8.888588189358293</v>
      </c>
      <c r="H10" s="93">
        <v>6.3711066542634498</v>
      </c>
      <c r="I10" s="93">
        <v>0.17224014243685087</v>
      </c>
      <c r="J10" s="93">
        <v>9.831920802501757E-3</v>
      </c>
      <c r="K10" s="93">
        <v>2.5819888974716109E-2</v>
      </c>
      <c r="L10" s="93">
        <v>19.473058311420935</v>
      </c>
      <c r="M10" s="93">
        <v>4.7463249362006383</v>
      </c>
      <c r="N10" s="93">
        <v>4.9448963588735642E-2</v>
      </c>
      <c r="O10" s="77">
        <v>1.0682901261022251</v>
      </c>
      <c r="P10" s="77">
        <v>1.0682901261022251</v>
      </c>
      <c r="Q10" s="77">
        <v>7998.7826941241956</v>
      </c>
      <c r="R10" s="93">
        <v>0</v>
      </c>
      <c r="S10" s="93">
        <v>7.5277265270908564E-3</v>
      </c>
      <c r="T10" s="93">
        <v>5.490251100164472E-3</v>
      </c>
      <c r="U10" s="93">
        <v>5.3452248382484923E-3</v>
      </c>
      <c r="V10" s="93">
        <v>0</v>
      </c>
      <c r="W10" s="93">
        <v>1.7829883956570276</v>
      </c>
      <c r="X10" s="93">
        <v>0.35989416433697452</v>
      </c>
      <c r="Y10" s="93">
        <v>2.5819888974716092E-2</v>
      </c>
      <c r="Z10" s="93">
        <v>5.5933634144148231E-2</v>
      </c>
      <c r="AA10" s="93">
        <v>0</v>
      </c>
      <c r="AB10" s="93">
        <v>3.5456210417116728E-3</v>
      </c>
      <c r="AC10" s="93">
        <v>1.0976164652381557</v>
      </c>
      <c r="AD10" s="93">
        <v>4.1576092031014988E-3</v>
      </c>
      <c r="AE10" s="93">
        <v>0</v>
      </c>
      <c r="AF10" s="93">
        <v>0</v>
      </c>
      <c r="AG10" s="93">
        <v>0.16035674514745468</v>
      </c>
      <c r="AH10" s="93">
        <v>0</v>
      </c>
      <c r="AI10" s="93">
        <v>1.5702593052468388</v>
      </c>
      <c r="AJ10" s="93">
        <v>4.2570949182344018</v>
      </c>
      <c r="AK10" s="93">
        <v>0</v>
      </c>
      <c r="AL10" s="93">
        <v>0</v>
      </c>
      <c r="AM10" s="93">
        <v>0</v>
      </c>
    </row>
    <row r="11" spans="1:39">
      <c r="B11" t="s">
        <v>313</v>
      </c>
      <c r="C11" s="93">
        <v>963.90518205889953</v>
      </c>
      <c r="D11" s="93">
        <v>0.19955307206712786</v>
      </c>
      <c r="E11" s="93">
        <v>0.28769713738086256</v>
      </c>
      <c r="F11" s="93">
        <v>36.61674090202068</v>
      </c>
      <c r="G11" s="93">
        <v>15.569544446955225</v>
      </c>
      <c r="H11" s="93">
        <v>13.082157969649241</v>
      </c>
      <c r="I11" s="93">
        <v>0.23704530408864077</v>
      </c>
      <c r="J11" s="93">
        <v>4.0708019567928591E-2</v>
      </c>
      <c r="K11" s="93">
        <v>0.37836742032303061</v>
      </c>
      <c r="L11" s="93">
        <v>6.3358391032961956</v>
      </c>
      <c r="M11" s="93">
        <v>1.1883594383695135</v>
      </c>
      <c r="N11" s="93">
        <v>4.333150179279556E-2</v>
      </c>
      <c r="O11" s="77">
        <v>1.636015524332836</v>
      </c>
      <c r="P11" s="77">
        <v>1.636015524332836</v>
      </c>
      <c r="Q11" s="77">
        <v>33501.278486242627</v>
      </c>
      <c r="R11" s="93">
        <v>9.5742710775634284E-3</v>
      </c>
      <c r="S11" s="93">
        <v>0</v>
      </c>
      <c r="T11" s="93">
        <v>2.3299294900428701E-3</v>
      </c>
      <c r="U11" s="93">
        <v>1.1259916264596038E-2</v>
      </c>
      <c r="V11" s="93">
        <v>0</v>
      </c>
      <c r="W11" s="93">
        <v>13.638181696985855</v>
      </c>
      <c r="X11" s="93">
        <v>2.0541299861498494</v>
      </c>
      <c r="Y11" s="93">
        <v>2.8284271247461901E-2</v>
      </c>
      <c r="Z11" s="93">
        <v>0.62406501492804467</v>
      </c>
      <c r="AA11" s="93">
        <v>0</v>
      </c>
      <c r="AB11" s="93">
        <v>7.4450366975973639E-3</v>
      </c>
      <c r="AC11" s="93">
        <v>7.2296512462813274</v>
      </c>
      <c r="AD11" s="93">
        <v>9.4178781353035524E-3</v>
      </c>
      <c r="AE11" s="93">
        <v>0</v>
      </c>
      <c r="AF11" s="93">
        <v>0</v>
      </c>
      <c r="AG11" s="93">
        <v>0.24748737341529145</v>
      </c>
      <c r="AH11" s="93">
        <v>0</v>
      </c>
      <c r="AI11" s="93">
        <v>5.6282292318023348</v>
      </c>
      <c r="AJ11" s="93">
        <v>120.67271755415456</v>
      </c>
      <c r="AK11" s="93">
        <v>0</v>
      </c>
      <c r="AL11" s="93">
        <v>0</v>
      </c>
      <c r="AM11" s="93">
        <v>0</v>
      </c>
    </row>
    <row r="12" spans="1:39">
      <c r="B12" t="s">
        <v>314</v>
      </c>
      <c r="C12" s="93">
        <v>43.493294502332965</v>
      </c>
      <c r="D12" s="93">
        <v>9.7182531580753961E-2</v>
      </c>
      <c r="E12" s="93">
        <v>0.52598728990607779</v>
      </c>
      <c r="F12" s="93">
        <v>46.896458051517932</v>
      </c>
      <c r="G12" s="93">
        <v>51.029675462203144</v>
      </c>
      <c r="H12" s="93">
        <v>41.258669122716235</v>
      </c>
      <c r="I12" s="93">
        <v>7.5592894601845456E-2</v>
      </c>
      <c r="J12" s="93">
        <v>0.20521765448977769</v>
      </c>
      <c r="K12" s="93">
        <v>3.9096949095440016E-2</v>
      </c>
      <c r="L12" s="93">
        <v>270.0641017381227</v>
      </c>
      <c r="M12" s="93">
        <v>0.27747123403027879</v>
      </c>
      <c r="N12" s="93">
        <v>4.5660757351414977E-2</v>
      </c>
      <c r="O12" s="77">
        <v>7.6976567839293658E-2</v>
      </c>
      <c r="P12" s="77">
        <v>7.6976567839293658E-2</v>
      </c>
      <c r="Q12" s="77">
        <v>1132.5375916437818</v>
      </c>
      <c r="R12" s="93">
        <v>0</v>
      </c>
      <c r="S12" s="93">
        <v>7.0710678118655152E-3</v>
      </c>
      <c r="T12" s="93">
        <v>1.726888200533799E-3</v>
      </c>
      <c r="U12" s="93">
        <v>1.8516401995451012E-2</v>
      </c>
      <c r="V12" s="93">
        <v>1.6263455967290511E-2</v>
      </c>
      <c r="W12" s="93">
        <v>0.27255405754769862</v>
      </c>
      <c r="X12" s="93">
        <v>0.50426750270636522</v>
      </c>
      <c r="Y12" s="93">
        <v>0.29291332213764926</v>
      </c>
      <c r="Z12" s="93">
        <v>0</v>
      </c>
      <c r="AA12" s="93">
        <v>0</v>
      </c>
      <c r="AB12" s="93">
        <v>6.7387472341462968E-3</v>
      </c>
      <c r="AC12" s="93">
        <v>0.2915475947422651</v>
      </c>
      <c r="AD12" s="93">
        <v>1.1547005383792514E-3</v>
      </c>
      <c r="AE12" s="93">
        <v>0</v>
      </c>
      <c r="AF12" s="93">
        <v>0</v>
      </c>
      <c r="AG12" s="93">
        <v>0.27774602993176534</v>
      </c>
      <c r="AH12" s="93">
        <v>0</v>
      </c>
      <c r="AI12" s="93">
        <v>10.140970649513079</v>
      </c>
      <c r="AJ12" s="93">
        <v>14.539969542117833</v>
      </c>
      <c r="AK12" s="93">
        <v>0</v>
      </c>
      <c r="AL12" s="93">
        <v>0</v>
      </c>
      <c r="AM12" s="93">
        <v>0</v>
      </c>
    </row>
    <row r="13" spans="1:39">
      <c r="B13" t="s">
        <v>315</v>
      </c>
      <c r="C13" s="93">
        <v>6490.8766742251391</v>
      </c>
      <c r="D13" s="93">
        <v>0.55025246730730559</v>
      </c>
      <c r="E13" s="93">
        <v>0.23157072353818808</v>
      </c>
      <c r="F13" s="93">
        <v>66.266716968458468</v>
      </c>
      <c r="G13" s="93">
        <v>11.118053386771946</v>
      </c>
      <c r="H13" s="93">
        <v>8.8317608663278477</v>
      </c>
      <c r="I13" s="93">
        <v>8.3452296039628074E-2</v>
      </c>
      <c r="J13" s="93">
        <v>4.8532021829480188E-2</v>
      </c>
      <c r="K13" s="93">
        <v>4.5178218519231463E-2</v>
      </c>
      <c r="L13" s="93">
        <v>69.874888193112696</v>
      </c>
      <c r="M13" s="93">
        <v>2.2192790294855409</v>
      </c>
      <c r="N13" s="93">
        <v>4.5361878267990575E-2</v>
      </c>
      <c r="O13" s="77">
        <v>0.22234286219183788</v>
      </c>
      <c r="P13" s="77">
        <v>0.22234286219183788</v>
      </c>
      <c r="Q13" s="77">
        <v>2720.6019484508802</v>
      </c>
      <c r="R13" s="93">
        <v>0</v>
      </c>
      <c r="S13" s="93">
        <v>5.773502691896258E-3</v>
      </c>
      <c r="T13" s="93">
        <v>2.2791323885295576E-3</v>
      </c>
      <c r="U13" s="93">
        <v>3.9616214413349053E-2</v>
      </c>
      <c r="V13" s="93">
        <v>0</v>
      </c>
      <c r="W13" s="93">
        <v>0.19364916731037096</v>
      </c>
      <c r="X13" s="93">
        <v>0.60713352000290033</v>
      </c>
      <c r="Y13" s="93">
        <v>0.2362261157826919</v>
      </c>
      <c r="Z13" s="93">
        <v>9.2376043070340114E-2</v>
      </c>
      <c r="AA13" s="93">
        <v>0</v>
      </c>
      <c r="AB13" s="93">
        <v>5.1017426216713206E-3</v>
      </c>
      <c r="AC13" s="93">
        <v>0.32317865716108868</v>
      </c>
      <c r="AD13" s="93">
        <v>0</v>
      </c>
      <c r="AE13" s="93">
        <v>0</v>
      </c>
      <c r="AF13" s="93">
        <v>0</v>
      </c>
      <c r="AG13" s="93">
        <v>0.11180339887498927</v>
      </c>
      <c r="AH13" s="93">
        <v>0</v>
      </c>
      <c r="AI13" s="93">
        <v>5.8547226900834319</v>
      </c>
      <c r="AJ13" s="93">
        <v>8.6281194036965232</v>
      </c>
      <c r="AK13" s="93">
        <v>0</v>
      </c>
      <c r="AL13" s="93">
        <v>0</v>
      </c>
      <c r="AM13" s="93">
        <v>0</v>
      </c>
    </row>
    <row r="14" spans="1:39">
      <c r="B14" t="s">
        <v>316</v>
      </c>
      <c r="C14" s="93"/>
      <c r="D14" s="93">
        <v>1.2785780792591064</v>
      </c>
      <c r="E14" s="93">
        <v>0.52974387342240348</v>
      </c>
      <c r="F14" s="93">
        <v>77.667484156744109</v>
      </c>
      <c r="G14" s="93">
        <v>58.744401962270089</v>
      </c>
      <c r="H14" s="93">
        <v>57.279598296010953</v>
      </c>
      <c r="I14" s="93">
        <v>6.324555320336761E-2</v>
      </c>
      <c r="J14" s="93">
        <v>3.0331501776206225E-2</v>
      </c>
      <c r="K14" s="93">
        <v>0.83570329663104692</v>
      </c>
      <c r="L14" s="93">
        <v>15.808225706890701</v>
      </c>
      <c r="M14" s="93">
        <v>0.4551748748191915</v>
      </c>
      <c r="N14" s="93">
        <v>0.11637009925234242</v>
      </c>
      <c r="O14" s="77">
        <v>0.44937809309797244</v>
      </c>
      <c r="P14" s="77">
        <v>0.44937809309797244</v>
      </c>
      <c r="Q14" s="77">
        <v>152363.13824646492</v>
      </c>
      <c r="R14" s="93">
        <v>7.3711147958319942E-2</v>
      </c>
      <c r="S14" s="93">
        <v>7.0710678118654814E-3</v>
      </c>
      <c r="T14" s="93">
        <v>5.6715665090578517E-3</v>
      </c>
      <c r="U14" s="93">
        <v>0.16097914683053183</v>
      </c>
      <c r="V14" s="93">
        <v>0</v>
      </c>
      <c r="W14" s="93">
        <v>10.127755357009201</v>
      </c>
      <c r="X14" s="93">
        <v>15.858000834789689</v>
      </c>
      <c r="Y14" s="93">
        <v>0.22097511172075465</v>
      </c>
      <c r="Z14" s="93">
        <v>1.4582915640276761</v>
      </c>
      <c r="AA14" s="93">
        <v>0</v>
      </c>
      <c r="AB14" s="93">
        <v>9.4238805069633419E-2</v>
      </c>
      <c r="AC14" s="93">
        <v>3.9910017837749989</v>
      </c>
      <c r="AD14" s="93">
        <v>9.8322113968517227E-2</v>
      </c>
      <c r="AE14" s="93">
        <v>0</v>
      </c>
      <c r="AF14" s="93">
        <v>0</v>
      </c>
      <c r="AG14" s="93">
        <v>2.5069427406229092</v>
      </c>
      <c r="AH14" s="93">
        <v>0</v>
      </c>
      <c r="AI14" s="93">
        <v>97.198863407032945</v>
      </c>
      <c r="AJ14" s="93">
        <v>220.20553169817552</v>
      </c>
      <c r="AK14" s="93">
        <v>0</v>
      </c>
      <c r="AL14" s="93">
        <v>0</v>
      </c>
      <c r="AM14" s="93">
        <v>0</v>
      </c>
    </row>
    <row r="17" spans="2:42" ht="29">
      <c r="C17" s="74" t="s">
        <v>408</v>
      </c>
      <c r="D17" s="74" t="s">
        <v>213</v>
      </c>
      <c r="E17" s="119" t="s">
        <v>289</v>
      </c>
      <c r="F17" s="74" t="s">
        <v>192</v>
      </c>
      <c r="G17" s="74" t="s">
        <v>193</v>
      </c>
      <c r="H17" s="74" t="s">
        <v>435</v>
      </c>
      <c r="I17" s="74" t="s">
        <v>436</v>
      </c>
      <c r="J17" s="74" t="s">
        <v>437</v>
      </c>
      <c r="K17" s="74" t="s">
        <v>438</v>
      </c>
      <c r="L17" s="74" t="s">
        <v>205</v>
      </c>
      <c r="M17" s="74" t="s">
        <v>433</v>
      </c>
      <c r="N17" s="74" t="s">
        <v>423</v>
      </c>
      <c r="O17" s="74" t="s">
        <v>424</v>
      </c>
      <c r="P17" s="74" t="s">
        <v>421</v>
      </c>
      <c r="Q17" s="74" t="s">
        <v>427</v>
      </c>
      <c r="R17" s="74" t="s">
        <v>422</v>
      </c>
      <c r="S17" s="74" t="s">
        <v>432</v>
      </c>
      <c r="T17" s="74" t="s">
        <v>431</v>
      </c>
      <c r="U17" s="74" t="s">
        <v>425</v>
      </c>
      <c r="V17" s="74" t="s">
        <v>428</v>
      </c>
      <c r="W17" s="74" t="s">
        <v>418</v>
      </c>
      <c r="X17" s="74" t="s">
        <v>419</v>
      </c>
      <c r="Y17" s="74" t="s">
        <v>420</v>
      </c>
      <c r="Z17" s="74" t="s">
        <v>11</v>
      </c>
      <c r="AA17" s="74" t="s">
        <v>426</v>
      </c>
      <c r="AB17" s="74" t="s">
        <v>429</v>
      </c>
      <c r="AC17" s="74" t="s">
        <v>430</v>
      </c>
      <c r="AD17" s="74" t="s">
        <v>434</v>
      </c>
      <c r="AE17" s="74" t="s">
        <v>308</v>
      </c>
      <c r="AF17" s="74" t="s">
        <v>309</v>
      </c>
      <c r="AG17" s="74" t="s">
        <v>271</v>
      </c>
      <c r="AH17" t="s">
        <v>327</v>
      </c>
      <c r="AI17" t="s">
        <v>439</v>
      </c>
      <c r="AJ17" s="74" t="s">
        <v>497</v>
      </c>
      <c r="AK17" s="133" t="s">
        <v>483</v>
      </c>
      <c r="AL17" s="133" t="s">
        <v>484</v>
      </c>
      <c r="AM17" s="133" t="s">
        <v>485</v>
      </c>
      <c r="AN17" s="133" t="s">
        <v>486</v>
      </c>
      <c r="AO17" s="133" t="s">
        <v>487</v>
      </c>
      <c r="AP17" s="133" t="s">
        <v>488</v>
      </c>
    </row>
    <row r="18" spans="2:42">
      <c r="B18" s="144" t="s">
        <v>351</v>
      </c>
      <c r="C18" s="93">
        <v>10.19</v>
      </c>
      <c r="D18" s="93">
        <v>966.24</v>
      </c>
      <c r="E18" s="93">
        <v>694.39999999999986</v>
      </c>
      <c r="F18" s="93">
        <v>7.4579999999999984</v>
      </c>
      <c r="G18" s="93">
        <v>-89.5</v>
      </c>
      <c r="H18" s="93">
        <v>0.26666666666666666</v>
      </c>
      <c r="I18" s="93">
        <v>6.7777777777777784E-2</v>
      </c>
      <c r="J18" s="93">
        <v>2.4066666666666663</v>
      </c>
      <c r="K18" s="93">
        <v>1.4444444444444444</v>
      </c>
      <c r="L18" s="93">
        <v>6.8750000000000006E-2</v>
      </c>
      <c r="M18" s="93">
        <v>328</v>
      </c>
      <c r="N18" s="93">
        <v>11.35</v>
      </c>
      <c r="O18" s="93">
        <v>0.43666666666666665</v>
      </c>
      <c r="P18" s="93" t="e">
        <v>#DIV/0!</v>
      </c>
      <c r="Q18" s="93">
        <v>37.729999999999997</v>
      </c>
      <c r="R18" s="93">
        <v>120.3</v>
      </c>
      <c r="S18" s="93">
        <v>27.609999999999996</v>
      </c>
      <c r="T18" s="93">
        <v>7.85</v>
      </c>
      <c r="U18" s="93">
        <v>5.282</v>
      </c>
      <c r="V18" s="93">
        <v>0.19460000000000002</v>
      </c>
      <c r="W18" s="93">
        <v>0.05</v>
      </c>
      <c r="X18" s="93">
        <v>0.04</v>
      </c>
      <c r="Y18" s="93">
        <v>4.1099999999999991E-2</v>
      </c>
      <c r="Z18" s="93">
        <v>0.20999999999999996</v>
      </c>
      <c r="AA18" s="93">
        <v>4.2899999999999994E-2</v>
      </c>
      <c r="AB18" s="93">
        <v>1.3666666666666666E-2</v>
      </c>
      <c r="AC18" s="93" t="e">
        <v>#DIV/0!</v>
      </c>
      <c r="AD18" s="93">
        <v>0.01</v>
      </c>
      <c r="AE18" s="93">
        <v>-123.21819582399999</v>
      </c>
      <c r="AF18" s="93">
        <v>-16.586047000000001</v>
      </c>
      <c r="AG18" s="77">
        <v>0.42625000000000002</v>
      </c>
      <c r="AH18" s="93">
        <v>4.2091814393904654</v>
      </c>
      <c r="AI18" s="93">
        <v>-11.336949096505057</v>
      </c>
      <c r="AJ18" s="93">
        <v>2755.5714285714284</v>
      </c>
      <c r="AK18" s="93">
        <v>275.56744077056351</v>
      </c>
      <c r="AL18" s="93">
        <v>0</v>
      </c>
      <c r="AM18" s="93">
        <v>0.63995726027494781</v>
      </c>
      <c r="AN18" s="93">
        <v>9.6965365770628892E-2</v>
      </c>
      <c r="AO18" s="93">
        <v>3.9444457136542724E-2</v>
      </c>
      <c r="AP18" s="93">
        <v>0.10300368983328581</v>
      </c>
    </row>
    <row r="19" spans="2:42">
      <c r="B19" s="144" t="s">
        <v>352</v>
      </c>
      <c r="C19" s="93">
        <v>12.511111111111111</v>
      </c>
      <c r="D19" s="93">
        <v>619.31111111111102</v>
      </c>
      <c r="E19" s="93">
        <v>437.51111111111112</v>
      </c>
      <c r="F19" s="93">
        <v>7.8022222222222233</v>
      </c>
      <c r="G19" s="93">
        <v>-125.22222222222223</v>
      </c>
      <c r="H19" s="93">
        <v>0.22222222222222227</v>
      </c>
      <c r="I19" s="93">
        <v>1.8888888888888886E-2</v>
      </c>
      <c r="J19" s="93">
        <v>0.29444444444444445</v>
      </c>
      <c r="K19" s="93">
        <v>24</v>
      </c>
      <c r="L19" s="93">
        <v>1.8751250000000002</v>
      </c>
      <c r="M19" s="93">
        <v>83.7</v>
      </c>
      <c r="N19" s="93">
        <v>16.439999999999998</v>
      </c>
      <c r="O19" s="93">
        <v>0.81199999999999994</v>
      </c>
      <c r="P19" s="93" t="e">
        <v>#DIV/0!</v>
      </c>
      <c r="Q19" s="93">
        <v>29.05</v>
      </c>
      <c r="R19" s="93">
        <v>45.940000000000005</v>
      </c>
      <c r="S19" s="93">
        <v>38.42</v>
      </c>
      <c r="T19" s="93">
        <v>4.9000000000000004</v>
      </c>
      <c r="U19" s="93">
        <v>0.33999999999999997</v>
      </c>
      <c r="V19" s="93">
        <v>4.7199999999999992E-2</v>
      </c>
      <c r="W19" s="93">
        <v>0.04</v>
      </c>
      <c r="X19" s="93">
        <v>4.8571428571428564E-2</v>
      </c>
      <c r="Y19" s="93">
        <v>0.13089999999999999</v>
      </c>
      <c r="Z19" s="93">
        <v>6.8999999999999992E-2</v>
      </c>
      <c r="AA19" s="93">
        <v>3.599999999999999E-2</v>
      </c>
      <c r="AB19" s="93" t="e">
        <v>#DIV/0!</v>
      </c>
      <c r="AC19" s="93" t="e">
        <v>#DIV/0!</v>
      </c>
      <c r="AD19" s="93" t="e">
        <v>#DIV/0!</v>
      </c>
      <c r="AE19" s="93">
        <v>-127.34759639199999</v>
      </c>
      <c r="AF19" s="93">
        <v>-17.235677440000003</v>
      </c>
      <c r="AG19" s="77">
        <v>0.42199999999999993</v>
      </c>
      <c r="AH19" s="93">
        <v>4.7278856898033492</v>
      </c>
      <c r="AI19" s="93">
        <v>-10.336162444776209</v>
      </c>
      <c r="AJ19" s="93">
        <v>22465.857142857141</v>
      </c>
      <c r="AK19" s="93">
        <v>218.55206878839184</v>
      </c>
      <c r="AL19" s="93">
        <v>0</v>
      </c>
      <c r="AM19" s="93">
        <v>0.41729515613852181</v>
      </c>
      <c r="AN19" s="93">
        <v>8.0795601299321035E-2</v>
      </c>
      <c r="AO19" s="93">
        <v>1.4465338536614678E-2</v>
      </c>
      <c r="AP19" s="93">
        <v>0.10367848631278416</v>
      </c>
    </row>
    <row r="20" spans="2:42">
      <c r="B20" s="144" t="s">
        <v>354</v>
      </c>
      <c r="C20" s="93">
        <v>16.236363636363635</v>
      </c>
      <c r="D20" s="93">
        <v>3036.4545454545455</v>
      </c>
      <c r="E20" s="93">
        <v>2311.818181818182</v>
      </c>
      <c r="F20" s="93">
        <v>7.1063636363636364</v>
      </c>
      <c r="G20" s="93">
        <v>-28.181818181818183</v>
      </c>
      <c r="H20" s="93">
        <v>0.32999999999999996</v>
      </c>
      <c r="I20" s="93">
        <v>0.23899999999999996</v>
      </c>
      <c r="J20" s="93">
        <v>2.5430000000000001</v>
      </c>
      <c r="K20" s="93">
        <v>9.9</v>
      </c>
      <c r="L20" s="93">
        <v>0.63664999999999983</v>
      </c>
      <c r="M20" s="93">
        <v>1655</v>
      </c>
      <c r="N20" s="93">
        <v>8.6300000000000008</v>
      </c>
      <c r="O20" s="93">
        <v>0.66799999999999993</v>
      </c>
      <c r="P20" s="93" t="e">
        <v>#DIV/0!</v>
      </c>
      <c r="Q20" s="93">
        <v>237.54545454545453</v>
      </c>
      <c r="R20" s="93">
        <v>350.72727272727275</v>
      </c>
      <c r="S20" s="93">
        <v>105.31818181818181</v>
      </c>
      <c r="T20" s="93">
        <v>6.3727272727272721</v>
      </c>
      <c r="U20" s="93">
        <v>2.7963636363636368</v>
      </c>
      <c r="V20" s="93">
        <v>0.27027272727272728</v>
      </c>
      <c r="W20" s="93">
        <v>5.2000000000000005E-2</v>
      </c>
      <c r="X20" s="93">
        <v>0.05</v>
      </c>
      <c r="Y20" s="93">
        <v>2.9090909090909098E-2</v>
      </c>
      <c r="Z20" s="93">
        <v>0.13545454545454544</v>
      </c>
      <c r="AA20" s="93">
        <v>0.12254545454545453</v>
      </c>
      <c r="AB20" s="93" t="e">
        <v>#DIV/0!</v>
      </c>
      <c r="AC20" s="93">
        <v>0.05</v>
      </c>
      <c r="AD20" s="93">
        <v>0.01</v>
      </c>
      <c r="AE20" s="93">
        <v>-120.87643919419608</v>
      </c>
      <c r="AF20" s="93">
        <v>-16.448617283843138</v>
      </c>
      <c r="AG20" s="77">
        <v>0.24769999999999998</v>
      </c>
      <c r="AH20" s="93">
        <v>9.9557733044060317</v>
      </c>
      <c r="AI20" s="93">
        <v>-6.7697169671644515</v>
      </c>
      <c r="AJ20" s="93">
        <v>6075.7142857142853</v>
      </c>
      <c r="AK20" s="93">
        <v>1121.3771573762067</v>
      </c>
      <c r="AL20" s="93">
        <v>4.2171217864341243E-3</v>
      </c>
      <c r="AM20" s="93">
        <v>5.4022360483053129</v>
      </c>
      <c r="AN20" s="93">
        <v>8.6678576859953671E-2</v>
      </c>
      <c r="AO20" s="93">
        <v>9.7121004359632793E-2</v>
      </c>
      <c r="AP20" s="93">
        <v>0.13458998711584433</v>
      </c>
    </row>
    <row r="21" spans="2:42">
      <c r="B21" s="144" t="s">
        <v>355</v>
      </c>
      <c r="C21" s="93">
        <v>22.553846153846148</v>
      </c>
      <c r="D21" s="93">
        <v>1780.6153846153845</v>
      </c>
      <c r="E21" s="93">
        <v>1301.8461538461538</v>
      </c>
      <c r="F21" s="93">
        <v>8.3378588656837351</v>
      </c>
      <c r="G21" s="93">
        <v>-217.23076923076923</v>
      </c>
      <c r="H21" s="93">
        <v>0.96363636363636374</v>
      </c>
      <c r="I21" s="93">
        <v>1.3545454545454545</v>
      </c>
      <c r="J21" s="93">
        <v>1.6363636363636368E-2</v>
      </c>
      <c r="K21" s="93">
        <v>873.90909090909088</v>
      </c>
      <c r="L21" s="93">
        <v>0.13527272727272721</v>
      </c>
      <c r="M21" s="93">
        <v>284.5</v>
      </c>
      <c r="N21" s="93">
        <v>20.566666666666663</v>
      </c>
      <c r="O21" s="93">
        <v>6.4891666666666659</v>
      </c>
      <c r="P21" s="93">
        <v>0.16366666666666665</v>
      </c>
      <c r="Q21" s="93">
        <v>8.0750000000000011</v>
      </c>
      <c r="R21" s="93">
        <v>7.2166666666666659</v>
      </c>
      <c r="S21" s="93">
        <v>377.41666666666669</v>
      </c>
      <c r="T21" s="93">
        <v>7.9833333333333316</v>
      </c>
      <c r="U21" s="93">
        <v>7.4999999999999997E-2</v>
      </c>
      <c r="V21" s="93">
        <v>6.4999999999999997E-3</v>
      </c>
      <c r="W21" s="93">
        <v>4.1000000000000002E-2</v>
      </c>
      <c r="X21" s="93">
        <v>4.4999999999999998E-2</v>
      </c>
      <c r="Y21" s="93">
        <v>3.9916666666666663E-2</v>
      </c>
      <c r="Z21" s="93">
        <v>0.60416666666666663</v>
      </c>
      <c r="AA21" s="93">
        <v>0.2505</v>
      </c>
      <c r="AB21" s="93" t="e">
        <v>#DIV/0!</v>
      </c>
      <c r="AC21" s="93">
        <v>7.0000000000000007E-2</v>
      </c>
      <c r="AD21" s="93" t="e">
        <v>#DIV/0!</v>
      </c>
      <c r="AE21" s="93">
        <v>-127.45771433878433</v>
      </c>
      <c r="AF21" s="93">
        <v>-17.206510282588233</v>
      </c>
      <c r="AG21" s="77">
        <v>0.20989999999999998</v>
      </c>
      <c r="AH21" s="93">
        <v>13.504190439788648</v>
      </c>
      <c r="AI21" s="93">
        <v>-10.022765751430329</v>
      </c>
      <c r="AJ21" s="93">
        <v>25065.714285714286</v>
      </c>
      <c r="AK21" s="93">
        <v>162.46253734429155</v>
      </c>
      <c r="AL21" s="93">
        <v>2.7401517954140751</v>
      </c>
      <c r="AM21" s="93">
        <v>59.643889079119646</v>
      </c>
      <c r="AN21" s="93">
        <v>3.0502470833491526E-2</v>
      </c>
      <c r="AO21" s="93">
        <v>3.7806635037196537</v>
      </c>
      <c r="AP21" s="93">
        <v>0.12930789912556584</v>
      </c>
    </row>
    <row r="22" spans="2:42">
      <c r="B22" s="144" t="s">
        <v>356</v>
      </c>
      <c r="C22" s="93">
        <v>31.758333333333336</v>
      </c>
      <c r="D22" s="93">
        <v>1544.5</v>
      </c>
      <c r="E22" s="93">
        <v>1112.1666666666667</v>
      </c>
      <c r="F22" s="93">
        <v>8.6258333333333308</v>
      </c>
      <c r="G22" s="93">
        <v>-213.41666666666666</v>
      </c>
      <c r="H22" s="93">
        <v>0.76363636363636356</v>
      </c>
      <c r="I22" s="93">
        <v>0.4527272727272727</v>
      </c>
      <c r="J22" s="93">
        <v>1.6363636363636365E-2</v>
      </c>
      <c r="K22" s="93">
        <v>316.81818181818181</v>
      </c>
      <c r="L22" s="93">
        <v>0.82790909090909082</v>
      </c>
      <c r="M22" s="93">
        <v>172.41666666666666</v>
      </c>
      <c r="N22" s="93">
        <v>19.183333333333334</v>
      </c>
      <c r="O22" s="93">
        <v>5.7408333333333337</v>
      </c>
      <c r="P22" s="93">
        <v>0.161</v>
      </c>
      <c r="Q22" s="93">
        <v>5.3083333333333345</v>
      </c>
      <c r="R22" s="93">
        <v>3.9666666666666663</v>
      </c>
      <c r="S22" s="93">
        <v>342.08333333333331</v>
      </c>
      <c r="T22" s="93">
        <v>7.0083333333333329</v>
      </c>
      <c r="U22" s="93">
        <v>5.9999999999999991E-2</v>
      </c>
      <c r="V22" s="93">
        <v>7.0000000000000001E-3</v>
      </c>
      <c r="W22" s="93">
        <v>0.05</v>
      </c>
      <c r="X22" s="93">
        <v>4.6666666666666669E-2</v>
      </c>
      <c r="Y22" s="93">
        <v>6.2833333333333338E-2</v>
      </c>
      <c r="Z22" s="93">
        <v>0.51416666666666666</v>
      </c>
      <c r="AA22" s="93">
        <v>0.23024999999999998</v>
      </c>
      <c r="AB22" s="93" t="e">
        <v>#DIV/0!</v>
      </c>
      <c r="AC22" s="93">
        <v>7.0000000000000007E-2</v>
      </c>
      <c r="AD22" s="93" t="e">
        <v>#DIV/0!</v>
      </c>
      <c r="AE22" s="93">
        <v>-127.323048376</v>
      </c>
      <c r="AF22" s="93">
        <v>-17.1770681</v>
      </c>
      <c r="AG22" s="77">
        <v>0.19075</v>
      </c>
      <c r="AH22" s="93">
        <v>13.386853983474948</v>
      </c>
      <c r="AI22" s="93">
        <v>-9.9014534398924408</v>
      </c>
      <c r="AJ22" s="93">
        <v>13751.857142857143</v>
      </c>
      <c r="AK22" s="93">
        <v>56.16808820487519</v>
      </c>
      <c r="AL22" s="93">
        <v>0.45446994779689825</v>
      </c>
      <c r="AM22" s="93">
        <v>29.440868802272508</v>
      </c>
      <c r="AN22" s="93">
        <v>7.5625608535937944E-2</v>
      </c>
      <c r="AO22" s="93">
        <v>0.92937069081229684</v>
      </c>
      <c r="AP22" s="93">
        <v>0.16289144459257732</v>
      </c>
    </row>
    <row r="23" spans="2:42">
      <c r="B23" s="144" t="s">
        <v>357</v>
      </c>
      <c r="C23" s="93">
        <v>21.619999999999997</v>
      </c>
      <c r="D23" s="93">
        <v>7925</v>
      </c>
      <c r="E23" s="93">
        <v>6601.6</v>
      </c>
      <c r="F23" s="93">
        <v>8.4809999999999999</v>
      </c>
      <c r="G23" s="93">
        <v>-244.2</v>
      </c>
      <c r="H23" s="93">
        <v>0.3</v>
      </c>
      <c r="I23" s="93">
        <v>7.7777777777777779E-2</v>
      </c>
      <c r="J23" s="93">
        <v>1.2466666666666668</v>
      </c>
      <c r="K23" s="93">
        <v>75.222222222222229</v>
      </c>
      <c r="L23" s="93">
        <v>0.25588888888888894</v>
      </c>
      <c r="M23" s="93">
        <v>4219</v>
      </c>
      <c r="N23" s="93">
        <v>215</v>
      </c>
      <c r="O23" s="93">
        <v>3.3914285714285719</v>
      </c>
      <c r="P23" s="93">
        <v>2.89</v>
      </c>
      <c r="Q23" s="93">
        <v>96.300000000000011</v>
      </c>
      <c r="R23" s="93">
        <v>321.89999999999998</v>
      </c>
      <c r="S23" s="93">
        <v>1549</v>
      </c>
      <c r="T23" s="93">
        <v>3.94</v>
      </c>
      <c r="U23" s="93">
        <v>2.5019999999999998</v>
      </c>
      <c r="V23" s="93">
        <v>0.31189999999999996</v>
      </c>
      <c r="W23" s="93">
        <v>7.4999999999999997E-2</v>
      </c>
      <c r="X23" s="93">
        <v>6.5000000000000002E-2</v>
      </c>
      <c r="Y23" s="93">
        <v>9.2222222222222219E-3</v>
      </c>
      <c r="Z23" s="93">
        <v>0.86699999999999977</v>
      </c>
      <c r="AA23" s="93">
        <v>2.2359999999999998</v>
      </c>
      <c r="AB23" s="93">
        <v>1.0999999999999999E-2</v>
      </c>
      <c r="AC23" s="93" t="e">
        <v>#DIV/0!</v>
      </c>
      <c r="AD23" s="93" t="e">
        <v>#DIV/0!</v>
      </c>
      <c r="AE23" s="93">
        <v>-118.25740693209151</v>
      </c>
      <c r="AF23" s="93">
        <v>-16.215240184640518</v>
      </c>
      <c r="AG23" s="77">
        <v>0.24037499999999998</v>
      </c>
      <c r="AH23" s="93">
        <v>2.3585436094900301</v>
      </c>
      <c r="AI23" s="93">
        <v>-13.248452478541324</v>
      </c>
      <c r="AJ23" s="93">
        <v>231552.57142857142</v>
      </c>
      <c r="AK23" s="93">
        <v>22.508049678025557</v>
      </c>
      <c r="AL23" s="93">
        <v>2.2990964295596665</v>
      </c>
      <c r="AM23" s="93">
        <v>448.876543619899</v>
      </c>
      <c r="AN23" s="93">
        <v>2.4823142837701206E-2</v>
      </c>
      <c r="AO23" s="93">
        <v>8.9202317798669259</v>
      </c>
      <c r="AP23" s="93">
        <v>0.24573838165437023</v>
      </c>
    </row>
    <row r="24" spans="2:42" ht="16">
      <c r="W24" s="122"/>
      <c r="X24" s="123"/>
      <c r="Z24" s="90"/>
      <c r="AA24" s="125"/>
      <c r="AB24" s="125"/>
      <c r="AC24" s="90"/>
    </row>
    <row r="25" spans="2:42" ht="29">
      <c r="B25" s="144" t="s">
        <v>322</v>
      </c>
      <c r="C25" s="74" t="s">
        <v>408</v>
      </c>
      <c r="D25" s="74" t="s">
        <v>213</v>
      </c>
      <c r="E25" s="119" t="s">
        <v>289</v>
      </c>
      <c r="F25" s="74" t="s">
        <v>192</v>
      </c>
      <c r="G25" s="74" t="s">
        <v>193</v>
      </c>
      <c r="H25" s="74" t="s">
        <v>435</v>
      </c>
      <c r="I25" s="74" t="s">
        <v>436</v>
      </c>
      <c r="J25" s="74" t="s">
        <v>437</v>
      </c>
      <c r="K25" s="74" t="s">
        <v>438</v>
      </c>
      <c r="L25" s="74" t="s">
        <v>205</v>
      </c>
      <c r="M25" s="74" t="s">
        <v>433</v>
      </c>
      <c r="N25" s="74" t="s">
        <v>423</v>
      </c>
      <c r="O25" s="74" t="s">
        <v>424</v>
      </c>
      <c r="P25" s="74" t="s">
        <v>421</v>
      </c>
      <c r="Q25" s="74" t="s">
        <v>427</v>
      </c>
      <c r="R25" s="74" t="s">
        <v>422</v>
      </c>
      <c r="S25" s="74" t="s">
        <v>432</v>
      </c>
      <c r="T25" s="74" t="s">
        <v>431</v>
      </c>
      <c r="U25" s="74" t="s">
        <v>425</v>
      </c>
      <c r="V25" s="74" t="s">
        <v>428</v>
      </c>
      <c r="W25" s="74" t="s">
        <v>418</v>
      </c>
      <c r="X25" s="74" t="s">
        <v>419</v>
      </c>
      <c r="Y25" s="74" t="s">
        <v>420</v>
      </c>
      <c r="Z25" s="74" t="s">
        <v>11</v>
      </c>
      <c r="AA25" s="74" t="s">
        <v>426</v>
      </c>
      <c r="AB25" s="74" t="s">
        <v>429</v>
      </c>
      <c r="AC25" s="74" t="s">
        <v>430</v>
      </c>
      <c r="AD25" s="74" t="s">
        <v>434</v>
      </c>
      <c r="AE25" s="74" t="s">
        <v>308</v>
      </c>
      <c r="AF25" s="74" t="s">
        <v>309</v>
      </c>
      <c r="AG25" s="74" t="s">
        <v>271</v>
      </c>
      <c r="AH25" t="s">
        <v>327</v>
      </c>
      <c r="AI25" t="s">
        <v>439</v>
      </c>
      <c r="AJ25" s="74" t="s">
        <v>497</v>
      </c>
      <c r="AK25" s="133" t="s">
        <v>483</v>
      </c>
      <c r="AL25" s="133" t="s">
        <v>484</v>
      </c>
      <c r="AM25" s="133" t="s">
        <v>485</v>
      </c>
      <c r="AN25" s="133" t="s">
        <v>486</v>
      </c>
      <c r="AO25" s="133" t="s">
        <v>487</v>
      </c>
      <c r="AP25" s="133" t="s">
        <v>488</v>
      </c>
    </row>
    <row r="26" spans="2:42">
      <c r="B26" s="144" t="s">
        <v>351</v>
      </c>
      <c r="C26">
        <v>0.31073389830457121</v>
      </c>
      <c r="D26">
        <v>34.113575010543819</v>
      </c>
      <c r="E26">
        <v>25.849908660917507</v>
      </c>
      <c r="F26">
        <v>0.53538770998221463</v>
      </c>
      <c r="G26">
        <v>30.63494736408078</v>
      </c>
      <c r="H26">
        <v>0.11180339887498947</v>
      </c>
      <c r="I26">
        <v>1.3944333775567915E-2</v>
      </c>
      <c r="J26">
        <v>0.6890210446713525</v>
      </c>
      <c r="K26">
        <v>2.6034165586355513</v>
      </c>
      <c r="L26">
        <v>6.6551269173257918E-2</v>
      </c>
      <c r="M26">
        <v>26.85764943797825</v>
      </c>
      <c r="N26">
        <v>0.78775348653976496</v>
      </c>
      <c r="O26">
        <v>0.14378803844548424</v>
      </c>
      <c r="P26" t="e">
        <v>#DIV/0!</v>
      </c>
      <c r="Q26">
        <v>1.8129472628231009</v>
      </c>
      <c r="R26">
        <v>6.6340870593557266</v>
      </c>
      <c r="S26">
        <v>1.7527438806371882</v>
      </c>
      <c r="T26">
        <v>0.2798809270624445</v>
      </c>
      <c r="U26">
        <v>0.75592180665580677</v>
      </c>
      <c r="V26">
        <v>2.6277155266293144E-2</v>
      </c>
      <c r="W26" t="e">
        <v>#DIV/0!</v>
      </c>
      <c r="X26" t="e">
        <v>#DIV/0!</v>
      </c>
      <c r="Y26">
        <v>2.0789954839350237E-3</v>
      </c>
      <c r="Z26">
        <v>3.1269438398823117E-2</v>
      </c>
      <c r="AA26">
        <v>4.0674862562084272E-3</v>
      </c>
      <c r="AB26">
        <v>3.1411250638372656E-3</v>
      </c>
      <c r="AC26" t="e">
        <v>#DIV/0!</v>
      </c>
      <c r="AD26" t="e">
        <v>#DIV/0!</v>
      </c>
      <c r="AE26">
        <v>2.5695117760821216</v>
      </c>
      <c r="AF26">
        <v>0.47777803061797958</v>
      </c>
      <c r="AG26">
        <v>3.1152848986890417E-2</v>
      </c>
      <c r="AH26">
        <v>0.1260928250456797</v>
      </c>
      <c r="AI26">
        <v>0.91026596704245744</v>
      </c>
      <c r="AJ26">
        <v>2310.8167284276251</v>
      </c>
      <c r="AK26">
        <v>53.332178755957742</v>
      </c>
      <c r="AL26">
        <v>0</v>
      </c>
      <c r="AM26">
        <v>0.31911869341019322</v>
      </c>
      <c r="AN26">
        <v>9.0233366152715752E-2</v>
      </c>
      <c r="AO26">
        <v>1.7373009016844347E-2</v>
      </c>
      <c r="AP26">
        <v>0.10075210469299578</v>
      </c>
    </row>
    <row r="27" spans="2:42">
      <c r="B27" s="144" t="s">
        <v>352</v>
      </c>
      <c r="C27">
        <v>9.2796072713833361E-2</v>
      </c>
      <c r="D27">
        <v>8.225181524508189</v>
      </c>
      <c r="E27">
        <v>5.8773813140812168</v>
      </c>
      <c r="F27">
        <v>0.30400566515189226</v>
      </c>
      <c r="G27">
        <v>36.495814067430324</v>
      </c>
      <c r="H27">
        <v>0.15634719199411429</v>
      </c>
      <c r="I27">
        <v>9.2796072713833763E-3</v>
      </c>
      <c r="J27">
        <v>2.0682789409984758E-2</v>
      </c>
      <c r="K27">
        <v>16.248076809271922</v>
      </c>
      <c r="L27">
        <v>4.0938091391584361</v>
      </c>
      <c r="M27">
        <v>3.6030850978324445</v>
      </c>
      <c r="N27">
        <v>0.46236109025065841</v>
      </c>
      <c r="O27">
        <v>4.1041983924323684E-2</v>
      </c>
      <c r="P27" t="e">
        <v>#DIV/0!</v>
      </c>
      <c r="Q27">
        <v>1.0987366482566336</v>
      </c>
      <c r="R27">
        <v>1.5973589313474781</v>
      </c>
      <c r="S27">
        <v>1.3079245645933353</v>
      </c>
      <c r="T27">
        <v>0.14142135623730956</v>
      </c>
      <c r="U27">
        <v>4.690415759823461E-2</v>
      </c>
      <c r="V27">
        <v>3.7357135269658393E-3</v>
      </c>
      <c r="W27" t="e">
        <v>#DIV/0!</v>
      </c>
      <c r="X27">
        <v>6.9006555934235415E-3</v>
      </c>
      <c r="Y27">
        <v>4.931756504757941E-3</v>
      </c>
      <c r="Z27">
        <v>7.378647873726221E-3</v>
      </c>
      <c r="AA27">
        <v>3.0912061651652339E-3</v>
      </c>
      <c r="AB27" t="e">
        <v>#DIV/0!</v>
      </c>
      <c r="AC27" t="e">
        <v>#DIV/0!</v>
      </c>
      <c r="AD27" t="e">
        <v>#DIV/0!</v>
      </c>
      <c r="AE27">
        <v>1.2058126558049862</v>
      </c>
      <c r="AF27">
        <v>0.20762101278163744</v>
      </c>
      <c r="AG27">
        <v>4.9505050247425388E-2</v>
      </c>
      <c r="AH27">
        <v>0.31487403565316374</v>
      </c>
      <c r="AI27">
        <v>0.53830377132011187</v>
      </c>
      <c r="AJ27">
        <v>20674.600241428059</v>
      </c>
      <c r="AK27">
        <v>29.215906703365924</v>
      </c>
      <c r="AL27">
        <v>0</v>
      </c>
      <c r="AM27">
        <v>0.1075747974969891</v>
      </c>
      <c r="AN27">
        <v>6.8458339072059254E-2</v>
      </c>
      <c r="AO27">
        <v>3.7205383082080613E-3</v>
      </c>
      <c r="AP27">
        <v>7.9970048365870738E-2</v>
      </c>
    </row>
    <row r="28" spans="2:42">
      <c r="B28" s="144" t="s">
        <v>354</v>
      </c>
      <c r="C28">
        <v>0.17477257950106009</v>
      </c>
      <c r="D28">
        <v>15.520074976388718</v>
      </c>
      <c r="E28">
        <v>13.310283106066391</v>
      </c>
      <c r="F28">
        <v>0.45376806250049656</v>
      </c>
      <c r="G28">
        <v>34.553778901353702</v>
      </c>
      <c r="H28">
        <v>0.19465068427541923</v>
      </c>
      <c r="I28">
        <v>3.6651512019742795E-2</v>
      </c>
      <c r="J28">
        <v>0.33675081456636696</v>
      </c>
      <c r="K28">
        <v>8.0477740193588101</v>
      </c>
      <c r="L28">
        <v>1.0594293026069379</v>
      </c>
      <c r="M28">
        <v>100.36046144883065</v>
      </c>
      <c r="N28">
        <v>2.0541299861498494</v>
      </c>
      <c r="O28">
        <v>0.39877311845208413</v>
      </c>
      <c r="P28" t="e">
        <v>#DIV/0!</v>
      </c>
      <c r="Q28">
        <v>6.5477268782935107</v>
      </c>
      <c r="R28">
        <v>11.782112790929386</v>
      </c>
      <c r="S28">
        <v>6.8348837856715887</v>
      </c>
      <c r="T28">
        <v>0.23702704103502223</v>
      </c>
      <c r="U28">
        <v>0.54102260077140119</v>
      </c>
      <c r="V28">
        <v>8.4863526805207638E-3</v>
      </c>
      <c r="W28">
        <v>8.3666002653407668E-3</v>
      </c>
      <c r="X28" t="e">
        <v>#DIV/0!</v>
      </c>
      <c r="Y28">
        <v>2.1658506621900528E-3</v>
      </c>
      <c r="Z28">
        <v>1.2135597524338359E-2</v>
      </c>
      <c r="AA28">
        <v>6.3931781824635003E-3</v>
      </c>
      <c r="AB28" t="e">
        <v>#DIV/0!</v>
      </c>
      <c r="AC28" t="e">
        <v>#DIV/0!</v>
      </c>
      <c r="AD28">
        <v>0</v>
      </c>
      <c r="AE28">
        <v>0.95684006132268817</v>
      </c>
      <c r="AF28">
        <v>0.23928007754638456</v>
      </c>
      <c r="AG28">
        <v>4.6833155397052295E-2</v>
      </c>
      <c r="AH28">
        <v>2.0877544920802702</v>
      </c>
      <c r="AI28">
        <v>2.230446396770887</v>
      </c>
      <c r="AJ28">
        <v>3679.1732184593557</v>
      </c>
      <c r="AK28">
        <v>369.22915801826741</v>
      </c>
      <c r="AL28">
        <v>1.0329796559937859E-2</v>
      </c>
      <c r="AM28">
        <v>3.181528438665842</v>
      </c>
      <c r="AN28">
        <v>9.7985220764905803E-2</v>
      </c>
      <c r="AO28">
        <v>6.0934342898692907E-2</v>
      </c>
      <c r="AP28">
        <v>0.10931828232180928</v>
      </c>
    </row>
    <row r="29" spans="2:42">
      <c r="B29" s="144" t="s">
        <v>355</v>
      </c>
      <c r="C29">
        <v>0.26650636207348027</v>
      </c>
      <c r="D29">
        <v>41.790227050389142</v>
      </c>
      <c r="E29">
        <v>33.812833248748795</v>
      </c>
      <c r="F29">
        <v>0.43106035841502682</v>
      </c>
      <c r="G29">
        <v>46.43481783847453</v>
      </c>
      <c r="H29">
        <v>9.2441627773717547E-2</v>
      </c>
      <c r="I29">
        <v>0.23564225581858819</v>
      </c>
      <c r="J29">
        <v>3.2333489534143153E-2</v>
      </c>
      <c r="K29">
        <v>220.35446650587963</v>
      </c>
      <c r="L29">
        <v>0.23065259196856688</v>
      </c>
      <c r="M29">
        <v>12.295601578687323</v>
      </c>
      <c r="N29">
        <v>0.85422302105303194</v>
      </c>
      <c r="O29">
        <v>0.32069408627178797</v>
      </c>
      <c r="P29">
        <v>0.11517956994768357</v>
      </c>
      <c r="Q29">
        <v>0.24541245430351069</v>
      </c>
      <c r="R29">
        <v>0.22896340848319494</v>
      </c>
      <c r="S29">
        <v>12.094013044277384</v>
      </c>
      <c r="T29">
        <v>0.22896340848319494</v>
      </c>
      <c r="U29">
        <v>2.1213203435596403E-2</v>
      </c>
      <c r="V29">
        <v>1.2247448713915889E-3</v>
      </c>
      <c r="W29" t="e">
        <v>#DIV/0!</v>
      </c>
      <c r="X29">
        <v>7.0710678118655152E-3</v>
      </c>
      <c r="Y29">
        <v>2.0652243256245842E-3</v>
      </c>
      <c r="Z29">
        <v>1.6764862244009214E-2</v>
      </c>
      <c r="AA29">
        <v>5.9006933336839219E-3</v>
      </c>
      <c r="AB29" t="e">
        <v>#DIV/0!</v>
      </c>
      <c r="AC29" t="e">
        <v>#DIV/0!</v>
      </c>
      <c r="AD29" t="e">
        <v>#DIV/0!</v>
      </c>
      <c r="AE29">
        <v>1.1160000116572377</v>
      </c>
      <c r="AF29">
        <v>0.22111653227173356</v>
      </c>
      <c r="AG29">
        <v>5.0639137257878337E-2</v>
      </c>
      <c r="AH29">
        <v>1.2651280196113797</v>
      </c>
      <c r="AI29">
        <v>0.25892711667790919</v>
      </c>
      <c r="AJ29">
        <v>28071.096331246048</v>
      </c>
      <c r="AK29">
        <v>48.057817847944605</v>
      </c>
      <c r="AL29">
        <v>1.2406197743607414</v>
      </c>
      <c r="AM29">
        <v>29.982337535180452</v>
      </c>
      <c r="AN29">
        <v>2.7255884547272284E-2</v>
      </c>
      <c r="AO29">
        <v>1.9427228919935506</v>
      </c>
      <c r="AP29">
        <v>9.2448426857261817E-2</v>
      </c>
    </row>
    <row r="30" spans="2:42">
      <c r="B30" s="144" t="s">
        <v>356</v>
      </c>
      <c r="C30">
        <v>0.62734408904572125</v>
      </c>
      <c r="D30">
        <v>9.9040854747376397</v>
      </c>
      <c r="E30">
        <v>8.0547369838367722</v>
      </c>
      <c r="F30">
        <v>0.38838730279155226</v>
      </c>
      <c r="G30">
        <v>59.015342124405265</v>
      </c>
      <c r="H30">
        <v>0.143336856898199</v>
      </c>
      <c r="I30">
        <v>4.3379928328873267E-2</v>
      </c>
      <c r="J30">
        <v>3.8800187440971794E-2</v>
      </c>
      <c r="K30">
        <v>65.271461117119529</v>
      </c>
      <c r="L30">
        <v>1.927711049641281</v>
      </c>
      <c r="M30">
        <v>7.4034185387971991</v>
      </c>
      <c r="N30">
        <v>0.54910395328676354</v>
      </c>
      <c r="O30">
        <v>0.23407296194808896</v>
      </c>
      <c r="P30">
        <v>4.714870093650516E-2</v>
      </c>
      <c r="Q30">
        <v>0.30289011909011532</v>
      </c>
      <c r="R30">
        <v>0.21461734799546398</v>
      </c>
      <c r="S30">
        <v>6.9864587639666258</v>
      </c>
      <c r="T30">
        <v>0.10836246694508293</v>
      </c>
      <c r="U30">
        <v>7.9999999999999988E-2</v>
      </c>
      <c r="V30" t="e">
        <v>#DIV/0!</v>
      </c>
      <c r="W30">
        <v>0</v>
      </c>
      <c r="X30">
        <v>5.773502691896258E-3</v>
      </c>
      <c r="Y30">
        <v>2.8230651727682403E-3</v>
      </c>
      <c r="Z30">
        <v>3.3967453227875061E-2</v>
      </c>
      <c r="AA30">
        <v>5.3957053629378575E-3</v>
      </c>
      <c r="AB30" t="e">
        <v>#DIV/0!</v>
      </c>
      <c r="AC30" t="e">
        <v>#DIV/0!</v>
      </c>
      <c r="AD30" t="e">
        <v>#DIV/0!</v>
      </c>
      <c r="AE30">
        <v>0.77408921215197046</v>
      </c>
      <c r="AF30">
        <v>0.20209117221441106</v>
      </c>
      <c r="AG30">
        <v>4.4566964062119914E-2</v>
      </c>
      <c r="AH30">
        <v>1.226620163788162</v>
      </c>
      <c r="AI30">
        <v>0.22823876265748547</v>
      </c>
      <c r="AJ30">
        <v>17911.276210147353</v>
      </c>
      <c r="AK30">
        <v>14.845212773775796</v>
      </c>
      <c r="AL30">
        <v>0.32715497544681532</v>
      </c>
      <c r="AM30">
        <v>25.157167777361447</v>
      </c>
      <c r="AN30">
        <v>9.1623802009842187E-2</v>
      </c>
      <c r="AO30">
        <v>1.0498687303334089</v>
      </c>
      <c r="AP30">
        <v>0.19249905229466957</v>
      </c>
    </row>
    <row r="31" spans="2:42">
      <c r="B31" s="144" t="s">
        <v>357</v>
      </c>
      <c r="C31">
        <v>1.2336035739968405</v>
      </c>
      <c r="D31">
        <v>53.283309873834895</v>
      </c>
      <c r="E31">
        <v>49.94263375780924</v>
      </c>
      <c r="F31">
        <v>0.80769149776109161</v>
      </c>
      <c r="G31">
        <v>68.172656623540121</v>
      </c>
      <c r="H31">
        <v>5.0000000000000162E-2</v>
      </c>
      <c r="I31">
        <v>4.294699575575045E-2</v>
      </c>
      <c r="J31">
        <v>0.97663964695275374</v>
      </c>
      <c r="K31">
        <v>28.839113100864324</v>
      </c>
      <c r="L31">
        <v>0.38635910900496589</v>
      </c>
      <c r="M31">
        <v>192.20648618954911</v>
      </c>
      <c r="N31">
        <v>15.107025591499546</v>
      </c>
      <c r="O31">
        <v>0.83545254346429043</v>
      </c>
      <c r="P31" t="e">
        <v>#DIV/0!</v>
      </c>
      <c r="Q31">
        <v>3.7944403774176987</v>
      </c>
      <c r="R31">
        <v>9.3386889396269694</v>
      </c>
      <c r="S31">
        <v>84.649604580030712</v>
      </c>
      <c r="T31">
        <v>2.5876630383417396</v>
      </c>
      <c r="U31">
        <v>2.7022533806683136</v>
      </c>
      <c r="V31">
        <v>0.14992327667473421</v>
      </c>
      <c r="W31">
        <v>6.4549722436790288E-2</v>
      </c>
      <c r="X31">
        <v>7.0710678118654814E-3</v>
      </c>
      <c r="Y31">
        <v>4.7638686426521538E-3</v>
      </c>
      <c r="Z31">
        <v>0.1392878713711691</v>
      </c>
      <c r="AA31">
        <v>8.3692559074534406E-2</v>
      </c>
      <c r="AB31" t="e">
        <v>#DIV/0!</v>
      </c>
      <c r="AC31" t="e">
        <v>#DIV/0!</v>
      </c>
      <c r="AD31" t="e">
        <v>#DIV/0!</v>
      </c>
      <c r="AE31">
        <v>7.5312002148977015</v>
      </c>
      <c r="AF31">
        <v>1.1015632174966363</v>
      </c>
      <c r="AG31">
        <v>9.7546966709814859E-2</v>
      </c>
      <c r="AH31">
        <v>0.9209840011047713</v>
      </c>
      <c r="AI31">
        <v>0.6297287509919427</v>
      </c>
      <c r="AJ31">
        <v>197431.35921534617</v>
      </c>
      <c r="AK31">
        <v>15.721617325075192</v>
      </c>
      <c r="AL31">
        <v>1.3338213982084646</v>
      </c>
      <c r="AM31">
        <v>258.25540118254179</v>
      </c>
      <c r="AN31">
        <v>2.0604075436849896E-2</v>
      </c>
      <c r="AO31">
        <v>4.277072237180346</v>
      </c>
      <c r="AP31">
        <v>0.1278557719363097</v>
      </c>
    </row>
  </sheetData>
  <conditionalFormatting sqref="AK17:AP17">
    <cfRule type="colorScale" priority="2">
      <colorScale>
        <cfvo type="min"/>
        <cfvo type="percentile" val="50"/>
        <cfvo type="max"/>
        <color rgb="FF63BE7B"/>
        <color rgb="FFFFEB84"/>
        <color rgb="FFF8696B"/>
      </colorScale>
    </cfRule>
  </conditionalFormatting>
  <conditionalFormatting sqref="AK25:AP25">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H30"/>
  <sheetViews>
    <sheetView topLeftCell="A4" workbookViewId="0">
      <selection activeCell="C7" sqref="C7:G18"/>
    </sheetView>
  </sheetViews>
  <sheetFormatPr baseColWidth="10" defaultColWidth="8.83203125" defaultRowHeight="13"/>
  <cols>
    <col min="1" max="1" width="29.1640625" bestFit="1" customWidth="1"/>
    <col min="8" max="8" width="32.5" customWidth="1"/>
  </cols>
  <sheetData>
    <row r="4" spans="1:8" ht="14">
      <c r="B4" s="67" t="s">
        <v>191</v>
      </c>
      <c r="C4" s="68">
        <v>19223</v>
      </c>
      <c r="D4" s="69">
        <v>24790</v>
      </c>
      <c r="E4" s="69">
        <v>24228</v>
      </c>
      <c r="F4" s="69">
        <v>11938</v>
      </c>
      <c r="G4" s="69" t="s">
        <v>2</v>
      </c>
      <c r="H4" s="65" t="s">
        <v>510</v>
      </c>
    </row>
    <row r="5" spans="1:8" ht="28">
      <c r="B5" s="88" t="s">
        <v>301</v>
      </c>
      <c r="C5" s="89" t="s">
        <v>302</v>
      </c>
      <c r="D5" s="85" t="s">
        <v>303</v>
      </c>
      <c r="E5" s="85" t="s">
        <v>304</v>
      </c>
      <c r="F5" s="85" t="s">
        <v>305</v>
      </c>
      <c r="G5" s="85" t="s">
        <v>306</v>
      </c>
      <c r="H5" s="119" t="s">
        <v>511</v>
      </c>
    </row>
    <row r="6" spans="1:8">
      <c r="A6" t="s">
        <v>186</v>
      </c>
      <c r="B6">
        <v>800</v>
      </c>
      <c r="C6">
        <v>800</v>
      </c>
      <c r="D6">
        <v>2000</v>
      </c>
      <c r="E6">
        <v>4100</v>
      </c>
      <c r="F6">
        <v>4850</v>
      </c>
      <c r="G6">
        <v>4850</v>
      </c>
      <c r="H6">
        <v>4850</v>
      </c>
    </row>
    <row r="7" spans="1:8">
      <c r="A7" t="s">
        <v>187</v>
      </c>
      <c r="B7" s="63">
        <v>42978</v>
      </c>
      <c r="C7" s="63">
        <v>42978</v>
      </c>
      <c r="D7" s="63">
        <v>42977</v>
      </c>
      <c r="E7" s="63">
        <v>42978</v>
      </c>
      <c r="F7" s="63">
        <v>42976</v>
      </c>
      <c r="G7" s="63">
        <v>42976</v>
      </c>
      <c r="H7" s="63">
        <v>42966</v>
      </c>
    </row>
    <row r="8" spans="1:8">
      <c r="A8" s="65" t="s">
        <v>199</v>
      </c>
      <c r="B8" s="79">
        <f>(AVERAGE(700,750,700))*4</f>
        <v>2866.6666666666665</v>
      </c>
      <c r="C8" s="79">
        <v>300</v>
      </c>
      <c r="D8" s="79">
        <v>1300</v>
      </c>
      <c r="E8" s="79">
        <v>700</v>
      </c>
      <c r="F8" s="79">
        <f>(AVERAGE(1250,1225,1225))*12</f>
        <v>14800</v>
      </c>
      <c r="G8" s="149" t="s">
        <v>278</v>
      </c>
    </row>
    <row r="9" spans="1:8">
      <c r="A9" s="65" t="s">
        <v>200</v>
      </c>
      <c r="B9">
        <v>10.1</v>
      </c>
      <c r="C9">
        <v>12.5</v>
      </c>
      <c r="D9">
        <v>16.100000000000001</v>
      </c>
      <c r="E9">
        <v>22.5</v>
      </c>
      <c r="F9">
        <v>31.7</v>
      </c>
      <c r="G9">
        <v>22.2</v>
      </c>
      <c r="H9">
        <v>20.7</v>
      </c>
    </row>
    <row r="10" spans="1:8">
      <c r="A10" t="s">
        <v>192</v>
      </c>
      <c r="B10">
        <v>7.75</v>
      </c>
      <c r="C10">
        <v>7.84</v>
      </c>
      <c r="D10">
        <v>6.23</v>
      </c>
      <c r="E10">
        <v>8.36</v>
      </c>
      <c r="F10">
        <v>8.35</v>
      </c>
      <c r="G10">
        <v>8.1300000000000008</v>
      </c>
      <c r="H10">
        <v>8.2200000000000006</v>
      </c>
    </row>
    <row r="11" spans="1:8">
      <c r="A11" t="s">
        <v>193</v>
      </c>
      <c r="B11">
        <v>-93</v>
      </c>
      <c r="C11">
        <v>-151</v>
      </c>
      <c r="D11">
        <v>-45</v>
      </c>
      <c r="E11">
        <v>-255</v>
      </c>
      <c r="F11">
        <v>-163</v>
      </c>
      <c r="G11">
        <v>-207</v>
      </c>
      <c r="H11">
        <v>-134</v>
      </c>
    </row>
    <row r="12" spans="1:8">
      <c r="A12" s="65" t="s">
        <v>213</v>
      </c>
      <c r="B12">
        <v>972.8</v>
      </c>
      <c r="C12">
        <v>622.20000000000005</v>
      </c>
      <c r="D12">
        <v>3048</v>
      </c>
      <c r="E12">
        <v>1777</v>
      </c>
      <c r="F12">
        <v>1538</v>
      </c>
      <c r="G12">
        <v>7945</v>
      </c>
      <c r="H12">
        <v>259.60000000000002</v>
      </c>
    </row>
    <row r="13" spans="1:8">
      <c r="A13" s="65" t="s">
        <v>289</v>
      </c>
      <c r="B13">
        <v>700.2</v>
      </c>
      <c r="C13">
        <v>439.4</v>
      </c>
      <c r="D13">
        <v>2323</v>
      </c>
      <c r="E13">
        <v>1300</v>
      </c>
      <c r="F13">
        <v>1106</v>
      </c>
      <c r="G13">
        <v>6613</v>
      </c>
      <c r="H13">
        <v>1963</v>
      </c>
    </row>
    <row r="14" spans="1:8">
      <c r="A14" s="65" t="s">
        <v>201</v>
      </c>
      <c r="B14">
        <v>0.3</v>
      </c>
      <c r="C14">
        <v>0.4</v>
      </c>
      <c r="D14">
        <v>0.3</v>
      </c>
      <c r="E14">
        <v>0.9</v>
      </c>
      <c r="F14">
        <v>1.1000000000000001</v>
      </c>
      <c r="G14">
        <v>0.3</v>
      </c>
    </row>
    <row r="15" spans="1:8">
      <c r="A15" s="65" t="s">
        <v>276</v>
      </c>
      <c r="B15">
        <v>0.05</v>
      </c>
      <c r="C15">
        <v>0.03</v>
      </c>
      <c r="D15">
        <v>0.24</v>
      </c>
      <c r="E15" s="84">
        <f>0.31*4</f>
        <v>1.24</v>
      </c>
      <c r="F15">
        <v>0.43</v>
      </c>
      <c r="G15">
        <v>0.03</v>
      </c>
    </row>
    <row r="16" spans="1:8">
      <c r="A16" s="65" t="s">
        <v>203</v>
      </c>
      <c r="B16">
        <v>1.91</v>
      </c>
      <c r="C16">
        <v>0.3</v>
      </c>
      <c r="D16">
        <v>2.72</v>
      </c>
      <c r="E16">
        <v>0.01</v>
      </c>
      <c r="F16">
        <v>0</v>
      </c>
      <c r="G16">
        <v>1.51</v>
      </c>
    </row>
    <row r="17" spans="1:7">
      <c r="A17" s="65" t="s">
        <v>204</v>
      </c>
      <c r="B17">
        <v>2</v>
      </c>
      <c r="C17">
        <v>21</v>
      </c>
      <c r="D17">
        <v>19</v>
      </c>
      <c r="E17" s="84">
        <f>458*2</f>
        <v>916</v>
      </c>
      <c r="F17">
        <v>395</v>
      </c>
      <c r="G17">
        <v>88</v>
      </c>
    </row>
    <row r="18" spans="1:7">
      <c r="A18" s="65" t="s">
        <v>205</v>
      </c>
      <c r="B18">
        <v>35</v>
      </c>
      <c r="C18" s="65" t="s">
        <v>508</v>
      </c>
      <c r="D18">
        <v>2.5999999999999999E-2</v>
      </c>
      <c r="E18" s="66">
        <v>3.1E-2</v>
      </c>
      <c r="F18">
        <v>3.0000000000000001E-3</v>
      </c>
      <c r="G18">
        <v>7.0000000000000001E-3</v>
      </c>
    </row>
    <row r="19" spans="1:7">
      <c r="A19" s="65" t="s">
        <v>206</v>
      </c>
      <c r="B19">
        <v>450</v>
      </c>
      <c r="C19" s="65">
        <v>300</v>
      </c>
      <c r="D19">
        <v>550</v>
      </c>
      <c r="E19" s="66">
        <v>350</v>
      </c>
      <c r="F19">
        <v>450</v>
      </c>
      <c r="G19">
        <v>450</v>
      </c>
    </row>
    <row r="20" spans="1:7">
      <c r="A20" s="65" t="s">
        <v>207</v>
      </c>
      <c r="B20">
        <v>10</v>
      </c>
      <c r="C20" s="65">
        <v>10</v>
      </c>
      <c r="D20">
        <v>10</v>
      </c>
      <c r="E20" s="66">
        <v>10</v>
      </c>
      <c r="F20">
        <v>10</v>
      </c>
      <c r="G20">
        <v>10</v>
      </c>
    </row>
    <row r="21" spans="1:7">
      <c r="A21" s="65" t="s">
        <v>208</v>
      </c>
      <c r="B21">
        <v>17</v>
      </c>
      <c r="C21" s="65">
        <v>20</v>
      </c>
      <c r="D21">
        <v>17</v>
      </c>
      <c r="E21" s="66">
        <v>20</v>
      </c>
      <c r="F21">
        <v>20</v>
      </c>
      <c r="G21">
        <v>15</v>
      </c>
    </row>
    <row r="22" spans="1:7">
      <c r="A22" s="65" t="s">
        <v>209</v>
      </c>
      <c r="B22">
        <v>30</v>
      </c>
      <c r="C22" s="65">
        <v>30</v>
      </c>
      <c r="D22">
        <v>30</v>
      </c>
      <c r="E22" s="66">
        <v>30</v>
      </c>
      <c r="F22">
        <v>30</v>
      </c>
      <c r="G22">
        <v>30</v>
      </c>
    </row>
    <row r="23" spans="1:7">
      <c r="A23" t="s">
        <v>195</v>
      </c>
      <c r="B23" s="65" t="s">
        <v>210</v>
      </c>
      <c r="C23" s="65" t="s">
        <v>210</v>
      </c>
      <c r="D23" s="65" t="s">
        <v>210</v>
      </c>
      <c r="E23" s="65" t="s">
        <v>210</v>
      </c>
      <c r="F23" s="65" t="s">
        <v>210</v>
      </c>
      <c r="G23" s="65" t="s">
        <v>210</v>
      </c>
    </row>
    <row r="24" spans="1:7">
      <c r="A24" s="65" t="s">
        <v>290</v>
      </c>
      <c r="B24" s="65" t="s">
        <v>210</v>
      </c>
      <c r="C24" s="65" t="s">
        <v>210</v>
      </c>
      <c r="D24" s="65" t="s">
        <v>210</v>
      </c>
      <c r="E24" s="65" t="s">
        <v>210</v>
      </c>
      <c r="F24" s="65" t="s">
        <v>210</v>
      </c>
      <c r="G24" s="65" t="s">
        <v>210</v>
      </c>
    </row>
    <row r="25" spans="1:7">
      <c r="A25" t="s">
        <v>196</v>
      </c>
      <c r="B25" s="65" t="s">
        <v>210</v>
      </c>
      <c r="C25" s="65" t="s">
        <v>210</v>
      </c>
      <c r="D25" s="65" t="s">
        <v>210</v>
      </c>
      <c r="E25" s="65" t="s">
        <v>210</v>
      </c>
      <c r="F25" s="65" t="s">
        <v>210</v>
      </c>
      <c r="G25" s="65" t="s">
        <v>210</v>
      </c>
    </row>
    <row r="26" spans="1:7">
      <c r="A26" s="65" t="s">
        <v>211</v>
      </c>
      <c r="B26" s="65" t="s">
        <v>212</v>
      </c>
      <c r="C26" s="65" t="s">
        <v>212</v>
      </c>
      <c r="D26" s="65" t="s">
        <v>212</v>
      </c>
      <c r="E26" s="65" t="s">
        <v>212</v>
      </c>
      <c r="F26" s="65" t="s">
        <v>212</v>
      </c>
      <c r="G26" s="65" t="s">
        <v>212</v>
      </c>
    </row>
    <row r="27" spans="1:7">
      <c r="A27" t="s">
        <v>197</v>
      </c>
      <c r="B27">
        <v>990</v>
      </c>
      <c r="C27">
        <v>1850</v>
      </c>
      <c r="D27" s="65">
        <v>1250</v>
      </c>
      <c r="E27" s="65">
        <v>1090</v>
      </c>
      <c r="F27" s="65">
        <v>1500</v>
      </c>
      <c r="G27" s="65">
        <v>1650</v>
      </c>
    </row>
    <row r="28" spans="1:7">
      <c r="A28" t="s">
        <v>198</v>
      </c>
      <c r="B28">
        <v>1000</v>
      </c>
      <c r="C28">
        <v>1700</v>
      </c>
      <c r="D28" s="65">
        <v>1350</v>
      </c>
      <c r="E28" s="65">
        <v>1100</v>
      </c>
      <c r="F28" s="65">
        <v>1450</v>
      </c>
      <c r="G28" s="65">
        <v>1690</v>
      </c>
    </row>
    <row r="30" spans="1:7">
      <c r="A30" s="65" t="s">
        <v>512</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5"/>
  <sheetViews>
    <sheetView workbookViewId="0">
      <selection activeCell="C4" sqref="C4:C15"/>
    </sheetView>
  </sheetViews>
  <sheetFormatPr baseColWidth="10" defaultColWidth="8.83203125" defaultRowHeight="13"/>
  <cols>
    <col min="1" max="1" width="29.1640625" bestFit="1" customWidth="1"/>
    <col min="2" max="2" width="27.6640625" customWidth="1"/>
    <col min="3" max="3" width="26.33203125" customWidth="1"/>
  </cols>
  <sheetData>
    <row r="1" spans="1:3">
      <c r="B1" s="69">
        <v>24228</v>
      </c>
      <c r="C1" s="69">
        <v>24229</v>
      </c>
    </row>
    <row r="2" spans="1:3" ht="28">
      <c r="B2" s="85" t="s">
        <v>513</v>
      </c>
      <c r="C2" s="85" t="s">
        <v>514</v>
      </c>
    </row>
    <row r="3" spans="1:3">
      <c r="A3" t="s">
        <v>186</v>
      </c>
      <c r="B3">
        <v>4100</v>
      </c>
      <c r="C3">
        <v>4101</v>
      </c>
    </row>
    <row r="4" spans="1:3">
      <c r="A4" t="s">
        <v>187</v>
      </c>
      <c r="B4" s="63">
        <v>43024</v>
      </c>
      <c r="C4" s="63">
        <v>43024</v>
      </c>
    </row>
    <row r="5" spans="1:3">
      <c r="A5" s="65" t="s">
        <v>199</v>
      </c>
      <c r="B5" s="79"/>
      <c r="C5">
        <v>350</v>
      </c>
    </row>
    <row r="6" spans="1:3">
      <c r="A6" s="65" t="s">
        <v>200</v>
      </c>
      <c r="B6">
        <v>22.4</v>
      </c>
      <c r="C6">
        <v>22.6</v>
      </c>
    </row>
    <row r="7" spans="1:3">
      <c r="A7" t="s">
        <v>192</v>
      </c>
      <c r="B7">
        <v>7.26</v>
      </c>
      <c r="C7">
        <v>8.3800000000000008</v>
      </c>
    </row>
    <row r="8" spans="1:3">
      <c r="A8" t="s">
        <v>193</v>
      </c>
      <c r="B8">
        <v>-109</v>
      </c>
      <c r="C8">
        <v>-154</v>
      </c>
    </row>
    <row r="9" spans="1:3">
      <c r="A9" s="65" t="s">
        <v>213</v>
      </c>
      <c r="B9">
        <v>1772</v>
      </c>
      <c r="C9">
        <v>1773</v>
      </c>
    </row>
    <row r="10" spans="1:3">
      <c r="A10" s="65" t="s">
        <v>289</v>
      </c>
      <c r="B10">
        <v>1296</v>
      </c>
      <c r="C10">
        <v>1296</v>
      </c>
    </row>
    <row r="11" spans="1:3">
      <c r="A11" s="65" t="s">
        <v>201</v>
      </c>
      <c r="B11">
        <v>0.6</v>
      </c>
      <c r="C11">
        <v>0.8</v>
      </c>
    </row>
    <row r="12" spans="1:3">
      <c r="A12" s="65" t="s">
        <v>276</v>
      </c>
      <c r="B12" s="84"/>
      <c r="C12">
        <f>0.31*4</f>
        <v>1.24</v>
      </c>
    </row>
    <row r="13" spans="1:3">
      <c r="A13" s="65" t="s">
        <v>203</v>
      </c>
      <c r="C13">
        <v>0</v>
      </c>
    </row>
    <row r="14" spans="1:3">
      <c r="A14" s="65" t="s">
        <v>204</v>
      </c>
      <c r="B14" s="84">
        <v>320</v>
      </c>
      <c r="C14">
        <f>415*2</f>
        <v>830</v>
      </c>
    </row>
    <row r="15" spans="1:3">
      <c r="A15" s="65" t="s">
        <v>205</v>
      </c>
      <c r="B15" s="84" t="s">
        <v>515</v>
      </c>
      <c r="C15">
        <v>1.7000000000000001E-2</v>
      </c>
    </row>
    <row r="16" spans="1:3">
      <c r="A16" s="65" t="s">
        <v>206</v>
      </c>
      <c r="B16" s="66"/>
      <c r="C16">
        <v>350</v>
      </c>
    </row>
    <row r="17" spans="1:3">
      <c r="A17" s="65" t="s">
        <v>207</v>
      </c>
      <c r="B17" s="66"/>
      <c r="C17">
        <v>10</v>
      </c>
    </row>
    <row r="18" spans="1:3">
      <c r="A18" s="65" t="s">
        <v>208</v>
      </c>
      <c r="B18" s="66"/>
      <c r="C18">
        <v>20</v>
      </c>
    </row>
    <row r="19" spans="1:3">
      <c r="A19" s="65" t="s">
        <v>209</v>
      </c>
      <c r="B19" s="66"/>
      <c r="C19">
        <v>30</v>
      </c>
    </row>
    <row r="20" spans="1:3">
      <c r="A20" t="s">
        <v>195</v>
      </c>
      <c r="B20" s="65" t="s">
        <v>212</v>
      </c>
      <c r="C20" s="65" t="s">
        <v>210</v>
      </c>
    </row>
    <row r="21" spans="1:3">
      <c r="A21" s="65" t="s">
        <v>290</v>
      </c>
      <c r="B21" s="65" t="s">
        <v>212</v>
      </c>
      <c r="C21" s="65" t="s">
        <v>210</v>
      </c>
    </row>
    <row r="22" spans="1:3">
      <c r="A22" t="s">
        <v>196</v>
      </c>
      <c r="B22" s="65" t="s">
        <v>212</v>
      </c>
      <c r="C22" s="65" t="s">
        <v>210</v>
      </c>
    </row>
    <row r="23" spans="1:3">
      <c r="A23" s="65" t="s">
        <v>211</v>
      </c>
      <c r="B23" s="65" t="s">
        <v>212</v>
      </c>
      <c r="C23" s="65" t="s">
        <v>212</v>
      </c>
    </row>
    <row r="24" spans="1:3">
      <c r="A24" t="s">
        <v>197</v>
      </c>
      <c r="B24" s="65"/>
      <c r="C24">
        <v>1775</v>
      </c>
    </row>
    <row r="25" spans="1:3">
      <c r="A25" t="s">
        <v>198</v>
      </c>
      <c r="B25" s="65"/>
      <c r="C25">
        <v>1925</v>
      </c>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7"/>
  <sheetViews>
    <sheetView topLeftCell="AG1" workbookViewId="0">
      <selection activeCell="E56" sqref="E56"/>
    </sheetView>
  </sheetViews>
  <sheetFormatPr baseColWidth="10" defaultColWidth="8.83203125" defaultRowHeight="13"/>
  <cols>
    <col min="1" max="1" width="29.1640625" bestFit="1" customWidth="1"/>
    <col min="2" max="7" width="10.1640625" bestFit="1" customWidth="1"/>
  </cols>
  <sheetData>
    <row r="1" spans="1:7" ht="14">
      <c r="B1" s="67" t="s">
        <v>191</v>
      </c>
      <c r="C1" s="68">
        <v>19223</v>
      </c>
      <c r="D1" s="69">
        <v>24790</v>
      </c>
      <c r="E1" s="69">
        <v>24228</v>
      </c>
      <c r="F1" s="69">
        <v>11938</v>
      </c>
      <c r="G1" s="69" t="s">
        <v>2</v>
      </c>
    </row>
    <row r="2" spans="1:7" ht="14">
      <c r="B2" s="88" t="s">
        <v>301</v>
      </c>
      <c r="C2" s="89" t="s">
        <v>302</v>
      </c>
      <c r="D2" s="85" t="s">
        <v>303</v>
      </c>
      <c r="E2" s="85" t="s">
        <v>304</v>
      </c>
      <c r="F2" s="85" t="s">
        <v>305</v>
      </c>
      <c r="G2" s="85" t="s">
        <v>306</v>
      </c>
    </row>
    <row r="3" spans="1:7">
      <c r="A3" t="s">
        <v>186</v>
      </c>
      <c r="B3">
        <v>800</v>
      </c>
      <c r="C3">
        <v>800</v>
      </c>
      <c r="D3">
        <v>2000</v>
      </c>
      <c r="E3">
        <v>4100</v>
      </c>
      <c r="F3">
        <v>4850</v>
      </c>
      <c r="G3">
        <v>4850</v>
      </c>
    </row>
    <row r="4" spans="1:7">
      <c r="A4" t="s">
        <v>187</v>
      </c>
      <c r="B4" s="63">
        <v>43069</v>
      </c>
      <c r="C4" s="63">
        <v>43069</v>
      </c>
      <c r="D4" s="63">
        <v>43066</v>
      </c>
      <c r="E4" s="63">
        <v>43069</v>
      </c>
      <c r="F4" s="63">
        <v>43067</v>
      </c>
      <c r="G4" s="63">
        <v>43067</v>
      </c>
    </row>
    <row r="5" spans="1:7">
      <c r="A5" s="65" t="s">
        <v>199</v>
      </c>
      <c r="B5" s="83" t="s">
        <v>507</v>
      </c>
      <c r="C5" s="79">
        <v>350</v>
      </c>
      <c r="D5" s="79">
        <v>850</v>
      </c>
      <c r="E5" s="79">
        <v>275</v>
      </c>
      <c r="F5" s="79">
        <f>(AVERAGE(600,625,600)*12)</f>
        <v>7300</v>
      </c>
      <c r="G5" s="149" t="s">
        <v>278</v>
      </c>
    </row>
    <row r="6" spans="1:7">
      <c r="A6" s="65" t="s">
        <v>200</v>
      </c>
      <c r="B6">
        <v>10.3</v>
      </c>
      <c r="C6">
        <v>12.4</v>
      </c>
      <c r="D6">
        <v>16.2</v>
      </c>
      <c r="E6">
        <v>21.9</v>
      </c>
      <c r="F6">
        <v>30.7</v>
      </c>
      <c r="G6">
        <v>20.6</v>
      </c>
    </row>
    <row r="7" spans="1:7">
      <c r="A7" t="s">
        <v>192</v>
      </c>
      <c r="B7">
        <v>7.35</v>
      </c>
      <c r="C7">
        <v>7.9</v>
      </c>
      <c r="D7">
        <v>6.54</v>
      </c>
      <c r="E7">
        <v>8.34</v>
      </c>
      <c r="F7">
        <v>7.63</v>
      </c>
      <c r="G7">
        <v>6.68</v>
      </c>
    </row>
    <row r="8" spans="1:7">
      <c r="A8" t="s">
        <v>193</v>
      </c>
      <c r="B8">
        <v>-94</v>
      </c>
      <c r="C8">
        <v>-152</v>
      </c>
      <c r="D8">
        <v>-68</v>
      </c>
      <c r="E8">
        <v>-241</v>
      </c>
      <c r="F8">
        <v>-199</v>
      </c>
      <c r="G8">
        <v>-188</v>
      </c>
    </row>
    <row r="9" spans="1:7">
      <c r="A9" s="65" t="s">
        <v>213</v>
      </c>
      <c r="B9">
        <v>993.4</v>
      </c>
      <c r="C9">
        <v>622.5</v>
      </c>
      <c r="D9">
        <v>3057</v>
      </c>
      <c r="E9">
        <v>1778</v>
      </c>
      <c r="F9">
        <v>1544</v>
      </c>
      <c r="G9">
        <v>7974</v>
      </c>
    </row>
    <row r="10" spans="1:7">
      <c r="A10" s="65" t="s">
        <v>289</v>
      </c>
      <c r="B10">
        <v>715.4</v>
      </c>
      <c r="C10">
        <v>439.7</v>
      </c>
      <c r="D10">
        <v>2330</v>
      </c>
      <c r="E10">
        <v>1300</v>
      </c>
      <c r="F10">
        <v>1110</v>
      </c>
      <c r="G10">
        <v>6641</v>
      </c>
    </row>
    <row r="11" spans="1:7">
      <c r="A11" s="65" t="s">
        <v>201</v>
      </c>
      <c r="B11">
        <v>0.3</v>
      </c>
      <c r="C11">
        <v>0.2</v>
      </c>
      <c r="D11">
        <v>0.3</v>
      </c>
      <c r="E11">
        <v>1</v>
      </c>
      <c r="F11">
        <v>0.7</v>
      </c>
      <c r="G11">
        <v>0.3</v>
      </c>
    </row>
    <row r="12" spans="1:7">
      <c r="A12" s="65" t="s">
        <v>276</v>
      </c>
      <c r="B12">
        <v>7.0000000000000007E-2</v>
      </c>
      <c r="C12">
        <v>0.02</v>
      </c>
      <c r="D12">
        <v>0.21</v>
      </c>
      <c r="E12" s="84">
        <f>0.28*4</f>
        <v>1.1200000000000001</v>
      </c>
      <c r="F12">
        <v>0.49</v>
      </c>
      <c r="G12">
        <v>0.01</v>
      </c>
    </row>
    <row r="13" spans="1:7">
      <c r="A13" s="65" t="s">
        <v>203</v>
      </c>
      <c r="B13">
        <f>2.03*2</f>
        <v>4.0599999999999996</v>
      </c>
      <c r="C13">
        <v>0.28999999999999998</v>
      </c>
      <c r="D13">
        <v>2.8</v>
      </c>
      <c r="E13">
        <v>0</v>
      </c>
      <c r="F13">
        <v>0</v>
      </c>
      <c r="G13">
        <v>2.93</v>
      </c>
    </row>
    <row r="14" spans="1:7">
      <c r="A14" s="65" t="s">
        <v>204</v>
      </c>
      <c r="B14">
        <v>1</v>
      </c>
      <c r="C14">
        <v>21</v>
      </c>
      <c r="D14">
        <v>16</v>
      </c>
      <c r="E14" s="84">
        <f>464*2</f>
        <v>928</v>
      </c>
      <c r="F14">
        <v>308</v>
      </c>
      <c r="G14">
        <v>20</v>
      </c>
    </row>
    <row r="15" spans="1:7">
      <c r="A15" s="65" t="s">
        <v>205</v>
      </c>
      <c r="B15">
        <v>2.5000000000000001E-2</v>
      </c>
      <c r="C15" s="65">
        <v>0.63</v>
      </c>
      <c r="D15">
        <v>4.0000000000000001E-3</v>
      </c>
      <c r="E15" s="66">
        <v>4.4999999999999998E-2</v>
      </c>
      <c r="F15">
        <v>0.02</v>
      </c>
      <c r="G15">
        <v>8.9999999999999993E-3</v>
      </c>
    </row>
    <row r="16" spans="1:7">
      <c r="A16" s="65" t="s">
        <v>206</v>
      </c>
      <c r="B16">
        <v>550</v>
      </c>
      <c r="C16" s="65">
        <v>350</v>
      </c>
      <c r="D16">
        <v>480</v>
      </c>
      <c r="E16" s="66">
        <v>275</v>
      </c>
      <c r="F16">
        <v>400</v>
      </c>
      <c r="G16">
        <v>350</v>
      </c>
    </row>
    <row r="17" spans="1:7">
      <c r="A17" s="65" t="s">
        <v>207</v>
      </c>
      <c r="B17">
        <v>10</v>
      </c>
      <c r="C17" s="65">
        <v>10</v>
      </c>
      <c r="D17">
        <v>10</v>
      </c>
      <c r="E17" s="66">
        <v>10</v>
      </c>
      <c r="F17">
        <v>10</v>
      </c>
      <c r="G17">
        <v>10</v>
      </c>
    </row>
    <row r="18" spans="1:7">
      <c r="A18" s="65" t="s">
        <v>208</v>
      </c>
      <c r="B18">
        <v>10</v>
      </c>
      <c r="C18" s="65">
        <v>20</v>
      </c>
      <c r="D18">
        <v>18</v>
      </c>
      <c r="E18" s="66">
        <v>20</v>
      </c>
      <c r="F18">
        <v>15</v>
      </c>
      <c r="G18">
        <v>15</v>
      </c>
    </row>
    <row r="19" spans="1:7">
      <c r="A19" s="65" t="s">
        <v>209</v>
      </c>
      <c r="B19">
        <v>40</v>
      </c>
      <c r="C19" s="65">
        <v>40</v>
      </c>
      <c r="D19">
        <v>32</v>
      </c>
      <c r="E19" s="66">
        <v>33</v>
      </c>
      <c r="F19">
        <v>30</v>
      </c>
      <c r="G19">
        <v>30</v>
      </c>
    </row>
    <row r="20" spans="1:7">
      <c r="A20" t="s">
        <v>195</v>
      </c>
      <c r="B20" s="65" t="s">
        <v>210</v>
      </c>
      <c r="C20" s="65" t="s">
        <v>210</v>
      </c>
      <c r="D20" s="65" t="s">
        <v>210</v>
      </c>
      <c r="E20" s="65" t="s">
        <v>210</v>
      </c>
      <c r="F20" s="65" t="s">
        <v>210</v>
      </c>
      <c r="G20" s="65" t="s">
        <v>210</v>
      </c>
    </row>
    <row r="21" spans="1:7">
      <c r="A21" s="65" t="s">
        <v>290</v>
      </c>
      <c r="B21" s="65" t="s">
        <v>210</v>
      </c>
      <c r="C21" s="65" t="s">
        <v>210</v>
      </c>
      <c r="D21" s="65" t="s">
        <v>210</v>
      </c>
      <c r="E21" s="65" t="s">
        <v>210</v>
      </c>
      <c r="F21" s="65" t="s">
        <v>210</v>
      </c>
      <c r="G21" s="65" t="s">
        <v>210</v>
      </c>
    </row>
    <row r="22" spans="1:7">
      <c r="A22" t="s">
        <v>196</v>
      </c>
      <c r="B22" s="65" t="s">
        <v>210</v>
      </c>
      <c r="C22" s="65" t="s">
        <v>210</v>
      </c>
      <c r="D22" s="65" t="s">
        <v>210</v>
      </c>
      <c r="E22" s="65" t="s">
        <v>210</v>
      </c>
      <c r="F22" s="65" t="s">
        <v>210</v>
      </c>
      <c r="G22" s="65" t="s">
        <v>210</v>
      </c>
    </row>
    <row r="23" spans="1:7">
      <c r="A23" s="65" t="s">
        <v>211</v>
      </c>
      <c r="B23" s="65" t="s">
        <v>212</v>
      </c>
      <c r="C23" s="65" t="s">
        <v>212</v>
      </c>
      <c r="D23" s="65" t="s">
        <v>212</v>
      </c>
      <c r="E23" s="65" t="s">
        <v>212</v>
      </c>
      <c r="F23" s="65" t="s">
        <v>212</v>
      </c>
      <c r="G23" s="65" t="s">
        <v>212</v>
      </c>
    </row>
    <row r="24" spans="1:7">
      <c r="A24" t="s">
        <v>197</v>
      </c>
      <c r="B24">
        <v>1390</v>
      </c>
      <c r="C24">
        <v>1600</v>
      </c>
      <c r="D24" s="65">
        <v>1390</v>
      </c>
      <c r="E24" s="65">
        <v>980</v>
      </c>
      <c r="F24" s="65">
        <v>1690</v>
      </c>
      <c r="G24" s="65">
        <v>1600</v>
      </c>
    </row>
    <row r="25" spans="1:7">
      <c r="A25" t="s">
        <v>198</v>
      </c>
      <c r="B25">
        <v>1550</v>
      </c>
      <c r="C25">
        <v>1680</v>
      </c>
      <c r="D25" s="65">
        <v>1350</v>
      </c>
      <c r="E25" s="65">
        <v>1150</v>
      </c>
      <c r="F25" s="65">
        <v>1550</v>
      </c>
      <c r="G25" s="65">
        <v>1540</v>
      </c>
    </row>
    <row r="27" spans="1:7">
      <c r="A27" s="65" t="s">
        <v>516</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2B35-A87C-424E-9C9E-3306DD261B0B}">
  <dimension ref="A1:AZ7"/>
  <sheetViews>
    <sheetView workbookViewId="0">
      <selection sqref="A1:XFD7"/>
    </sheetView>
  </sheetViews>
  <sheetFormatPr baseColWidth="10" defaultRowHeight="13"/>
  <cols>
    <col min="1" max="16384" width="10.83203125" style="178"/>
  </cols>
  <sheetData>
    <row r="1" spans="1:52" s="74" customFormat="1" ht="30" customHeight="1">
      <c r="A1" s="148" t="s">
        <v>521</v>
      </c>
      <c r="B1" s="76" t="s">
        <v>415</v>
      </c>
      <c r="C1" s="76" t="s">
        <v>187</v>
      </c>
      <c r="D1" s="74" t="s">
        <v>416</v>
      </c>
      <c r="E1" s="74" t="s">
        <v>518</v>
      </c>
      <c r="F1" s="74" t="s">
        <v>282</v>
      </c>
      <c r="G1" s="74" t="s">
        <v>408</v>
      </c>
      <c r="H1" s="74" t="s">
        <v>213</v>
      </c>
      <c r="I1" s="119" t="s">
        <v>289</v>
      </c>
      <c r="J1" s="74" t="s">
        <v>192</v>
      </c>
      <c r="K1" s="74" t="s">
        <v>193</v>
      </c>
      <c r="L1" s="74" t="s">
        <v>435</v>
      </c>
      <c r="M1" s="74" t="s">
        <v>436</v>
      </c>
      <c r="N1" s="74" t="s">
        <v>437</v>
      </c>
      <c r="O1" s="74" t="s">
        <v>438</v>
      </c>
      <c r="P1" s="74" t="s">
        <v>205</v>
      </c>
      <c r="Q1" s="74" t="s">
        <v>433</v>
      </c>
      <c r="R1" s="74" t="s">
        <v>423</v>
      </c>
      <c r="S1" s="74" t="s">
        <v>424</v>
      </c>
      <c r="T1" s="74" t="s">
        <v>421</v>
      </c>
      <c r="U1" s="74" t="s">
        <v>427</v>
      </c>
      <c r="V1" s="74" t="s">
        <v>422</v>
      </c>
      <c r="W1" s="74" t="s">
        <v>432</v>
      </c>
      <c r="X1" s="74" t="s">
        <v>431</v>
      </c>
      <c r="Y1" s="74" t="s">
        <v>425</v>
      </c>
      <c r="Z1" s="74" t="s">
        <v>428</v>
      </c>
      <c r="AA1" s="74" t="s">
        <v>418</v>
      </c>
      <c r="AB1" s="74" t="s">
        <v>419</v>
      </c>
      <c r="AC1" s="74" t="s">
        <v>420</v>
      </c>
      <c r="AD1" s="74" t="s">
        <v>11</v>
      </c>
      <c r="AE1" s="74" t="s">
        <v>426</v>
      </c>
      <c r="AF1" s="74" t="s">
        <v>429</v>
      </c>
      <c r="AG1" s="74" t="s">
        <v>430</v>
      </c>
      <c r="AH1" s="74" t="s">
        <v>434</v>
      </c>
      <c r="AI1" s="74" t="s">
        <v>308</v>
      </c>
      <c r="AJ1" s="74" t="s">
        <v>309</v>
      </c>
      <c r="AK1" s="74" t="s">
        <v>271</v>
      </c>
      <c r="AL1" t="s">
        <v>327</v>
      </c>
      <c r="AM1" t="s">
        <v>439</v>
      </c>
      <c r="AN1" s="74" t="s">
        <v>497</v>
      </c>
      <c r="AO1" s="133" t="s">
        <v>483</v>
      </c>
      <c r="AP1" s="133" t="s">
        <v>484</v>
      </c>
      <c r="AQ1" s="133" t="s">
        <v>485</v>
      </c>
      <c r="AR1" s="133" t="s">
        <v>486</v>
      </c>
      <c r="AS1" s="133" t="s">
        <v>487</v>
      </c>
      <c r="AT1" s="133" t="s">
        <v>488</v>
      </c>
      <c r="AU1" s="133" t="s">
        <v>489</v>
      </c>
      <c r="AV1" s="133" t="s">
        <v>490</v>
      </c>
      <c r="AW1" s="133" t="s">
        <v>491</v>
      </c>
      <c r="AX1" s="133" t="s">
        <v>492</v>
      </c>
      <c r="AY1" s="133" t="s">
        <v>493</v>
      </c>
      <c r="AZ1" s="133" t="s">
        <v>494</v>
      </c>
    </row>
    <row r="2" spans="1:52">
      <c r="A2" s="178" t="s">
        <v>351</v>
      </c>
      <c r="Q2" s="178">
        <v>393</v>
      </c>
      <c r="R2" s="178">
        <v>15.8</v>
      </c>
      <c r="S2" s="178">
        <v>0.66</v>
      </c>
      <c r="U2" s="178">
        <v>42</v>
      </c>
      <c r="V2" s="178">
        <v>138</v>
      </c>
      <c r="W2" s="178">
        <v>32.4</v>
      </c>
      <c r="X2" s="178">
        <v>8.3000000000000007</v>
      </c>
      <c r="Y2" s="178">
        <v>6.08</v>
      </c>
      <c r="Z2" s="178">
        <v>0.28799999999999998</v>
      </c>
      <c r="AC2" s="178">
        <v>3.9E-2</v>
      </c>
      <c r="AD2" s="178">
        <v>0.34</v>
      </c>
      <c r="AE2" s="178">
        <v>5.2999999999999999E-2</v>
      </c>
    </row>
    <row r="3" spans="1:52">
      <c r="A3" s="178" t="s">
        <v>352</v>
      </c>
      <c r="Q3" s="178">
        <v>84.8</v>
      </c>
      <c r="R3" s="178">
        <v>18.5</v>
      </c>
      <c r="S3" s="178">
        <v>0.8</v>
      </c>
      <c r="U3" s="178">
        <v>31.4</v>
      </c>
      <c r="V3" s="178">
        <v>49</v>
      </c>
      <c r="W3" s="178">
        <v>40.1</v>
      </c>
      <c r="X3" s="178">
        <v>5.4</v>
      </c>
      <c r="Y3" s="178">
        <v>0.35</v>
      </c>
      <c r="Z3" s="178">
        <v>5.1999999999999998E-2</v>
      </c>
      <c r="AB3" s="178">
        <v>0.05</v>
      </c>
      <c r="AC3" s="178">
        <v>0.14299999999999999</v>
      </c>
      <c r="AD3" s="178">
        <v>0.08</v>
      </c>
      <c r="AE3" s="178">
        <v>0.04</v>
      </c>
    </row>
    <row r="4" spans="1:52">
      <c r="A4" s="178" t="s">
        <v>354</v>
      </c>
      <c r="Q4" s="178">
        <v>1800</v>
      </c>
      <c r="R4" s="178">
        <v>17</v>
      </c>
      <c r="U4" s="178">
        <v>256</v>
      </c>
      <c r="V4" s="178">
        <v>370</v>
      </c>
      <c r="W4" s="178">
        <v>118</v>
      </c>
      <c r="X4" s="178">
        <v>7</v>
      </c>
      <c r="Y4" s="178">
        <v>3.3</v>
      </c>
      <c r="Z4" s="178">
        <v>0.29699999999999999</v>
      </c>
      <c r="AA4" s="178">
        <v>0.03</v>
      </c>
      <c r="AC4" s="178">
        <v>3.1E-2</v>
      </c>
      <c r="AD4" s="178">
        <v>0.14000000000000001</v>
      </c>
      <c r="AE4" s="178">
        <v>0.14000000000000001</v>
      </c>
    </row>
    <row r="5" spans="1:52">
      <c r="A5" s="178" t="s">
        <v>355</v>
      </c>
      <c r="Q5" s="178">
        <v>315</v>
      </c>
      <c r="R5" s="178">
        <v>23.7</v>
      </c>
      <c r="S5" s="178">
        <v>7.17</v>
      </c>
      <c r="U5" s="178">
        <v>8.6</v>
      </c>
      <c r="V5" s="178">
        <v>7.6</v>
      </c>
      <c r="W5" s="178">
        <v>403</v>
      </c>
      <c r="X5" s="178">
        <v>8.8000000000000007</v>
      </c>
      <c r="Y5" s="178">
        <v>0.03</v>
      </c>
      <c r="Z5" s="178">
        <v>5.0000000000000001E-3</v>
      </c>
      <c r="AC5" s="178">
        <v>4.3999999999999997E-2</v>
      </c>
      <c r="AD5" s="178">
        <v>0.65</v>
      </c>
      <c r="AE5" s="178">
        <v>0.27900000000000003</v>
      </c>
    </row>
    <row r="6" spans="1:52">
      <c r="A6" s="178" t="s">
        <v>356</v>
      </c>
      <c r="Q6" s="178">
        <v>186</v>
      </c>
      <c r="R6" s="178">
        <v>21.3</v>
      </c>
      <c r="S6" s="178">
        <v>6.3</v>
      </c>
      <c r="U6" s="178">
        <v>5.3</v>
      </c>
      <c r="V6" s="178">
        <v>3.9</v>
      </c>
      <c r="W6" s="178">
        <v>355</v>
      </c>
      <c r="X6" s="178">
        <v>7.6</v>
      </c>
      <c r="AC6" s="178">
        <v>7.0000000000000007E-2</v>
      </c>
      <c r="AD6" s="178">
        <v>0.54</v>
      </c>
      <c r="AE6" s="178">
        <v>0.249</v>
      </c>
    </row>
    <row r="7" spans="1:52">
      <c r="A7" s="178" t="s">
        <v>357</v>
      </c>
      <c r="Q7" s="178">
        <v>4110</v>
      </c>
      <c r="R7" s="178">
        <v>213</v>
      </c>
      <c r="T7" s="178">
        <v>3.39</v>
      </c>
      <c r="U7" s="178">
        <v>101</v>
      </c>
      <c r="V7" s="178">
        <v>319</v>
      </c>
      <c r="W7" s="178">
        <v>1710</v>
      </c>
      <c r="X7" s="178">
        <v>2.7</v>
      </c>
      <c r="Y7" s="178">
        <v>2.44</v>
      </c>
      <c r="Z7" s="178">
        <v>0.375</v>
      </c>
      <c r="AC7" s="178">
        <v>7.0000000000000001E-3</v>
      </c>
      <c r="AD7" s="178">
        <v>0.98</v>
      </c>
      <c r="AE7" s="178">
        <v>2.57</v>
      </c>
    </row>
  </sheetData>
  <conditionalFormatting sqref="AU1:AZ1">
    <cfRule type="colorScale" priority="1">
      <colorScale>
        <cfvo type="min"/>
        <cfvo type="percentile" val="50"/>
        <cfvo type="max"/>
        <color rgb="FF63BE7B"/>
        <color rgb="FFFFEB84"/>
        <color rgb="FFF8696B"/>
      </colorScale>
    </cfRule>
  </conditionalFormatting>
  <conditionalFormatting sqref="AO1:AT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CB0E-48DC-E547-8581-A2F47FD66BCF}">
  <dimension ref="A1"/>
  <sheetViews>
    <sheetView workbookViewId="0">
      <selection sqref="A1:XFD7"/>
    </sheetView>
  </sheetViews>
  <sheetFormatPr baseColWidth="10" defaultRowHeight="13"/>
  <cols>
    <col min="1" max="16384" width="10.83203125" style="178"/>
  </cols>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74"/>
  <sheetViews>
    <sheetView topLeftCell="A14" workbookViewId="0">
      <selection activeCell="H16" sqref="H16:J43"/>
    </sheetView>
  </sheetViews>
  <sheetFormatPr baseColWidth="10" defaultColWidth="10.1640625" defaultRowHeight="13"/>
  <cols>
    <col min="1" max="1" width="10.1640625" style="94"/>
    <col min="2" max="2" width="15.5" style="94" customWidth="1"/>
    <col min="3" max="3" width="10.1640625" style="94"/>
    <col min="4" max="4" width="22.6640625" style="94" customWidth="1"/>
    <col min="5" max="5" width="14.6640625" style="94" customWidth="1"/>
    <col min="6" max="6" width="20.33203125" style="94" customWidth="1"/>
    <col min="7" max="7" width="10.1640625" style="94"/>
    <col min="8" max="8" width="17.83203125" style="94" customWidth="1"/>
    <col min="9" max="10" width="10.1640625" style="94"/>
    <col min="11" max="11" width="25.1640625" style="94" customWidth="1"/>
    <col min="12" max="16384" width="10.1640625" style="94"/>
  </cols>
  <sheetData>
    <row r="1" spans="1:10">
      <c r="A1" s="115"/>
      <c r="B1" s="114"/>
      <c r="C1" s="199" t="s">
        <v>349</v>
      </c>
      <c r="D1" s="199"/>
      <c r="E1" s="199"/>
      <c r="F1" s="200"/>
    </row>
    <row r="2" spans="1:10">
      <c r="A2" s="113"/>
      <c r="B2" s="112"/>
      <c r="C2" s="201"/>
      <c r="D2" s="201"/>
      <c r="E2" s="201"/>
      <c r="F2" s="202"/>
    </row>
    <row r="3" spans="1:10">
      <c r="A3" s="113"/>
      <c r="B3" s="112"/>
      <c r="C3" s="203" t="s">
        <v>348</v>
      </c>
      <c r="D3" s="203"/>
      <c r="E3" s="203"/>
      <c r="F3" s="204"/>
    </row>
    <row r="4" spans="1:10">
      <c r="A4" s="113"/>
      <c r="B4" s="112"/>
      <c r="C4" s="203"/>
      <c r="D4" s="203"/>
      <c r="E4" s="203"/>
      <c r="F4" s="204"/>
    </row>
    <row r="5" spans="1:10" ht="15">
      <c r="A5" s="111"/>
      <c r="B5" s="110"/>
      <c r="C5" s="109" t="s">
        <v>347</v>
      </c>
      <c r="D5" s="109"/>
      <c r="E5" s="109"/>
      <c r="F5" s="108"/>
    </row>
    <row r="6" spans="1:10" ht="15">
      <c r="A6" s="107"/>
      <c r="B6" s="106"/>
      <c r="C6" s="105" t="s">
        <v>346</v>
      </c>
      <c r="D6" s="105"/>
      <c r="E6" s="105"/>
      <c r="F6" s="104"/>
    </row>
    <row r="7" spans="1:10">
      <c r="A7" s="205"/>
      <c r="B7" s="206"/>
      <c r="C7" s="206"/>
      <c r="D7" s="206"/>
      <c r="E7" s="206"/>
      <c r="F7" s="207"/>
    </row>
    <row r="8" spans="1:10" ht="14" thickBot="1">
      <c r="A8" s="208"/>
      <c r="B8" s="209"/>
      <c r="C8" s="209"/>
      <c r="D8" s="209"/>
      <c r="E8" s="209"/>
      <c r="F8" s="210"/>
    </row>
    <row r="9" spans="1:10" ht="14" thickTop="1">
      <c r="A9" s="192" t="s">
        <v>345</v>
      </c>
      <c r="B9" s="193"/>
      <c r="C9" s="194" t="s">
        <v>344</v>
      </c>
      <c r="D9" s="194"/>
      <c r="E9" s="100"/>
      <c r="F9" s="99"/>
    </row>
    <row r="10" spans="1:10">
      <c r="A10" s="192" t="s">
        <v>343</v>
      </c>
      <c r="B10" s="193"/>
      <c r="C10" s="100" t="s">
        <v>342</v>
      </c>
      <c r="D10" s="100"/>
      <c r="E10" s="103"/>
      <c r="F10" s="99"/>
      <c r="H10" s="96"/>
      <c r="I10" s="96"/>
      <c r="J10" s="96"/>
    </row>
    <row r="11" spans="1:10">
      <c r="A11" s="192" t="s">
        <v>341</v>
      </c>
      <c r="B11" s="193"/>
      <c r="C11" s="194" t="s">
        <v>340</v>
      </c>
      <c r="D11" s="194"/>
      <c r="E11" s="103" t="s">
        <v>336</v>
      </c>
      <c r="F11" s="102" t="s">
        <v>339</v>
      </c>
      <c r="H11" s="95"/>
      <c r="I11" s="95"/>
      <c r="J11" s="95"/>
    </row>
    <row r="12" spans="1:10">
      <c r="A12" s="192" t="s">
        <v>338</v>
      </c>
      <c r="B12" s="193"/>
      <c r="C12" s="194" t="s">
        <v>337</v>
      </c>
      <c r="D12" s="194"/>
      <c r="E12" s="103" t="s">
        <v>336</v>
      </c>
      <c r="F12" s="102" t="s">
        <v>335</v>
      </c>
      <c r="H12" s="95"/>
      <c r="I12" s="95"/>
      <c r="J12" s="95"/>
    </row>
    <row r="13" spans="1:10">
      <c r="A13" s="192" t="s">
        <v>334</v>
      </c>
      <c r="B13" s="193"/>
      <c r="C13" s="101"/>
      <c r="D13" s="101"/>
      <c r="E13" s="100"/>
      <c r="F13" s="99"/>
      <c r="H13" s="95"/>
      <c r="I13" s="95"/>
      <c r="J13" s="95"/>
    </row>
    <row r="14" spans="1:10" ht="14" thickBot="1">
      <c r="A14" s="195" t="s">
        <v>333</v>
      </c>
      <c r="B14" s="196"/>
      <c r="C14" s="197">
        <v>42801</v>
      </c>
      <c r="D14" s="198"/>
      <c r="E14" s="98" t="s">
        <v>332</v>
      </c>
      <c r="F14" s="97" t="s">
        <v>331</v>
      </c>
      <c r="H14" s="95"/>
      <c r="I14" s="95"/>
      <c r="J14" s="95"/>
    </row>
    <row r="15" spans="1:10" ht="14" thickTop="1">
      <c r="H15" s="95"/>
      <c r="I15" s="95"/>
      <c r="J15" s="95"/>
    </row>
    <row r="16" spans="1:10">
      <c r="A16" s="96" t="s">
        <v>330</v>
      </c>
      <c r="B16" s="96" t="s">
        <v>329</v>
      </c>
      <c r="C16" s="96"/>
      <c r="D16" s="96" t="s">
        <v>328</v>
      </c>
      <c r="E16" s="96" t="s">
        <v>327</v>
      </c>
      <c r="F16" s="96" t="s">
        <v>326</v>
      </c>
      <c r="H16" s="96" t="s">
        <v>328</v>
      </c>
      <c r="I16" s="96" t="s">
        <v>327</v>
      </c>
      <c r="J16" s="96" t="s">
        <v>326</v>
      </c>
    </row>
    <row r="17" spans="1:10">
      <c r="A17" s="94">
        <v>17943</v>
      </c>
      <c r="B17" s="94" t="s">
        <v>324</v>
      </c>
      <c r="C17" s="94" t="s">
        <v>377</v>
      </c>
      <c r="D17" s="118" t="s">
        <v>382</v>
      </c>
      <c r="E17" s="95">
        <v>4.3320399172202135</v>
      </c>
      <c r="F17" s="95">
        <v>-11.378440589348424</v>
      </c>
      <c r="H17" s="94" t="s">
        <v>382</v>
      </c>
      <c r="I17" s="95">
        <f>AVERAGE(E17:E19)</f>
        <v>4.3004482116887948</v>
      </c>
      <c r="J17" s="95">
        <f>AVERAGE(F17:F19)</f>
        <v>-11.634954310437331</v>
      </c>
    </row>
    <row r="18" spans="1:10">
      <c r="A18" s="94">
        <v>17944</v>
      </c>
      <c r="B18" s="94" t="s">
        <v>324</v>
      </c>
      <c r="C18" s="94" t="s">
        <v>377</v>
      </c>
      <c r="D18" s="118" t="s">
        <v>382</v>
      </c>
      <c r="E18" s="95">
        <v>4.3838202613205262</v>
      </c>
      <c r="F18" s="95">
        <v>-11.675440923097677</v>
      </c>
      <c r="H18" s="94" t="s">
        <v>383</v>
      </c>
      <c r="I18" s="95">
        <f>AVERAGE(E20:E22)</f>
        <v>4.0208972243172267</v>
      </c>
      <c r="J18" s="95">
        <f>AVERAGE(F20:F22)</f>
        <v>-10.741504692365487</v>
      </c>
    </row>
    <row r="19" spans="1:10">
      <c r="A19" s="94">
        <v>17945</v>
      </c>
      <c r="B19" s="94" t="s">
        <v>324</v>
      </c>
      <c r="C19" s="94" t="s">
        <v>377</v>
      </c>
      <c r="D19" s="118" t="s">
        <v>382</v>
      </c>
      <c r="E19" s="95">
        <v>4.1854844565256428</v>
      </c>
      <c r="F19" s="95">
        <v>-11.850981418865892</v>
      </c>
      <c r="H19" s="94" t="s">
        <v>384</v>
      </c>
      <c r="I19" s="95">
        <f>AVERAGE(E23:E25)</f>
        <v>8.0435865731040028</v>
      </c>
      <c r="J19" s="95">
        <f>AVERAGE(F23:F25)</f>
        <v>-7.5322968216784618</v>
      </c>
    </row>
    <row r="20" spans="1:10">
      <c r="A20" s="94">
        <v>17946</v>
      </c>
      <c r="B20" s="94" t="s">
        <v>324</v>
      </c>
      <c r="C20" s="94" t="s">
        <v>376</v>
      </c>
      <c r="D20" s="94" t="s">
        <v>383</v>
      </c>
      <c r="E20" s="95">
        <v>5.1539573872965931</v>
      </c>
      <c r="F20" s="95">
        <v>-10.805844210294961</v>
      </c>
      <c r="H20" s="94" t="s">
        <v>385</v>
      </c>
      <c r="I20" s="95">
        <f>AVERAGE(E26:E28)</f>
        <v>13.586268226633516</v>
      </c>
      <c r="J20" s="95">
        <f>AVERAGE(F26:F28)</f>
        <v>-10.029173111252893</v>
      </c>
    </row>
    <row r="21" spans="1:10">
      <c r="A21" s="94">
        <v>17947</v>
      </c>
      <c r="B21" s="94" t="s">
        <v>324</v>
      </c>
      <c r="C21" s="94" t="s">
        <v>376</v>
      </c>
      <c r="D21" s="94" t="s">
        <v>383</v>
      </c>
      <c r="E21" s="95">
        <v>3.8767115447430776</v>
      </c>
      <c r="F21" s="95">
        <v>-10.744797659818568</v>
      </c>
      <c r="H21" s="94" t="s">
        <v>386</v>
      </c>
      <c r="I21" s="95">
        <f>AVERAGE(E29:E31)</f>
        <v>13.410936493615429</v>
      </c>
      <c r="J21" s="95">
        <f>AVERAGE(F29:F31)</f>
        <v>-9.8065902473956346</v>
      </c>
    </row>
    <row r="22" spans="1:10">
      <c r="A22" s="94">
        <v>17948</v>
      </c>
      <c r="B22" s="94" t="s">
        <v>324</v>
      </c>
      <c r="C22" s="94" t="s">
        <v>376</v>
      </c>
      <c r="D22" s="94" t="s">
        <v>383</v>
      </c>
      <c r="E22" s="95">
        <v>3.0320227409120104</v>
      </c>
      <c r="F22" s="95">
        <v>-10.673872206982926</v>
      </c>
      <c r="H22" s="94" t="s">
        <v>387</v>
      </c>
      <c r="I22" s="95">
        <f>AVERAGE(E32:E34)</f>
        <v>2.6944023492604567</v>
      </c>
      <c r="J22" s="95">
        <f>AVERAGE(F32:F34)</f>
        <v>-13.431225838562876</v>
      </c>
    </row>
    <row r="23" spans="1:10">
      <c r="A23" s="94">
        <v>17949</v>
      </c>
      <c r="B23" s="94" t="s">
        <v>324</v>
      </c>
      <c r="C23" s="94" t="s">
        <v>378</v>
      </c>
      <c r="D23" s="118" t="s">
        <v>384</v>
      </c>
      <c r="E23" s="95">
        <v>7.5556194674794819</v>
      </c>
      <c r="F23" s="95">
        <v>-7.4696882225384282</v>
      </c>
      <c r="H23" s="95"/>
    </row>
    <row r="24" spans="1:10">
      <c r="A24" s="94">
        <v>17950</v>
      </c>
      <c r="B24" s="94" t="s">
        <v>324</v>
      </c>
      <c r="C24" s="94" t="s">
        <v>378</v>
      </c>
      <c r="D24" s="118" t="s">
        <v>384</v>
      </c>
      <c r="E24" s="95">
        <v>9.8680646288264651</v>
      </c>
      <c r="F24" s="95">
        <v>-7.5855753463680937</v>
      </c>
      <c r="H24" s="118" t="s">
        <v>388</v>
      </c>
      <c r="I24" s="95">
        <v>4.0099087664581701</v>
      </c>
      <c r="J24" s="95">
        <v>-9.9572422041779145</v>
      </c>
    </row>
    <row r="25" spans="1:10">
      <c r="A25" s="94">
        <v>17951</v>
      </c>
      <c r="B25" s="94" t="s">
        <v>324</v>
      </c>
      <c r="C25" s="94" t="s">
        <v>378</v>
      </c>
      <c r="D25" s="118" t="s">
        <v>384</v>
      </c>
      <c r="E25" s="95">
        <v>6.7070756230060624</v>
      </c>
      <c r="F25" s="95">
        <v>-7.5416268961288644</v>
      </c>
      <c r="H25" s="94" t="s">
        <v>389</v>
      </c>
      <c r="I25" s="95">
        <v>4.798496348710847</v>
      </c>
      <c r="J25" s="95">
        <v>-9.7255679833042876</v>
      </c>
    </row>
    <row r="26" spans="1:10">
      <c r="A26" s="94">
        <v>17978</v>
      </c>
      <c r="B26" s="94" t="s">
        <v>325</v>
      </c>
      <c r="C26" s="94" t="s">
        <v>379</v>
      </c>
      <c r="D26" s="94" t="s">
        <v>385</v>
      </c>
      <c r="E26" s="95">
        <v>13.534783507746562</v>
      </c>
      <c r="F26" s="95">
        <v>-10.037249053740123</v>
      </c>
      <c r="H26" s="94" t="s">
        <v>391</v>
      </c>
      <c r="I26" s="95">
        <v>6.5398894468774191</v>
      </c>
      <c r="J26" s="95">
        <v>-2.3662898329849504</v>
      </c>
    </row>
    <row r="27" spans="1:10">
      <c r="A27" s="94">
        <v>17979</v>
      </c>
      <c r="B27" s="94" t="s">
        <v>325</v>
      </c>
      <c r="C27" s="94" t="s">
        <v>379</v>
      </c>
      <c r="D27" s="94" t="s">
        <v>385</v>
      </c>
      <c r="E27" s="95">
        <v>13.674759170022497</v>
      </c>
      <c r="F27" s="95">
        <v>-10.066297724421236</v>
      </c>
      <c r="H27" s="118" t="s">
        <v>390</v>
      </c>
      <c r="I27" s="95">
        <v>12.765313145567921</v>
      </c>
      <c r="J27" s="95">
        <v>-9.7041146186983287</v>
      </c>
    </row>
    <row r="28" spans="1:10">
      <c r="A28" s="94">
        <v>17980</v>
      </c>
      <c r="B28" s="94" t="s">
        <v>325</v>
      </c>
      <c r="C28" s="94" t="s">
        <v>379</v>
      </c>
      <c r="D28" s="94" t="s">
        <v>385</v>
      </c>
      <c r="E28" s="95">
        <v>13.549262002131492</v>
      </c>
      <c r="F28" s="95">
        <v>-9.9839725555973189</v>
      </c>
      <c r="H28" s="118" t="s">
        <v>392</v>
      </c>
      <c r="I28" s="95">
        <v>13.128978788194333</v>
      </c>
      <c r="J28" s="95">
        <v>-9.6058051283132908</v>
      </c>
    </row>
    <row r="29" spans="1:10">
      <c r="A29" s="94">
        <v>17975</v>
      </c>
      <c r="B29" s="94" t="s">
        <v>325</v>
      </c>
      <c r="C29" s="94" t="s">
        <v>380</v>
      </c>
      <c r="D29" s="118" t="s">
        <v>386</v>
      </c>
      <c r="E29" s="95">
        <v>13.189821156767369</v>
      </c>
      <c r="F29" s="95">
        <v>-9.7551679197218366</v>
      </c>
      <c r="H29" s="94" t="s">
        <v>404</v>
      </c>
      <c r="I29" s="95">
        <v>0.49445652738657114</v>
      </c>
      <c r="J29" s="95">
        <v>-14.278768160034943</v>
      </c>
    </row>
    <row r="30" spans="1:10">
      <c r="A30" s="94">
        <v>17976</v>
      </c>
      <c r="B30" s="94" t="s">
        <v>325</v>
      </c>
      <c r="C30" s="94" t="s">
        <v>380</v>
      </c>
      <c r="D30" s="118" t="s">
        <v>386</v>
      </c>
      <c r="E30" s="95">
        <v>13.634486879617121</v>
      </c>
      <c r="F30" s="95">
        <v>-9.8257500089087078</v>
      </c>
    </row>
    <row r="31" spans="1:10">
      <c r="A31" s="94">
        <v>17977</v>
      </c>
      <c r="B31" s="94" t="s">
        <v>325</v>
      </c>
      <c r="C31" s="94" t="s">
        <v>380</v>
      </c>
      <c r="D31" s="118" t="s">
        <v>386</v>
      </c>
      <c r="E31" s="95">
        <v>13.408501444461791</v>
      </c>
      <c r="F31" s="95">
        <v>-9.8388528135563593</v>
      </c>
      <c r="H31" s="94" t="s">
        <v>397</v>
      </c>
      <c r="I31" s="95">
        <v>4.1339450771548094</v>
      </c>
      <c r="J31" s="95">
        <v>-10.254492946759447</v>
      </c>
    </row>
    <row r="32" spans="1:10">
      <c r="A32" s="94">
        <v>17961</v>
      </c>
      <c r="B32" s="94" t="s">
        <v>324</v>
      </c>
      <c r="C32" s="94" t="s">
        <v>381</v>
      </c>
      <c r="D32" s="94" t="s">
        <v>387</v>
      </c>
      <c r="E32" s="95">
        <v>2.175855847967799</v>
      </c>
      <c r="F32" s="95">
        <v>-13.029990419664099</v>
      </c>
      <c r="H32" s="94" t="s">
        <v>395</v>
      </c>
      <c r="I32" s="95">
        <v>4.9336808742134721</v>
      </c>
      <c r="J32" s="95">
        <v>-9.5255208875714033</v>
      </c>
    </row>
    <row r="33" spans="1:10">
      <c r="A33" s="94">
        <v>17962</v>
      </c>
      <c r="B33" s="94" t="s">
        <v>324</v>
      </c>
      <c r="C33" s="94" t="s">
        <v>381</v>
      </c>
      <c r="D33" s="94" t="s">
        <v>387</v>
      </c>
      <c r="E33" s="95">
        <v>2.9701927138867168</v>
      </c>
      <c r="F33" s="95">
        <v>-13.191599130053884</v>
      </c>
      <c r="H33" s="94" t="s">
        <v>393</v>
      </c>
      <c r="I33" s="95">
        <v>9.5861195218966166</v>
      </c>
      <c r="J33" s="95">
        <v>-5.2836156663344269</v>
      </c>
    </row>
    <row r="34" spans="1:10">
      <c r="A34" s="94">
        <v>17963</v>
      </c>
      <c r="B34" s="94" t="s">
        <v>324</v>
      </c>
      <c r="C34" s="94" t="s">
        <v>381</v>
      </c>
      <c r="D34" s="94" t="s">
        <v>387</v>
      </c>
      <c r="E34" s="95">
        <v>2.9371584859268545</v>
      </c>
      <c r="F34" s="95">
        <v>-14.072087965970645</v>
      </c>
      <c r="H34" s="118" t="s">
        <v>394</v>
      </c>
      <c r="I34" s="95">
        <v>12.862553069587698</v>
      </c>
      <c r="J34" s="95">
        <v>-9.7386169370336848</v>
      </c>
    </row>
    <row r="35" spans="1:10">
      <c r="A35" s="94">
        <v>17852</v>
      </c>
      <c r="B35" s="94" t="s">
        <v>358</v>
      </c>
      <c r="C35" s="94" t="s">
        <v>359</v>
      </c>
      <c r="D35" s="118" t="s">
        <v>392</v>
      </c>
      <c r="E35" s="95">
        <v>13.128978788194333</v>
      </c>
      <c r="F35" s="95">
        <v>-9.6058051283132908</v>
      </c>
      <c r="H35" s="118" t="s">
        <v>396</v>
      </c>
      <c r="I35" s="95">
        <v>12.614574189036324</v>
      </c>
      <c r="J35" s="95">
        <v>-9.6185223289817703</v>
      </c>
    </row>
    <row r="36" spans="1:10">
      <c r="A36" s="94">
        <v>17850</v>
      </c>
      <c r="B36" s="94" t="s">
        <v>358</v>
      </c>
      <c r="C36" s="94" t="s">
        <v>360</v>
      </c>
      <c r="D36" s="94" t="s">
        <v>389</v>
      </c>
      <c r="E36" s="95">
        <v>4.798496348710847</v>
      </c>
      <c r="F36" s="95">
        <v>-9.7255679833042876</v>
      </c>
      <c r="H36" s="94" t="s">
        <v>405</v>
      </c>
    </row>
    <row r="37" spans="1:10">
      <c r="A37" s="94">
        <v>17847</v>
      </c>
      <c r="B37" s="94" t="s">
        <v>358</v>
      </c>
      <c r="C37" s="94" t="s">
        <v>361</v>
      </c>
      <c r="D37" s="118" t="s">
        <v>390</v>
      </c>
      <c r="E37" s="95">
        <v>12.765313145567921</v>
      </c>
      <c r="F37" s="95">
        <v>-9.7041146186983287</v>
      </c>
    </row>
    <row r="38" spans="1:10">
      <c r="A38" s="94">
        <v>17851</v>
      </c>
      <c r="B38" s="94" t="s">
        <v>358</v>
      </c>
      <c r="C38" s="94" t="s">
        <v>362</v>
      </c>
      <c r="D38" s="94" t="s">
        <v>391</v>
      </c>
      <c r="E38" s="95">
        <v>6.5398894468774191</v>
      </c>
      <c r="F38" s="95">
        <v>-2.3662898329849504</v>
      </c>
      <c r="H38" s="118" t="s">
        <v>398</v>
      </c>
      <c r="I38" s="95">
        <f>AVERAGE(E47:E48)</f>
        <v>4.2199680204314873</v>
      </c>
      <c r="J38" s="95">
        <f>AVERAGE(F47:F48)</f>
        <v>-12.396954214160711</v>
      </c>
    </row>
    <row r="39" spans="1:10">
      <c r="A39" s="94">
        <v>17849</v>
      </c>
      <c r="B39" s="94" t="s">
        <v>358</v>
      </c>
      <c r="C39" s="94" t="s">
        <v>363</v>
      </c>
      <c r="D39" s="118" t="s">
        <v>388</v>
      </c>
      <c r="E39" s="95">
        <v>4.0099087664581701</v>
      </c>
      <c r="F39" s="95">
        <v>-9.9572422041779145</v>
      </c>
      <c r="H39" s="94" t="s">
        <v>399</v>
      </c>
      <c r="I39" s="95">
        <f>AVERAGE(E49:E50)</f>
        <v>4.837125381381898</v>
      </c>
      <c r="J39" s="95">
        <f>AVERAGE(F49:F50)</f>
        <v>-10.220543550192284</v>
      </c>
    </row>
    <row r="40" spans="1:10">
      <c r="A40" s="94">
        <v>17848</v>
      </c>
      <c r="B40" s="94" t="s">
        <v>358</v>
      </c>
      <c r="C40" s="94" t="s">
        <v>375</v>
      </c>
      <c r="D40" s="94" t="s">
        <v>404</v>
      </c>
      <c r="E40" s="95">
        <v>0.49445652738657114</v>
      </c>
      <c r="F40" s="95">
        <v>-14.278768160034943</v>
      </c>
      <c r="H40" s="118" t="s">
        <v>400</v>
      </c>
      <c r="I40" s="95">
        <f>AVERAGE(E51:E52)</f>
        <v>10.360817588964181</v>
      </c>
      <c r="J40" s="95">
        <f>AVERAGE(F51:F52)</f>
        <v>-7.3058164491533217</v>
      </c>
    </row>
    <row r="41" spans="1:10">
      <c r="A41" s="94">
        <v>17853</v>
      </c>
      <c r="B41" s="94" t="s">
        <v>358</v>
      </c>
      <c r="C41" s="94" t="s">
        <v>364</v>
      </c>
      <c r="D41" s="94" t="s">
        <v>393</v>
      </c>
      <c r="E41" s="95">
        <v>9.5861195218966166</v>
      </c>
      <c r="F41" s="95">
        <v>-5.2836156663344269</v>
      </c>
      <c r="H41" s="94" t="s">
        <v>401</v>
      </c>
      <c r="I41" s="95">
        <f>AVERAGE(E53:E54)</f>
        <v>12.860198636731395</v>
      </c>
      <c r="J41" s="95">
        <f>AVERAGE(F53:F54)</f>
        <v>-9.8774555930274026</v>
      </c>
    </row>
    <row r="42" spans="1:10">
      <c r="A42" s="94">
        <v>17857</v>
      </c>
      <c r="B42" s="94" t="s">
        <v>358</v>
      </c>
      <c r="C42" s="94" t="s">
        <v>365</v>
      </c>
      <c r="D42" s="118" t="s">
        <v>394</v>
      </c>
      <c r="E42" s="95">
        <v>12.862553069587698</v>
      </c>
      <c r="F42" s="95">
        <v>-9.7386169370336848</v>
      </c>
      <c r="H42" s="118" t="s">
        <v>402</v>
      </c>
      <c r="I42" s="95">
        <f>AVERAGE(E55:E56)</f>
        <v>12.803488413478537</v>
      </c>
      <c r="J42" s="95">
        <f>AVERAGE(F55:F56)</f>
        <v>-9.989256374556394</v>
      </c>
    </row>
    <row r="43" spans="1:10">
      <c r="A43" s="94">
        <v>17854</v>
      </c>
      <c r="B43" s="94" t="s">
        <v>358</v>
      </c>
      <c r="C43" s="94" t="s">
        <v>366</v>
      </c>
      <c r="D43" s="94" t="s">
        <v>395</v>
      </c>
      <c r="E43" s="95">
        <v>4.9336808742134721</v>
      </c>
      <c r="F43" s="95">
        <v>-9.5255208875714033</v>
      </c>
      <c r="H43" s="94" t="s">
        <v>403</v>
      </c>
      <c r="I43" s="95">
        <f>AVERAGE(E57:E58)</f>
        <v>2.9424027802931518</v>
      </c>
      <c r="J43" s="95">
        <f>AVERAGE(F57:F58)</f>
        <v>-13.145720872650131</v>
      </c>
    </row>
    <row r="44" spans="1:10">
      <c r="A44" s="94">
        <v>17856</v>
      </c>
      <c r="B44" s="94" t="s">
        <v>358</v>
      </c>
      <c r="C44" s="94" t="s">
        <v>367</v>
      </c>
      <c r="D44" s="118" t="s">
        <v>396</v>
      </c>
      <c r="E44" s="95">
        <v>12.614574189036324</v>
      </c>
      <c r="F44" s="95">
        <v>-9.6185223289817703</v>
      </c>
    </row>
    <row r="45" spans="1:10">
      <c r="A45" s="94">
        <v>17855</v>
      </c>
      <c r="B45" s="94" t="s">
        <v>358</v>
      </c>
      <c r="C45" s="94" t="s">
        <v>368</v>
      </c>
      <c r="D45" s="94" t="s">
        <v>397</v>
      </c>
      <c r="E45" s="95">
        <v>4.1339450771548094</v>
      </c>
      <c r="F45" s="95">
        <v>-10.254492946759447</v>
      </c>
    </row>
    <row r="46" spans="1:10">
      <c r="H46" s="94" t="s">
        <v>406</v>
      </c>
      <c r="I46" s="96" t="s">
        <v>327</v>
      </c>
      <c r="J46" s="96" t="s">
        <v>326</v>
      </c>
    </row>
    <row r="47" spans="1:10">
      <c r="A47" s="94">
        <v>17832</v>
      </c>
      <c r="B47" s="94" t="s">
        <v>358</v>
      </c>
      <c r="C47" s="94" t="s">
        <v>369</v>
      </c>
      <c r="D47" s="118" t="s">
        <v>398</v>
      </c>
      <c r="E47" s="95">
        <v>4.1409540737945205</v>
      </c>
      <c r="F47" s="95">
        <v>-13.320997073167886</v>
      </c>
      <c r="H47" s="94" t="s">
        <v>311</v>
      </c>
      <c r="I47" s="95">
        <f t="shared" ref="I47:J50" si="0">AVERAGE(I17,I24,I31,I38)</f>
        <v>4.1660675189333158</v>
      </c>
      <c r="J47" s="95">
        <f t="shared" si="0"/>
        <v>-11.060910918883852</v>
      </c>
    </row>
    <row r="48" spans="1:10">
      <c r="A48" s="94">
        <v>17833</v>
      </c>
      <c r="B48" s="94" t="s">
        <v>358</v>
      </c>
      <c r="C48" s="94" t="s">
        <v>369</v>
      </c>
      <c r="D48" s="118" t="s">
        <v>398</v>
      </c>
      <c r="E48" s="95">
        <v>4.2989819670684533</v>
      </c>
      <c r="F48" s="95">
        <v>-11.472911355153538</v>
      </c>
      <c r="H48" s="94" t="s">
        <v>312</v>
      </c>
      <c r="I48" s="95">
        <f t="shared" si="0"/>
        <v>4.6475499571558609</v>
      </c>
      <c r="J48" s="95">
        <f t="shared" si="0"/>
        <v>-10.053284278358365</v>
      </c>
    </row>
    <row r="49" spans="1:10">
      <c r="A49" s="94">
        <v>17834</v>
      </c>
      <c r="B49" s="94" t="s">
        <v>358</v>
      </c>
      <c r="C49" s="94" t="s">
        <v>370</v>
      </c>
      <c r="D49" s="94" t="s">
        <v>399</v>
      </c>
      <c r="E49" s="95">
        <v>5.053610881337506</v>
      </c>
      <c r="F49" s="95">
        <v>-10.35634113646093</v>
      </c>
      <c r="H49" s="94" t="s">
        <v>313</v>
      </c>
      <c r="I49" s="95">
        <f t="shared" si="0"/>
        <v>8.632603282710555</v>
      </c>
      <c r="J49" s="95">
        <f t="shared" si="0"/>
        <v>-5.6220046925377902</v>
      </c>
    </row>
    <row r="50" spans="1:10">
      <c r="A50" s="94">
        <v>17835</v>
      </c>
      <c r="B50" s="94" t="s">
        <v>358</v>
      </c>
      <c r="C50" s="94" t="s">
        <v>370</v>
      </c>
      <c r="D50" s="94" t="s">
        <v>399</v>
      </c>
      <c r="E50" s="95">
        <v>4.6206398814262899</v>
      </c>
      <c r="F50" s="95">
        <v>-10.084745963923638</v>
      </c>
      <c r="H50" s="94" t="s">
        <v>314</v>
      </c>
      <c r="I50" s="95">
        <f t="shared" si="0"/>
        <v>13.018583269630133</v>
      </c>
      <c r="J50" s="95">
        <f t="shared" si="0"/>
        <v>-9.837340065003076</v>
      </c>
    </row>
    <row r="51" spans="1:10">
      <c r="A51" s="94">
        <v>17836</v>
      </c>
      <c r="B51" s="94" t="s">
        <v>358</v>
      </c>
      <c r="C51" s="94" t="s">
        <v>371</v>
      </c>
      <c r="D51" s="118" t="s">
        <v>400</v>
      </c>
      <c r="E51" s="95">
        <v>10.211758607408521</v>
      </c>
      <c r="F51" s="95">
        <v>-7.2052399795186854</v>
      </c>
      <c r="H51" s="94" t="s">
        <v>315</v>
      </c>
      <c r="I51" s="95">
        <f>AVERAGE(I21,I28,I34,I42)</f>
        <v>13.051489191218998</v>
      </c>
      <c r="J51" s="95">
        <f>AVERAGE(J21,J28,J34,J42)</f>
        <v>-9.7850671718247497</v>
      </c>
    </row>
    <row r="52" spans="1:10">
      <c r="A52" s="94">
        <v>17837</v>
      </c>
      <c r="B52" s="94" t="s">
        <v>358</v>
      </c>
      <c r="C52" s="94" t="s">
        <v>371</v>
      </c>
      <c r="D52" s="118" t="s">
        <v>400</v>
      </c>
      <c r="E52" s="95">
        <v>10.509876570519843</v>
      </c>
      <c r="F52" s="95">
        <v>-7.406392918787958</v>
      </c>
      <c r="H52" s="94" t="s">
        <v>316</v>
      </c>
      <c r="I52" s="95">
        <f>AVERAGE(I22,I29,I36,I43)</f>
        <v>2.0437538856467268</v>
      </c>
      <c r="J52" s="95">
        <f>AVERAGE(J22,J29,J36,J43)</f>
        <v>-13.618571623749316</v>
      </c>
    </row>
    <row r="53" spans="1:10">
      <c r="A53" s="94">
        <v>17840</v>
      </c>
      <c r="B53" s="94" t="s">
        <v>358</v>
      </c>
      <c r="C53" s="94" t="s">
        <v>372</v>
      </c>
      <c r="D53" s="94" t="s">
        <v>401</v>
      </c>
      <c r="E53" s="95">
        <v>12.509950882207765</v>
      </c>
      <c r="F53" s="95">
        <v>-9.7942408669140839</v>
      </c>
    </row>
    <row r="54" spans="1:10">
      <c r="A54" s="94">
        <v>17841</v>
      </c>
      <c r="B54" s="94" t="s">
        <v>358</v>
      </c>
      <c r="C54" s="94" t="s">
        <v>372</v>
      </c>
      <c r="D54" s="94" t="s">
        <v>401</v>
      </c>
      <c r="E54" s="95">
        <v>13.210446391255026</v>
      </c>
      <c r="F54" s="95">
        <v>-9.9606703191407213</v>
      </c>
      <c r="H54" s="94" t="s">
        <v>407</v>
      </c>
    </row>
    <row r="55" spans="1:10">
      <c r="A55" s="94">
        <v>17838</v>
      </c>
      <c r="B55" s="94" t="s">
        <v>358</v>
      </c>
      <c r="C55" s="94" t="s">
        <v>373</v>
      </c>
      <c r="D55" s="118" t="s">
        <v>402</v>
      </c>
      <c r="E55" s="95">
        <v>12.809659482018885</v>
      </c>
      <c r="F55" s="95">
        <v>-9.7492330349830247</v>
      </c>
      <c r="H55" s="94" t="s">
        <v>311</v>
      </c>
      <c r="I55" s="94">
        <f t="shared" ref="I55:J58" si="1">STDEV(I17,I24,I31,I38)</f>
        <v>0.1243393768248876</v>
      </c>
      <c r="J55" s="94">
        <f t="shared" si="1"/>
        <v>1.1522343627095957</v>
      </c>
    </row>
    <row r="56" spans="1:10">
      <c r="A56" s="94">
        <v>17839</v>
      </c>
      <c r="B56" s="94" t="s">
        <v>358</v>
      </c>
      <c r="C56" s="94" t="s">
        <v>373</v>
      </c>
      <c r="D56" s="118" t="s">
        <v>402</v>
      </c>
      <c r="E56" s="95">
        <v>12.79731734493819</v>
      </c>
      <c r="F56" s="95">
        <v>-10.229279714129763</v>
      </c>
      <c r="H56" s="94" t="s">
        <v>312</v>
      </c>
      <c r="I56" s="94">
        <f t="shared" si="1"/>
        <v>0.42161918198943121</v>
      </c>
      <c r="J56" s="94">
        <f t="shared" si="1"/>
        <v>0.54392253399709689</v>
      </c>
    </row>
    <row r="57" spans="1:10">
      <c r="A57" s="94">
        <v>17842</v>
      </c>
      <c r="B57" s="94" t="s">
        <v>358</v>
      </c>
      <c r="C57" s="94" t="s">
        <v>374</v>
      </c>
      <c r="D57" s="94" t="s">
        <v>403</v>
      </c>
      <c r="E57" s="95">
        <v>3.1779549791045958</v>
      </c>
      <c r="F57" s="95">
        <v>-12.929528461285956</v>
      </c>
      <c r="H57" s="94" t="s">
        <v>313</v>
      </c>
      <c r="I57" s="94">
        <f t="shared" si="1"/>
        <v>1.6953180419038845</v>
      </c>
      <c r="J57" s="94">
        <f t="shared" si="1"/>
        <v>2.3943422499816465</v>
      </c>
    </row>
    <row r="58" spans="1:10">
      <c r="A58" s="94">
        <v>17843</v>
      </c>
      <c r="B58" s="94" t="s">
        <v>358</v>
      </c>
      <c r="C58" s="94" t="s">
        <v>374</v>
      </c>
      <c r="D58" s="94" t="s">
        <v>403</v>
      </c>
      <c r="E58" s="95">
        <v>2.7068505814817079</v>
      </c>
      <c r="F58" s="95">
        <v>-13.361913284014303</v>
      </c>
      <c r="H58" s="94" t="s">
        <v>314</v>
      </c>
      <c r="I58" s="94">
        <f t="shared" si="1"/>
        <v>0.38115748338194422</v>
      </c>
      <c r="J58" s="94">
        <f t="shared" si="1"/>
        <v>0.14821656313349391</v>
      </c>
    </row>
    <row r="59" spans="1:10">
      <c r="H59" s="94" t="s">
        <v>315</v>
      </c>
      <c r="I59" s="94">
        <f>STDEV(I21,I28,I42,I51)</f>
        <v>0.2501913748080824</v>
      </c>
      <c r="J59" s="94">
        <f>STDEV(J21,J28,J42,J51)</f>
        <v>0.15679280113160207</v>
      </c>
    </row>
    <row r="60" spans="1:10">
      <c r="H60" s="94" t="s">
        <v>316</v>
      </c>
      <c r="I60" s="95">
        <f>STDEV(I22,I29,I43)</f>
        <v>1.3474486193105928</v>
      </c>
      <c r="J60" s="95">
        <f>STDEV(J22,J29,J43)</f>
        <v>0.58929862657473031</v>
      </c>
    </row>
    <row r="61" spans="1:10">
      <c r="E61" s="96" t="s">
        <v>327</v>
      </c>
      <c r="F61" s="96" t="s">
        <v>326</v>
      </c>
    </row>
    <row r="62" spans="1:10">
      <c r="D62" s="94" t="s">
        <v>311</v>
      </c>
      <c r="E62" s="95">
        <f>AVERAGE(E17:E19)</f>
        <v>4.3004482116887948</v>
      </c>
      <c r="F62" s="95">
        <f>AVERAGE(F17:F19)</f>
        <v>-11.634954310437331</v>
      </c>
    </row>
    <row r="63" spans="1:10">
      <c r="D63" s="94" t="s">
        <v>312</v>
      </c>
      <c r="E63" s="95">
        <f>AVERAGE(E20:E22)</f>
        <v>4.0208972243172267</v>
      </c>
      <c r="F63" s="95">
        <f>AVERAGE(F20:F22)</f>
        <v>-10.741504692365487</v>
      </c>
    </row>
    <row r="64" spans="1:10">
      <c r="D64" s="94" t="s">
        <v>313</v>
      </c>
      <c r="E64" s="95">
        <f>AVERAGE(E23:E25)</f>
        <v>8.0435865731040028</v>
      </c>
      <c r="F64" s="95">
        <f>AVERAGE(F23:F25)</f>
        <v>-7.5322968216784618</v>
      </c>
    </row>
    <row r="65" spans="4:6">
      <c r="D65" s="94" t="s">
        <v>314</v>
      </c>
      <c r="E65" s="95">
        <f>AVERAGE(E26:E28)</f>
        <v>13.586268226633516</v>
      </c>
      <c r="F65" s="95">
        <f>AVERAGE(F26:F28)</f>
        <v>-10.029173111252893</v>
      </c>
    </row>
    <row r="66" spans="4:6">
      <c r="D66" s="94" t="s">
        <v>315</v>
      </c>
      <c r="E66" s="95">
        <f>AVERAGE(E29:E31)</f>
        <v>13.410936493615429</v>
      </c>
      <c r="F66" s="95">
        <f>AVERAGE(F29:F31)</f>
        <v>-9.8065902473956346</v>
      </c>
    </row>
    <row r="67" spans="4:6">
      <c r="D67" s="94" t="s">
        <v>316</v>
      </c>
      <c r="E67" s="95">
        <f>AVERAGE(E32:E34)</f>
        <v>2.6944023492604567</v>
      </c>
      <c r="F67" s="95">
        <f>AVERAGE(F32:F34)</f>
        <v>-13.431225838562876</v>
      </c>
    </row>
    <row r="69" spans="4:6">
      <c r="D69" s="94" t="s">
        <v>311</v>
      </c>
      <c r="E69" s="116">
        <f>STDEV(E17:E19)</f>
        <v>0.10287273574517425</v>
      </c>
      <c r="F69" s="116">
        <f>STDEV(F17:F19)</f>
        <v>0.23885787247607299</v>
      </c>
    </row>
    <row r="70" spans="4:6">
      <c r="D70" s="94" t="s">
        <v>312</v>
      </c>
      <c r="E70" s="116">
        <f>STDEV(E20:E22)</f>
        <v>1.0682901261022251</v>
      </c>
      <c r="F70" s="116">
        <f>STDEV(F20:F22)</f>
        <v>6.6047597537936265E-2</v>
      </c>
    </row>
    <row r="71" spans="4:6">
      <c r="D71" s="94" t="s">
        <v>313</v>
      </c>
      <c r="E71" s="116">
        <f>STDEV(E23:E25)</f>
        <v>1.636015524332836</v>
      </c>
      <c r="F71" s="116">
        <f>STDEV(F23:F25)</f>
        <v>5.8504222790458402E-2</v>
      </c>
    </row>
    <row r="72" spans="4:6">
      <c r="D72" s="94" t="s">
        <v>314</v>
      </c>
      <c r="E72" s="116">
        <f>STDEV(E26:E28)</f>
        <v>7.6976567839293658E-2</v>
      </c>
      <c r="F72" s="116">
        <f>STDEV(F26:F28)</f>
        <v>4.1752532746701904E-2</v>
      </c>
    </row>
    <row r="73" spans="4:6">
      <c r="D73" s="94" t="s">
        <v>315</v>
      </c>
      <c r="E73" s="116">
        <f>STDEV(E29:E31)</f>
        <v>0.22234286219183788</v>
      </c>
      <c r="F73" s="116">
        <f>STDEV(F29:F31)</f>
        <v>4.5012361745993899E-2</v>
      </c>
    </row>
    <row r="74" spans="4:6">
      <c r="D74" s="94" t="s">
        <v>316</v>
      </c>
      <c r="E74" s="116">
        <f>STDEV(E32:E34)</f>
        <v>0.44937809309797244</v>
      </c>
      <c r="F74" s="116">
        <f>STDEV(F32:F34)</f>
        <v>0.5608542979934017</v>
      </c>
    </row>
  </sheetData>
  <mergeCells count="13">
    <mergeCell ref="A10:B10"/>
    <mergeCell ref="A11:B11"/>
    <mergeCell ref="C11:D11"/>
    <mergeCell ref="C1:F2"/>
    <mergeCell ref="C3:F4"/>
    <mergeCell ref="A7:F8"/>
    <mergeCell ref="A9:B9"/>
    <mergeCell ref="C9:D9"/>
    <mergeCell ref="A12:B12"/>
    <mergeCell ref="C12:D12"/>
    <mergeCell ref="A13:B13"/>
    <mergeCell ref="A14:B14"/>
    <mergeCell ref="C14:D14"/>
  </mergeCells>
  <hyperlinks>
    <hyperlink ref="F11" r:id="rId1" display="axford@northwestern.edu" xr:uid="{00000000-0004-0000-16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31"/>
  <sheetViews>
    <sheetView workbookViewId="0">
      <selection activeCell="H40" sqref="H40"/>
    </sheetView>
  </sheetViews>
  <sheetFormatPr baseColWidth="10" defaultRowHeight="13"/>
  <sheetData>
    <row r="1" spans="1:6" ht="16">
      <c r="A1" s="122" t="s">
        <v>440</v>
      </c>
      <c r="B1" s="123"/>
      <c r="C1" s="123" t="s">
        <v>441</v>
      </c>
      <c r="D1" s="123" t="s">
        <v>442</v>
      </c>
      <c r="E1" s="123" t="s">
        <v>443</v>
      </c>
      <c r="F1" s="123" t="s">
        <v>444</v>
      </c>
    </row>
    <row r="2" spans="1:6" ht="16">
      <c r="A2" s="122" t="s">
        <v>445</v>
      </c>
      <c r="B2" s="123" t="s">
        <v>446</v>
      </c>
      <c r="C2" s="124">
        <v>-17.100000000000001</v>
      </c>
      <c r="D2" s="124">
        <v>-125.7</v>
      </c>
      <c r="E2" s="124">
        <v>0.6</v>
      </c>
      <c r="F2" s="124">
        <v>1.3</v>
      </c>
    </row>
    <row r="3" spans="1:6" ht="16">
      <c r="A3" s="122" t="s">
        <v>447</v>
      </c>
      <c r="B3" s="123" t="s">
        <v>446</v>
      </c>
      <c r="C3" s="124">
        <v>-17.600000000000001</v>
      </c>
      <c r="D3" s="124">
        <v>-129.19999999999999</v>
      </c>
      <c r="E3" s="124">
        <v>0.6</v>
      </c>
      <c r="F3" s="124">
        <v>1.3</v>
      </c>
    </row>
    <row r="4" spans="1:6" ht="16">
      <c r="A4" s="122" t="s">
        <v>448</v>
      </c>
      <c r="B4" s="123" t="s">
        <v>446</v>
      </c>
      <c r="C4" s="124">
        <v>-17.600000000000001</v>
      </c>
      <c r="D4" s="124">
        <v>-131</v>
      </c>
      <c r="E4" s="124">
        <v>0.6</v>
      </c>
      <c r="F4" s="124">
        <v>1.2</v>
      </c>
    </row>
    <row r="5" spans="1:6" ht="16">
      <c r="A5" s="122" t="s">
        <v>449</v>
      </c>
      <c r="B5" s="123" t="s">
        <v>446</v>
      </c>
      <c r="C5" s="124">
        <v>-17.2</v>
      </c>
      <c r="D5" s="124">
        <v>-126.8</v>
      </c>
      <c r="E5" s="124">
        <v>0.6</v>
      </c>
      <c r="F5" s="124">
        <v>1.2</v>
      </c>
    </row>
    <row r="6" spans="1:6" ht="16">
      <c r="A6" s="122" t="s">
        <v>450</v>
      </c>
      <c r="B6" s="123" t="s">
        <v>446</v>
      </c>
      <c r="C6" s="124">
        <v>-17.399999999999999</v>
      </c>
      <c r="D6" s="124">
        <v>-128.19999999999999</v>
      </c>
      <c r="E6" s="124">
        <v>0.6</v>
      </c>
      <c r="F6" s="124">
        <v>1.2</v>
      </c>
    </row>
    <row r="7" spans="1:6" ht="16">
      <c r="A7" s="122" t="s">
        <v>451</v>
      </c>
      <c r="B7" s="123" t="s">
        <v>452</v>
      </c>
      <c r="C7" s="124">
        <v>-17.5</v>
      </c>
      <c r="D7" s="124">
        <v>-129.19999999999999</v>
      </c>
      <c r="E7" s="124">
        <v>0.6</v>
      </c>
      <c r="F7" s="124">
        <v>1.2</v>
      </c>
    </row>
    <row r="8" spans="1:6" ht="16">
      <c r="A8" s="122" t="s">
        <v>453</v>
      </c>
      <c r="B8" s="123" t="s">
        <v>452</v>
      </c>
      <c r="C8" s="124">
        <v>-17.399999999999999</v>
      </c>
      <c r="D8" s="124">
        <v>-127.6</v>
      </c>
      <c r="E8" s="124">
        <v>0.6</v>
      </c>
      <c r="F8" s="124">
        <v>1.2</v>
      </c>
    </row>
    <row r="9" spans="1:6" ht="16">
      <c r="A9" s="122" t="s">
        <v>454</v>
      </c>
      <c r="B9" s="123" t="s">
        <v>452</v>
      </c>
      <c r="C9" s="124">
        <v>-17.399999999999999</v>
      </c>
      <c r="D9" s="124">
        <v>-127.6</v>
      </c>
      <c r="E9" s="124">
        <v>0.6</v>
      </c>
      <c r="F9" s="124">
        <v>1.2</v>
      </c>
    </row>
    <row r="10" spans="1:6" ht="16">
      <c r="A10" s="122" t="s">
        <v>455</v>
      </c>
      <c r="B10" s="123" t="s">
        <v>452</v>
      </c>
      <c r="C10" s="124">
        <v>-17.600000000000001</v>
      </c>
      <c r="D10" s="124">
        <v>-129.4</v>
      </c>
      <c r="E10" s="124">
        <v>0.6</v>
      </c>
      <c r="F10" s="124">
        <v>1.2</v>
      </c>
    </row>
    <row r="11" spans="1:6" ht="16">
      <c r="A11" s="122" t="s">
        <v>456</v>
      </c>
      <c r="B11" s="123" t="s">
        <v>457</v>
      </c>
      <c r="C11" s="124">
        <v>-17.5</v>
      </c>
      <c r="D11" s="124">
        <v>-128.1</v>
      </c>
      <c r="E11" s="124">
        <v>0.6</v>
      </c>
      <c r="F11" s="124">
        <v>1.2</v>
      </c>
    </row>
    <row r="12" spans="1:6" ht="16">
      <c r="A12" s="122" t="s">
        <v>458</v>
      </c>
      <c r="B12" s="123" t="s">
        <v>452</v>
      </c>
      <c r="C12" s="124">
        <v>-17.600000000000001</v>
      </c>
      <c r="D12" s="124">
        <v>-128.9</v>
      </c>
      <c r="E12" s="124">
        <v>0.6</v>
      </c>
      <c r="F12" s="124">
        <v>1.2</v>
      </c>
    </row>
    <row r="13" spans="1:6" ht="16">
      <c r="A13" s="122" t="s">
        <v>459</v>
      </c>
      <c r="B13" s="123" t="s">
        <v>452</v>
      </c>
      <c r="C13" s="124">
        <v>-17.600000000000001</v>
      </c>
      <c r="D13" s="124">
        <v>-128.69999999999999</v>
      </c>
      <c r="E13" s="124">
        <v>0.6</v>
      </c>
      <c r="F13" s="124">
        <v>1.2</v>
      </c>
    </row>
    <row r="14" spans="1:6" ht="16">
      <c r="A14" s="122" t="s">
        <v>460</v>
      </c>
      <c r="B14" s="123" t="s">
        <v>452</v>
      </c>
      <c r="C14" s="124">
        <v>-17.5</v>
      </c>
      <c r="D14" s="124">
        <v>-128.5</v>
      </c>
      <c r="E14" s="124">
        <v>0.6</v>
      </c>
      <c r="F14" s="124">
        <v>1.2</v>
      </c>
    </row>
    <row r="15" spans="1:6" ht="16">
      <c r="A15" s="122" t="s">
        <v>461</v>
      </c>
      <c r="B15" s="123" t="s">
        <v>457</v>
      </c>
      <c r="C15" s="124">
        <v>-17.399999999999999</v>
      </c>
      <c r="D15" s="124">
        <v>-127.7</v>
      </c>
      <c r="E15" s="124">
        <v>0.6</v>
      </c>
      <c r="F15" s="124">
        <v>1.2</v>
      </c>
    </row>
    <row r="16" spans="1:6">
      <c r="A16" s="90" t="s">
        <v>462</v>
      </c>
      <c r="B16" s="90" t="s">
        <v>452</v>
      </c>
      <c r="C16" s="125">
        <v>-17.531686825490191</v>
      </c>
      <c r="D16" s="125">
        <v>-128.99956131470589</v>
      </c>
      <c r="E16" s="125">
        <v>0.69587071325558347</v>
      </c>
      <c r="F16" s="125">
        <v>1.7923588111656181</v>
      </c>
    </row>
    <row r="17" spans="1:6">
      <c r="A17" s="90" t="s">
        <v>463</v>
      </c>
      <c r="B17" s="90" t="s">
        <v>452</v>
      </c>
      <c r="C17" s="125">
        <v>-15.802583115686275</v>
      </c>
      <c r="D17" s="125">
        <v>-115.654523554902</v>
      </c>
      <c r="E17" s="125">
        <v>0.69187668667677649</v>
      </c>
      <c r="F17" s="125">
        <v>1.7243116330765245</v>
      </c>
    </row>
    <row r="18" spans="1:6">
      <c r="A18" s="90" t="s">
        <v>464</v>
      </c>
      <c r="B18" s="90" t="s">
        <v>452</v>
      </c>
      <c r="C18" s="125">
        <v>-16.160596062745096</v>
      </c>
      <c r="D18" s="125">
        <v>-119.71113715980395</v>
      </c>
      <c r="E18" s="125">
        <v>0.69248548689978651</v>
      </c>
      <c r="F18" s="125">
        <v>1.7239371144649382</v>
      </c>
    </row>
    <row r="19" spans="1:6">
      <c r="A19" s="90" t="s">
        <v>465</v>
      </c>
      <c r="B19" s="90" t="s">
        <v>452</v>
      </c>
      <c r="C19" s="125">
        <v>-16.566374849019603</v>
      </c>
      <c r="D19" s="125">
        <v>-121.29244217294119</v>
      </c>
      <c r="E19" s="125">
        <v>0.69205559716458798</v>
      </c>
      <c r="F19" s="125">
        <v>1.7241945968953245</v>
      </c>
    </row>
    <row r="20" spans="1:6">
      <c r="A20" s="90" t="s">
        <v>466</v>
      </c>
      <c r="B20" s="90" t="s">
        <v>452</v>
      </c>
      <c r="C20" s="125">
        <v>-15.837981321176466</v>
      </c>
      <c r="D20" s="125">
        <v>-116.28462557196082</v>
      </c>
      <c r="E20" s="125">
        <v>0.69260439615038139</v>
      </c>
      <c r="F20" s="125">
        <v>1.7255864243679688</v>
      </c>
    </row>
    <row r="21" spans="1:6">
      <c r="A21" s="90" t="s">
        <v>467</v>
      </c>
      <c r="B21" s="90" t="s">
        <v>452</v>
      </c>
      <c r="C21" s="125">
        <v>-17.464072653921562</v>
      </c>
      <c r="D21" s="125">
        <v>-126.88517123627454</v>
      </c>
      <c r="E21" s="125">
        <v>0.69202065207634356</v>
      </c>
      <c r="F21" s="125">
        <v>1.7247172448345547</v>
      </c>
    </row>
    <row r="22" spans="1:6">
      <c r="A22" s="90" t="s">
        <v>468</v>
      </c>
      <c r="B22" s="90" t="s">
        <v>469</v>
      </c>
      <c r="C22" s="125">
        <v>-17.361260020392148</v>
      </c>
      <c r="D22" s="125">
        <v>-126.77968679588241</v>
      </c>
      <c r="E22" s="125">
        <v>0.69184944140097016</v>
      </c>
      <c r="F22" s="125">
        <v>1.7239214912411269</v>
      </c>
    </row>
    <row r="23" spans="1:6">
      <c r="A23" s="90" t="s">
        <v>470</v>
      </c>
      <c r="B23" s="90" t="s">
        <v>469</v>
      </c>
      <c r="C23" s="125">
        <v>-17.679620830784309</v>
      </c>
      <c r="D23" s="125">
        <v>-128.55658420549028</v>
      </c>
      <c r="E23" s="125">
        <v>0.69174777404785903</v>
      </c>
      <c r="F23" s="125">
        <v>1.7237421524007095</v>
      </c>
    </row>
    <row r="24" spans="1:6">
      <c r="A24" s="90" t="s">
        <v>471</v>
      </c>
      <c r="B24" s="90" t="s">
        <v>469</v>
      </c>
      <c r="C24" s="125">
        <v>-16.870435519215679</v>
      </c>
      <c r="D24" s="125">
        <v>-122.30514873098043</v>
      </c>
      <c r="E24" s="125">
        <v>0.69182609777807191</v>
      </c>
      <c r="F24" s="125">
        <v>1.7255574388091801</v>
      </c>
    </row>
    <row r="25" spans="1:6">
      <c r="A25" s="90" t="s">
        <v>472</v>
      </c>
      <c r="B25" s="90" t="s">
        <v>469</v>
      </c>
      <c r="C25" s="125">
        <v>-17.30661311176469</v>
      </c>
      <c r="D25" s="125">
        <v>-126.02696870039225</v>
      </c>
      <c r="E25" s="125">
        <v>0.69286786828382196</v>
      </c>
      <c r="F25" s="125">
        <v>1.7248182729289767</v>
      </c>
    </row>
    <row r="26" spans="1:6">
      <c r="A26" s="90" t="s">
        <v>473</v>
      </c>
      <c r="B26" s="90" t="s">
        <v>469</v>
      </c>
      <c r="C26" s="125">
        <v>-17.077653294117631</v>
      </c>
      <c r="D26" s="125">
        <v>-125.39827109313735</v>
      </c>
      <c r="E26" s="125">
        <v>0.69216685095924269</v>
      </c>
      <c r="F26" s="125">
        <v>1.7244444055877912</v>
      </c>
    </row>
    <row r="27" spans="1:6">
      <c r="A27" s="90" t="s">
        <v>474</v>
      </c>
      <c r="B27" s="90" t="s">
        <v>469</v>
      </c>
      <c r="C27" s="125">
        <v>-17.741958072156844</v>
      </c>
      <c r="D27" s="125">
        <v>-129.67150279686282</v>
      </c>
      <c r="E27" s="125">
        <v>0.69182523050755707</v>
      </c>
      <c r="F27" s="125">
        <v>1.7239457284467217</v>
      </c>
    </row>
    <row r="28" spans="1:6">
      <c r="A28" s="90" t="s">
        <v>475</v>
      </c>
      <c r="B28" s="90" t="s">
        <v>476</v>
      </c>
      <c r="C28" s="125">
        <v>-17.58521051294116</v>
      </c>
      <c r="D28" s="125">
        <v>-129.0786315539217</v>
      </c>
      <c r="E28" s="125">
        <v>0.69228598346360282</v>
      </c>
      <c r="F28" s="125">
        <v>1.724948455644312</v>
      </c>
    </row>
    <row r="29" spans="1:6">
      <c r="A29" s="90" t="s">
        <v>477</v>
      </c>
      <c r="B29" s="90" t="s">
        <v>476</v>
      </c>
      <c r="C29" s="125">
        <v>-14.99374988960783</v>
      </c>
      <c r="D29" s="125">
        <v>-109.28313381882361</v>
      </c>
      <c r="E29" s="125">
        <v>0.69279995879053557</v>
      </c>
      <c r="F29" s="125">
        <v>1.7294295228859999</v>
      </c>
    </row>
    <row r="30" spans="1:6">
      <c r="A30" s="90" t="s">
        <v>478</v>
      </c>
      <c r="B30" s="90" t="s">
        <v>476</v>
      </c>
      <c r="C30" s="125">
        <v>-15.749371225098026</v>
      </c>
      <c r="D30" s="125">
        <v>-118.64347410156873</v>
      </c>
      <c r="E30" s="125">
        <v>0.69276387239821313</v>
      </c>
      <c r="F30" s="125">
        <v>1.7250460306794804</v>
      </c>
    </row>
    <row r="31" spans="1:6">
      <c r="A31" s="90" t="s">
        <v>479</v>
      </c>
      <c r="B31" s="90" t="s">
        <v>476</v>
      </c>
      <c r="C31" s="125">
        <v>-16.397465217647042</v>
      </c>
      <c r="D31" s="125">
        <v>-121.62976426078444</v>
      </c>
      <c r="E31" s="125">
        <v>0.69185799330510578</v>
      </c>
      <c r="F31" s="125">
        <v>1.724509459130247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3"/>
  <sheetViews>
    <sheetView workbookViewId="0">
      <selection activeCell="Q19" sqref="Q19"/>
    </sheetView>
  </sheetViews>
  <sheetFormatPr baseColWidth="10" defaultRowHeight="13"/>
  <cols>
    <col min="2" max="2" width="7.1640625" customWidth="1"/>
    <col min="3" max="3" width="8" customWidth="1"/>
    <col min="5" max="5" width="5.5" customWidth="1"/>
    <col min="6" max="6" width="7.83203125" customWidth="1"/>
    <col min="7" max="7" width="7" customWidth="1"/>
    <col min="8" max="8" width="7.6640625" customWidth="1"/>
    <col min="9" max="9" width="7.33203125" customWidth="1"/>
    <col min="10" max="10" width="8.1640625" customWidth="1"/>
    <col min="11" max="11" width="6.6640625" customWidth="1"/>
    <col min="12" max="13" width="8.33203125" customWidth="1"/>
    <col min="14" max="15" width="11.1640625" bestFit="1" customWidth="1"/>
    <col min="16" max="16" width="13.83203125" bestFit="1" customWidth="1"/>
    <col min="17" max="17" width="11.1640625" bestFit="1" customWidth="1"/>
    <col min="18" max="18" width="11.1640625" customWidth="1"/>
    <col min="19" max="20" width="11.1640625" bestFit="1" customWidth="1"/>
    <col min="21" max="21" width="11.1640625" customWidth="1"/>
    <col min="22" max="24" width="11.1640625" bestFit="1" customWidth="1"/>
  </cols>
  <sheetData>
    <row r="1" spans="1:24">
      <c r="A1" t="s">
        <v>504</v>
      </c>
      <c r="B1" t="s">
        <v>408</v>
      </c>
      <c r="C1" t="s">
        <v>213</v>
      </c>
      <c r="D1" t="s">
        <v>289</v>
      </c>
      <c r="E1" t="s">
        <v>192</v>
      </c>
      <c r="F1" t="s">
        <v>193</v>
      </c>
      <c r="G1" t="s">
        <v>435</v>
      </c>
      <c r="H1" t="s">
        <v>436</v>
      </c>
      <c r="I1" t="s">
        <v>437</v>
      </c>
      <c r="J1" t="s">
        <v>438</v>
      </c>
      <c r="K1" t="s">
        <v>205</v>
      </c>
      <c r="L1" t="s">
        <v>271</v>
      </c>
      <c r="M1" t="s">
        <v>502</v>
      </c>
      <c r="N1" t="s">
        <v>327</v>
      </c>
      <c r="O1" t="s">
        <v>439</v>
      </c>
      <c r="P1" t="s">
        <v>497</v>
      </c>
      <c r="Q1" t="s">
        <v>483</v>
      </c>
      <c r="R1" t="s">
        <v>505</v>
      </c>
      <c r="S1" t="s">
        <v>484</v>
      </c>
      <c r="T1" t="s">
        <v>485</v>
      </c>
      <c r="U1" t="s">
        <v>506</v>
      </c>
      <c r="V1" t="s">
        <v>486</v>
      </c>
      <c r="W1" t="s">
        <v>487</v>
      </c>
      <c r="X1" t="s">
        <v>488</v>
      </c>
    </row>
    <row r="2" spans="1:24">
      <c r="A2" s="143" t="s">
        <v>351</v>
      </c>
      <c r="B2" s="77">
        <v>10.19</v>
      </c>
      <c r="C2" s="77">
        <v>966.24</v>
      </c>
      <c r="D2" s="77">
        <v>694.39999999999986</v>
      </c>
      <c r="E2" s="77">
        <v>7.4579999999999984</v>
      </c>
      <c r="F2" s="77">
        <v>-89.5</v>
      </c>
      <c r="G2" s="77">
        <v>0.26666666666666666</v>
      </c>
      <c r="H2" s="77">
        <v>6.7777777777777784E-2</v>
      </c>
      <c r="I2" s="77">
        <v>2.4066666666666663</v>
      </c>
      <c r="J2" s="77">
        <v>1.4444444444444444</v>
      </c>
      <c r="K2" s="77">
        <v>6.8750000000000006E-2</v>
      </c>
      <c r="L2" s="77">
        <v>0.42625000000000002</v>
      </c>
      <c r="M2" s="146">
        <f>L2/12</f>
        <v>3.5520833333333335E-2</v>
      </c>
      <c r="N2" s="77">
        <v>4.2091814393904654</v>
      </c>
      <c r="O2" s="77">
        <v>-11.336949096505057</v>
      </c>
      <c r="P2" s="77">
        <v>2755.5714285714284</v>
      </c>
      <c r="Q2" s="77">
        <v>275.56744077056351</v>
      </c>
      <c r="R2" s="77">
        <f>Q2/1000</f>
        <v>0.2755674407705635</v>
      </c>
      <c r="S2" s="77">
        <v>0</v>
      </c>
      <c r="T2" s="77">
        <v>0.63995726027494781</v>
      </c>
      <c r="U2" s="147">
        <f>T2/1000</f>
        <v>6.3995726027494778E-4</v>
      </c>
      <c r="V2" s="77">
        <v>9.6965365770628892E-2</v>
      </c>
      <c r="W2" s="77">
        <v>3.9444457136542724E-2</v>
      </c>
      <c r="X2" s="77">
        <v>0.10300368983328581</v>
      </c>
    </row>
    <row r="3" spans="1:24">
      <c r="A3" s="143" t="s">
        <v>352</v>
      </c>
      <c r="B3" s="77">
        <v>12.511111111111111</v>
      </c>
      <c r="C3" s="77">
        <v>619.31111111111102</v>
      </c>
      <c r="D3" s="77">
        <v>437.51111111111112</v>
      </c>
      <c r="E3" s="77">
        <v>7.8022222222222233</v>
      </c>
      <c r="F3" s="77">
        <v>-125.22222222222223</v>
      </c>
      <c r="G3" s="77">
        <v>0.22222222222222227</v>
      </c>
      <c r="H3" s="77">
        <v>1.8888888888888886E-2</v>
      </c>
      <c r="I3" s="77">
        <v>0.29444444444444445</v>
      </c>
      <c r="J3" s="77">
        <v>24</v>
      </c>
      <c r="K3" s="77">
        <v>1.8751250000000002</v>
      </c>
      <c r="L3" s="77">
        <v>0.42199999999999993</v>
      </c>
      <c r="M3" s="146">
        <f t="shared" ref="M3:M7" si="0">L3/12</f>
        <v>3.5166666666666659E-2</v>
      </c>
      <c r="N3" s="77">
        <v>4.7278856898033492</v>
      </c>
      <c r="O3" s="77">
        <v>-10.336162444776209</v>
      </c>
      <c r="P3" s="77">
        <v>22465.857142857141</v>
      </c>
      <c r="Q3" s="77">
        <v>218.55206878839184</v>
      </c>
      <c r="R3" s="77">
        <f t="shared" ref="R3:R7" si="1">Q3/1000</f>
        <v>0.21855206878839184</v>
      </c>
      <c r="S3" s="77">
        <v>0</v>
      </c>
      <c r="T3" s="77">
        <v>0.41729515613852181</v>
      </c>
      <c r="U3" s="147">
        <f t="shared" ref="U3:U15" si="2">T3/1000</f>
        <v>4.172951561385218E-4</v>
      </c>
      <c r="V3" s="77">
        <v>8.0795601299321035E-2</v>
      </c>
      <c r="W3" s="77">
        <v>1.4465338536614678E-2</v>
      </c>
      <c r="X3" s="77">
        <v>0.10367848631278416</v>
      </c>
    </row>
    <row r="4" spans="1:24">
      <c r="A4" s="143" t="s">
        <v>354</v>
      </c>
      <c r="B4" s="77">
        <v>16.236363636363635</v>
      </c>
      <c r="C4" s="77">
        <v>3036.4545454545455</v>
      </c>
      <c r="D4" s="77">
        <v>2311.818181818182</v>
      </c>
      <c r="E4" s="77">
        <v>7.1063636363636364</v>
      </c>
      <c r="F4" s="77">
        <v>-28.181818181818183</v>
      </c>
      <c r="G4" s="77">
        <v>0.32999999999999996</v>
      </c>
      <c r="H4" s="77">
        <v>0.23899999999999996</v>
      </c>
      <c r="I4" s="77">
        <v>2.5430000000000001</v>
      </c>
      <c r="J4" s="77">
        <v>9.9</v>
      </c>
      <c r="K4" s="77">
        <v>0.63664999999999983</v>
      </c>
      <c r="L4" s="77">
        <v>0.24769999999999998</v>
      </c>
      <c r="M4" s="146">
        <f t="shared" si="0"/>
        <v>2.0641666666666666E-2</v>
      </c>
      <c r="N4" s="77">
        <v>9.9557733044060317</v>
      </c>
      <c r="O4" s="77">
        <v>-6.7697169671644515</v>
      </c>
      <c r="P4" s="77">
        <v>6075.7142857142853</v>
      </c>
      <c r="Q4" s="77">
        <v>1121.3771573762067</v>
      </c>
      <c r="R4" s="77">
        <f t="shared" si="1"/>
        <v>1.1213771573762068</v>
      </c>
      <c r="S4" s="77">
        <v>4.2171217864341243E-3</v>
      </c>
      <c r="T4" s="77">
        <v>5.4022360483053129</v>
      </c>
      <c r="U4" s="147">
        <f t="shared" si="2"/>
        <v>5.4022360483053132E-3</v>
      </c>
      <c r="V4" s="77">
        <v>8.6678576859953671E-2</v>
      </c>
      <c r="W4" s="77">
        <v>9.7121004359632793E-2</v>
      </c>
      <c r="X4" s="77">
        <v>0.13458998711584433</v>
      </c>
    </row>
    <row r="5" spans="1:24">
      <c r="A5" s="143" t="s">
        <v>355</v>
      </c>
      <c r="B5" s="77">
        <v>22.549999999999997</v>
      </c>
      <c r="C5" s="77">
        <v>1781.25</v>
      </c>
      <c r="D5" s="77">
        <v>1302.3333333333333</v>
      </c>
      <c r="E5" s="77">
        <v>8.334347104490714</v>
      </c>
      <c r="F5" s="77">
        <v>-222.5</v>
      </c>
      <c r="G5" s="77">
        <v>0.98000000000000009</v>
      </c>
      <c r="H5" s="77">
        <v>1.3660000000000001</v>
      </c>
      <c r="I5" s="77">
        <v>1.8000000000000006E-2</v>
      </c>
      <c r="J5" s="77">
        <v>878.3</v>
      </c>
      <c r="K5" s="77">
        <v>0.14709999999999995</v>
      </c>
      <c r="L5" s="77">
        <v>0.20989999999999998</v>
      </c>
      <c r="M5" s="146">
        <f t="shared" si="0"/>
        <v>1.7491666666666666E-2</v>
      </c>
      <c r="N5" s="77">
        <v>13.504190439788648</v>
      </c>
      <c r="O5" s="77">
        <v>-10.022765751430329</v>
      </c>
      <c r="P5" s="77">
        <v>25065.714285714286</v>
      </c>
      <c r="Q5" s="77">
        <v>162.46253734429155</v>
      </c>
      <c r="R5" s="77">
        <f t="shared" si="1"/>
        <v>0.16246253734429156</v>
      </c>
      <c r="S5" s="77">
        <v>2.7401517954140751</v>
      </c>
      <c r="T5" s="77">
        <v>59.643889079119646</v>
      </c>
      <c r="U5" s="147">
        <f t="shared" si="2"/>
        <v>5.9643889079119647E-2</v>
      </c>
      <c r="V5" s="77">
        <v>3.0502470833491526E-2</v>
      </c>
      <c r="W5" s="77">
        <v>3.7806635037196537</v>
      </c>
      <c r="X5" s="77">
        <v>0.12930789912556584</v>
      </c>
    </row>
    <row r="6" spans="1:24">
      <c r="A6" s="143" t="s">
        <v>356</v>
      </c>
      <c r="B6" s="77">
        <v>31.758333333333336</v>
      </c>
      <c r="C6" s="77">
        <v>1544.5</v>
      </c>
      <c r="D6" s="77">
        <v>1112.1666666666667</v>
      </c>
      <c r="E6" s="77">
        <v>8.6258333333333308</v>
      </c>
      <c r="F6" s="77">
        <v>-213.41666666666666</v>
      </c>
      <c r="G6" s="77">
        <v>0.76363636363636356</v>
      </c>
      <c r="H6" s="77">
        <v>0.4527272727272727</v>
      </c>
      <c r="I6" s="77">
        <v>1.6363636363636365E-2</v>
      </c>
      <c r="J6" s="77">
        <v>316.81818181818181</v>
      </c>
      <c r="K6" s="77">
        <v>0.82790909090909082</v>
      </c>
      <c r="L6" s="77">
        <v>0.19075</v>
      </c>
      <c r="M6" s="146">
        <f t="shared" si="0"/>
        <v>1.5895833333333335E-2</v>
      </c>
      <c r="N6" s="77">
        <v>13.386853983474948</v>
      </c>
      <c r="O6" s="77">
        <v>-9.9014534398924408</v>
      </c>
      <c r="P6" s="77">
        <v>13751.857142857143</v>
      </c>
      <c r="Q6" s="77">
        <v>56.16808820487519</v>
      </c>
      <c r="R6" s="77">
        <f t="shared" si="1"/>
        <v>5.6168088204875191E-2</v>
      </c>
      <c r="S6" s="77">
        <v>0.45446994779689825</v>
      </c>
      <c r="T6" s="77">
        <v>29.440868802272508</v>
      </c>
      <c r="U6" s="147">
        <f t="shared" si="2"/>
        <v>2.9440868802272507E-2</v>
      </c>
      <c r="V6" s="77">
        <v>7.5625608535937944E-2</v>
      </c>
      <c r="W6" s="77">
        <v>0.92937069081229684</v>
      </c>
      <c r="X6" s="77">
        <v>0.16289144459257732</v>
      </c>
    </row>
    <row r="7" spans="1:24">
      <c r="A7" s="143" t="s">
        <v>357</v>
      </c>
      <c r="B7" s="77">
        <v>21.619999999999997</v>
      </c>
      <c r="C7" s="77">
        <v>7925</v>
      </c>
      <c r="D7" s="77">
        <v>6601.6</v>
      </c>
      <c r="E7" s="77">
        <v>8.4809999999999999</v>
      </c>
      <c r="F7" s="77">
        <v>-244.2</v>
      </c>
      <c r="G7" s="77">
        <v>0.3</v>
      </c>
      <c r="H7" s="77">
        <v>7.7777777777777779E-2</v>
      </c>
      <c r="I7" s="77">
        <v>1.2466666666666668</v>
      </c>
      <c r="J7" s="77">
        <v>75.222222222222229</v>
      </c>
      <c r="K7" s="77">
        <v>0.25588888888888894</v>
      </c>
      <c r="L7" s="77">
        <v>0.24037499999999998</v>
      </c>
      <c r="M7" s="146">
        <f t="shared" si="0"/>
        <v>2.0031249999999997E-2</v>
      </c>
      <c r="N7" s="77">
        <v>2.3585436094900301</v>
      </c>
      <c r="O7" s="77">
        <v>-13.248452478541324</v>
      </c>
      <c r="P7" s="77">
        <v>231552.57142857142</v>
      </c>
      <c r="Q7" s="77">
        <v>22.508049678025557</v>
      </c>
      <c r="R7" s="77">
        <f t="shared" si="1"/>
        <v>2.2508049678025558E-2</v>
      </c>
      <c r="S7" s="77">
        <v>2.2990964295596665</v>
      </c>
      <c r="T7" s="77">
        <v>448.876543619899</v>
      </c>
      <c r="U7" s="147">
        <f t="shared" si="2"/>
        <v>0.44887654361989898</v>
      </c>
      <c r="V7" s="77">
        <v>2.4823142837701206E-2</v>
      </c>
      <c r="W7" s="77">
        <v>8.9202317798669259</v>
      </c>
      <c r="X7" s="77">
        <v>0.24573838165437023</v>
      </c>
    </row>
    <row r="8" spans="1:24">
      <c r="U8" s="77"/>
    </row>
    <row r="9" spans="1:24">
      <c r="A9" s="143" t="s">
        <v>503</v>
      </c>
      <c r="B9" t="s">
        <v>408</v>
      </c>
      <c r="C9" t="s">
        <v>213</v>
      </c>
      <c r="D9" t="s">
        <v>289</v>
      </c>
      <c r="E9" t="s">
        <v>192</v>
      </c>
      <c r="F9" t="s">
        <v>193</v>
      </c>
      <c r="G9" t="s">
        <v>435</v>
      </c>
      <c r="H9" t="s">
        <v>436</v>
      </c>
      <c r="I9" t="s">
        <v>437</v>
      </c>
      <c r="J9" t="s">
        <v>438</v>
      </c>
      <c r="K9" t="s">
        <v>205</v>
      </c>
      <c r="L9" t="s">
        <v>271</v>
      </c>
      <c r="M9" t="s">
        <v>502</v>
      </c>
      <c r="N9" t="s">
        <v>327</v>
      </c>
      <c r="O9" t="s">
        <v>439</v>
      </c>
      <c r="P9" t="s">
        <v>497</v>
      </c>
      <c r="Q9" t="s">
        <v>483</v>
      </c>
      <c r="R9" t="s">
        <v>505</v>
      </c>
      <c r="S9" t="s">
        <v>484</v>
      </c>
      <c r="T9" t="s">
        <v>485</v>
      </c>
      <c r="U9" s="77" t="s">
        <v>506</v>
      </c>
      <c r="V9" t="s">
        <v>486</v>
      </c>
      <c r="W9" t="s">
        <v>487</v>
      </c>
      <c r="X9" t="s">
        <v>488</v>
      </c>
    </row>
    <row r="10" spans="1:24">
      <c r="A10" s="143" t="s">
        <v>351</v>
      </c>
      <c r="B10" s="93">
        <v>0.31073389830457121</v>
      </c>
      <c r="C10" s="93">
        <v>34.113575010543819</v>
      </c>
      <c r="D10" s="93">
        <v>25.849908660917507</v>
      </c>
      <c r="E10" s="93">
        <v>0.53538770998221463</v>
      </c>
      <c r="F10" s="93">
        <v>30.63494736408078</v>
      </c>
      <c r="G10" s="93">
        <v>0.11180339887498947</v>
      </c>
      <c r="H10" s="93">
        <v>1.3944333775567915E-2</v>
      </c>
      <c r="I10" s="93">
        <v>0.6890210446713525</v>
      </c>
      <c r="J10" s="93">
        <v>2.6034165586355513</v>
      </c>
      <c r="K10" s="93">
        <v>6.6551269173257918E-2</v>
      </c>
      <c r="L10" s="77">
        <v>3.1152848986890417E-2</v>
      </c>
      <c r="M10" s="77">
        <f>L10/12</f>
        <v>2.5960707489075347E-3</v>
      </c>
      <c r="N10" s="77">
        <v>0.1260928250456797</v>
      </c>
      <c r="O10" s="77">
        <v>0.91026596704245744</v>
      </c>
      <c r="P10" s="77">
        <v>2310.8167284276251</v>
      </c>
      <c r="Q10" s="77">
        <v>53.332178755957742</v>
      </c>
      <c r="R10" s="77">
        <f>Q10/1000</f>
        <v>5.3332178755957742E-2</v>
      </c>
      <c r="S10" s="77">
        <v>0</v>
      </c>
      <c r="T10" s="77">
        <v>0.31911869341019322</v>
      </c>
      <c r="U10" s="147">
        <f t="shared" si="2"/>
        <v>3.1911869341019321E-4</v>
      </c>
      <c r="V10" s="77">
        <v>9.0233366152715752E-2</v>
      </c>
      <c r="W10" s="77">
        <v>1.7373009016844347E-2</v>
      </c>
      <c r="X10" s="77">
        <v>0.10075210469299578</v>
      </c>
    </row>
    <row r="11" spans="1:24">
      <c r="A11" s="143" t="s">
        <v>352</v>
      </c>
      <c r="B11" s="93">
        <v>9.2796072713833361E-2</v>
      </c>
      <c r="C11" s="93">
        <v>8.225181524508189</v>
      </c>
      <c r="D11" s="93">
        <v>5.8773813140812168</v>
      </c>
      <c r="E11" s="93">
        <v>0.30400566515189226</v>
      </c>
      <c r="F11" s="93">
        <v>36.495814067430324</v>
      </c>
      <c r="G11" s="93">
        <v>0.15634719199411429</v>
      </c>
      <c r="H11" s="93">
        <v>9.2796072713833763E-3</v>
      </c>
      <c r="I11" s="93">
        <v>2.0682789409984758E-2</v>
      </c>
      <c r="J11" s="93">
        <v>16.248076809271922</v>
      </c>
      <c r="K11" s="93">
        <v>4.0938091391584361</v>
      </c>
      <c r="L11" s="77">
        <v>4.9505050247425388E-2</v>
      </c>
      <c r="M11" s="77">
        <f t="shared" ref="M11:M15" si="3">L11/12</f>
        <v>4.1254208539521159E-3</v>
      </c>
      <c r="N11" s="77">
        <v>0.31487403565316374</v>
      </c>
      <c r="O11" s="77">
        <v>0.53830377132011187</v>
      </c>
      <c r="P11" s="77">
        <v>20674.600241428059</v>
      </c>
      <c r="Q11" s="77">
        <v>29.215906703365924</v>
      </c>
      <c r="R11" s="77">
        <f t="shared" ref="R11:R15" si="4">Q11/1000</f>
        <v>2.9215906703365924E-2</v>
      </c>
      <c r="S11" s="77">
        <v>0</v>
      </c>
      <c r="T11" s="77">
        <v>0.1075747974969891</v>
      </c>
      <c r="U11" s="147">
        <f t="shared" si="2"/>
        <v>1.075747974969891E-4</v>
      </c>
      <c r="V11" s="77">
        <v>6.8458339072059254E-2</v>
      </c>
      <c r="W11" s="77">
        <v>3.7205383082080613E-3</v>
      </c>
      <c r="X11" s="77">
        <v>7.9970048365870738E-2</v>
      </c>
    </row>
    <row r="12" spans="1:24">
      <c r="A12" s="143" t="s">
        <v>354</v>
      </c>
      <c r="B12" s="93">
        <v>0.17477257950106009</v>
      </c>
      <c r="C12" s="93">
        <v>15.520074976388718</v>
      </c>
      <c r="D12" s="93">
        <v>13.310283106066391</v>
      </c>
      <c r="E12" s="93">
        <v>0.45376806250049656</v>
      </c>
      <c r="F12" s="93">
        <v>34.553778901353702</v>
      </c>
      <c r="G12" s="93">
        <v>0.19465068427541923</v>
      </c>
      <c r="H12" s="93">
        <v>3.6651512019742795E-2</v>
      </c>
      <c r="I12" s="93">
        <v>0.33675081456636696</v>
      </c>
      <c r="J12" s="93">
        <v>8.0477740193588101</v>
      </c>
      <c r="K12" s="93">
        <v>1.0594293026069379</v>
      </c>
      <c r="L12" s="77">
        <v>4.6833155397052295E-2</v>
      </c>
      <c r="M12" s="77">
        <f t="shared" si="3"/>
        <v>3.9027629497543578E-3</v>
      </c>
      <c r="N12" s="77">
        <v>2.0877544920802702</v>
      </c>
      <c r="O12" s="77">
        <v>2.230446396770887</v>
      </c>
      <c r="P12" s="77">
        <v>3679.1732184593557</v>
      </c>
      <c r="Q12" s="77">
        <v>369.22915801826741</v>
      </c>
      <c r="R12" s="77">
        <f t="shared" si="4"/>
        <v>0.36922915801826739</v>
      </c>
      <c r="S12" s="77">
        <v>1.0329796559937859E-2</v>
      </c>
      <c r="T12" s="77">
        <v>3.181528438665842</v>
      </c>
      <c r="U12" s="147">
        <f t="shared" si="2"/>
        <v>3.1815284386658418E-3</v>
      </c>
      <c r="V12" s="77">
        <v>9.7985220764905803E-2</v>
      </c>
      <c r="W12" s="77">
        <v>6.0934342898692907E-2</v>
      </c>
      <c r="X12" s="77">
        <v>0.10931828232180928</v>
      </c>
    </row>
    <row r="13" spans="1:24">
      <c r="A13" s="143" t="s">
        <v>355</v>
      </c>
      <c r="B13" s="93">
        <v>0.2779797245712845</v>
      </c>
      <c r="C13" s="93">
        <v>43.582992929894942</v>
      </c>
      <c r="D13" s="93">
        <v>35.268665808034015</v>
      </c>
      <c r="E13" s="93">
        <v>0.45003358726787501</v>
      </c>
      <c r="F13" s="93">
        <v>44.254429670424472</v>
      </c>
      <c r="G13" s="93">
        <v>7.8881063774661572E-2</v>
      </c>
      <c r="H13" s="93">
        <v>0.24513941611526543</v>
      </c>
      <c r="I13" s="93">
        <v>3.3598941782277736E-2</v>
      </c>
      <c r="J13" s="93">
        <v>231.76618965385487</v>
      </c>
      <c r="K13" s="93">
        <v>0.2395873535894581</v>
      </c>
      <c r="L13" s="77">
        <v>5.0639137257878337E-2</v>
      </c>
      <c r="M13" s="77">
        <f t="shared" si="3"/>
        <v>4.2199281048231948E-3</v>
      </c>
      <c r="N13" s="77">
        <v>1.2651280196113797</v>
      </c>
      <c r="O13" s="77">
        <v>0.25892711667790919</v>
      </c>
      <c r="P13" s="77">
        <v>28071.096331246048</v>
      </c>
      <c r="Q13" s="77">
        <v>48.057817847944605</v>
      </c>
      <c r="R13" s="77">
        <f t="shared" si="4"/>
        <v>4.8057817847944606E-2</v>
      </c>
      <c r="S13" s="77">
        <v>1.2406197743607414</v>
      </c>
      <c r="T13" s="77">
        <v>29.982337535180452</v>
      </c>
      <c r="U13" s="147">
        <f t="shared" si="2"/>
        <v>2.9982337535180453E-2</v>
      </c>
      <c r="V13" s="77">
        <v>2.7255884547272284E-2</v>
      </c>
      <c r="W13" s="77">
        <v>1.9427228919935506</v>
      </c>
      <c r="X13" s="77">
        <v>9.2448426857261817E-2</v>
      </c>
    </row>
    <row r="14" spans="1:24">
      <c r="A14" s="143" t="s">
        <v>356</v>
      </c>
      <c r="B14" s="93">
        <v>0.62734408904572125</v>
      </c>
      <c r="C14" s="93">
        <v>9.9040854747376397</v>
      </c>
      <c r="D14" s="93">
        <v>8.0547369838367722</v>
      </c>
      <c r="E14" s="93">
        <v>0.38838730279155226</v>
      </c>
      <c r="F14" s="93">
        <v>59.015342124405265</v>
      </c>
      <c r="G14" s="93">
        <v>0.143336856898199</v>
      </c>
      <c r="H14" s="93">
        <v>4.3379928328873267E-2</v>
      </c>
      <c r="I14" s="93">
        <v>3.8800187440971794E-2</v>
      </c>
      <c r="J14" s="93">
        <v>65.271461117119529</v>
      </c>
      <c r="K14" s="93">
        <v>1.927711049641281</v>
      </c>
      <c r="L14" s="77">
        <v>4.4566964062119914E-2</v>
      </c>
      <c r="M14" s="77">
        <f t="shared" si="3"/>
        <v>3.7139136718433263E-3</v>
      </c>
      <c r="N14" s="77">
        <v>1.226620163788162</v>
      </c>
      <c r="O14" s="77">
        <v>0.22823876265748547</v>
      </c>
      <c r="P14" s="77">
        <v>17911.276210147353</v>
      </c>
      <c r="Q14" s="77">
        <v>14.845212773775796</v>
      </c>
      <c r="R14" s="77">
        <f t="shared" si="4"/>
        <v>1.4845212773775795E-2</v>
      </c>
      <c r="S14" s="77">
        <v>0.32715497544681532</v>
      </c>
      <c r="T14" s="77">
        <v>25.157167777361447</v>
      </c>
      <c r="U14" s="147">
        <f t="shared" si="2"/>
        <v>2.5157167777361447E-2</v>
      </c>
      <c r="V14" s="77">
        <v>9.1623802009842187E-2</v>
      </c>
      <c r="W14" s="77">
        <v>1.0498687303334089</v>
      </c>
      <c r="X14" s="77">
        <v>0.19249905229466957</v>
      </c>
    </row>
    <row r="15" spans="1:24">
      <c r="A15" s="143" t="s">
        <v>357</v>
      </c>
      <c r="B15" s="93">
        <v>1.2336035739968405</v>
      </c>
      <c r="C15" s="93">
        <v>53.283309873834895</v>
      </c>
      <c r="D15" s="93">
        <v>49.94263375780924</v>
      </c>
      <c r="E15" s="93">
        <v>0.80769149776109161</v>
      </c>
      <c r="F15" s="93">
        <v>68.172656623540121</v>
      </c>
      <c r="G15" s="93">
        <v>5.0000000000000162E-2</v>
      </c>
      <c r="H15" s="93">
        <v>4.294699575575045E-2</v>
      </c>
      <c r="I15" s="93">
        <v>0.97663964695275374</v>
      </c>
      <c r="J15" s="93">
        <v>28.839113100864324</v>
      </c>
      <c r="K15" s="93">
        <v>0.38635910900496589</v>
      </c>
      <c r="L15" s="77">
        <v>9.7546966709814859E-2</v>
      </c>
      <c r="M15" s="77">
        <f t="shared" si="3"/>
        <v>8.1289138924845721E-3</v>
      </c>
      <c r="N15" s="77">
        <v>0.9209840011047713</v>
      </c>
      <c r="O15" s="77">
        <v>0.6297287509919427</v>
      </c>
      <c r="P15" s="77">
        <v>197431.35921534617</v>
      </c>
      <c r="Q15" s="77">
        <v>15.721617325075192</v>
      </c>
      <c r="R15" s="77">
        <f t="shared" si="4"/>
        <v>1.5721617325075193E-2</v>
      </c>
      <c r="S15" s="77">
        <v>1.3338213982084646</v>
      </c>
      <c r="T15" s="77">
        <v>258.25540118254179</v>
      </c>
      <c r="U15" s="147">
        <f t="shared" si="2"/>
        <v>0.25825540118254181</v>
      </c>
      <c r="V15" s="77">
        <v>2.0604075436849896E-2</v>
      </c>
      <c r="W15" s="77">
        <v>4.277072237180346</v>
      </c>
      <c r="X15" s="77">
        <v>0.1278557719363097</v>
      </c>
    </row>
    <row r="17" spans="2:8">
      <c r="C17" t="s">
        <v>327</v>
      </c>
      <c r="D17" t="s">
        <v>502</v>
      </c>
      <c r="E17" t="s">
        <v>505</v>
      </c>
      <c r="F17" t="s">
        <v>506</v>
      </c>
      <c r="G17" t="s">
        <v>497</v>
      </c>
      <c r="H17" t="s">
        <v>439</v>
      </c>
    </row>
    <row r="18" spans="2:8">
      <c r="B18" s="143" t="s">
        <v>351</v>
      </c>
      <c r="C18" s="77">
        <v>4.2091814393904654</v>
      </c>
      <c r="D18" s="146">
        <v>3.5520833333333335E-2</v>
      </c>
      <c r="E18">
        <v>0.2755674407705635</v>
      </c>
      <c r="F18">
        <v>6.3995726027494778E-4</v>
      </c>
      <c r="G18">
        <v>2755.5714285714284</v>
      </c>
      <c r="H18" s="77">
        <v>-11.336949096505057</v>
      </c>
    </row>
    <row r="19" spans="2:8">
      <c r="B19" s="143" t="s">
        <v>352</v>
      </c>
      <c r="C19" s="77">
        <v>4.7278856898033492</v>
      </c>
      <c r="D19" s="146">
        <v>3.5166666666666659E-2</v>
      </c>
      <c r="E19">
        <v>0.21855206878839184</v>
      </c>
      <c r="F19">
        <v>4.172951561385218E-4</v>
      </c>
      <c r="G19">
        <v>22465.857142857141</v>
      </c>
      <c r="H19" s="77">
        <v>-10.336162444776209</v>
      </c>
    </row>
    <row r="20" spans="2:8">
      <c r="B20" s="143" t="s">
        <v>354</v>
      </c>
      <c r="C20" s="77">
        <v>9.9557733044060317</v>
      </c>
      <c r="D20" s="146">
        <v>2.0641666666666666E-2</v>
      </c>
      <c r="E20">
        <v>1.1213771573762068</v>
      </c>
      <c r="F20">
        <v>5.4022360483053132E-3</v>
      </c>
      <c r="G20">
        <v>6075.7142857142853</v>
      </c>
      <c r="H20" s="77">
        <v>-6.7697169671644515</v>
      </c>
    </row>
    <row r="21" spans="2:8">
      <c r="B21" s="143" t="s">
        <v>355</v>
      </c>
      <c r="C21" s="77">
        <v>13.504190439788648</v>
      </c>
      <c r="D21" s="146">
        <v>1.7491666666666666E-2</v>
      </c>
      <c r="E21">
        <v>0.16246253734429156</v>
      </c>
      <c r="F21">
        <v>5.9643889079119647E-2</v>
      </c>
      <c r="G21">
        <v>25065.714285714286</v>
      </c>
      <c r="H21" s="77">
        <v>-10.022765751430329</v>
      </c>
    </row>
    <row r="22" spans="2:8">
      <c r="B22" s="143" t="s">
        <v>356</v>
      </c>
      <c r="C22" s="77">
        <v>13.386853983474948</v>
      </c>
      <c r="D22" s="146">
        <v>1.5895833333333335E-2</v>
      </c>
      <c r="E22">
        <v>5.6168088204875191E-2</v>
      </c>
      <c r="F22">
        <v>2.9440868802272507E-2</v>
      </c>
      <c r="G22">
        <v>13751.857142857143</v>
      </c>
      <c r="H22" s="77">
        <v>-9.9014534398924408</v>
      </c>
    </row>
    <row r="23" spans="2:8">
      <c r="B23" s="143" t="s">
        <v>357</v>
      </c>
      <c r="C23" s="77">
        <v>2.3585436094900301</v>
      </c>
      <c r="D23" s="146">
        <v>2.0031249999999997E-2</v>
      </c>
      <c r="E23">
        <v>2.2508049678025558E-2</v>
      </c>
      <c r="F23">
        <v>0.44887654361989898</v>
      </c>
      <c r="G23">
        <v>231552.57142857142</v>
      </c>
      <c r="H23" s="77">
        <v>-13.248452478541324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133"/>
  <sheetViews>
    <sheetView zoomScale="75" zoomScaleNormal="75" zoomScalePageLayoutView="75" workbookViewId="0">
      <selection activeCell="H12" sqref="H12:J12"/>
    </sheetView>
  </sheetViews>
  <sheetFormatPr baseColWidth="10" defaultRowHeight="13"/>
  <cols>
    <col min="2" max="10" width="7.6640625" customWidth="1"/>
    <col min="12" max="20" width="7.1640625" customWidth="1"/>
    <col min="22" max="31" width="8.33203125" customWidth="1"/>
    <col min="33" max="43" width="8.83203125" customWidth="1"/>
    <col min="45" max="55" width="7.6640625" customWidth="1"/>
    <col min="57" max="63" width="7.6640625" customWidth="1"/>
  </cols>
  <sheetData>
    <row r="1" spans="1:71">
      <c r="A1" s="62" t="s">
        <v>239</v>
      </c>
      <c r="K1" t="s">
        <v>238</v>
      </c>
      <c r="U1" t="s">
        <v>234</v>
      </c>
      <c r="AF1" t="s">
        <v>233</v>
      </c>
      <c r="AU1" t="s">
        <v>229</v>
      </c>
      <c r="BH1" t="s">
        <v>232</v>
      </c>
    </row>
    <row r="3" spans="1:71">
      <c r="B3" t="s">
        <v>351</v>
      </c>
      <c r="C3" t="s">
        <v>351</v>
      </c>
      <c r="D3" t="s">
        <v>351</v>
      </c>
      <c r="E3" t="s">
        <v>351</v>
      </c>
      <c r="F3" t="s">
        <v>351</v>
      </c>
      <c r="G3" t="s">
        <v>353</v>
      </c>
      <c r="H3" t="s">
        <v>351</v>
      </c>
      <c r="I3" t="s">
        <v>351</v>
      </c>
      <c r="M3" t="s">
        <v>352</v>
      </c>
      <c r="N3" t="s">
        <v>352</v>
      </c>
      <c r="O3" t="s">
        <v>352</v>
      </c>
      <c r="P3" t="s">
        <v>352</v>
      </c>
      <c r="Q3" t="s">
        <v>352</v>
      </c>
      <c r="R3" t="s">
        <v>352</v>
      </c>
      <c r="S3" t="s">
        <v>352</v>
      </c>
      <c r="T3" t="s">
        <v>352</v>
      </c>
      <c r="W3" t="s">
        <v>354</v>
      </c>
      <c r="X3" t="s">
        <v>354</v>
      </c>
      <c r="Y3" t="s">
        <v>354</v>
      </c>
      <c r="Z3" t="s">
        <v>354</v>
      </c>
      <c r="AA3" t="s">
        <v>354</v>
      </c>
      <c r="AB3" t="s">
        <v>354</v>
      </c>
      <c r="AC3" t="s">
        <v>354</v>
      </c>
      <c r="AD3" t="s">
        <v>354</v>
      </c>
      <c r="AE3" t="s">
        <v>354</v>
      </c>
      <c r="AF3" t="s">
        <v>354</v>
      </c>
      <c r="AH3" t="s">
        <v>355</v>
      </c>
      <c r="AI3" t="s">
        <v>355</v>
      </c>
      <c r="AJ3" t="s">
        <v>355</v>
      </c>
      <c r="AK3" t="s">
        <v>355</v>
      </c>
      <c r="AL3" t="s">
        <v>355</v>
      </c>
      <c r="AM3" t="s">
        <v>355</v>
      </c>
      <c r="AN3" t="s">
        <v>355</v>
      </c>
      <c r="AO3" t="s">
        <v>355</v>
      </c>
      <c r="AP3" t="s">
        <v>355</v>
      </c>
      <c r="AQ3" t="s">
        <v>355</v>
      </c>
      <c r="AR3" t="s">
        <v>355</v>
      </c>
      <c r="AS3" t="s">
        <v>355</v>
      </c>
      <c r="AU3" t="s">
        <v>356</v>
      </c>
      <c r="AV3" t="s">
        <v>356</v>
      </c>
      <c r="AW3" t="s">
        <v>356</v>
      </c>
      <c r="AX3" t="s">
        <v>356</v>
      </c>
      <c r="AY3" t="s">
        <v>356</v>
      </c>
      <c r="AZ3" t="s">
        <v>356</v>
      </c>
      <c r="BA3" t="s">
        <v>356</v>
      </c>
      <c r="BB3" t="s">
        <v>356</v>
      </c>
      <c r="BC3" t="s">
        <v>356</v>
      </c>
      <c r="BD3" t="s">
        <v>356</v>
      </c>
      <c r="BE3" t="s">
        <v>356</v>
      </c>
      <c r="BF3" t="s">
        <v>356</v>
      </c>
      <c r="BH3" t="s">
        <v>357</v>
      </c>
      <c r="BI3" t="s">
        <v>357</v>
      </c>
      <c r="BJ3" t="s">
        <v>357</v>
      </c>
      <c r="BK3" t="s">
        <v>357</v>
      </c>
      <c r="BL3" t="s">
        <v>357</v>
      </c>
      <c r="BM3" t="s">
        <v>357</v>
      </c>
      <c r="BN3" t="s">
        <v>357</v>
      </c>
      <c r="BO3" t="s">
        <v>357</v>
      </c>
      <c r="BP3" t="s">
        <v>357</v>
      </c>
      <c r="BQ3" t="s">
        <v>357</v>
      </c>
    </row>
    <row r="4" spans="1:71" ht="56">
      <c r="X4" t="s">
        <v>235</v>
      </c>
      <c r="Y4" t="s">
        <v>236</v>
      </c>
      <c r="Z4" s="70" t="s">
        <v>237</v>
      </c>
      <c r="AA4" s="63">
        <v>42563</v>
      </c>
      <c r="AB4" s="63">
        <v>42634</v>
      </c>
      <c r="AC4" s="63">
        <v>42712</v>
      </c>
      <c r="AD4" s="63"/>
      <c r="AE4" s="63"/>
      <c r="AF4" s="63"/>
      <c r="AG4" t="s">
        <v>187</v>
      </c>
      <c r="AH4" s="70">
        <v>42348</v>
      </c>
      <c r="AI4" s="70">
        <v>42494</v>
      </c>
      <c r="AJ4" s="74" t="s">
        <v>230</v>
      </c>
      <c r="AK4" s="74" t="s">
        <v>231</v>
      </c>
      <c r="AL4" s="74" t="s">
        <v>283</v>
      </c>
      <c r="AM4" s="74" t="s">
        <v>284</v>
      </c>
      <c r="AP4" s="70">
        <v>42633</v>
      </c>
      <c r="AQ4" s="70">
        <v>42710</v>
      </c>
      <c r="AR4" s="70"/>
      <c r="AS4" s="70"/>
      <c r="AT4" t="s">
        <v>187</v>
      </c>
      <c r="AU4" s="71">
        <v>42712</v>
      </c>
      <c r="AV4" s="72" t="s">
        <v>264</v>
      </c>
      <c r="AW4" s="69" t="s">
        <v>265</v>
      </c>
      <c r="AX4" s="69" t="s">
        <v>266</v>
      </c>
    </row>
    <row r="5" spans="1:71">
      <c r="A5" t="s">
        <v>187</v>
      </c>
      <c r="B5" s="63">
        <v>42345</v>
      </c>
      <c r="C5" s="63">
        <v>42492</v>
      </c>
      <c r="D5" s="63">
        <v>42508</v>
      </c>
      <c r="E5" s="63">
        <v>42562</v>
      </c>
      <c r="F5" s="63">
        <v>42633</v>
      </c>
      <c r="G5" s="63">
        <v>42713</v>
      </c>
      <c r="H5" s="63">
        <v>42781</v>
      </c>
      <c r="I5" s="63">
        <v>42864</v>
      </c>
      <c r="J5" s="63" t="s">
        <v>323</v>
      </c>
      <c r="K5" s="63" t="s">
        <v>322</v>
      </c>
      <c r="L5" t="s">
        <v>187</v>
      </c>
      <c r="M5" s="63">
        <v>42345</v>
      </c>
      <c r="N5" s="63">
        <v>42492</v>
      </c>
      <c r="O5" s="63">
        <v>42508</v>
      </c>
      <c r="P5" s="63">
        <v>42562</v>
      </c>
      <c r="Q5" s="63">
        <v>42633</v>
      </c>
      <c r="R5" s="63">
        <v>42713</v>
      </c>
      <c r="S5" s="63">
        <v>42781</v>
      </c>
      <c r="T5" s="63">
        <v>42864</v>
      </c>
      <c r="U5" s="63" t="s">
        <v>321</v>
      </c>
      <c r="V5" s="63" t="s">
        <v>322</v>
      </c>
      <c r="W5" t="s">
        <v>187</v>
      </c>
      <c r="X5" s="63">
        <v>42347</v>
      </c>
      <c r="Y5" s="63">
        <v>42495</v>
      </c>
      <c r="Z5" s="63">
        <v>42495</v>
      </c>
      <c r="AA5" s="70">
        <v>42506</v>
      </c>
      <c r="AB5" s="63">
        <v>42563</v>
      </c>
      <c r="AC5" s="63">
        <v>42634</v>
      </c>
      <c r="AD5" s="63">
        <v>42712</v>
      </c>
      <c r="AE5" s="63">
        <v>42782</v>
      </c>
      <c r="AF5" s="63">
        <v>42866</v>
      </c>
      <c r="AG5" s="63" t="s">
        <v>321</v>
      </c>
      <c r="AH5" s="63" t="s">
        <v>322</v>
      </c>
      <c r="AI5" t="s">
        <v>187</v>
      </c>
      <c r="AJ5" s="70">
        <v>42348</v>
      </c>
      <c r="AK5" s="70">
        <v>42494</v>
      </c>
      <c r="AL5" s="70">
        <v>42507</v>
      </c>
      <c r="AM5" s="70">
        <v>42507</v>
      </c>
      <c r="AN5" s="70">
        <v>42562</v>
      </c>
      <c r="AO5" s="70">
        <v>42562</v>
      </c>
      <c r="AP5" s="70">
        <v>42633</v>
      </c>
      <c r="AQ5" s="70">
        <v>42710</v>
      </c>
      <c r="AR5" s="63">
        <v>42781</v>
      </c>
      <c r="AS5" s="63">
        <v>42864</v>
      </c>
      <c r="AT5" s="63" t="s">
        <v>321</v>
      </c>
      <c r="AU5" s="63" t="s">
        <v>322</v>
      </c>
      <c r="AV5" t="s">
        <v>187</v>
      </c>
      <c r="AW5" s="71">
        <v>42346</v>
      </c>
      <c r="AX5" s="72">
        <v>42493</v>
      </c>
      <c r="AY5" s="72">
        <v>42493</v>
      </c>
      <c r="AZ5" s="72">
        <v>42494</v>
      </c>
      <c r="BA5" s="71">
        <v>42509</v>
      </c>
      <c r="BB5" s="63">
        <v>42564</v>
      </c>
      <c r="BC5" s="63">
        <v>42635</v>
      </c>
      <c r="BD5" s="63">
        <v>42711</v>
      </c>
      <c r="BE5" s="63">
        <v>42780</v>
      </c>
      <c r="BF5" s="63">
        <v>42865</v>
      </c>
      <c r="BG5" s="63" t="s">
        <v>321</v>
      </c>
      <c r="BH5" s="63" t="s">
        <v>322</v>
      </c>
      <c r="BI5" t="s">
        <v>187</v>
      </c>
      <c r="BJ5" s="63">
        <v>42346</v>
      </c>
      <c r="BK5" s="63">
        <v>42494</v>
      </c>
      <c r="BL5" s="63">
        <v>42509</v>
      </c>
      <c r="BM5" s="63">
        <v>42564</v>
      </c>
      <c r="BN5" s="63">
        <v>42635</v>
      </c>
      <c r="BO5" s="63">
        <v>42711</v>
      </c>
      <c r="BP5" s="63">
        <v>42780</v>
      </c>
      <c r="BQ5" s="63">
        <v>42866</v>
      </c>
      <c r="BR5" t="s">
        <v>321</v>
      </c>
      <c r="BS5" t="s">
        <v>322</v>
      </c>
    </row>
    <row r="6" spans="1:71">
      <c r="A6" t="s">
        <v>267</v>
      </c>
      <c r="B6">
        <v>1</v>
      </c>
      <c r="C6">
        <v>148</v>
      </c>
      <c r="D6">
        <v>164</v>
      </c>
      <c r="E6">
        <v>218</v>
      </c>
      <c r="L6" t="s">
        <v>267</v>
      </c>
      <c r="M6">
        <v>1</v>
      </c>
      <c r="N6">
        <v>148</v>
      </c>
      <c r="O6">
        <v>164</v>
      </c>
      <c r="P6">
        <v>218</v>
      </c>
      <c r="W6" t="s">
        <v>267</v>
      </c>
      <c r="X6">
        <v>1</v>
      </c>
      <c r="Y6">
        <v>149</v>
      </c>
      <c r="Z6">
        <v>150</v>
      </c>
      <c r="AA6">
        <v>160</v>
      </c>
      <c r="AB6">
        <v>217</v>
      </c>
      <c r="AI6" t="s">
        <v>267</v>
      </c>
      <c r="AJ6">
        <v>1</v>
      </c>
      <c r="AK6">
        <v>147</v>
      </c>
      <c r="AL6">
        <v>160</v>
      </c>
      <c r="AM6">
        <v>161</v>
      </c>
      <c r="AN6">
        <v>215</v>
      </c>
      <c r="AO6">
        <v>215.5</v>
      </c>
      <c r="AV6" t="s">
        <v>267</v>
      </c>
      <c r="AW6">
        <v>1</v>
      </c>
      <c r="AX6">
        <v>148</v>
      </c>
      <c r="AY6">
        <v>149</v>
      </c>
      <c r="AZ6">
        <v>150</v>
      </c>
      <c r="BA6">
        <v>164</v>
      </c>
      <c r="BB6">
        <v>219</v>
      </c>
      <c r="BI6" t="s">
        <v>267</v>
      </c>
      <c r="BJ6">
        <v>1</v>
      </c>
      <c r="BK6">
        <v>149</v>
      </c>
      <c r="BL6">
        <v>164</v>
      </c>
      <c r="BM6">
        <v>219</v>
      </c>
      <c r="BQ6" s="81"/>
    </row>
    <row r="7" spans="1:71">
      <c r="A7" t="s">
        <v>282</v>
      </c>
      <c r="E7">
        <v>2933</v>
      </c>
      <c r="F7" s="79">
        <f>AVERAGE(2880, 2880, 2860)</f>
        <v>2873.3333333333335</v>
      </c>
      <c r="G7">
        <v>2800</v>
      </c>
      <c r="H7">
        <v>2787</v>
      </c>
      <c r="I7" s="79">
        <f>AVERAGE(3000,3000,3000)</f>
        <v>3000</v>
      </c>
      <c r="J7">
        <f>AVERAGE(B7:I7)</f>
        <v>2878.666666666667</v>
      </c>
      <c r="K7">
        <f t="shared" ref="K7:K44" si="0">STDEV(B7:H7)</f>
        <v>68.04736912213761</v>
      </c>
      <c r="L7" t="s">
        <v>281</v>
      </c>
      <c r="O7">
        <v>250</v>
      </c>
      <c r="P7">
        <v>295</v>
      </c>
      <c r="Q7">
        <v>320</v>
      </c>
      <c r="R7">
        <v>300</v>
      </c>
      <c r="S7">
        <v>300</v>
      </c>
      <c r="T7" s="79">
        <f>AVERAGE(600,600,600)</f>
        <v>600</v>
      </c>
      <c r="U7">
        <f t="shared" ref="U7:U44" si="1">AVERAGE(M7:S7)</f>
        <v>293</v>
      </c>
      <c r="V7">
        <f t="shared" ref="V7:V44" si="2">STDEV(M7:S7)</f>
        <v>25.88435821108957</v>
      </c>
      <c r="W7" t="s">
        <v>281</v>
      </c>
      <c r="AA7">
        <v>1400</v>
      </c>
      <c r="AB7">
        <v>1250</v>
      </c>
      <c r="AC7">
        <v>1346</v>
      </c>
      <c r="AD7">
        <v>3500</v>
      </c>
      <c r="AE7">
        <v>1400</v>
      </c>
      <c r="AF7" s="79">
        <f>AVERAGE(1200,1200,1200)</f>
        <v>1200</v>
      </c>
      <c r="AG7">
        <f t="shared" ref="AG7:AG44" si="3">AVERAGE(X7:AE7)</f>
        <v>1779.2</v>
      </c>
      <c r="AH7">
        <f t="shared" ref="AH7:AH44" si="4">STDEV(X7:AE7)</f>
        <v>963.90518205889953</v>
      </c>
      <c r="AI7" t="s">
        <v>282</v>
      </c>
      <c r="AM7">
        <v>800</v>
      </c>
      <c r="AP7">
        <v>900</v>
      </c>
      <c r="AQ7">
        <v>820</v>
      </c>
      <c r="AR7">
        <v>850</v>
      </c>
      <c r="AS7" s="79">
        <v>580</v>
      </c>
      <c r="AT7">
        <f t="shared" ref="AT7:AT44" si="5">AVERAGE(AJ7:AR7)</f>
        <v>842.5</v>
      </c>
      <c r="AU7">
        <f t="shared" ref="AU7:AU44" si="6">STDEV(AJ7:AR7)</f>
        <v>43.493294502332965</v>
      </c>
      <c r="AV7" t="s">
        <v>282</v>
      </c>
      <c r="BA7">
        <v>1700</v>
      </c>
      <c r="BB7">
        <v>14200</v>
      </c>
      <c r="BC7">
        <v>16400</v>
      </c>
      <c r="BD7">
        <v>17280</v>
      </c>
      <c r="BE7">
        <v>16100</v>
      </c>
      <c r="BF7" s="79">
        <f>AVERAGE((1100*12),(1150*12),(1250*12))</f>
        <v>14000</v>
      </c>
      <c r="BG7">
        <f t="shared" ref="BG7:BG44" si="7">AVERAGE(AW7:BE7)</f>
        <v>13136</v>
      </c>
      <c r="BH7">
        <f t="shared" ref="BH7:BH44" si="8">STDEV(AW7:BE7)</f>
        <v>6490.8766742251391</v>
      </c>
    </row>
    <row r="8" spans="1:71">
      <c r="A8" t="s">
        <v>200</v>
      </c>
      <c r="B8">
        <v>9.9</v>
      </c>
      <c r="C8">
        <v>10.9</v>
      </c>
      <c r="D8">
        <v>9.9</v>
      </c>
      <c r="E8">
        <v>10.199999999999999</v>
      </c>
      <c r="F8">
        <v>10.1</v>
      </c>
      <c r="G8">
        <v>10</v>
      </c>
      <c r="H8">
        <v>10</v>
      </c>
      <c r="I8">
        <v>10.5</v>
      </c>
      <c r="J8">
        <f t="shared" ref="J8:J41" si="9">AVERAGE(B8:I8)</f>
        <v>10.1875</v>
      </c>
      <c r="K8">
        <f t="shared" si="0"/>
        <v>0.35050983275386566</v>
      </c>
      <c r="L8" t="s">
        <v>200</v>
      </c>
      <c r="M8">
        <v>12.7</v>
      </c>
      <c r="O8">
        <v>12.6</v>
      </c>
      <c r="P8">
        <v>12.5</v>
      </c>
      <c r="Q8">
        <v>12.4</v>
      </c>
      <c r="R8">
        <v>12.5</v>
      </c>
      <c r="S8">
        <v>12.5</v>
      </c>
      <c r="T8">
        <v>12.5</v>
      </c>
      <c r="U8">
        <f t="shared" si="1"/>
        <v>12.533333333333331</v>
      </c>
      <c r="V8">
        <f t="shared" si="2"/>
        <v>0.10327955589886409</v>
      </c>
      <c r="W8" t="s">
        <v>200</v>
      </c>
      <c r="X8">
        <v>16.3</v>
      </c>
      <c r="Y8">
        <v>16.3</v>
      </c>
      <c r="Z8">
        <v>16.7</v>
      </c>
      <c r="AA8">
        <v>16.100000000000001</v>
      </c>
      <c r="AB8">
        <v>16.100000000000001</v>
      </c>
      <c r="AC8">
        <v>16.100000000000001</v>
      </c>
      <c r="AD8">
        <v>16.2</v>
      </c>
      <c r="AE8">
        <v>16.3</v>
      </c>
      <c r="AF8">
        <v>16.2</v>
      </c>
      <c r="AG8">
        <f t="shared" si="3"/>
        <v>16.262499999999999</v>
      </c>
      <c r="AH8">
        <f t="shared" si="4"/>
        <v>0.19955307206712786</v>
      </c>
      <c r="AI8" t="s">
        <v>200</v>
      </c>
      <c r="AJ8">
        <v>22.9</v>
      </c>
      <c r="AK8">
        <v>22.7</v>
      </c>
      <c r="AL8">
        <v>22.6</v>
      </c>
      <c r="AM8">
        <v>22.6</v>
      </c>
      <c r="AN8" s="66">
        <v>22.7</v>
      </c>
      <c r="AO8" s="66">
        <v>22.7</v>
      </c>
      <c r="AP8">
        <v>22.7</v>
      </c>
      <c r="AQ8">
        <v>22.6</v>
      </c>
      <c r="AR8">
        <v>22.6</v>
      </c>
      <c r="AS8">
        <v>22.1</v>
      </c>
      <c r="AT8">
        <f t="shared" si="5"/>
        <v>22.677777777777774</v>
      </c>
      <c r="AU8">
        <f t="shared" si="6"/>
        <v>9.7182531580753961E-2</v>
      </c>
      <c r="AV8" t="s">
        <v>200</v>
      </c>
      <c r="AW8">
        <v>32.799999999999997</v>
      </c>
      <c r="AX8">
        <v>32.6</v>
      </c>
      <c r="AY8">
        <v>32</v>
      </c>
      <c r="AZ8">
        <v>32.1</v>
      </c>
      <c r="BA8">
        <v>31.1</v>
      </c>
      <c r="BB8">
        <v>32.1</v>
      </c>
      <c r="BC8">
        <v>31.5</v>
      </c>
      <c r="BD8">
        <v>31.4</v>
      </c>
      <c r="BE8">
        <v>32</v>
      </c>
      <c r="BF8">
        <v>31.1</v>
      </c>
      <c r="BG8">
        <f t="shared" si="7"/>
        <v>31.955555555555559</v>
      </c>
      <c r="BH8">
        <f t="shared" si="8"/>
        <v>0.55025246730730559</v>
      </c>
      <c r="BI8" t="s">
        <v>200</v>
      </c>
      <c r="BJ8">
        <v>21</v>
      </c>
      <c r="BK8">
        <v>21.3</v>
      </c>
      <c r="BL8">
        <v>21.6</v>
      </c>
      <c r="BM8">
        <v>22.1</v>
      </c>
      <c r="BN8">
        <v>21.8</v>
      </c>
      <c r="BO8">
        <v>24.6</v>
      </c>
      <c r="BP8">
        <v>20.8</v>
      </c>
      <c r="BQ8">
        <v>20.2</v>
      </c>
      <c r="BR8">
        <f>AVERAGE(BJ8:BP8)</f>
        <v>21.88571428571429</v>
      </c>
      <c r="BS8">
        <f>STDEV(BJ8:BP8)</f>
        <v>1.2785780792591064</v>
      </c>
    </row>
    <row r="9" spans="1:71">
      <c r="A9" t="s">
        <v>192</v>
      </c>
      <c r="B9">
        <v>7.65</v>
      </c>
      <c r="C9">
        <v>7.93</v>
      </c>
      <c r="D9">
        <v>8.24</v>
      </c>
      <c r="E9">
        <v>7.62</v>
      </c>
      <c r="F9">
        <v>6.66</v>
      </c>
      <c r="G9">
        <v>7.37</v>
      </c>
      <c r="H9">
        <v>7.52</v>
      </c>
      <c r="I9">
        <v>6.49</v>
      </c>
      <c r="J9">
        <f t="shared" si="9"/>
        <v>7.4349999999999996</v>
      </c>
      <c r="K9">
        <f t="shared" si="0"/>
        <v>0.49295030175464949</v>
      </c>
      <c r="L9" t="s">
        <v>192</v>
      </c>
      <c r="M9">
        <v>8.26</v>
      </c>
      <c r="O9">
        <v>7.94</v>
      </c>
      <c r="P9">
        <v>8.1199999999999992</v>
      </c>
      <c r="Q9">
        <v>7.5</v>
      </c>
      <c r="R9">
        <v>7.72</v>
      </c>
      <c r="S9">
        <v>7.67</v>
      </c>
      <c r="T9">
        <v>7.27</v>
      </c>
      <c r="U9">
        <f t="shared" si="1"/>
        <v>7.8683333333333332</v>
      </c>
      <c r="V9">
        <f t="shared" si="2"/>
        <v>0.28944199188553582</v>
      </c>
      <c r="W9" t="s">
        <v>192</v>
      </c>
      <c r="X9">
        <v>7.35</v>
      </c>
      <c r="Y9">
        <v>7.19</v>
      </c>
      <c r="Z9">
        <v>7.27</v>
      </c>
      <c r="AA9">
        <v>7.94</v>
      </c>
      <c r="AB9">
        <v>7.42</v>
      </c>
      <c r="AC9">
        <v>7.03</v>
      </c>
      <c r="AD9">
        <v>7.27</v>
      </c>
      <c r="AE9">
        <v>7.04</v>
      </c>
      <c r="AF9">
        <v>6.89</v>
      </c>
      <c r="AG9">
        <f t="shared" si="3"/>
        <v>7.3137499999999998</v>
      </c>
      <c r="AH9">
        <f t="shared" si="4"/>
        <v>0.28769713738086256</v>
      </c>
      <c r="AI9" t="s">
        <v>192</v>
      </c>
      <c r="AJ9">
        <v>8.83</v>
      </c>
      <c r="AK9">
        <v>8.6199999999999992</v>
      </c>
      <c r="AL9" s="77">
        <v>8.6248868405892516</v>
      </c>
      <c r="AM9" s="77">
        <v>8.5672784132993165</v>
      </c>
      <c r="AN9" s="66">
        <v>7.82</v>
      </c>
      <c r="AO9" s="66">
        <v>8.07</v>
      </c>
      <c r="AP9">
        <v>8.4</v>
      </c>
      <c r="AQ9">
        <v>8.8800000000000008</v>
      </c>
      <c r="AR9">
        <v>7.28</v>
      </c>
      <c r="AS9">
        <v>8.2200000000000006</v>
      </c>
      <c r="AT9">
        <f t="shared" si="5"/>
        <v>8.3435739170987304</v>
      </c>
      <c r="AU9">
        <f t="shared" si="6"/>
        <v>0.52598728990607779</v>
      </c>
      <c r="AV9" t="s">
        <v>192</v>
      </c>
      <c r="AW9">
        <v>9.1199999999999992</v>
      </c>
      <c r="AX9">
        <v>8.61</v>
      </c>
      <c r="AY9">
        <v>8.69</v>
      </c>
      <c r="AZ9">
        <v>8.69</v>
      </c>
      <c r="BA9">
        <v>8.61</v>
      </c>
      <c r="BB9">
        <v>8.75</v>
      </c>
      <c r="BC9">
        <v>8.83</v>
      </c>
      <c r="BD9">
        <v>9.07</v>
      </c>
      <c r="BE9">
        <v>8.3800000000000008</v>
      </c>
      <c r="BF9">
        <v>8.7799999999999994</v>
      </c>
      <c r="BG9">
        <f t="shared" si="7"/>
        <v>8.7499999999999982</v>
      </c>
      <c r="BH9">
        <f t="shared" si="8"/>
        <v>0.23157072353818808</v>
      </c>
      <c r="BI9" t="s">
        <v>192</v>
      </c>
      <c r="BJ9">
        <v>9.3699999999999992</v>
      </c>
      <c r="BK9">
        <v>9.3000000000000007</v>
      </c>
      <c r="BL9">
        <v>8.9700000000000006</v>
      </c>
      <c r="BM9">
        <v>9.18</v>
      </c>
      <c r="BN9">
        <v>8.14</v>
      </c>
      <c r="BO9">
        <v>8.64</v>
      </c>
      <c r="BP9">
        <v>8.11</v>
      </c>
      <c r="BQ9">
        <v>8.2899999999999991</v>
      </c>
      <c r="BR9">
        <f t="shared" ref="BR9:BR44" si="10">AVERAGE(BJ9:BP9)</f>
        <v>8.8157142857142858</v>
      </c>
      <c r="BS9">
        <f t="shared" ref="BS9:BS44" si="11">STDEV(BJ9:BP9)</f>
        <v>0.52974387342240348</v>
      </c>
    </row>
    <row r="10" spans="1:71">
      <c r="A10" t="s">
        <v>193</v>
      </c>
      <c r="B10">
        <v>-99</v>
      </c>
      <c r="C10">
        <v>-113</v>
      </c>
      <c r="D10">
        <v>-132</v>
      </c>
      <c r="E10">
        <v>-42</v>
      </c>
      <c r="F10">
        <v>-59</v>
      </c>
      <c r="G10">
        <v>-96</v>
      </c>
      <c r="H10">
        <v>-120</v>
      </c>
      <c r="I10">
        <v>-47</v>
      </c>
      <c r="J10">
        <f t="shared" si="9"/>
        <v>-88.5</v>
      </c>
      <c r="K10">
        <f t="shared" si="0"/>
        <v>32.755951840121824</v>
      </c>
      <c r="L10" t="s">
        <v>193</v>
      </c>
      <c r="M10">
        <v>-192</v>
      </c>
      <c r="O10">
        <v>-101</v>
      </c>
      <c r="P10">
        <v>-150</v>
      </c>
      <c r="Q10">
        <v>-98</v>
      </c>
      <c r="R10">
        <v>-93</v>
      </c>
      <c r="S10">
        <v>-97</v>
      </c>
      <c r="T10">
        <v>-93</v>
      </c>
      <c r="U10">
        <f t="shared" si="1"/>
        <v>-121.83333333333333</v>
      </c>
      <c r="V10">
        <f t="shared" si="2"/>
        <v>40.414931234219189</v>
      </c>
      <c r="W10" t="s">
        <v>193</v>
      </c>
      <c r="X10">
        <v>-20</v>
      </c>
      <c r="Y10">
        <v>-53</v>
      </c>
      <c r="Z10">
        <v>-22</v>
      </c>
      <c r="AA10">
        <v>14</v>
      </c>
      <c r="AB10">
        <v>52</v>
      </c>
      <c r="AC10">
        <v>-42</v>
      </c>
      <c r="AD10">
        <v>-30</v>
      </c>
      <c r="AE10">
        <v>-57</v>
      </c>
      <c r="AF10">
        <v>-39</v>
      </c>
      <c r="AG10">
        <f t="shared" si="3"/>
        <v>-19.75</v>
      </c>
      <c r="AH10">
        <f t="shared" si="4"/>
        <v>36.61674090202068</v>
      </c>
      <c r="AI10" t="s">
        <v>193</v>
      </c>
      <c r="AJ10">
        <v>-276</v>
      </c>
      <c r="AK10">
        <v>-241</v>
      </c>
      <c r="AL10">
        <v>-171</v>
      </c>
      <c r="AM10">
        <v>-163</v>
      </c>
      <c r="AN10" s="66">
        <v>-169</v>
      </c>
      <c r="AO10" s="66">
        <v>-250</v>
      </c>
      <c r="AP10">
        <v>-254</v>
      </c>
      <c r="AQ10">
        <v>-278</v>
      </c>
      <c r="AR10">
        <v>-200</v>
      </c>
      <c r="AS10">
        <v>-172</v>
      </c>
      <c r="AT10">
        <f t="shared" si="5"/>
        <v>-222.44444444444446</v>
      </c>
      <c r="AU10">
        <f t="shared" si="6"/>
        <v>46.896458051517932</v>
      </c>
      <c r="AV10" t="s">
        <v>193</v>
      </c>
      <c r="AW10">
        <v>-312</v>
      </c>
      <c r="AX10">
        <v>-240</v>
      </c>
      <c r="AY10">
        <v>-173</v>
      </c>
      <c r="AZ10">
        <v>-208</v>
      </c>
      <c r="BA10">
        <v>-133</v>
      </c>
      <c r="BB10">
        <v>-312</v>
      </c>
      <c r="BC10">
        <v>-232</v>
      </c>
      <c r="BD10">
        <v>-233</v>
      </c>
      <c r="BE10">
        <v>-133</v>
      </c>
      <c r="BF10">
        <v>-223</v>
      </c>
      <c r="BG10">
        <f t="shared" si="7"/>
        <v>-219.55555555555554</v>
      </c>
      <c r="BH10">
        <f t="shared" si="8"/>
        <v>66.266716968458468</v>
      </c>
      <c r="BI10" t="s">
        <v>193</v>
      </c>
      <c r="BJ10">
        <v>-350</v>
      </c>
      <c r="BK10">
        <v>-324</v>
      </c>
      <c r="BL10">
        <v>-134</v>
      </c>
      <c r="BM10">
        <v>-314</v>
      </c>
      <c r="BN10">
        <v>-250</v>
      </c>
      <c r="BO10">
        <v>-205</v>
      </c>
      <c r="BP10">
        <v>-213</v>
      </c>
      <c r="BQ10">
        <v>-257</v>
      </c>
      <c r="BR10">
        <f t="shared" si="10"/>
        <v>-255.71428571428572</v>
      </c>
      <c r="BS10">
        <f t="shared" si="11"/>
        <v>77.667484156744109</v>
      </c>
    </row>
    <row r="11" spans="1:71">
      <c r="A11" t="s">
        <v>213</v>
      </c>
      <c r="B11">
        <v>943</v>
      </c>
      <c r="C11">
        <v>956.5</v>
      </c>
      <c r="D11">
        <v>952.3</v>
      </c>
      <c r="E11">
        <v>950.2</v>
      </c>
      <c r="F11">
        <v>937</v>
      </c>
      <c r="G11">
        <v>956.1</v>
      </c>
      <c r="H11">
        <v>949.1</v>
      </c>
      <c r="I11">
        <v>1052</v>
      </c>
      <c r="J11">
        <f t="shared" si="9"/>
        <v>962.02500000000009</v>
      </c>
      <c r="K11">
        <f t="shared" si="0"/>
        <v>7.0568440268329322</v>
      </c>
      <c r="L11" t="s">
        <v>213</v>
      </c>
      <c r="M11">
        <v>623.6</v>
      </c>
      <c r="O11">
        <v>605.1</v>
      </c>
      <c r="P11">
        <v>618.5</v>
      </c>
      <c r="Q11">
        <v>616.9</v>
      </c>
      <c r="R11">
        <v>626.5</v>
      </c>
      <c r="S11">
        <v>630.29999999999995</v>
      </c>
      <c r="T11">
        <v>608.20000000000005</v>
      </c>
      <c r="U11">
        <f t="shared" si="1"/>
        <v>620.15</v>
      </c>
      <c r="V11">
        <f t="shared" si="2"/>
        <v>8.888588189358293</v>
      </c>
      <c r="W11" t="s">
        <v>213</v>
      </c>
      <c r="X11">
        <v>3044</v>
      </c>
      <c r="Y11">
        <v>3026</v>
      </c>
      <c r="Z11">
        <v>3040</v>
      </c>
      <c r="AA11">
        <v>3048</v>
      </c>
      <c r="AB11">
        <v>3036</v>
      </c>
      <c r="AC11">
        <v>2998</v>
      </c>
      <c r="AD11">
        <v>3036</v>
      </c>
      <c r="AE11">
        <v>3029</v>
      </c>
      <c r="AF11">
        <v>3039</v>
      </c>
      <c r="AG11">
        <f t="shared" si="3"/>
        <v>3032.125</v>
      </c>
      <c r="AH11">
        <f t="shared" si="4"/>
        <v>15.569544446955225</v>
      </c>
      <c r="AI11" t="s">
        <v>213</v>
      </c>
      <c r="AJ11">
        <v>1758</v>
      </c>
      <c r="AK11">
        <v>1763</v>
      </c>
      <c r="AL11">
        <v>1765</v>
      </c>
      <c r="AM11">
        <v>1770</v>
      </c>
      <c r="AN11" s="66">
        <v>1918</v>
      </c>
      <c r="AO11" s="66">
        <v>1768</v>
      </c>
      <c r="AP11">
        <v>1760</v>
      </c>
      <c r="AQ11">
        <v>1774</v>
      </c>
      <c r="AR11">
        <v>1767</v>
      </c>
      <c r="AS11">
        <v>1777</v>
      </c>
      <c r="AT11">
        <f t="shared" si="5"/>
        <v>1782.5555555555557</v>
      </c>
      <c r="AU11">
        <f t="shared" si="6"/>
        <v>51.029675462203144</v>
      </c>
      <c r="AV11" t="s">
        <v>213</v>
      </c>
      <c r="AW11">
        <v>1562</v>
      </c>
      <c r="AX11">
        <v>1560</v>
      </c>
      <c r="AY11">
        <v>1559</v>
      </c>
      <c r="AZ11">
        <v>1540</v>
      </c>
      <c r="BA11">
        <v>1534</v>
      </c>
      <c r="BB11">
        <v>1542</v>
      </c>
      <c r="BC11">
        <v>1536</v>
      </c>
      <c r="BD11">
        <v>1540</v>
      </c>
      <c r="BE11">
        <v>1540</v>
      </c>
      <c r="BF11">
        <v>1539</v>
      </c>
      <c r="BG11">
        <f t="shared" si="7"/>
        <v>1545.8888888888889</v>
      </c>
      <c r="BH11">
        <f t="shared" si="8"/>
        <v>11.118053386771946</v>
      </c>
      <c r="BI11" t="s">
        <v>213</v>
      </c>
      <c r="BJ11">
        <v>7894</v>
      </c>
      <c r="BK11">
        <v>7825</v>
      </c>
      <c r="BL11">
        <v>7883</v>
      </c>
      <c r="BM11">
        <v>7875</v>
      </c>
      <c r="BN11">
        <v>7987</v>
      </c>
      <c r="BO11">
        <v>7978</v>
      </c>
      <c r="BP11">
        <v>7937</v>
      </c>
      <c r="BQ11">
        <v>7952</v>
      </c>
      <c r="BR11">
        <f t="shared" si="10"/>
        <v>7911.2857142857147</v>
      </c>
      <c r="BS11">
        <f t="shared" si="11"/>
        <v>58.744401962270089</v>
      </c>
    </row>
    <row r="12" spans="1:71">
      <c r="A12" s="65" t="s">
        <v>289</v>
      </c>
      <c r="B12">
        <v>684.1</v>
      </c>
      <c r="C12">
        <v>684</v>
      </c>
      <c r="D12">
        <v>687</v>
      </c>
      <c r="E12">
        <v>680.4</v>
      </c>
      <c r="F12">
        <v>674.3</v>
      </c>
      <c r="G12">
        <v>688.7</v>
      </c>
      <c r="H12">
        <v>671.4</v>
      </c>
      <c r="I12">
        <v>758.5</v>
      </c>
      <c r="J12">
        <f t="shared" si="9"/>
        <v>691.05</v>
      </c>
      <c r="K12">
        <f t="shared" si="0"/>
        <v>6.4563737426485952</v>
      </c>
      <c r="L12" t="s">
        <v>194</v>
      </c>
      <c r="M12">
        <v>440.9</v>
      </c>
      <c r="O12">
        <v>427.5</v>
      </c>
      <c r="P12">
        <v>436.7</v>
      </c>
      <c r="Q12">
        <v>435.5</v>
      </c>
      <c r="R12">
        <v>443.5</v>
      </c>
      <c r="S12">
        <v>444.8</v>
      </c>
      <c r="T12">
        <v>429.6</v>
      </c>
      <c r="U12">
        <f t="shared" si="1"/>
        <v>438.15000000000003</v>
      </c>
      <c r="V12">
        <f t="shared" si="2"/>
        <v>6.3711066542634498</v>
      </c>
      <c r="W12" t="s">
        <v>194</v>
      </c>
      <c r="X12">
        <v>2321</v>
      </c>
      <c r="Y12">
        <v>2309</v>
      </c>
      <c r="Z12">
        <v>2323</v>
      </c>
      <c r="AA12">
        <v>2302</v>
      </c>
      <c r="AB12">
        <v>2310</v>
      </c>
      <c r="AC12">
        <v>2281</v>
      </c>
      <c r="AD12">
        <v>2313</v>
      </c>
      <c r="AE12">
        <v>2305</v>
      </c>
      <c r="AF12">
        <v>2313</v>
      </c>
      <c r="AG12">
        <f t="shared" si="3"/>
        <v>2308</v>
      </c>
      <c r="AH12">
        <f t="shared" si="4"/>
        <v>13.082157969649241</v>
      </c>
      <c r="AI12" t="s">
        <v>194</v>
      </c>
      <c r="AJ12">
        <v>1283</v>
      </c>
      <c r="AK12">
        <v>1289</v>
      </c>
      <c r="AL12">
        <v>1292</v>
      </c>
      <c r="AM12">
        <v>1294</v>
      </c>
      <c r="AN12" s="66">
        <v>1413</v>
      </c>
      <c r="AO12" s="66">
        <v>1291</v>
      </c>
      <c r="AP12">
        <v>1284</v>
      </c>
      <c r="AQ12">
        <v>1296</v>
      </c>
      <c r="AR12">
        <v>1290</v>
      </c>
      <c r="AS12">
        <v>1296</v>
      </c>
      <c r="AT12">
        <f t="shared" si="5"/>
        <v>1303.5555555555557</v>
      </c>
      <c r="AU12">
        <f t="shared" si="6"/>
        <v>41.258669122716235</v>
      </c>
      <c r="AV12" t="s">
        <v>194</v>
      </c>
      <c r="AW12">
        <v>1128</v>
      </c>
      <c r="AX12">
        <v>1127</v>
      </c>
      <c r="AY12">
        <v>1120</v>
      </c>
      <c r="AZ12">
        <v>1107</v>
      </c>
      <c r="BA12">
        <v>1107</v>
      </c>
      <c r="BB12">
        <v>1108</v>
      </c>
      <c r="BC12">
        <v>1107</v>
      </c>
      <c r="BD12">
        <v>1109</v>
      </c>
      <c r="BE12">
        <v>1110</v>
      </c>
      <c r="BF12">
        <v>1107</v>
      </c>
      <c r="BG12">
        <f t="shared" si="7"/>
        <v>1113.6666666666667</v>
      </c>
      <c r="BH12">
        <f t="shared" si="8"/>
        <v>8.8317608663278477</v>
      </c>
      <c r="BI12" t="s">
        <v>194</v>
      </c>
      <c r="BJ12">
        <v>6579</v>
      </c>
      <c r="BK12">
        <v>6530</v>
      </c>
      <c r="BL12">
        <v>6554</v>
      </c>
      <c r="BM12">
        <v>6538</v>
      </c>
      <c r="BN12">
        <v>6636</v>
      </c>
      <c r="BO12">
        <v>6685</v>
      </c>
      <c r="BP12">
        <v>6619</v>
      </c>
      <c r="BQ12">
        <v>6621</v>
      </c>
      <c r="BR12">
        <f t="shared" si="10"/>
        <v>6591.5714285714284</v>
      </c>
      <c r="BS12">
        <f t="shared" si="11"/>
        <v>57.279598296010953</v>
      </c>
    </row>
    <row r="13" spans="1:71">
      <c r="A13" t="s">
        <v>201</v>
      </c>
      <c r="C13">
        <v>0.5</v>
      </c>
      <c r="D13">
        <v>0.2</v>
      </c>
      <c r="E13">
        <v>0.2</v>
      </c>
      <c r="F13">
        <v>0.3</v>
      </c>
      <c r="G13">
        <v>0.2</v>
      </c>
      <c r="H13">
        <v>0.3</v>
      </c>
      <c r="I13">
        <v>0.1</v>
      </c>
      <c r="J13">
        <f t="shared" si="9"/>
        <v>0.25714285714285717</v>
      </c>
      <c r="K13">
        <f t="shared" si="0"/>
        <v>0.11690451944500128</v>
      </c>
      <c r="L13" t="s">
        <v>201</v>
      </c>
      <c r="N13">
        <v>0.5</v>
      </c>
      <c r="O13">
        <v>0.1</v>
      </c>
      <c r="P13">
        <v>0.2</v>
      </c>
      <c r="Q13">
        <v>0</v>
      </c>
      <c r="R13">
        <v>0.1</v>
      </c>
      <c r="S13">
        <v>0.2</v>
      </c>
      <c r="T13">
        <v>0.3</v>
      </c>
      <c r="U13">
        <f t="shared" si="1"/>
        <v>0.18333333333333335</v>
      </c>
      <c r="V13">
        <f t="shared" si="2"/>
        <v>0.17224014243685087</v>
      </c>
      <c r="W13" t="s">
        <v>201</v>
      </c>
      <c r="Y13">
        <v>0.5</v>
      </c>
      <c r="Z13">
        <v>0.3</v>
      </c>
      <c r="AA13">
        <v>0.8</v>
      </c>
      <c r="AB13">
        <v>0.2</v>
      </c>
      <c r="AC13">
        <v>0.3</v>
      </c>
      <c r="AD13">
        <v>0.2</v>
      </c>
      <c r="AE13">
        <v>0.1</v>
      </c>
      <c r="AF13">
        <v>0.3</v>
      </c>
      <c r="AG13">
        <f t="shared" si="3"/>
        <v>0.34285714285714292</v>
      </c>
      <c r="AH13">
        <f t="shared" si="4"/>
        <v>0.23704530408864077</v>
      </c>
      <c r="AI13" t="s">
        <v>201</v>
      </c>
      <c r="AK13">
        <v>1</v>
      </c>
      <c r="AL13">
        <v>0.9</v>
      </c>
      <c r="AM13">
        <v>0.9</v>
      </c>
      <c r="AN13" s="66"/>
      <c r="AO13" s="66">
        <v>1</v>
      </c>
      <c r="AP13">
        <v>1.1000000000000001</v>
      </c>
      <c r="AQ13">
        <v>1</v>
      </c>
      <c r="AR13">
        <v>0.9</v>
      </c>
      <c r="AS13">
        <v>1.1000000000000001</v>
      </c>
      <c r="AT13">
        <f t="shared" si="5"/>
        <v>0.97142857142857153</v>
      </c>
      <c r="AU13">
        <f t="shared" si="6"/>
        <v>7.5592894601845456E-2</v>
      </c>
      <c r="AV13" t="s">
        <v>201</v>
      </c>
      <c r="AX13">
        <v>0.6</v>
      </c>
      <c r="AY13">
        <v>0.7</v>
      </c>
      <c r="AZ13">
        <v>0.6</v>
      </c>
      <c r="BA13">
        <v>0.7</v>
      </c>
      <c r="BB13">
        <v>0.8</v>
      </c>
      <c r="BC13">
        <v>0.8</v>
      </c>
      <c r="BD13">
        <v>0.7</v>
      </c>
      <c r="BE13">
        <v>0.8</v>
      </c>
      <c r="BF13">
        <v>0.9</v>
      </c>
      <c r="BG13">
        <f t="shared" si="7"/>
        <v>0.71249999999999991</v>
      </c>
      <c r="BH13">
        <f t="shared" si="8"/>
        <v>8.3452296039628074E-2</v>
      </c>
      <c r="BI13" t="s">
        <v>201</v>
      </c>
      <c r="BK13">
        <v>0.3</v>
      </c>
      <c r="BL13">
        <v>0.3</v>
      </c>
      <c r="BM13">
        <v>0.2</v>
      </c>
      <c r="BN13">
        <v>0.3</v>
      </c>
      <c r="BO13">
        <v>0.4</v>
      </c>
      <c r="BP13">
        <v>0.3</v>
      </c>
      <c r="BQ13">
        <v>0.3</v>
      </c>
      <c r="BR13">
        <f t="shared" si="10"/>
        <v>0.3</v>
      </c>
      <c r="BS13">
        <f t="shared" si="11"/>
        <v>6.324555320336761E-2</v>
      </c>
    </row>
    <row r="14" spans="1:71">
      <c r="A14" t="s">
        <v>202</v>
      </c>
      <c r="C14">
        <v>0.06</v>
      </c>
      <c r="D14">
        <v>0.08</v>
      </c>
      <c r="E14">
        <v>0.09</v>
      </c>
      <c r="F14">
        <v>0.08</v>
      </c>
      <c r="G14">
        <v>7.0000000000000007E-2</v>
      </c>
      <c r="H14">
        <v>0.06</v>
      </c>
      <c r="I14">
        <v>0.05</v>
      </c>
      <c r="J14">
        <f t="shared" si="9"/>
        <v>6.9999999999999993E-2</v>
      </c>
      <c r="K14">
        <f t="shared" si="0"/>
        <v>1.2110601416389987E-2</v>
      </c>
      <c r="L14" t="s">
        <v>202</v>
      </c>
      <c r="N14">
        <v>0</v>
      </c>
      <c r="O14">
        <v>0.02</v>
      </c>
      <c r="P14">
        <v>0.02</v>
      </c>
      <c r="Q14">
        <v>0.02</v>
      </c>
      <c r="R14">
        <v>0.03</v>
      </c>
      <c r="S14">
        <v>0.02</v>
      </c>
      <c r="T14">
        <v>0.01</v>
      </c>
      <c r="U14">
        <f t="shared" si="1"/>
        <v>1.8333333333333333E-2</v>
      </c>
      <c r="V14">
        <f t="shared" si="2"/>
        <v>9.831920802501757E-3</v>
      </c>
      <c r="W14" t="s">
        <v>202</v>
      </c>
      <c r="Y14">
        <v>0.27</v>
      </c>
      <c r="Z14">
        <v>0.22</v>
      </c>
      <c r="AA14">
        <v>0.24</v>
      </c>
      <c r="AB14">
        <v>0.21</v>
      </c>
      <c r="AC14">
        <v>0.31</v>
      </c>
      <c r="AD14">
        <v>0.28000000000000003</v>
      </c>
      <c r="AE14">
        <v>0.2</v>
      </c>
      <c r="AF14">
        <v>0.21</v>
      </c>
      <c r="AG14">
        <f t="shared" si="3"/>
        <v>0.24714285714285714</v>
      </c>
      <c r="AH14">
        <f t="shared" si="4"/>
        <v>4.0708019567928591E-2</v>
      </c>
      <c r="AI14" t="s">
        <v>202</v>
      </c>
      <c r="AK14">
        <v>1.2</v>
      </c>
      <c r="AL14">
        <v>1.34</v>
      </c>
      <c r="AM14">
        <v>1.68</v>
      </c>
      <c r="AN14" s="66"/>
      <c r="AO14" s="66">
        <v>1.64</v>
      </c>
      <c r="AP14">
        <v>1.64</v>
      </c>
      <c r="AQ14">
        <v>1.56</v>
      </c>
      <c r="AR14">
        <v>1.24</v>
      </c>
      <c r="AS14" s="84">
        <v>1</v>
      </c>
      <c r="AT14">
        <f t="shared" si="5"/>
        <v>1.4714285714285713</v>
      </c>
      <c r="AU14">
        <f t="shared" si="6"/>
        <v>0.20521765448977769</v>
      </c>
      <c r="AV14" t="s">
        <v>202</v>
      </c>
      <c r="AX14">
        <v>0.4</v>
      </c>
      <c r="AY14">
        <v>0.43</v>
      </c>
      <c r="AZ14">
        <v>0.36</v>
      </c>
      <c r="BA14">
        <v>0.48</v>
      </c>
      <c r="BB14">
        <v>0.47</v>
      </c>
      <c r="BC14">
        <v>0.5</v>
      </c>
      <c r="BD14">
        <v>0.46</v>
      </c>
      <c r="BE14">
        <v>0.49</v>
      </c>
      <c r="BF14">
        <v>0.47</v>
      </c>
      <c r="BG14">
        <f t="shared" si="7"/>
        <v>0.44874999999999998</v>
      </c>
      <c r="BH14">
        <f t="shared" si="8"/>
        <v>4.8532021829480188E-2</v>
      </c>
      <c r="BI14" t="s">
        <v>202</v>
      </c>
      <c r="BK14">
        <v>0.12</v>
      </c>
      <c r="BL14">
        <v>0.13</v>
      </c>
      <c r="BM14">
        <v>0.13</v>
      </c>
      <c r="BN14">
        <v>0.06</v>
      </c>
      <c r="BO14">
        <v>0.08</v>
      </c>
      <c r="BP14">
        <v>0.08</v>
      </c>
      <c r="BQ14">
        <v>0.06</v>
      </c>
      <c r="BR14">
        <f t="shared" si="10"/>
        <v>9.9999999999999992E-2</v>
      </c>
      <c r="BS14">
        <f t="shared" si="11"/>
        <v>3.0331501776206225E-2</v>
      </c>
    </row>
    <row r="15" spans="1:71">
      <c r="A15" t="s">
        <v>203</v>
      </c>
      <c r="C15">
        <v>2.2799999999999998</v>
      </c>
      <c r="D15">
        <v>2.6</v>
      </c>
      <c r="E15">
        <v>2.12</v>
      </c>
      <c r="F15">
        <v>2.4900000000000002</v>
      </c>
      <c r="G15">
        <v>2.27</v>
      </c>
      <c r="H15">
        <v>2.33</v>
      </c>
      <c r="I15">
        <v>1.6</v>
      </c>
      <c r="J15">
        <f t="shared" si="9"/>
        <v>2.2414285714285715</v>
      </c>
      <c r="K15">
        <f t="shared" si="0"/>
        <v>0.17127949867589723</v>
      </c>
      <c r="L15" t="s">
        <v>203</v>
      </c>
      <c r="N15">
        <v>0.28000000000000003</v>
      </c>
      <c r="O15">
        <v>0.28999999999999998</v>
      </c>
      <c r="P15">
        <v>0.31</v>
      </c>
      <c r="Q15">
        <v>0.25</v>
      </c>
      <c r="R15">
        <v>0.31</v>
      </c>
      <c r="S15">
        <v>0.32</v>
      </c>
      <c r="T15">
        <v>0.3</v>
      </c>
      <c r="U15">
        <f t="shared" si="1"/>
        <v>0.29333333333333339</v>
      </c>
      <c r="V15">
        <f t="shared" si="2"/>
        <v>2.5819888974716109E-2</v>
      </c>
      <c r="W15" t="s">
        <v>203</v>
      </c>
      <c r="Y15">
        <v>2.3199999999999998</v>
      </c>
      <c r="Z15">
        <v>2.4500000000000002</v>
      </c>
      <c r="AA15">
        <v>1.8</v>
      </c>
      <c r="AB15">
        <v>2.83</v>
      </c>
      <c r="AC15">
        <v>2.71</v>
      </c>
      <c r="AD15">
        <v>2.92</v>
      </c>
      <c r="AE15">
        <v>2.58</v>
      </c>
      <c r="AF15">
        <v>2.2999999999999998</v>
      </c>
      <c r="AG15">
        <f t="shared" si="3"/>
        <v>2.5157142857142856</v>
      </c>
      <c r="AH15">
        <f t="shared" si="4"/>
        <v>0.37836742032303061</v>
      </c>
      <c r="AI15" t="s">
        <v>203</v>
      </c>
      <c r="AK15">
        <v>0.11</v>
      </c>
      <c r="AL15">
        <v>0</v>
      </c>
      <c r="AM15">
        <v>0.03</v>
      </c>
      <c r="AN15" s="66"/>
      <c r="AO15" s="66">
        <v>0.01</v>
      </c>
      <c r="AP15">
        <v>0.01</v>
      </c>
      <c r="AQ15">
        <v>0.01</v>
      </c>
      <c r="AR15">
        <v>0</v>
      </c>
      <c r="AS15">
        <v>0</v>
      </c>
      <c r="AT15">
        <f t="shared" si="5"/>
        <v>2.4285714285714292E-2</v>
      </c>
      <c r="AU15">
        <f t="shared" si="6"/>
        <v>3.9096949095440016E-2</v>
      </c>
      <c r="AV15" t="s">
        <v>203</v>
      </c>
      <c r="AX15">
        <v>0.03</v>
      </c>
      <c r="AY15">
        <v>0</v>
      </c>
      <c r="AZ15">
        <v>0.13</v>
      </c>
      <c r="BA15">
        <v>0</v>
      </c>
      <c r="BB15">
        <v>0</v>
      </c>
      <c r="BC15">
        <v>0.01</v>
      </c>
      <c r="BD15">
        <v>0</v>
      </c>
      <c r="BE15">
        <v>0</v>
      </c>
      <c r="BF15">
        <v>0.01</v>
      </c>
      <c r="BG15">
        <f t="shared" si="7"/>
        <v>2.1250000000000002E-2</v>
      </c>
      <c r="BH15">
        <f t="shared" si="8"/>
        <v>4.5178218519231463E-2</v>
      </c>
      <c r="BI15" t="s">
        <v>203</v>
      </c>
      <c r="BK15">
        <v>0.18</v>
      </c>
      <c r="BL15">
        <v>0.08</v>
      </c>
      <c r="BM15">
        <v>0.09</v>
      </c>
      <c r="BN15">
        <v>2.0299999999999998</v>
      </c>
      <c r="BO15">
        <v>1.23</v>
      </c>
      <c r="BP15">
        <v>1.43</v>
      </c>
      <c r="BQ15">
        <v>1.74</v>
      </c>
      <c r="BR15">
        <f t="shared" si="10"/>
        <v>0.84</v>
      </c>
      <c r="BS15">
        <f t="shared" si="11"/>
        <v>0.83570329663104692</v>
      </c>
    </row>
    <row r="16" spans="1:71">
      <c r="A16" t="s">
        <v>204</v>
      </c>
      <c r="C16">
        <v>8</v>
      </c>
      <c r="D16">
        <v>0</v>
      </c>
      <c r="E16">
        <v>0</v>
      </c>
      <c r="F16">
        <v>0</v>
      </c>
      <c r="G16">
        <v>0</v>
      </c>
      <c r="H16">
        <v>0</v>
      </c>
      <c r="I16">
        <v>2</v>
      </c>
      <c r="J16">
        <f t="shared" si="9"/>
        <v>1.4285714285714286</v>
      </c>
      <c r="K16">
        <f t="shared" si="0"/>
        <v>3.2659863237109041</v>
      </c>
      <c r="L16" t="s">
        <v>204</v>
      </c>
      <c r="N16">
        <v>62</v>
      </c>
      <c r="O16">
        <v>7</v>
      </c>
      <c r="P16">
        <v>16</v>
      </c>
      <c r="Q16">
        <v>32</v>
      </c>
      <c r="R16">
        <v>29</v>
      </c>
      <c r="S16">
        <v>16</v>
      </c>
      <c r="T16">
        <v>12</v>
      </c>
      <c r="U16">
        <f t="shared" si="1"/>
        <v>27</v>
      </c>
      <c r="V16">
        <f t="shared" si="2"/>
        <v>19.473058311420935</v>
      </c>
      <c r="W16" t="s">
        <v>204</v>
      </c>
      <c r="Y16">
        <v>14</v>
      </c>
      <c r="Z16">
        <v>0</v>
      </c>
      <c r="AA16">
        <v>7</v>
      </c>
      <c r="AB16">
        <v>0</v>
      </c>
      <c r="AC16">
        <v>8</v>
      </c>
      <c r="AD16">
        <v>0</v>
      </c>
      <c r="AE16">
        <v>14</v>
      </c>
      <c r="AF16">
        <v>21</v>
      </c>
      <c r="AG16">
        <f t="shared" si="3"/>
        <v>6.1428571428571432</v>
      </c>
      <c r="AH16">
        <f t="shared" si="4"/>
        <v>6.3358391032961956</v>
      </c>
      <c r="AI16" t="s">
        <v>204</v>
      </c>
      <c r="AK16">
        <v>978</v>
      </c>
      <c r="AL16">
        <v>1264</v>
      </c>
      <c r="AM16">
        <v>1080</v>
      </c>
      <c r="AN16" s="66"/>
      <c r="AO16" s="66">
        <v>546</v>
      </c>
      <c r="AP16">
        <v>992</v>
      </c>
      <c r="AQ16">
        <v>537</v>
      </c>
      <c r="AR16">
        <v>864</v>
      </c>
      <c r="AS16" s="84">
        <v>678</v>
      </c>
      <c r="AT16">
        <f t="shared" si="5"/>
        <v>894.42857142857144</v>
      </c>
      <c r="AU16">
        <f t="shared" si="6"/>
        <v>270.0641017381227</v>
      </c>
      <c r="AV16" t="s">
        <v>204</v>
      </c>
      <c r="AX16">
        <v>268</v>
      </c>
      <c r="AY16">
        <v>196</v>
      </c>
      <c r="AZ16">
        <v>218</v>
      </c>
      <c r="BA16">
        <v>354</v>
      </c>
      <c r="BB16">
        <v>336</v>
      </c>
      <c r="BC16">
        <v>397</v>
      </c>
      <c r="BD16">
        <v>329</v>
      </c>
      <c r="BE16">
        <v>336</v>
      </c>
      <c r="BF16">
        <v>348</v>
      </c>
      <c r="BG16">
        <f t="shared" si="7"/>
        <v>304.25</v>
      </c>
      <c r="BH16">
        <f t="shared" si="8"/>
        <v>69.874888193112696</v>
      </c>
      <c r="BI16" t="s">
        <v>204</v>
      </c>
      <c r="BK16">
        <v>61</v>
      </c>
      <c r="BL16">
        <v>86</v>
      </c>
      <c r="BM16">
        <v>98</v>
      </c>
      <c r="BN16">
        <v>73</v>
      </c>
      <c r="BO16">
        <v>55</v>
      </c>
      <c r="BP16">
        <v>74</v>
      </c>
      <c r="BQ16">
        <v>122</v>
      </c>
      <c r="BR16">
        <f t="shared" si="10"/>
        <v>74.5</v>
      </c>
      <c r="BS16">
        <f t="shared" si="11"/>
        <v>15.808225706890701</v>
      </c>
    </row>
    <row r="17" spans="1:71">
      <c r="A17" t="s">
        <v>205</v>
      </c>
      <c r="C17">
        <v>0.2</v>
      </c>
      <c r="D17">
        <v>5.3999999999999999E-2</v>
      </c>
      <c r="E17">
        <v>0.1</v>
      </c>
      <c r="F17">
        <v>0.11700000000000001</v>
      </c>
      <c r="G17">
        <v>0</v>
      </c>
      <c r="I17">
        <v>1.9E-2</v>
      </c>
      <c r="J17">
        <f t="shared" si="9"/>
        <v>8.1666666666666665E-2</v>
      </c>
      <c r="K17">
        <f t="shared" si="0"/>
        <v>7.4560042918442607E-2</v>
      </c>
      <c r="L17" t="s">
        <v>205</v>
      </c>
      <c r="N17">
        <v>12</v>
      </c>
      <c r="O17">
        <v>0.30399999999999999</v>
      </c>
      <c r="P17">
        <v>0.215</v>
      </c>
      <c r="Q17">
        <v>0.27600000000000002</v>
      </c>
      <c r="R17">
        <v>0.54</v>
      </c>
      <c r="S17">
        <v>0.56100000000000005</v>
      </c>
      <c r="T17">
        <v>0.47499999999999998</v>
      </c>
      <c r="U17">
        <f t="shared" si="1"/>
        <v>2.3160000000000003</v>
      </c>
      <c r="V17">
        <f t="shared" si="2"/>
        <v>4.7463249362006383</v>
      </c>
      <c r="W17" t="s">
        <v>205</v>
      </c>
      <c r="Y17">
        <v>1.6</v>
      </c>
      <c r="Z17">
        <v>1.4</v>
      </c>
      <c r="AA17">
        <v>3.1</v>
      </c>
      <c r="AB17">
        <v>8.5000000000000006E-3</v>
      </c>
      <c r="AC17">
        <v>3.4000000000000002E-2</v>
      </c>
      <c r="AD17">
        <v>0.14699999999999999</v>
      </c>
      <c r="AE17">
        <v>1.6E-2</v>
      </c>
      <c r="AF17">
        <v>3.1E-2</v>
      </c>
      <c r="AG17">
        <f t="shared" si="3"/>
        <v>0.90078571428571419</v>
      </c>
      <c r="AH17">
        <f t="shared" si="4"/>
        <v>1.1883594383695135</v>
      </c>
      <c r="AI17" t="s">
        <v>205</v>
      </c>
      <c r="AK17">
        <v>0.8</v>
      </c>
      <c r="AL17">
        <v>0.08</v>
      </c>
      <c r="AM17">
        <v>0.25</v>
      </c>
      <c r="AN17" s="66"/>
      <c r="AO17" s="66">
        <v>4.1000000000000002E-2</v>
      </c>
      <c r="AP17">
        <v>0.127</v>
      </c>
      <c r="AQ17">
        <v>4.2999999999999997E-2</v>
      </c>
      <c r="AR17">
        <v>2.7E-2</v>
      </c>
      <c r="AS17" s="66">
        <v>2.7E-2</v>
      </c>
      <c r="AT17">
        <f t="shared" si="5"/>
        <v>0.19542857142857137</v>
      </c>
      <c r="AU17">
        <f t="shared" si="6"/>
        <v>0.27747123403027879</v>
      </c>
      <c r="AV17" t="s">
        <v>205</v>
      </c>
      <c r="AX17">
        <v>0.4</v>
      </c>
      <c r="AY17">
        <v>6.3</v>
      </c>
      <c r="AZ17">
        <v>2.2000000000000002</v>
      </c>
      <c r="BA17">
        <v>0</v>
      </c>
      <c r="BB17">
        <v>7.0000000000000001E-3</v>
      </c>
      <c r="BC17">
        <v>7.0000000000000007E-2</v>
      </c>
      <c r="BD17">
        <v>5.8000000000000003E-2</v>
      </c>
      <c r="BE17">
        <v>8.0000000000000002E-3</v>
      </c>
      <c r="BF17">
        <v>4.1000000000000002E-2</v>
      </c>
      <c r="BG17">
        <f t="shared" si="7"/>
        <v>1.1303749999999999</v>
      </c>
      <c r="BH17">
        <f t="shared" si="8"/>
        <v>2.2192790294855409</v>
      </c>
      <c r="BI17" t="s">
        <v>205</v>
      </c>
      <c r="BK17">
        <v>1.1000000000000001</v>
      </c>
      <c r="BL17">
        <v>0.68</v>
      </c>
      <c r="BM17">
        <v>1.4999999999999999E-2</v>
      </c>
      <c r="BN17">
        <v>7.0000000000000007E-2</v>
      </c>
      <c r="BO17">
        <v>0.09</v>
      </c>
      <c r="BP17">
        <v>0.02</v>
      </c>
      <c r="BQ17">
        <v>0.312</v>
      </c>
      <c r="BR17">
        <f t="shared" si="10"/>
        <v>0.32916666666666672</v>
      </c>
      <c r="BS17">
        <f t="shared" si="11"/>
        <v>0.4551748748191915</v>
      </c>
    </row>
    <row r="18" spans="1:71">
      <c r="A18" t="s">
        <v>271</v>
      </c>
      <c r="D18">
        <v>0.48599999999999999</v>
      </c>
      <c r="E18">
        <v>0.42</v>
      </c>
      <c r="F18">
        <v>0.45</v>
      </c>
      <c r="G18">
        <v>0.4</v>
      </c>
      <c r="H18">
        <v>0.42599999999999999</v>
      </c>
      <c r="J18">
        <f t="shared" si="9"/>
        <v>0.43640000000000001</v>
      </c>
      <c r="K18">
        <f t="shared" si="0"/>
        <v>3.2966649814623258E-2</v>
      </c>
      <c r="L18" t="s">
        <v>271</v>
      </c>
      <c r="N18">
        <v>0.47499999999999998</v>
      </c>
      <c r="O18">
        <v>0.52100000000000002</v>
      </c>
      <c r="P18">
        <v>0.42199999999999999</v>
      </c>
      <c r="Q18">
        <v>0.41199999999999998</v>
      </c>
      <c r="R18">
        <v>0.38700000000000001</v>
      </c>
      <c r="S18">
        <v>0.41699999999999998</v>
      </c>
      <c r="U18">
        <f t="shared" si="1"/>
        <v>0.43899999999999989</v>
      </c>
      <c r="V18">
        <f t="shared" si="2"/>
        <v>4.9448963588735642E-2</v>
      </c>
      <c r="W18" t="s">
        <v>271</v>
      </c>
      <c r="Y18">
        <v>0.252</v>
      </c>
      <c r="Z18">
        <v>0.25900000000000001</v>
      </c>
      <c r="AA18">
        <v>0.34399999999999997</v>
      </c>
      <c r="AB18">
        <v>0.25700000000000001</v>
      </c>
      <c r="AC18">
        <v>0.22600000000000001</v>
      </c>
      <c r="AD18">
        <v>0.25900000000000001</v>
      </c>
      <c r="AE18">
        <v>0.20499999999999999</v>
      </c>
      <c r="AG18">
        <f t="shared" si="3"/>
        <v>0.25742857142857145</v>
      </c>
      <c r="AH18">
        <f t="shared" si="4"/>
        <v>4.333150179279556E-2</v>
      </c>
      <c r="AI18" t="s">
        <v>271</v>
      </c>
      <c r="AK18">
        <v>0.23599999999999999</v>
      </c>
      <c r="AL18">
        <v>0.27900000000000003</v>
      </c>
      <c r="AM18">
        <v>0.28000000000000003</v>
      </c>
      <c r="AO18" s="66">
        <v>0.21299999999999999</v>
      </c>
      <c r="AP18">
        <v>0.20200000000000001</v>
      </c>
      <c r="AQ18">
        <v>0.17399999999999999</v>
      </c>
      <c r="AR18">
        <v>0.16800000000000001</v>
      </c>
      <c r="AT18">
        <f t="shared" si="5"/>
        <v>0.2217142857142857</v>
      </c>
      <c r="AU18">
        <f t="shared" si="6"/>
        <v>4.5660757351414977E-2</v>
      </c>
      <c r="AV18" t="s">
        <v>271</v>
      </c>
      <c r="AZ18">
        <v>0.216</v>
      </c>
      <c r="BA18">
        <v>0.22800000000000001</v>
      </c>
      <c r="BB18">
        <v>0.218</v>
      </c>
      <c r="BC18">
        <v>0.161</v>
      </c>
      <c r="BE18">
        <v>0.123</v>
      </c>
      <c r="BG18">
        <f t="shared" si="7"/>
        <v>0.18920000000000001</v>
      </c>
      <c r="BH18">
        <f t="shared" si="8"/>
        <v>4.5361878267990575E-2</v>
      </c>
      <c r="BI18" t="s">
        <v>271</v>
      </c>
      <c r="BL18">
        <v>0.314</v>
      </c>
      <c r="BM18">
        <v>0.38600000000000001</v>
      </c>
      <c r="BN18">
        <v>0.158</v>
      </c>
      <c r="BO18">
        <v>0.13600000000000001</v>
      </c>
      <c r="BP18">
        <v>0.13600000000000001</v>
      </c>
      <c r="BR18">
        <f t="shared" si="10"/>
        <v>0.22599999999999998</v>
      </c>
      <c r="BS18">
        <f t="shared" si="11"/>
        <v>0.11637009925234242</v>
      </c>
    </row>
    <row r="19" spans="1:71">
      <c r="A19" t="s">
        <v>240</v>
      </c>
      <c r="F19">
        <v>0.05</v>
      </c>
      <c r="H19" s="90"/>
      <c r="J19">
        <f t="shared" si="9"/>
        <v>0.05</v>
      </c>
      <c r="K19" t="e">
        <f t="shared" si="0"/>
        <v>#DIV/0!</v>
      </c>
      <c r="L19" t="s">
        <v>240</v>
      </c>
      <c r="Q19">
        <v>0.04</v>
      </c>
      <c r="R19" s="91"/>
      <c r="S19" s="90"/>
      <c r="U19">
        <f t="shared" si="1"/>
        <v>0.04</v>
      </c>
      <c r="V19" t="e">
        <f t="shared" si="2"/>
        <v>#DIV/0!</v>
      </c>
      <c r="W19" t="s">
        <v>240</v>
      </c>
      <c r="Y19">
        <v>0.05</v>
      </c>
      <c r="Z19">
        <v>0.04</v>
      </c>
      <c r="AC19">
        <v>0.06</v>
      </c>
      <c r="AE19" s="90">
        <v>0.06</v>
      </c>
      <c r="AG19">
        <f t="shared" si="3"/>
        <v>5.2499999999999998E-2</v>
      </c>
      <c r="AH19">
        <f t="shared" si="4"/>
        <v>9.5742710775634284E-3</v>
      </c>
      <c r="AI19" t="s">
        <v>240</v>
      </c>
      <c r="AP19">
        <v>4.1000000000000002E-2</v>
      </c>
      <c r="AT19">
        <f t="shared" si="5"/>
        <v>4.1000000000000002E-2</v>
      </c>
      <c r="AU19" t="e">
        <f t="shared" si="6"/>
        <v>#DIV/0!</v>
      </c>
      <c r="AV19" t="s">
        <v>240</v>
      </c>
      <c r="BA19">
        <v>0.05</v>
      </c>
      <c r="BC19">
        <v>0.05</v>
      </c>
      <c r="BD19" s="91"/>
      <c r="BE19" s="90"/>
      <c r="BG19">
        <f t="shared" si="7"/>
        <v>0.05</v>
      </c>
      <c r="BH19">
        <f t="shared" si="8"/>
        <v>0</v>
      </c>
      <c r="BI19" t="s">
        <v>240</v>
      </c>
      <c r="BK19">
        <v>0.17</v>
      </c>
      <c r="BM19">
        <v>0.03</v>
      </c>
      <c r="BN19">
        <v>0.06</v>
      </c>
      <c r="BP19" s="90"/>
      <c r="BR19">
        <f t="shared" si="10"/>
        <v>8.666666666666667E-2</v>
      </c>
      <c r="BS19">
        <f t="shared" si="11"/>
        <v>7.3711147958319942E-2</v>
      </c>
    </row>
    <row r="20" spans="1:71">
      <c r="A20" t="s">
        <v>241</v>
      </c>
      <c r="F20">
        <v>0.04</v>
      </c>
      <c r="H20" s="90"/>
      <c r="J20">
        <f t="shared" si="9"/>
        <v>0.04</v>
      </c>
      <c r="K20" t="e">
        <f t="shared" si="0"/>
        <v>#DIV/0!</v>
      </c>
      <c r="L20" t="s">
        <v>241</v>
      </c>
      <c r="M20">
        <v>0.06</v>
      </c>
      <c r="N20">
        <v>0.05</v>
      </c>
      <c r="O20">
        <v>0.04</v>
      </c>
      <c r="Q20">
        <v>0.04</v>
      </c>
      <c r="R20" s="91">
        <v>0.05</v>
      </c>
      <c r="S20" s="90">
        <v>0.05</v>
      </c>
      <c r="U20">
        <f t="shared" si="1"/>
        <v>4.8333333333333332E-2</v>
      </c>
      <c r="V20">
        <f t="shared" si="2"/>
        <v>7.5277265270908564E-3</v>
      </c>
      <c r="W20" t="s">
        <v>241</v>
      </c>
      <c r="Y20">
        <v>0.05</v>
      </c>
      <c r="AE20" s="90"/>
      <c r="AG20">
        <f t="shared" si="3"/>
        <v>0.05</v>
      </c>
      <c r="AH20" t="e">
        <f t="shared" si="4"/>
        <v>#DIV/0!</v>
      </c>
      <c r="AI20" t="s">
        <v>241</v>
      </c>
      <c r="AJ20">
        <v>0.04</v>
      </c>
      <c r="AO20" s="66">
        <v>0.05</v>
      </c>
      <c r="AR20" s="90"/>
      <c r="AT20">
        <f t="shared" si="5"/>
        <v>4.4999999999999998E-2</v>
      </c>
      <c r="AU20">
        <f t="shared" si="6"/>
        <v>7.0710678118655152E-3</v>
      </c>
      <c r="AV20" t="s">
        <v>241</v>
      </c>
      <c r="AX20">
        <v>0.04</v>
      </c>
      <c r="AY20">
        <v>0.05</v>
      </c>
      <c r="AZ20">
        <v>0.05</v>
      </c>
      <c r="BD20" s="91"/>
      <c r="BE20" s="90"/>
      <c r="BG20">
        <f t="shared" si="7"/>
        <v>4.6666666666666669E-2</v>
      </c>
      <c r="BH20">
        <f t="shared" si="8"/>
        <v>5.773502691896258E-3</v>
      </c>
      <c r="BI20" t="s">
        <v>241</v>
      </c>
      <c r="BK20">
        <v>0.06</v>
      </c>
      <c r="BM20">
        <v>7.0000000000000007E-2</v>
      </c>
      <c r="BP20" s="90"/>
      <c r="BR20">
        <f t="shared" si="10"/>
        <v>6.5000000000000002E-2</v>
      </c>
      <c r="BS20">
        <f t="shared" si="11"/>
        <v>7.0710678118654814E-3</v>
      </c>
    </row>
    <row r="21" spans="1:71">
      <c r="A21" t="s">
        <v>242</v>
      </c>
      <c r="B21">
        <v>4.3999999999999997E-2</v>
      </c>
      <c r="C21">
        <v>4.2999999999999997E-2</v>
      </c>
      <c r="D21">
        <v>4.2000000000000003E-2</v>
      </c>
      <c r="E21">
        <v>4.1000000000000002E-2</v>
      </c>
      <c r="F21">
        <v>4.2000000000000003E-2</v>
      </c>
      <c r="G21">
        <v>3.7999999999999999E-2</v>
      </c>
      <c r="H21" s="90">
        <v>3.7999999999999999E-2</v>
      </c>
      <c r="I21">
        <v>4.2000000000000003E-2</v>
      </c>
      <c r="J21">
        <f t="shared" si="9"/>
        <v>4.1249999999999995E-2</v>
      </c>
      <c r="K21">
        <f t="shared" si="0"/>
        <v>2.3401261667248788E-3</v>
      </c>
      <c r="L21" t="s">
        <v>242</v>
      </c>
      <c r="M21">
        <v>0.13300000000000001</v>
      </c>
      <c r="N21">
        <v>0.13600000000000001</v>
      </c>
      <c r="O21">
        <v>0.13300000000000001</v>
      </c>
      <c r="P21">
        <v>0.13100000000000001</v>
      </c>
      <c r="Q21">
        <v>0.13100000000000001</v>
      </c>
      <c r="R21" s="91">
        <v>0.12</v>
      </c>
      <c r="S21" s="90">
        <v>0.125</v>
      </c>
      <c r="T21">
        <v>0.13600000000000001</v>
      </c>
      <c r="U21">
        <f t="shared" si="1"/>
        <v>0.12985714285714287</v>
      </c>
      <c r="V21">
        <f t="shared" si="2"/>
        <v>5.490251100164472E-3</v>
      </c>
      <c r="W21" t="s">
        <v>242</v>
      </c>
      <c r="X21">
        <v>0.03</v>
      </c>
      <c r="Y21">
        <v>2.9000000000000001E-2</v>
      </c>
      <c r="Z21">
        <v>0.03</v>
      </c>
      <c r="AA21">
        <v>2.9000000000000001E-2</v>
      </c>
      <c r="AB21">
        <v>3.3000000000000002E-2</v>
      </c>
      <c r="AC21">
        <v>2.9000000000000001E-2</v>
      </c>
      <c r="AD21">
        <v>2.7E-2</v>
      </c>
      <c r="AE21" s="90">
        <v>2.5000000000000001E-2</v>
      </c>
      <c r="AF21">
        <v>3.1E-2</v>
      </c>
      <c r="AG21">
        <f t="shared" si="3"/>
        <v>2.8999999999999998E-2</v>
      </c>
      <c r="AH21">
        <f t="shared" si="4"/>
        <v>2.3299294900428701E-3</v>
      </c>
      <c r="AI21" t="s">
        <v>242</v>
      </c>
      <c r="AJ21">
        <v>4.1000000000000002E-2</v>
      </c>
      <c r="AK21">
        <v>4.2000000000000003E-2</v>
      </c>
      <c r="AL21">
        <v>4.1000000000000002E-2</v>
      </c>
      <c r="AM21">
        <v>0.04</v>
      </c>
      <c r="AO21" s="66">
        <v>3.9E-2</v>
      </c>
      <c r="AP21">
        <v>4.1000000000000002E-2</v>
      </c>
      <c r="AQ21">
        <v>3.7999999999999999E-2</v>
      </c>
      <c r="AR21" s="90">
        <v>3.6999999999999998E-2</v>
      </c>
      <c r="AS21">
        <v>4.2999999999999997E-2</v>
      </c>
      <c r="AT21">
        <f t="shared" si="5"/>
        <v>3.9875000000000001E-2</v>
      </c>
      <c r="AU21">
        <f t="shared" si="6"/>
        <v>1.726888200533799E-3</v>
      </c>
      <c r="AV21" t="s">
        <v>242</v>
      </c>
      <c r="AW21">
        <v>6.3E-2</v>
      </c>
      <c r="AX21">
        <v>6.3E-2</v>
      </c>
      <c r="AY21">
        <v>6.3E-2</v>
      </c>
      <c r="AZ21">
        <v>6.0999999999999999E-2</v>
      </c>
      <c r="BA21">
        <v>6.2E-2</v>
      </c>
      <c r="BB21">
        <v>6.2E-2</v>
      </c>
      <c r="BC21">
        <v>6.5000000000000002E-2</v>
      </c>
      <c r="BD21" s="91">
        <v>5.7000000000000002E-2</v>
      </c>
      <c r="BE21" s="90">
        <v>0.06</v>
      </c>
      <c r="BF21">
        <v>6.8000000000000005E-2</v>
      </c>
      <c r="BG21">
        <f t="shared" si="7"/>
        <v>6.1777777777777786E-2</v>
      </c>
      <c r="BH21">
        <f t="shared" si="8"/>
        <v>2.2791323885295576E-3</v>
      </c>
      <c r="BI21" t="s">
        <v>242</v>
      </c>
      <c r="BJ21">
        <v>8.9999999999999993E-3</v>
      </c>
      <c r="BK21">
        <v>2.1000000000000001E-2</v>
      </c>
      <c r="BL21">
        <v>8.9999999999999993E-3</v>
      </c>
      <c r="BM21">
        <v>8.0000000000000002E-3</v>
      </c>
      <c r="BO21">
        <v>7.0000000000000001E-3</v>
      </c>
      <c r="BP21" s="90">
        <v>5.0000000000000001E-3</v>
      </c>
      <c r="BQ21">
        <v>0.01</v>
      </c>
      <c r="BR21">
        <f t="shared" si="10"/>
        <v>9.8333333333333328E-3</v>
      </c>
      <c r="BS21">
        <f t="shared" si="11"/>
        <v>5.6715665090578517E-3</v>
      </c>
    </row>
    <row r="22" spans="1:71">
      <c r="A22" t="s">
        <v>263</v>
      </c>
      <c r="B22">
        <v>0.2</v>
      </c>
      <c r="C22">
        <v>0.2</v>
      </c>
      <c r="D22">
        <v>0.19</v>
      </c>
      <c r="E22">
        <v>0.19</v>
      </c>
      <c r="F22">
        <v>0.2</v>
      </c>
      <c r="G22">
        <v>0.18</v>
      </c>
      <c r="H22" s="90">
        <v>0.18</v>
      </c>
      <c r="I22">
        <v>0.26</v>
      </c>
      <c r="J22">
        <f t="shared" si="9"/>
        <v>0.19999999999999998</v>
      </c>
      <c r="K22">
        <f t="shared" si="0"/>
        <v>8.9973541084243814E-3</v>
      </c>
      <c r="L22" t="s">
        <v>263</v>
      </c>
      <c r="M22">
        <v>7.0000000000000007E-2</v>
      </c>
      <c r="N22">
        <v>7.0000000000000007E-2</v>
      </c>
      <c r="O22">
        <v>0.06</v>
      </c>
      <c r="P22">
        <v>0.06</v>
      </c>
      <c r="Q22">
        <v>7.0000000000000007E-2</v>
      </c>
      <c r="R22" s="91">
        <v>7.0000000000000007E-2</v>
      </c>
      <c r="S22" s="90">
        <v>0.06</v>
      </c>
      <c r="T22">
        <v>7.0000000000000007E-2</v>
      </c>
      <c r="U22">
        <f t="shared" si="1"/>
        <v>6.5714285714285711E-2</v>
      </c>
      <c r="V22">
        <f t="shared" si="2"/>
        <v>5.3452248382484923E-3</v>
      </c>
      <c r="W22" t="s">
        <v>263</v>
      </c>
      <c r="X22">
        <v>0.15</v>
      </c>
      <c r="Y22">
        <v>0.14000000000000001</v>
      </c>
      <c r="Z22">
        <v>0.14000000000000001</v>
      </c>
      <c r="AA22">
        <v>0.13</v>
      </c>
      <c r="AB22">
        <v>0.12</v>
      </c>
      <c r="AC22">
        <v>0.13</v>
      </c>
      <c r="AD22">
        <v>0.12</v>
      </c>
      <c r="AE22" s="90">
        <v>0.12</v>
      </c>
      <c r="AF22">
        <v>0.15</v>
      </c>
      <c r="AG22">
        <f t="shared" si="3"/>
        <v>0.13125000000000001</v>
      </c>
      <c r="AH22">
        <f t="shared" si="4"/>
        <v>1.1259916264596038E-2</v>
      </c>
      <c r="AI22" t="s">
        <v>263</v>
      </c>
      <c r="AJ22">
        <v>0.59</v>
      </c>
      <c r="AK22">
        <v>0.61</v>
      </c>
      <c r="AL22">
        <v>0.61</v>
      </c>
      <c r="AM22">
        <v>0.61</v>
      </c>
      <c r="AO22" s="66">
        <v>0.6</v>
      </c>
      <c r="AP22">
        <v>0.62</v>
      </c>
      <c r="AQ22">
        <v>0.56000000000000005</v>
      </c>
      <c r="AR22" s="90">
        <v>0.6</v>
      </c>
      <c r="AS22">
        <v>0.62</v>
      </c>
      <c r="AT22">
        <f t="shared" si="5"/>
        <v>0.6</v>
      </c>
      <c r="AU22">
        <f t="shared" si="6"/>
        <v>1.8516401995451012E-2</v>
      </c>
      <c r="AV22" t="s">
        <v>263</v>
      </c>
      <c r="AW22">
        <v>0.41</v>
      </c>
      <c r="AX22">
        <v>0.54</v>
      </c>
      <c r="AY22">
        <v>0.53</v>
      </c>
      <c r="AZ22">
        <v>0.53</v>
      </c>
      <c r="BA22">
        <v>0.52</v>
      </c>
      <c r="BB22">
        <v>0.51</v>
      </c>
      <c r="BC22">
        <v>0.53</v>
      </c>
      <c r="BD22" s="91">
        <v>0.53</v>
      </c>
      <c r="BE22" s="90">
        <v>0.51</v>
      </c>
      <c r="BF22">
        <v>0.52</v>
      </c>
      <c r="BG22">
        <f t="shared" si="7"/>
        <v>0.51222222222222225</v>
      </c>
      <c r="BH22">
        <f t="shared" si="8"/>
        <v>3.9616214413349053E-2</v>
      </c>
      <c r="BI22" t="s">
        <v>263</v>
      </c>
      <c r="BJ22">
        <v>0.48</v>
      </c>
      <c r="BK22">
        <v>0.91</v>
      </c>
      <c r="BL22">
        <v>0.9</v>
      </c>
      <c r="BM22">
        <v>0.87</v>
      </c>
      <c r="BN22">
        <v>0.94</v>
      </c>
      <c r="BO22">
        <v>0.85</v>
      </c>
      <c r="BP22" s="90">
        <v>0.92</v>
      </c>
      <c r="BQ22">
        <v>0.94</v>
      </c>
      <c r="BR22">
        <f t="shared" si="10"/>
        <v>0.83857142857142841</v>
      </c>
      <c r="BS22">
        <f t="shared" si="11"/>
        <v>0.16097914683053183</v>
      </c>
    </row>
    <row r="23" spans="1:71">
      <c r="A23" t="s">
        <v>243</v>
      </c>
      <c r="H23" s="90"/>
      <c r="J23" t="e">
        <f t="shared" si="9"/>
        <v>#DIV/0!</v>
      </c>
      <c r="K23" t="e">
        <f t="shared" si="0"/>
        <v>#DIV/0!</v>
      </c>
      <c r="L23" t="s">
        <v>243</v>
      </c>
      <c r="R23" s="91"/>
      <c r="S23" s="90"/>
      <c r="U23" t="e">
        <f t="shared" si="1"/>
        <v>#DIV/0!</v>
      </c>
      <c r="V23" t="e">
        <f t="shared" si="2"/>
        <v>#DIV/0!</v>
      </c>
      <c r="W23" t="s">
        <v>243</v>
      </c>
      <c r="AE23" s="90"/>
      <c r="AG23" t="e">
        <f t="shared" si="3"/>
        <v>#DIV/0!</v>
      </c>
      <c r="AH23" t="e">
        <f t="shared" si="4"/>
        <v>#DIV/0!</v>
      </c>
      <c r="AI23" t="s">
        <v>243</v>
      </c>
      <c r="AK23">
        <v>0.109</v>
      </c>
      <c r="AM23">
        <v>8.5999999999999993E-2</v>
      </c>
      <c r="AR23" s="90"/>
      <c r="AT23">
        <f t="shared" si="5"/>
        <v>9.7500000000000003E-2</v>
      </c>
      <c r="AU23">
        <f t="shared" si="6"/>
        <v>1.6263455967290511E-2</v>
      </c>
      <c r="AV23" t="s">
        <v>243</v>
      </c>
      <c r="BA23">
        <v>0.107</v>
      </c>
      <c r="BD23" s="91"/>
      <c r="BE23" s="90"/>
      <c r="BF23">
        <v>0.19400000000000001</v>
      </c>
      <c r="BG23">
        <f t="shared" si="7"/>
        <v>0.107</v>
      </c>
      <c r="BH23" t="e">
        <f t="shared" si="8"/>
        <v>#DIV/0!</v>
      </c>
      <c r="BI23" t="s">
        <v>243</v>
      </c>
      <c r="BP23" s="90"/>
      <c r="BR23" t="e">
        <f t="shared" si="10"/>
        <v>#DIV/0!</v>
      </c>
      <c r="BS23" t="e">
        <f t="shared" si="11"/>
        <v>#DIV/0!</v>
      </c>
    </row>
    <row r="24" spans="1:71">
      <c r="A24" t="s">
        <v>244</v>
      </c>
      <c r="H24" s="90"/>
      <c r="J24" t="e">
        <f t="shared" si="9"/>
        <v>#DIV/0!</v>
      </c>
      <c r="K24" t="e">
        <f t="shared" si="0"/>
        <v>#DIV/0!</v>
      </c>
      <c r="L24" t="s">
        <v>244</v>
      </c>
      <c r="R24" s="91"/>
      <c r="S24" s="90"/>
      <c r="U24" t="e">
        <f t="shared" si="1"/>
        <v>#DIV/0!</v>
      </c>
      <c r="V24" t="e">
        <f t="shared" si="2"/>
        <v>#DIV/0!</v>
      </c>
      <c r="W24" t="s">
        <v>244</v>
      </c>
      <c r="AE24" s="90"/>
      <c r="AG24" t="e">
        <f t="shared" si="3"/>
        <v>#DIV/0!</v>
      </c>
      <c r="AH24" t="e">
        <f t="shared" si="4"/>
        <v>#DIV/0!</v>
      </c>
      <c r="AI24" t="s">
        <v>244</v>
      </c>
      <c r="AR24" s="90"/>
      <c r="AT24" t="e">
        <f t="shared" si="5"/>
        <v>#DIV/0!</v>
      </c>
      <c r="AU24" t="e">
        <f t="shared" si="6"/>
        <v>#DIV/0!</v>
      </c>
      <c r="AV24" t="s">
        <v>244</v>
      </c>
      <c r="BD24" s="91"/>
      <c r="BE24" s="90"/>
      <c r="BG24" t="e">
        <f t="shared" si="7"/>
        <v>#DIV/0!</v>
      </c>
      <c r="BH24" t="e">
        <f t="shared" si="8"/>
        <v>#DIV/0!</v>
      </c>
      <c r="BI24" t="s">
        <v>244</v>
      </c>
      <c r="BP24" s="90"/>
      <c r="BR24" t="e">
        <f t="shared" si="10"/>
        <v>#DIV/0!</v>
      </c>
      <c r="BS24" t="e">
        <f t="shared" si="11"/>
        <v>#DIV/0!</v>
      </c>
    </row>
    <row r="25" spans="1:71">
      <c r="A25" t="s">
        <v>245</v>
      </c>
      <c r="B25">
        <v>121</v>
      </c>
      <c r="C25">
        <v>118</v>
      </c>
      <c r="D25">
        <v>115</v>
      </c>
      <c r="E25">
        <v>123</v>
      </c>
      <c r="F25">
        <v>117</v>
      </c>
      <c r="G25">
        <v>110</v>
      </c>
      <c r="H25" s="90">
        <v>118</v>
      </c>
      <c r="I25">
        <v>134</v>
      </c>
      <c r="J25">
        <f t="shared" si="9"/>
        <v>119.5</v>
      </c>
      <c r="K25">
        <f t="shared" si="0"/>
        <v>4.1975049278169543</v>
      </c>
      <c r="L25" t="s">
        <v>245</v>
      </c>
      <c r="M25">
        <v>46.5</v>
      </c>
      <c r="N25">
        <v>44.1</v>
      </c>
      <c r="O25">
        <v>43.8</v>
      </c>
      <c r="P25">
        <v>48.2</v>
      </c>
      <c r="Q25">
        <v>46</v>
      </c>
      <c r="R25" s="91">
        <v>43.7</v>
      </c>
      <c r="S25" s="90">
        <v>47.1</v>
      </c>
      <c r="T25">
        <v>45.8</v>
      </c>
      <c r="U25">
        <f t="shared" si="1"/>
        <v>45.628571428571426</v>
      </c>
      <c r="V25">
        <f t="shared" si="2"/>
        <v>1.7829883956570276</v>
      </c>
      <c r="W25" t="s">
        <v>245</v>
      </c>
      <c r="X25">
        <v>357</v>
      </c>
      <c r="Y25">
        <v>342</v>
      </c>
      <c r="Z25">
        <v>355</v>
      </c>
      <c r="AA25">
        <v>351</v>
      </c>
      <c r="AB25">
        <v>374</v>
      </c>
      <c r="AC25">
        <v>352</v>
      </c>
      <c r="AD25">
        <v>326</v>
      </c>
      <c r="AE25" s="90">
        <v>347</v>
      </c>
      <c r="AF25">
        <v>345</v>
      </c>
      <c r="AG25">
        <f t="shared" si="3"/>
        <v>350.5</v>
      </c>
      <c r="AH25">
        <f t="shared" si="4"/>
        <v>13.638181696985855</v>
      </c>
      <c r="AI25" t="s">
        <v>245</v>
      </c>
      <c r="AJ25">
        <v>7.4</v>
      </c>
      <c r="AK25">
        <v>7.1</v>
      </c>
      <c r="AL25">
        <v>7.2</v>
      </c>
      <c r="AM25">
        <v>7.5</v>
      </c>
      <c r="AO25" s="66">
        <v>7.6</v>
      </c>
      <c r="AP25">
        <v>6.9</v>
      </c>
      <c r="AQ25">
        <v>6.9</v>
      </c>
      <c r="AR25" s="90">
        <v>7</v>
      </c>
      <c r="AS25">
        <v>7.4</v>
      </c>
      <c r="AT25">
        <f t="shared" si="5"/>
        <v>7.1999999999999993</v>
      </c>
      <c r="AU25">
        <f t="shared" si="6"/>
        <v>0.27255405754769862</v>
      </c>
      <c r="AV25" t="s">
        <v>245</v>
      </c>
      <c r="AW25">
        <v>4.4000000000000004</v>
      </c>
      <c r="AX25">
        <v>4.2</v>
      </c>
      <c r="AY25">
        <v>4</v>
      </c>
      <c r="AZ25">
        <v>3.9</v>
      </c>
      <c r="BA25">
        <v>4.0999999999999996</v>
      </c>
      <c r="BB25">
        <v>4.0999999999999996</v>
      </c>
      <c r="BC25">
        <v>4</v>
      </c>
      <c r="BD25" s="91">
        <v>3.8</v>
      </c>
      <c r="BE25" s="90">
        <v>3.8</v>
      </c>
      <c r="BF25">
        <v>3.8</v>
      </c>
      <c r="BG25">
        <f t="shared" si="7"/>
        <v>4.0333333333333332</v>
      </c>
      <c r="BH25">
        <f t="shared" si="8"/>
        <v>0.19364916731037096</v>
      </c>
      <c r="BI25" t="s">
        <v>245</v>
      </c>
      <c r="BJ25">
        <v>330</v>
      </c>
      <c r="BK25">
        <v>309</v>
      </c>
      <c r="BL25">
        <v>310</v>
      </c>
      <c r="BM25">
        <v>331</v>
      </c>
      <c r="BN25">
        <v>325</v>
      </c>
      <c r="BO25">
        <v>310</v>
      </c>
      <c r="BP25" s="90">
        <v>327</v>
      </c>
      <c r="BQ25">
        <v>323</v>
      </c>
      <c r="BR25">
        <f t="shared" si="10"/>
        <v>320.28571428571428</v>
      </c>
      <c r="BS25">
        <f t="shared" si="11"/>
        <v>10.127755357009201</v>
      </c>
    </row>
    <row r="26" spans="1:71">
      <c r="A26" t="s">
        <v>246</v>
      </c>
      <c r="B26">
        <v>10.9</v>
      </c>
      <c r="C26">
        <v>11.6</v>
      </c>
      <c r="D26">
        <v>11.4</v>
      </c>
      <c r="E26">
        <v>10.9</v>
      </c>
      <c r="F26">
        <v>10.6</v>
      </c>
      <c r="G26">
        <v>11.3</v>
      </c>
      <c r="H26" s="90">
        <v>11.2</v>
      </c>
      <c r="I26">
        <v>12.8</v>
      </c>
      <c r="J26">
        <f t="shared" si="9"/>
        <v>11.3375</v>
      </c>
      <c r="K26">
        <f t="shared" si="0"/>
        <v>0.34503277967117713</v>
      </c>
      <c r="L26" t="s">
        <v>246</v>
      </c>
      <c r="M26">
        <v>16.399999999999999</v>
      </c>
      <c r="N26">
        <v>16.100000000000001</v>
      </c>
      <c r="O26">
        <v>16</v>
      </c>
      <c r="P26">
        <v>16.100000000000001</v>
      </c>
      <c r="Q26">
        <v>16</v>
      </c>
      <c r="R26" s="91">
        <v>16.100000000000001</v>
      </c>
      <c r="S26" s="90">
        <v>17</v>
      </c>
      <c r="T26">
        <v>16.7</v>
      </c>
      <c r="U26">
        <f t="shared" si="1"/>
        <v>16.24285714285714</v>
      </c>
      <c r="V26">
        <f t="shared" si="2"/>
        <v>0.35989416433697452</v>
      </c>
      <c r="W26" t="s">
        <v>246</v>
      </c>
      <c r="X26">
        <v>7.87</v>
      </c>
      <c r="Y26">
        <v>7.65</v>
      </c>
      <c r="AA26">
        <v>7.73</v>
      </c>
      <c r="AB26">
        <v>7.6</v>
      </c>
      <c r="AD26">
        <v>12.3</v>
      </c>
      <c r="AE26" s="90"/>
      <c r="AG26">
        <f t="shared" si="3"/>
        <v>8.6300000000000008</v>
      </c>
      <c r="AH26">
        <f t="shared" si="4"/>
        <v>2.0541299861498494</v>
      </c>
      <c r="AI26" t="s">
        <v>246</v>
      </c>
      <c r="AJ26">
        <v>20.7</v>
      </c>
      <c r="AK26">
        <v>20.7</v>
      </c>
      <c r="AL26">
        <v>20.7</v>
      </c>
      <c r="AM26">
        <v>20.7</v>
      </c>
      <c r="AO26" s="66">
        <v>20.5</v>
      </c>
      <c r="AP26">
        <v>19.8</v>
      </c>
      <c r="AQ26">
        <v>19.7</v>
      </c>
      <c r="AR26" s="90">
        <v>21.2</v>
      </c>
      <c r="AS26">
        <v>21.7</v>
      </c>
      <c r="AT26">
        <f t="shared" si="5"/>
        <v>20.499999999999996</v>
      </c>
      <c r="AU26">
        <f t="shared" si="6"/>
        <v>0.50426750270636522</v>
      </c>
      <c r="AV26" t="s">
        <v>246</v>
      </c>
      <c r="AW26">
        <v>19.600000000000001</v>
      </c>
      <c r="AX26">
        <v>19.600000000000001</v>
      </c>
      <c r="AY26">
        <v>19.600000000000001</v>
      </c>
      <c r="AZ26">
        <v>19.399999999999999</v>
      </c>
      <c r="BA26">
        <v>19</v>
      </c>
      <c r="BB26">
        <v>19</v>
      </c>
      <c r="BC26">
        <v>18.399999999999999</v>
      </c>
      <c r="BD26" s="91">
        <v>17.899999999999999</v>
      </c>
      <c r="BE26" s="90">
        <v>19.5</v>
      </c>
      <c r="BF26">
        <v>19.399999999999999</v>
      </c>
      <c r="BG26">
        <f t="shared" si="7"/>
        <v>19.111111111111111</v>
      </c>
      <c r="BH26">
        <f t="shared" si="8"/>
        <v>0.60713352000290033</v>
      </c>
      <c r="BI26" t="s">
        <v>246</v>
      </c>
      <c r="BJ26">
        <v>219</v>
      </c>
      <c r="BK26">
        <v>181</v>
      </c>
      <c r="BL26">
        <v>208</v>
      </c>
      <c r="BM26">
        <v>211</v>
      </c>
      <c r="BN26">
        <v>217</v>
      </c>
      <c r="BO26">
        <v>233</v>
      </c>
      <c r="BP26" s="90">
        <v>216</v>
      </c>
      <c r="BQ26">
        <v>225</v>
      </c>
      <c r="BR26">
        <f t="shared" si="10"/>
        <v>212.14285714285714</v>
      </c>
      <c r="BS26">
        <f t="shared" si="11"/>
        <v>15.858000834789689</v>
      </c>
    </row>
    <row r="27" spans="1:71">
      <c r="A27" t="s">
        <v>247</v>
      </c>
      <c r="H27" s="90"/>
      <c r="J27" t="e">
        <f t="shared" si="9"/>
        <v>#DIV/0!</v>
      </c>
      <c r="K27" t="e">
        <f t="shared" si="0"/>
        <v>#DIV/0!</v>
      </c>
      <c r="L27" t="s">
        <v>247</v>
      </c>
      <c r="R27" s="91"/>
      <c r="S27" s="90"/>
      <c r="U27" t="e">
        <f t="shared" si="1"/>
        <v>#DIV/0!</v>
      </c>
      <c r="V27" t="e">
        <f t="shared" si="2"/>
        <v>#DIV/0!</v>
      </c>
      <c r="W27" t="s">
        <v>247</v>
      </c>
      <c r="AE27" s="90"/>
      <c r="AG27" t="e">
        <f t="shared" si="3"/>
        <v>#DIV/0!</v>
      </c>
      <c r="AH27" t="e">
        <f t="shared" si="4"/>
        <v>#DIV/0!</v>
      </c>
      <c r="AI27" t="s">
        <v>247</v>
      </c>
      <c r="AR27" s="90"/>
      <c r="AT27" t="e">
        <f t="shared" si="5"/>
        <v>#DIV/0!</v>
      </c>
      <c r="AU27" t="e">
        <f t="shared" si="6"/>
        <v>#DIV/0!</v>
      </c>
      <c r="AV27" t="s">
        <v>247</v>
      </c>
      <c r="BD27" s="91"/>
      <c r="BE27" s="90"/>
      <c r="BG27" t="e">
        <f t="shared" si="7"/>
        <v>#DIV/0!</v>
      </c>
      <c r="BH27" t="e">
        <f t="shared" si="8"/>
        <v>#DIV/0!</v>
      </c>
      <c r="BI27" t="s">
        <v>247</v>
      </c>
      <c r="BP27" s="90"/>
      <c r="BR27" t="e">
        <f t="shared" si="10"/>
        <v>#DIV/0!</v>
      </c>
      <c r="BS27" t="e">
        <f t="shared" si="11"/>
        <v>#DIV/0!</v>
      </c>
    </row>
    <row r="28" spans="1:71">
      <c r="A28" t="s">
        <v>248</v>
      </c>
      <c r="H28" s="90"/>
      <c r="J28" t="e">
        <f t="shared" si="9"/>
        <v>#DIV/0!</v>
      </c>
      <c r="K28" t="e">
        <f t="shared" si="0"/>
        <v>#DIV/0!</v>
      </c>
      <c r="L28" t="s">
        <v>248</v>
      </c>
      <c r="R28" s="91"/>
      <c r="S28" s="90"/>
      <c r="U28" t="e">
        <f t="shared" si="1"/>
        <v>#DIV/0!</v>
      </c>
      <c r="V28" t="e">
        <f t="shared" si="2"/>
        <v>#DIV/0!</v>
      </c>
      <c r="W28" t="s">
        <v>248</v>
      </c>
      <c r="AE28" s="90"/>
      <c r="AG28" t="e">
        <f t="shared" si="3"/>
        <v>#DIV/0!</v>
      </c>
      <c r="AH28" t="e">
        <f t="shared" si="4"/>
        <v>#DIV/0!</v>
      </c>
      <c r="AI28" t="s">
        <v>248</v>
      </c>
      <c r="AR28" s="90"/>
      <c r="AT28" t="e">
        <f t="shared" si="5"/>
        <v>#DIV/0!</v>
      </c>
      <c r="AU28" t="e">
        <f t="shared" si="6"/>
        <v>#DIV/0!</v>
      </c>
      <c r="AV28" t="s">
        <v>248</v>
      </c>
      <c r="BD28" s="91"/>
      <c r="BE28" s="90"/>
      <c r="BG28" t="e">
        <f t="shared" si="7"/>
        <v>#DIV/0!</v>
      </c>
      <c r="BH28" t="e">
        <f t="shared" si="8"/>
        <v>#DIV/0!</v>
      </c>
      <c r="BI28" t="s">
        <v>248</v>
      </c>
      <c r="BP28" s="90"/>
      <c r="BR28" t="e">
        <f t="shared" si="10"/>
        <v>#DIV/0!</v>
      </c>
      <c r="BS28" t="e">
        <f t="shared" si="11"/>
        <v>#DIV/0!</v>
      </c>
    </row>
    <row r="29" spans="1:71">
      <c r="A29" t="s">
        <v>251</v>
      </c>
      <c r="C29">
        <v>0.5</v>
      </c>
      <c r="D29">
        <v>0.27</v>
      </c>
      <c r="E29">
        <v>0.47</v>
      </c>
      <c r="F29">
        <v>0.32</v>
      </c>
      <c r="G29">
        <v>0.4</v>
      </c>
      <c r="H29" s="90">
        <v>0.44</v>
      </c>
      <c r="I29">
        <v>0.74</v>
      </c>
      <c r="J29">
        <f t="shared" si="9"/>
        <v>0.44857142857142851</v>
      </c>
      <c r="K29">
        <f t="shared" si="0"/>
        <v>8.921883209278203E-2</v>
      </c>
      <c r="L29" t="s">
        <v>251</v>
      </c>
      <c r="M29">
        <v>0.79</v>
      </c>
      <c r="N29">
        <v>0.77</v>
      </c>
      <c r="O29">
        <v>0.77</v>
      </c>
      <c r="P29">
        <v>0.81</v>
      </c>
      <c r="Q29">
        <v>0.82</v>
      </c>
      <c r="R29" s="91">
        <v>0.8</v>
      </c>
      <c r="S29" s="90">
        <v>0.84</v>
      </c>
      <c r="T29">
        <v>0.86</v>
      </c>
      <c r="U29">
        <f t="shared" si="1"/>
        <v>0.79999999999999993</v>
      </c>
      <c r="V29">
        <f t="shared" si="2"/>
        <v>2.5819888974716092E-2</v>
      </c>
      <c r="W29" t="s">
        <v>251</v>
      </c>
      <c r="X29">
        <v>0.45</v>
      </c>
      <c r="Y29">
        <v>0.49</v>
      </c>
      <c r="AA29">
        <v>0.51</v>
      </c>
      <c r="AB29">
        <v>0.51</v>
      </c>
      <c r="AE29" s="90"/>
      <c r="AF29">
        <v>1.38</v>
      </c>
      <c r="AG29">
        <f t="shared" si="3"/>
        <v>0.49</v>
      </c>
      <c r="AH29">
        <f t="shared" si="4"/>
        <v>2.8284271247461901E-2</v>
      </c>
      <c r="AI29" t="s">
        <v>251</v>
      </c>
      <c r="AJ29">
        <v>6.22</v>
      </c>
      <c r="AK29">
        <v>6.77</v>
      </c>
      <c r="AL29">
        <v>6.17</v>
      </c>
      <c r="AM29">
        <v>6.32</v>
      </c>
      <c r="AO29">
        <v>6.44</v>
      </c>
      <c r="AP29">
        <v>6.43</v>
      </c>
      <c r="AQ29">
        <v>5.97</v>
      </c>
      <c r="AR29" s="90">
        <v>6.83</v>
      </c>
      <c r="AS29">
        <v>7.08</v>
      </c>
      <c r="AT29">
        <f t="shared" si="5"/>
        <v>6.3937499999999989</v>
      </c>
      <c r="AU29">
        <f t="shared" si="6"/>
        <v>0.29291332213764926</v>
      </c>
      <c r="AV29" t="s">
        <v>251</v>
      </c>
      <c r="AW29">
        <v>5.44</v>
      </c>
      <c r="AX29">
        <v>5.87</v>
      </c>
      <c r="AY29">
        <v>5.76</v>
      </c>
      <c r="AZ29">
        <v>5.97</v>
      </c>
      <c r="BA29">
        <v>5.91</v>
      </c>
      <c r="BB29">
        <v>5.71</v>
      </c>
      <c r="BC29">
        <v>5.6</v>
      </c>
      <c r="BD29" s="91">
        <v>5.25</v>
      </c>
      <c r="BE29" s="90">
        <v>5.83</v>
      </c>
      <c r="BF29">
        <v>5.92</v>
      </c>
      <c r="BG29">
        <f t="shared" si="7"/>
        <v>5.7044444444444444</v>
      </c>
      <c r="BH29">
        <f t="shared" si="8"/>
        <v>0.2362261157826919</v>
      </c>
      <c r="BI29" t="s">
        <v>251</v>
      </c>
      <c r="BJ29">
        <v>2.83</v>
      </c>
      <c r="BK29">
        <v>3.01</v>
      </c>
      <c r="BL29">
        <v>2.96</v>
      </c>
      <c r="BM29">
        <v>3.11</v>
      </c>
      <c r="BO29">
        <v>3.12</v>
      </c>
      <c r="BP29" s="90">
        <v>3.48</v>
      </c>
      <c r="BQ29">
        <v>5.23</v>
      </c>
      <c r="BR29">
        <f t="shared" si="10"/>
        <v>3.0850000000000004</v>
      </c>
      <c r="BS29">
        <f t="shared" si="11"/>
        <v>0.22097511172075465</v>
      </c>
    </row>
    <row r="30" spans="1:71">
      <c r="A30" t="s">
        <v>249</v>
      </c>
      <c r="B30">
        <v>6.21</v>
      </c>
      <c r="C30">
        <v>5.13</v>
      </c>
      <c r="D30">
        <v>4.92</v>
      </c>
      <c r="E30">
        <v>5.0199999999999996</v>
      </c>
      <c r="F30">
        <v>4.67</v>
      </c>
      <c r="G30">
        <v>4.6100000000000003</v>
      </c>
      <c r="H30" s="90">
        <v>4.92</v>
      </c>
      <c r="I30">
        <v>7</v>
      </c>
      <c r="J30">
        <f t="shared" si="9"/>
        <v>5.31</v>
      </c>
      <c r="K30">
        <f t="shared" si="0"/>
        <v>0.53576825125012684</v>
      </c>
      <c r="L30" t="s">
        <v>249</v>
      </c>
      <c r="M30">
        <v>0.42</v>
      </c>
      <c r="N30">
        <v>0.3</v>
      </c>
      <c r="O30">
        <v>0.32</v>
      </c>
      <c r="P30">
        <v>0.4</v>
      </c>
      <c r="Q30">
        <v>0.36</v>
      </c>
      <c r="R30" s="91">
        <v>0.26</v>
      </c>
      <c r="S30" s="90">
        <v>0.35</v>
      </c>
      <c r="T30">
        <v>0.34</v>
      </c>
      <c r="U30">
        <f t="shared" si="1"/>
        <v>0.34428571428571425</v>
      </c>
      <c r="V30">
        <f t="shared" si="2"/>
        <v>5.5933634144148231E-2</v>
      </c>
      <c r="W30" t="s">
        <v>249</v>
      </c>
      <c r="X30">
        <v>1.53</v>
      </c>
      <c r="Y30">
        <v>2.9</v>
      </c>
      <c r="Z30">
        <v>2.92</v>
      </c>
      <c r="AA30">
        <v>1.97</v>
      </c>
      <c r="AB30">
        <v>3.27</v>
      </c>
      <c r="AC30">
        <v>3.18</v>
      </c>
      <c r="AD30">
        <v>2.85</v>
      </c>
      <c r="AE30" s="90">
        <v>3.1</v>
      </c>
      <c r="AF30">
        <v>2.98</v>
      </c>
      <c r="AG30">
        <f t="shared" si="3"/>
        <v>2.7150000000000003</v>
      </c>
      <c r="AH30">
        <f t="shared" si="4"/>
        <v>0.62406501492804467</v>
      </c>
      <c r="AI30" t="s">
        <v>249</v>
      </c>
      <c r="AP30">
        <v>0.06</v>
      </c>
      <c r="AR30" s="90"/>
      <c r="AT30">
        <f t="shared" si="5"/>
        <v>0.06</v>
      </c>
      <c r="AU30" t="e">
        <f t="shared" si="6"/>
        <v>#DIV/0!</v>
      </c>
      <c r="AV30" t="s">
        <v>249</v>
      </c>
      <c r="BA30">
        <v>0.18</v>
      </c>
      <c r="BC30">
        <v>0.02</v>
      </c>
      <c r="BD30" s="91"/>
      <c r="BE30" s="90">
        <v>0.02</v>
      </c>
      <c r="BF30">
        <v>0.02</v>
      </c>
      <c r="BG30">
        <f t="shared" si="7"/>
        <v>7.333333333333332E-2</v>
      </c>
      <c r="BH30">
        <f t="shared" si="8"/>
        <v>9.2376043070340114E-2</v>
      </c>
      <c r="BI30" t="s">
        <v>249</v>
      </c>
      <c r="BJ30">
        <v>0.47</v>
      </c>
      <c r="BK30">
        <v>0.34</v>
      </c>
      <c r="BL30">
        <v>0.15</v>
      </c>
      <c r="BM30">
        <v>0.18</v>
      </c>
      <c r="BN30">
        <v>3.78</v>
      </c>
      <c r="BO30">
        <v>2.3199999999999998</v>
      </c>
      <c r="BP30" s="90">
        <v>2.5</v>
      </c>
      <c r="BQ30">
        <v>4.47</v>
      </c>
      <c r="BR30">
        <f t="shared" si="10"/>
        <v>1.3914285714285715</v>
      </c>
      <c r="BS30">
        <f t="shared" si="11"/>
        <v>1.4582915640276761</v>
      </c>
    </row>
    <row r="31" spans="1:71">
      <c r="A31" t="s">
        <v>250</v>
      </c>
      <c r="H31" s="90"/>
      <c r="J31" t="e">
        <f t="shared" si="9"/>
        <v>#DIV/0!</v>
      </c>
      <c r="K31" t="e">
        <f t="shared" si="0"/>
        <v>#DIV/0!</v>
      </c>
      <c r="L31" t="s">
        <v>250</v>
      </c>
      <c r="R31" s="91"/>
      <c r="S31" s="90"/>
      <c r="U31" t="e">
        <f t="shared" si="1"/>
        <v>#DIV/0!</v>
      </c>
      <c r="V31" t="e">
        <f t="shared" si="2"/>
        <v>#DIV/0!</v>
      </c>
      <c r="W31" t="s">
        <v>250</v>
      </c>
      <c r="AD31">
        <v>0.03</v>
      </c>
      <c r="AE31" s="90"/>
      <c r="AG31">
        <f t="shared" si="3"/>
        <v>0.03</v>
      </c>
      <c r="AH31" t="e">
        <f t="shared" si="4"/>
        <v>#DIV/0!</v>
      </c>
      <c r="AI31" t="s">
        <v>250</v>
      </c>
      <c r="AR31" s="90"/>
      <c r="AT31" t="e">
        <f t="shared" si="5"/>
        <v>#DIV/0!</v>
      </c>
      <c r="AU31" t="e">
        <f t="shared" si="6"/>
        <v>#DIV/0!</v>
      </c>
      <c r="AV31" t="s">
        <v>250</v>
      </c>
      <c r="BD31" s="91"/>
      <c r="BE31" s="90"/>
      <c r="BG31" t="e">
        <f t="shared" si="7"/>
        <v>#DIV/0!</v>
      </c>
      <c r="BH31" t="e">
        <f t="shared" si="8"/>
        <v>#DIV/0!</v>
      </c>
      <c r="BI31" t="s">
        <v>250</v>
      </c>
      <c r="BP31" s="90"/>
      <c r="BR31" t="e">
        <f t="shared" si="10"/>
        <v>#DIV/0!</v>
      </c>
      <c r="BS31" t="e">
        <f t="shared" si="11"/>
        <v>#DIV/0!</v>
      </c>
    </row>
    <row r="32" spans="1:71">
      <c r="A32" t="s">
        <v>252</v>
      </c>
      <c r="B32">
        <v>4.8000000000000001E-2</v>
      </c>
      <c r="C32">
        <v>4.4999999999999998E-2</v>
      </c>
      <c r="D32">
        <v>0.04</v>
      </c>
      <c r="E32">
        <v>3.7999999999999999E-2</v>
      </c>
      <c r="F32">
        <v>4.2999999999999997E-2</v>
      </c>
      <c r="G32">
        <v>3.5999999999999997E-2</v>
      </c>
      <c r="H32" s="90">
        <v>4.4999999999999998E-2</v>
      </c>
      <c r="I32">
        <v>4.8000000000000001E-2</v>
      </c>
      <c r="J32">
        <f t="shared" si="9"/>
        <v>4.2874999999999996E-2</v>
      </c>
      <c r="K32">
        <f t="shared" si="0"/>
        <v>4.29839394148448E-3</v>
      </c>
      <c r="L32" t="s">
        <v>252</v>
      </c>
      <c r="M32">
        <v>0.04</v>
      </c>
      <c r="N32">
        <v>3.7999999999999999E-2</v>
      </c>
      <c r="O32">
        <v>3.4000000000000002E-2</v>
      </c>
      <c r="P32">
        <v>3.3000000000000002E-2</v>
      </c>
      <c r="Q32">
        <v>3.9E-2</v>
      </c>
      <c r="R32" s="91">
        <v>3.1E-2</v>
      </c>
      <c r="S32" s="90">
        <v>3.9E-2</v>
      </c>
      <c r="T32">
        <v>3.6999999999999998E-2</v>
      </c>
      <c r="U32">
        <f t="shared" si="1"/>
        <v>3.6285714285714289E-2</v>
      </c>
      <c r="V32">
        <f t="shared" si="2"/>
        <v>3.5456210417116728E-3</v>
      </c>
      <c r="W32" t="s">
        <v>252</v>
      </c>
      <c r="X32">
        <v>0.13700000000000001</v>
      </c>
      <c r="Y32">
        <v>0.121</v>
      </c>
      <c r="Z32">
        <v>0.123</v>
      </c>
      <c r="AA32">
        <v>0.11700000000000001</v>
      </c>
      <c r="AB32">
        <v>0.11899999999999999</v>
      </c>
      <c r="AC32">
        <v>0.124</v>
      </c>
      <c r="AD32">
        <v>0.112</v>
      </c>
      <c r="AE32" s="90">
        <v>0.127</v>
      </c>
      <c r="AF32">
        <v>0.125</v>
      </c>
      <c r="AG32">
        <f t="shared" si="3"/>
        <v>0.1225</v>
      </c>
      <c r="AH32">
        <f t="shared" si="4"/>
        <v>7.4450366975973639E-3</v>
      </c>
      <c r="AI32" t="s">
        <v>252</v>
      </c>
      <c r="AJ32">
        <v>0.26100000000000001</v>
      </c>
      <c r="AK32">
        <v>0.253</v>
      </c>
      <c r="AL32">
        <v>0.251</v>
      </c>
      <c r="AM32">
        <v>0.252</v>
      </c>
      <c r="AO32">
        <v>0.251</v>
      </c>
      <c r="AP32">
        <v>0.253</v>
      </c>
      <c r="AQ32">
        <v>0.23699999999999999</v>
      </c>
      <c r="AR32" s="90">
        <v>0.255</v>
      </c>
      <c r="AS32">
        <v>0.253</v>
      </c>
      <c r="AT32">
        <f t="shared" si="5"/>
        <v>0.25162499999999999</v>
      </c>
      <c r="AU32">
        <f t="shared" si="6"/>
        <v>6.7387472341462968E-3</v>
      </c>
      <c r="AV32" t="s">
        <v>252</v>
      </c>
      <c r="AW32">
        <v>0.24099999999999999</v>
      </c>
      <c r="AX32">
        <v>0.23400000000000001</v>
      </c>
      <c r="AY32">
        <v>0.23200000000000001</v>
      </c>
      <c r="AZ32">
        <v>0.23300000000000001</v>
      </c>
      <c r="BA32">
        <v>0.22800000000000001</v>
      </c>
      <c r="BB32">
        <v>0.22700000000000001</v>
      </c>
      <c r="BC32">
        <v>0.23300000000000001</v>
      </c>
      <c r="BD32" s="91">
        <v>0.223</v>
      </c>
      <c r="BE32" s="90">
        <v>0.23300000000000001</v>
      </c>
      <c r="BF32">
        <v>0.23100000000000001</v>
      </c>
      <c r="BG32">
        <f t="shared" si="7"/>
        <v>0.23155555555555557</v>
      </c>
      <c r="BH32">
        <f t="shared" si="8"/>
        <v>5.1017426216713206E-3</v>
      </c>
      <c r="BI32" t="s">
        <v>252</v>
      </c>
      <c r="BJ32">
        <v>2.38</v>
      </c>
      <c r="BK32">
        <v>2.2799999999999998</v>
      </c>
      <c r="BL32">
        <v>2.23</v>
      </c>
      <c r="BM32">
        <v>2.3199999999999998</v>
      </c>
      <c r="BN32">
        <v>2.2200000000000002</v>
      </c>
      <c r="BO32">
        <v>2.08</v>
      </c>
      <c r="BP32" s="90">
        <v>2.23</v>
      </c>
      <c r="BQ32">
        <v>2.27</v>
      </c>
      <c r="BR32">
        <f t="shared" si="10"/>
        <v>2.2485714285714287</v>
      </c>
      <c r="BS32">
        <f t="shared" si="11"/>
        <v>9.4238805069633419E-2</v>
      </c>
    </row>
    <row r="33" spans="1:71">
      <c r="A33" t="s">
        <v>253</v>
      </c>
      <c r="B33">
        <v>37.700000000000003</v>
      </c>
      <c r="C33">
        <v>36.700000000000003</v>
      </c>
      <c r="D33">
        <v>35.9</v>
      </c>
      <c r="E33">
        <v>37.799999999999997</v>
      </c>
      <c r="F33">
        <v>37.200000000000003</v>
      </c>
      <c r="G33">
        <v>34.700000000000003</v>
      </c>
      <c r="H33" s="90">
        <v>37.799999999999997</v>
      </c>
      <c r="I33">
        <v>40.9</v>
      </c>
      <c r="J33">
        <f t="shared" si="9"/>
        <v>37.337499999999999</v>
      </c>
      <c r="K33">
        <f t="shared" si="0"/>
        <v>1.1686377906410026</v>
      </c>
      <c r="L33" t="s">
        <v>253</v>
      </c>
      <c r="M33">
        <v>29.3</v>
      </c>
      <c r="N33">
        <v>28</v>
      </c>
      <c r="O33">
        <v>27.6</v>
      </c>
      <c r="P33">
        <v>29.9</v>
      </c>
      <c r="Q33">
        <v>28.9</v>
      </c>
      <c r="R33" s="91">
        <v>27.2</v>
      </c>
      <c r="S33" s="90">
        <v>29.9</v>
      </c>
      <c r="T33">
        <v>29.3</v>
      </c>
      <c r="U33">
        <f t="shared" si="1"/>
        <v>28.685714285714287</v>
      </c>
      <c r="V33">
        <f t="shared" si="2"/>
        <v>1.0976164652381557</v>
      </c>
      <c r="W33" t="s">
        <v>253</v>
      </c>
      <c r="X33">
        <v>237</v>
      </c>
      <c r="Y33">
        <v>232</v>
      </c>
      <c r="Z33">
        <v>238</v>
      </c>
      <c r="AA33">
        <v>232</v>
      </c>
      <c r="AB33">
        <v>250</v>
      </c>
      <c r="AC33">
        <v>236</v>
      </c>
      <c r="AD33">
        <v>226</v>
      </c>
      <c r="AE33" s="90">
        <v>242</v>
      </c>
      <c r="AF33">
        <v>235</v>
      </c>
      <c r="AG33">
        <f t="shared" si="3"/>
        <v>236.625</v>
      </c>
      <c r="AH33">
        <f t="shared" si="4"/>
        <v>7.2296512462813274</v>
      </c>
      <c r="AI33" t="s">
        <v>253</v>
      </c>
      <c r="AJ33">
        <v>8.1</v>
      </c>
      <c r="AK33">
        <v>7.9</v>
      </c>
      <c r="AL33">
        <v>8.1</v>
      </c>
      <c r="AM33">
        <v>8.4</v>
      </c>
      <c r="AO33">
        <v>8.4</v>
      </c>
      <c r="AP33">
        <v>7.6</v>
      </c>
      <c r="AQ33">
        <v>7.7</v>
      </c>
      <c r="AR33" s="90">
        <v>8</v>
      </c>
      <c r="AS33">
        <v>8.1999999999999993</v>
      </c>
      <c r="AT33">
        <f t="shared" si="5"/>
        <v>8.0250000000000004</v>
      </c>
      <c r="AU33">
        <f t="shared" si="6"/>
        <v>0.2915475947422651</v>
      </c>
      <c r="AV33" t="s">
        <v>253</v>
      </c>
      <c r="AW33">
        <v>6</v>
      </c>
      <c r="AX33">
        <v>5.8</v>
      </c>
      <c r="AY33">
        <v>5.4</v>
      </c>
      <c r="AZ33">
        <v>5.3</v>
      </c>
      <c r="BA33">
        <v>5.3</v>
      </c>
      <c r="BB33">
        <v>5.3</v>
      </c>
      <c r="BC33">
        <v>5.0999999999999996</v>
      </c>
      <c r="BD33" s="91">
        <v>5</v>
      </c>
      <c r="BE33" s="90">
        <v>5.2</v>
      </c>
      <c r="BF33">
        <v>5.0999999999999996</v>
      </c>
      <c r="BG33">
        <f t="shared" si="7"/>
        <v>5.3777777777777782</v>
      </c>
      <c r="BH33">
        <f t="shared" si="8"/>
        <v>0.32317865716108868</v>
      </c>
      <c r="BI33" t="s">
        <v>253</v>
      </c>
      <c r="BJ33">
        <v>99.6</v>
      </c>
      <c r="BK33">
        <v>91.2</v>
      </c>
      <c r="BL33">
        <v>89.4</v>
      </c>
      <c r="BM33">
        <v>95.7</v>
      </c>
      <c r="BN33">
        <v>98.9</v>
      </c>
      <c r="BO33">
        <v>93</v>
      </c>
      <c r="BP33" s="90">
        <v>98</v>
      </c>
      <c r="BQ33">
        <v>98.2</v>
      </c>
      <c r="BR33">
        <f t="shared" si="10"/>
        <v>95.114285714285728</v>
      </c>
      <c r="BS33">
        <f t="shared" si="11"/>
        <v>3.9910017837749989</v>
      </c>
    </row>
    <row r="34" spans="1:71">
      <c r="A34" t="s">
        <v>254</v>
      </c>
      <c r="B34">
        <v>0.19700000000000001</v>
      </c>
      <c r="C34">
        <v>0.184</v>
      </c>
      <c r="D34">
        <v>0.17899999999999999</v>
      </c>
      <c r="E34">
        <v>0.17899999999999999</v>
      </c>
      <c r="F34">
        <v>0.183</v>
      </c>
      <c r="G34">
        <v>0.16</v>
      </c>
      <c r="H34" s="90">
        <v>0.17499999999999999</v>
      </c>
      <c r="I34">
        <v>0.23599999999999999</v>
      </c>
      <c r="J34">
        <f t="shared" si="9"/>
        <v>0.18662500000000001</v>
      </c>
      <c r="K34">
        <f t="shared" si="0"/>
        <v>1.1103410029613171E-2</v>
      </c>
      <c r="L34" t="s">
        <v>254</v>
      </c>
      <c r="M34">
        <v>4.8000000000000001E-2</v>
      </c>
      <c r="N34">
        <v>4.4999999999999998E-2</v>
      </c>
      <c r="O34">
        <v>4.2000000000000003E-2</v>
      </c>
      <c r="P34">
        <v>4.3999999999999997E-2</v>
      </c>
      <c r="Q34">
        <v>5.1999999999999998E-2</v>
      </c>
      <c r="R34" s="91">
        <v>4.2999999999999997E-2</v>
      </c>
      <c r="S34" s="90">
        <v>5.1999999999999998E-2</v>
      </c>
      <c r="T34">
        <v>4.9000000000000002E-2</v>
      </c>
      <c r="U34">
        <f t="shared" si="1"/>
        <v>4.6571428571428562E-2</v>
      </c>
      <c r="V34">
        <f t="shared" si="2"/>
        <v>4.1576092031014988E-3</v>
      </c>
      <c r="W34" t="s">
        <v>254</v>
      </c>
      <c r="X34">
        <v>0.26900000000000002</v>
      </c>
      <c r="Y34">
        <v>0.26300000000000001</v>
      </c>
      <c r="Z34">
        <v>0.27</v>
      </c>
      <c r="AA34">
        <v>0.27200000000000002</v>
      </c>
      <c r="AB34">
        <v>0.26600000000000001</v>
      </c>
      <c r="AC34">
        <v>0.28000000000000003</v>
      </c>
      <c r="AD34">
        <v>0.251</v>
      </c>
      <c r="AE34" s="90">
        <v>0.28000000000000003</v>
      </c>
      <c r="AF34">
        <v>0.26900000000000002</v>
      </c>
      <c r="AG34">
        <f t="shared" si="3"/>
        <v>0.26887499999999998</v>
      </c>
      <c r="AH34">
        <f t="shared" si="4"/>
        <v>9.4178781353035524E-3</v>
      </c>
      <c r="AI34" t="s">
        <v>254</v>
      </c>
      <c r="AJ34">
        <v>5.0000000000000001E-3</v>
      </c>
      <c r="AK34">
        <v>5.0000000000000001E-3</v>
      </c>
      <c r="AP34">
        <v>7.0000000000000001E-3</v>
      </c>
      <c r="AR34" s="90">
        <v>7.0000000000000001E-3</v>
      </c>
      <c r="AS34">
        <v>8.0000000000000002E-3</v>
      </c>
      <c r="AT34">
        <f t="shared" si="5"/>
        <v>6.0000000000000001E-3</v>
      </c>
      <c r="AU34">
        <f t="shared" si="6"/>
        <v>1.1547005383792514E-3</v>
      </c>
      <c r="AV34" t="s">
        <v>254</v>
      </c>
      <c r="BA34">
        <v>7.0000000000000001E-3</v>
      </c>
      <c r="BD34" s="91"/>
      <c r="BE34" s="90"/>
      <c r="BG34">
        <f t="shared" si="7"/>
        <v>7.0000000000000001E-3</v>
      </c>
      <c r="BH34" t="e">
        <f t="shared" si="8"/>
        <v>#DIV/0!</v>
      </c>
      <c r="BI34" t="s">
        <v>254</v>
      </c>
      <c r="BJ34">
        <v>0.19800000000000001</v>
      </c>
      <c r="BK34">
        <v>0.159</v>
      </c>
      <c r="BL34">
        <v>0.17499999999999999</v>
      </c>
      <c r="BM34">
        <v>0.17299999999999999</v>
      </c>
      <c r="BN34">
        <v>0.34599999999999997</v>
      </c>
      <c r="BO34">
        <v>0.33200000000000002</v>
      </c>
      <c r="BP34" s="90">
        <v>0.39</v>
      </c>
      <c r="BQ34">
        <v>0.35699999999999998</v>
      </c>
      <c r="BR34">
        <f t="shared" si="10"/>
        <v>0.25328571428571428</v>
      </c>
      <c r="BS34">
        <f t="shared" si="11"/>
        <v>9.8322113968517227E-2</v>
      </c>
    </row>
    <row r="35" spans="1:71">
      <c r="A35" t="s">
        <v>255</v>
      </c>
      <c r="H35" s="90"/>
      <c r="J35" t="e">
        <f t="shared" si="9"/>
        <v>#DIV/0!</v>
      </c>
      <c r="K35" t="e">
        <f t="shared" si="0"/>
        <v>#DIV/0!</v>
      </c>
      <c r="L35" t="s">
        <v>255</v>
      </c>
      <c r="R35" s="91"/>
      <c r="S35" s="90"/>
      <c r="U35" t="e">
        <f t="shared" si="1"/>
        <v>#DIV/0!</v>
      </c>
      <c r="V35" t="e">
        <f t="shared" si="2"/>
        <v>#DIV/0!</v>
      </c>
      <c r="W35" t="s">
        <v>255</v>
      </c>
      <c r="AE35" s="90"/>
      <c r="AG35" t="e">
        <f t="shared" si="3"/>
        <v>#DIV/0!</v>
      </c>
      <c r="AH35" t="e">
        <f t="shared" si="4"/>
        <v>#DIV/0!</v>
      </c>
      <c r="AI35" t="s">
        <v>255</v>
      </c>
      <c r="AR35" s="90"/>
      <c r="AT35" t="e">
        <f t="shared" si="5"/>
        <v>#DIV/0!</v>
      </c>
      <c r="AU35" t="e">
        <f t="shared" si="6"/>
        <v>#DIV/0!</v>
      </c>
      <c r="AV35" t="s">
        <v>255</v>
      </c>
      <c r="BD35" s="91"/>
      <c r="BE35" s="90"/>
      <c r="BG35" t="e">
        <f t="shared" si="7"/>
        <v>#DIV/0!</v>
      </c>
      <c r="BH35" t="e">
        <f t="shared" si="8"/>
        <v>#DIV/0!</v>
      </c>
      <c r="BI35" t="s">
        <v>255</v>
      </c>
      <c r="BP35" s="90"/>
      <c r="BR35" t="e">
        <f t="shared" si="10"/>
        <v>#DIV/0!</v>
      </c>
      <c r="BS35" t="e">
        <f t="shared" si="11"/>
        <v>#DIV/0!</v>
      </c>
    </row>
    <row r="36" spans="1:71">
      <c r="A36" t="s">
        <v>256</v>
      </c>
      <c r="B36">
        <v>1.2E-2</v>
      </c>
      <c r="C36">
        <v>1.4999999999999999E-2</v>
      </c>
      <c r="D36">
        <v>0.01</v>
      </c>
      <c r="E36">
        <v>1.7999999999999999E-2</v>
      </c>
      <c r="H36" s="90">
        <v>1.0999999999999999E-2</v>
      </c>
      <c r="I36">
        <v>1.6E-2</v>
      </c>
      <c r="J36">
        <f t="shared" si="9"/>
        <v>1.3666666666666666E-2</v>
      </c>
      <c r="K36">
        <f t="shared" si="0"/>
        <v>3.2710854467592246E-3</v>
      </c>
      <c r="L36" t="s">
        <v>256</v>
      </c>
      <c r="R36" s="91"/>
      <c r="S36" s="90"/>
      <c r="U36" t="e">
        <f t="shared" si="1"/>
        <v>#DIV/0!</v>
      </c>
      <c r="V36" t="e">
        <f t="shared" si="2"/>
        <v>#DIV/0!</v>
      </c>
      <c r="W36" t="s">
        <v>256</v>
      </c>
      <c r="AE36" s="90"/>
      <c r="AG36" t="e">
        <f t="shared" si="3"/>
        <v>#DIV/0!</v>
      </c>
      <c r="AH36" t="e">
        <f t="shared" si="4"/>
        <v>#DIV/0!</v>
      </c>
      <c r="AI36" t="s">
        <v>256</v>
      </c>
      <c r="AR36" s="90"/>
      <c r="AT36" t="e">
        <f t="shared" si="5"/>
        <v>#DIV/0!</v>
      </c>
      <c r="AU36" t="e">
        <f t="shared" si="6"/>
        <v>#DIV/0!</v>
      </c>
      <c r="AV36" t="s">
        <v>256</v>
      </c>
      <c r="BD36" s="91"/>
      <c r="BE36" s="90"/>
      <c r="BG36" t="e">
        <f t="shared" si="7"/>
        <v>#DIV/0!</v>
      </c>
      <c r="BH36" t="e">
        <f t="shared" si="8"/>
        <v>#DIV/0!</v>
      </c>
      <c r="BI36" t="s">
        <v>256</v>
      </c>
      <c r="BK36">
        <v>1.0999999999999999E-2</v>
      </c>
      <c r="BP36" s="90"/>
      <c r="BR36">
        <f t="shared" si="10"/>
        <v>1.0999999999999999E-2</v>
      </c>
      <c r="BS36" t="e">
        <f t="shared" si="11"/>
        <v>#DIV/0!</v>
      </c>
    </row>
    <row r="37" spans="1:71">
      <c r="A37" t="s">
        <v>257</v>
      </c>
      <c r="H37" s="90"/>
      <c r="J37" t="e">
        <f t="shared" si="9"/>
        <v>#DIV/0!</v>
      </c>
      <c r="K37" t="e">
        <f t="shared" si="0"/>
        <v>#DIV/0!</v>
      </c>
      <c r="L37" t="s">
        <v>257</v>
      </c>
      <c r="R37" s="91"/>
      <c r="S37" s="90"/>
      <c r="U37" t="e">
        <f t="shared" si="1"/>
        <v>#DIV/0!</v>
      </c>
      <c r="V37" t="e">
        <f t="shared" si="2"/>
        <v>#DIV/0!</v>
      </c>
      <c r="W37" t="s">
        <v>257</v>
      </c>
      <c r="AB37">
        <v>0.05</v>
      </c>
      <c r="AE37" s="90"/>
      <c r="AG37">
        <f t="shared" si="3"/>
        <v>0.05</v>
      </c>
      <c r="AH37" t="e">
        <f t="shared" si="4"/>
        <v>#DIV/0!</v>
      </c>
      <c r="AI37" t="s">
        <v>257</v>
      </c>
      <c r="AO37">
        <v>7.0000000000000007E-2</v>
      </c>
      <c r="AR37" s="90"/>
      <c r="AT37">
        <f t="shared" si="5"/>
        <v>7.0000000000000007E-2</v>
      </c>
      <c r="AU37" t="e">
        <f t="shared" si="6"/>
        <v>#DIV/0!</v>
      </c>
      <c r="AV37" t="s">
        <v>257</v>
      </c>
      <c r="BB37">
        <v>7.0000000000000007E-2</v>
      </c>
      <c r="BD37" s="91"/>
      <c r="BE37" s="90"/>
      <c r="BG37">
        <f t="shared" si="7"/>
        <v>7.0000000000000007E-2</v>
      </c>
      <c r="BH37" t="e">
        <f t="shared" si="8"/>
        <v>#DIV/0!</v>
      </c>
      <c r="BI37" t="s">
        <v>257</v>
      </c>
      <c r="BP37" s="90"/>
      <c r="BR37" t="e">
        <f t="shared" si="10"/>
        <v>#DIV/0!</v>
      </c>
      <c r="BS37" t="e">
        <f t="shared" si="11"/>
        <v>#DIV/0!</v>
      </c>
    </row>
    <row r="38" spans="1:71">
      <c r="A38" t="s">
        <v>258</v>
      </c>
      <c r="B38">
        <v>8.3000000000000007</v>
      </c>
      <c r="C38">
        <v>7.8</v>
      </c>
      <c r="D38">
        <v>7.7</v>
      </c>
      <c r="E38">
        <v>7.9</v>
      </c>
      <c r="F38">
        <v>7.9</v>
      </c>
      <c r="G38">
        <v>7.2</v>
      </c>
      <c r="H38" s="90">
        <v>7.9</v>
      </c>
      <c r="I38">
        <v>7.8</v>
      </c>
      <c r="J38">
        <f t="shared" si="9"/>
        <v>7.8125</v>
      </c>
      <c r="K38">
        <f t="shared" si="0"/>
        <v>0.3287784027201881</v>
      </c>
      <c r="L38" t="s">
        <v>258</v>
      </c>
      <c r="M38">
        <v>5.0999999999999996</v>
      </c>
      <c r="N38">
        <v>4.8</v>
      </c>
      <c r="O38">
        <v>4.8</v>
      </c>
      <c r="P38">
        <v>4.9000000000000004</v>
      </c>
      <c r="Q38">
        <v>4.9000000000000004</v>
      </c>
      <c r="R38" s="91">
        <v>4.5999999999999996</v>
      </c>
      <c r="S38" s="90">
        <v>5</v>
      </c>
      <c r="T38">
        <v>4.9000000000000004</v>
      </c>
      <c r="U38">
        <f t="shared" si="1"/>
        <v>4.8714285714285719</v>
      </c>
      <c r="V38">
        <f t="shared" si="2"/>
        <v>0.16035674514745468</v>
      </c>
      <c r="W38" t="s">
        <v>258</v>
      </c>
      <c r="X38">
        <v>6.2</v>
      </c>
      <c r="Y38">
        <v>6.1</v>
      </c>
      <c r="Z38">
        <v>6.3</v>
      </c>
      <c r="AA38">
        <v>6.3</v>
      </c>
      <c r="AB38">
        <v>6.6</v>
      </c>
      <c r="AC38">
        <v>6.5</v>
      </c>
      <c r="AD38">
        <v>5.9</v>
      </c>
      <c r="AE38" s="90">
        <v>6.6</v>
      </c>
      <c r="AF38">
        <v>6.4</v>
      </c>
      <c r="AG38">
        <f t="shared" si="3"/>
        <v>6.3125</v>
      </c>
      <c r="AH38">
        <f t="shared" si="4"/>
        <v>0.24748737341529145</v>
      </c>
      <c r="AI38" t="s">
        <v>258</v>
      </c>
      <c r="AJ38">
        <v>8.1999999999999993</v>
      </c>
      <c r="AK38">
        <v>8</v>
      </c>
      <c r="AL38">
        <v>7.9</v>
      </c>
      <c r="AM38">
        <v>8</v>
      </c>
      <c r="AO38">
        <v>8.1</v>
      </c>
      <c r="AP38">
        <v>8</v>
      </c>
      <c r="AQ38">
        <v>7.3</v>
      </c>
      <c r="AR38" s="90">
        <v>8.1</v>
      </c>
      <c r="AS38">
        <v>8</v>
      </c>
      <c r="AT38">
        <f t="shared" si="5"/>
        <v>7.95</v>
      </c>
      <c r="AU38">
        <f t="shared" si="6"/>
        <v>0.27774602993176534</v>
      </c>
      <c r="AV38" t="s">
        <v>258</v>
      </c>
      <c r="AW38">
        <v>7.2</v>
      </c>
      <c r="AX38">
        <v>7</v>
      </c>
      <c r="AY38">
        <v>6.9</v>
      </c>
      <c r="AZ38">
        <v>6.9</v>
      </c>
      <c r="BA38">
        <v>7</v>
      </c>
      <c r="BB38">
        <v>7.1</v>
      </c>
      <c r="BC38">
        <v>6.9</v>
      </c>
      <c r="BD38" s="91">
        <v>6.9</v>
      </c>
      <c r="BE38" s="90">
        <v>7.1</v>
      </c>
      <c r="BF38">
        <v>6.9</v>
      </c>
      <c r="BG38">
        <f t="shared" si="7"/>
        <v>7</v>
      </c>
      <c r="BH38">
        <f t="shared" si="8"/>
        <v>0.11180339887498927</v>
      </c>
      <c r="BI38" t="s">
        <v>258</v>
      </c>
      <c r="BJ38">
        <v>1</v>
      </c>
      <c r="BK38">
        <v>0.9</v>
      </c>
      <c r="BL38">
        <v>1.1000000000000001</v>
      </c>
      <c r="BM38">
        <v>1</v>
      </c>
      <c r="BN38">
        <v>6.4</v>
      </c>
      <c r="BO38">
        <v>5.2</v>
      </c>
      <c r="BP38" s="90">
        <v>5.3</v>
      </c>
      <c r="BQ38">
        <v>6.9</v>
      </c>
      <c r="BR38">
        <f t="shared" si="10"/>
        <v>2.9857142857142862</v>
      </c>
      <c r="BS38">
        <f t="shared" si="11"/>
        <v>2.5069427406229092</v>
      </c>
    </row>
    <row r="39" spans="1:71">
      <c r="A39" t="s">
        <v>259</v>
      </c>
      <c r="H39" s="90"/>
      <c r="J39" t="e">
        <f t="shared" si="9"/>
        <v>#DIV/0!</v>
      </c>
      <c r="K39" t="e">
        <f t="shared" si="0"/>
        <v>#DIV/0!</v>
      </c>
      <c r="L39" t="s">
        <v>259</v>
      </c>
      <c r="R39" s="91"/>
      <c r="S39" s="90"/>
      <c r="U39" t="e">
        <f t="shared" si="1"/>
        <v>#DIV/0!</v>
      </c>
      <c r="V39" t="e">
        <f t="shared" si="2"/>
        <v>#DIV/0!</v>
      </c>
      <c r="W39" t="s">
        <v>259</v>
      </c>
      <c r="AE39" s="90"/>
      <c r="AG39" t="e">
        <f t="shared" si="3"/>
        <v>#DIV/0!</v>
      </c>
      <c r="AH39" t="e">
        <f t="shared" si="4"/>
        <v>#DIV/0!</v>
      </c>
      <c r="AI39" t="s">
        <v>259</v>
      </c>
      <c r="AR39" s="90"/>
      <c r="AT39" t="e">
        <f t="shared" si="5"/>
        <v>#DIV/0!</v>
      </c>
      <c r="AU39" t="e">
        <f t="shared" si="6"/>
        <v>#DIV/0!</v>
      </c>
      <c r="AV39" t="s">
        <v>259</v>
      </c>
      <c r="BD39" s="91"/>
      <c r="BE39" s="90"/>
      <c r="BG39" t="e">
        <f t="shared" si="7"/>
        <v>#DIV/0!</v>
      </c>
      <c r="BH39" t="e">
        <f t="shared" si="8"/>
        <v>#DIV/0!</v>
      </c>
      <c r="BI39" t="s">
        <v>259</v>
      </c>
      <c r="BP39" s="90"/>
      <c r="BR39" t="e">
        <f t="shared" si="10"/>
        <v>#DIV/0!</v>
      </c>
      <c r="BS39" t="e">
        <f t="shared" si="11"/>
        <v>#DIV/0!</v>
      </c>
    </row>
    <row r="40" spans="1:71">
      <c r="A40" t="s">
        <v>260</v>
      </c>
      <c r="B40">
        <v>27.3</v>
      </c>
      <c r="C40">
        <v>26.9</v>
      </c>
      <c r="D40">
        <v>25.3</v>
      </c>
      <c r="E40">
        <v>27.2</v>
      </c>
      <c r="F40">
        <v>27.2</v>
      </c>
      <c r="G40">
        <v>25.2</v>
      </c>
      <c r="H40" s="90">
        <v>28</v>
      </c>
      <c r="I40">
        <v>30.7</v>
      </c>
      <c r="J40">
        <f t="shared" si="9"/>
        <v>27.224999999999998</v>
      </c>
      <c r="K40">
        <f t="shared" si="0"/>
        <v>1.0641338977689567</v>
      </c>
      <c r="L40" t="s">
        <v>260</v>
      </c>
      <c r="M40">
        <v>39</v>
      </c>
      <c r="N40">
        <v>36.9</v>
      </c>
      <c r="O40">
        <v>36</v>
      </c>
      <c r="P40">
        <v>39.799999999999997</v>
      </c>
      <c r="Q40">
        <v>38.9</v>
      </c>
      <c r="R40" s="91">
        <v>37.200000000000003</v>
      </c>
      <c r="S40" s="90">
        <v>40.1</v>
      </c>
      <c r="T40">
        <v>38.700000000000003</v>
      </c>
      <c r="U40">
        <f t="shared" si="1"/>
        <v>38.271428571428579</v>
      </c>
      <c r="V40">
        <f t="shared" si="2"/>
        <v>1.5702593052468388</v>
      </c>
      <c r="W40" t="s">
        <v>260</v>
      </c>
      <c r="X40">
        <v>98.1</v>
      </c>
      <c r="Y40">
        <v>98.6</v>
      </c>
      <c r="Z40">
        <v>101</v>
      </c>
      <c r="AA40">
        <v>97.7</v>
      </c>
      <c r="AB40">
        <v>108</v>
      </c>
      <c r="AC40">
        <v>108</v>
      </c>
      <c r="AD40">
        <v>97.1</v>
      </c>
      <c r="AE40" s="90">
        <v>111</v>
      </c>
      <c r="AF40">
        <v>113</v>
      </c>
      <c r="AG40">
        <f t="shared" si="3"/>
        <v>102.4375</v>
      </c>
      <c r="AH40">
        <f t="shared" si="4"/>
        <v>5.6282292318023348</v>
      </c>
      <c r="AI40" t="s">
        <v>260</v>
      </c>
      <c r="AJ40">
        <v>364</v>
      </c>
      <c r="AK40">
        <v>371</v>
      </c>
      <c r="AL40">
        <v>367</v>
      </c>
      <c r="AM40">
        <v>367</v>
      </c>
      <c r="AO40">
        <v>377</v>
      </c>
      <c r="AP40">
        <v>388</v>
      </c>
      <c r="AQ40">
        <v>357</v>
      </c>
      <c r="AR40" s="90">
        <v>382</v>
      </c>
      <c r="AS40">
        <v>394</v>
      </c>
      <c r="AT40">
        <f t="shared" si="5"/>
        <v>371.625</v>
      </c>
      <c r="AU40">
        <f t="shared" si="6"/>
        <v>10.140970649513079</v>
      </c>
      <c r="AV40" t="s">
        <v>260</v>
      </c>
      <c r="AW40">
        <v>338</v>
      </c>
      <c r="AX40">
        <v>339</v>
      </c>
      <c r="AY40">
        <v>337</v>
      </c>
      <c r="AZ40">
        <v>335</v>
      </c>
      <c r="BA40">
        <v>332</v>
      </c>
      <c r="BB40">
        <v>337</v>
      </c>
      <c r="BC40">
        <v>352</v>
      </c>
      <c r="BD40" s="91">
        <v>342</v>
      </c>
      <c r="BE40" s="90">
        <v>344</v>
      </c>
      <c r="BF40">
        <v>352</v>
      </c>
      <c r="BG40">
        <f t="shared" si="7"/>
        <v>339.55555555555554</v>
      </c>
      <c r="BH40">
        <f t="shared" si="8"/>
        <v>5.8547226900834319</v>
      </c>
      <c r="BI40" t="s">
        <v>260</v>
      </c>
      <c r="BJ40">
        <v>1330</v>
      </c>
      <c r="BK40">
        <v>1590</v>
      </c>
      <c r="BL40">
        <v>1510</v>
      </c>
      <c r="BM40">
        <v>1580</v>
      </c>
      <c r="BN40">
        <v>1600</v>
      </c>
      <c r="BO40">
        <v>1510</v>
      </c>
      <c r="BP40" s="90">
        <v>1600</v>
      </c>
      <c r="BQ40">
        <v>1570</v>
      </c>
      <c r="BR40">
        <f t="shared" si="10"/>
        <v>1531.4285714285713</v>
      </c>
      <c r="BS40">
        <f t="shared" si="11"/>
        <v>97.198863407032945</v>
      </c>
    </row>
    <row r="41" spans="1:71">
      <c r="A41" t="s">
        <v>261</v>
      </c>
      <c r="B41">
        <v>310</v>
      </c>
      <c r="C41">
        <v>355</v>
      </c>
      <c r="D41">
        <v>340</v>
      </c>
      <c r="E41">
        <v>312</v>
      </c>
      <c r="F41">
        <v>302</v>
      </c>
      <c r="G41">
        <v>297</v>
      </c>
      <c r="H41" s="90">
        <v>325</v>
      </c>
      <c r="I41">
        <v>386</v>
      </c>
      <c r="J41">
        <f t="shared" si="9"/>
        <v>328.375</v>
      </c>
      <c r="K41">
        <f t="shared" si="0"/>
        <v>21.082603977597039</v>
      </c>
      <c r="L41" t="s">
        <v>261</v>
      </c>
      <c r="M41">
        <v>87.4</v>
      </c>
      <c r="N41">
        <v>79.599999999999994</v>
      </c>
      <c r="O41">
        <v>80.900000000000006</v>
      </c>
      <c r="P41">
        <v>84.5</v>
      </c>
      <c r="Q41">
        <v>82.3</v>
      </c>
      <c r="R41" s="91">
        <v>80.3</v>
      </c>
      <c r="S41" s="90">
        <v>91.2</v>
      </c>
      <c r="T41">
        <v>83.8</v>
      </c>
      <c r="U41">
        <f t="shared" si="1"/>
        <v>83.742857142857147</v>
      </c>
      <c r="V41">
        <f t="shared" si="2"/>
        <v>4.2570949182344018</v>
      </c>
      <c r="W41" t="s">
        <v>261</v>
      </c>
      <c r="X41">
        <v>1640</v>
      </c>
      <c r="Y41">
        <v>1780</v>
      </c>
      <c r="AA41">
        <v>1880</v>
      </c>
      <c r="AB41">
        <v>1610</v>
      </c>
      <c r="AC41">
        <v>1590</v>
      </c>
      <c r="AD41">
        <v>1540</v>
      </c>
      <c r="AE41" s="90">
        <v>1610</v>
      </c>
      <c r="AF41">
        <v>1610</v>
      </c>
      <c r="AG41">
        <f t="shared" si="3"/>
        <v>1664.2857142857142</v>
      </c>
      <c r="AH41">
        <f t="shared" si="4"/>
        <v>120.67271755415456</v>
      </c>
      <c r="AI41" t="s">
        <v>261</v>
      </c>
      <c r="AJ41">
        <v>272</v>
      </c>
      <c r="AK41">
        <v>299</v>
      </c>
      <c r="AL41">
        <v>297</v>
      </c>
      <c r="AM41">
        <v>301</v>
      </c>
      <c r="AO41">
        <v>283</v>
      </c>
      <c r="AP41">
        <v>272</v>
      </c>
      <c r="AQ41">
        <v>262</v>
      </c>
      <c r="AR41" s="90">
        <v>289</v>
      </c>
      <c r="AS41">
        <v>294</v>
      </c>
      <c r="AT41">
        <f t="shared" si="5"/>
        <v>284.375</v>
      </c>
      <c r="AU41">
        <f t="shared" si="6"/>
        <v>14.539969542117833</v>
      </c>
      <c r="AV41" t="s">
        <v>261</v>
      </c>
      <c r="AW41">
        <v>167</v>
      </c>
      <c r="AX41">
        <v>182</v>
      </c>
      <c r="AY41">
        <v>177</v>
      </c>
      <c r="AZ41">
        <v>177</v>
      </c>
      <c r="BA41">
        <v>184</v>
      </c>
      <c r="BB41">
        <v>172</v>
      </c>
      <c r="BC41">
        <v>167</v>
      </c>
      <c r="BD41" s="91">
        <v>156</v>
      </c>
      <c r="BE41" s="90">
        <v>173</v>
      </c>
      <c r="BF41">
        <v>170</v>
      </c>
      <c r="BG41">
        <f t="shared" si="7"/>
        <v>172.77777777777777</v>
      </c>
      <c r="BH41">
        <f t="shared" si="8"/>
        <v>8.6281194036965232</v>
      </c>
      <c r="BI41" t="s">
        <v>261</v>
      </c>
      <c r="BJ41">
        <v>4190</v>
      </c>
      <c r="BK41">
        <v>3710</v>
      </c>
      <c r="BL41">
        <v>4290</v>
      </c>
      <c r="BM41">
        <v>4180</v>
      </c>
      <c r="BN41">
        <v>4290</v>
      </c>
      <c r="BO41">
        <v>4370</v>
      </c>
      <c r="BP41" s="90">
        <v>4280</v>
      </c>
      <c r="BQ41">
        <v>4260</v>
      </c>
      <c r="BR41">
        <f t="shared" si="10"/>
        <v>4187.1428571428569</v>
      </c>
      <c r="BS41">
        <f t="shared" si="11"/>
        <v>220.20553169817552</v>
      </c>
    </row>
    <row r="42" spans="1:71">
      <c r="A42" t="s">
        <v>262</v>
      </c>
      <c r="E42">
        <v>0.01</v>
      </c>
      <c r="H42" s="90"/>
      <c r="I42" s="90"/>
      <c r="J42">
        <f>AVERAGE(B42:H42)</f>
        <v>0.01</v>
      </c>
      <c r="K42" t="e">
        <f t="shared" si="0"/>
        <v>#DIV/0!</v>
      </c>
      <c r="L42" t="s">
        <v>262</v>
      </c>
      <c r="U42" t="e">
        <f t="shared" si="1"/>
        <v>#DIV/0!</v>
      </c>
      <c r="V42" t="e">
        <f t="shared" si="2"/>
        <v>#DIV/0!</v>
      </c>
      <c r="W42" t="s">
        <v>262</v>
      </c>
      <c r="Z42">
        <v>0.01</v>
      </c>
      <c r="AB42">
        <v>0.01</v>
      </c>
      <c r="AG42">
        <f t="shared" si="3"/>
        <v>0.01</v>
      </c>
      <c r="AH42">
        <f t="shared" si="4"/>
        <v>0</v>
      </c>
      <c r="AI42" t="s">
        <v>262</v>
      </c>
      <c r="AT42" t="e">
        <f t="shared" si="5"/>
        <v>#DIV/0!</v>
      </c>
      <c r="AU42" t="e">
        <f t="shared" si="6"/>
        <v>#DIV/0!</v>
      </c>
      <c r="AV42" t="s">
        <v>262</v>
      </c>
      <c r="BG42" t="e">
        <f t="shared" si="7"/>
        <v>#DIV/0!</v>
      </c>
      <c r="BH42" t="e">
        <f t="shared" si="8"/>
        <v>#DIV/0!</v>
      </c>
      <c r="BI42" t="s">
        <v>262</v>
      </c>
      <c r="BR42" t="e">
        <f t="shared" si="10"/>
        <v>#DIV/0!</v>
      </c>
      <c r="BS42" t="e">
        <f t="shared" si="11"/>
        <v>#DIV/0!</v>
      </c>
    </row>
    <row r="43" spans="1:71">
      <c r="A43" t="s">
        <v>308</v>
      </c>
      <c r="F43">
        <v>-119</v>
      </c>
      <c r="J43">
        <f>AVERAGE(B43:H43)</f>
        <v>-119</v>
      </c>
      <c r="K43" t="e">
        <f t="shared" si="0"/>
        <v>#DIV/0!</v>
      </c>
      <c r="Q43">
        <v>-126</v>
      </c>
      <c r="U43">
        <f t="shared" si="1"/>
        <v>-126</v>
      </c>
      <c r="V43" t="e">
        <f t="shared" si="2"/>
        <v>#DIV/0!</v>
      </c>
      <c r="AC43">
        <v>-120</v>
      </c>
      <c r="AG43">
        <f t="shared" si="3"/>
        <v>-120</v>
      </c>
      <c r="AH43" t="e">
        <f t="shared" si="4"/>
        <v>#DIV/0!</v>
      </c>
      <c r="AP43">
        <v>-126</v>
      </c>
      <c r="AT43">
        <f t="shared" si="5"/>
        <v>-126</v>
      </c>
      <c r="AU43" t="e">
        <f t="shared" si="6"/>
        <v>#DIV/0!</v>
      </c>
      <c r="BC43">
        <v>-127</v>
      </c>
      <c r="BG43">
        <f t="shared" si="7"/>
        <v>-127</v>
      </c>
      <c r="BH43" t="e">
        <f t="shared" si="8"/>
        <v>#DIV/0!</v>
      </c>
      <c r="BN43">
        <v>-113</v>
      </c>
      <c r="BR43">
        <f t="shared" si="10"/>
        <v>-113</v>
      </c>
      <c r="BS43" t="e">
        <f t="shared" si="11"/>
        <v>#DIV/0!</v>
      </c>
    </row>
    <row r="44" spans="1:71">
      <c r="A44" t="s">
        <v>309</v>
      </c>
      <c r="F44">
        <v>-15.8</v>
      </c>
      <c r="J44">
        <f>AVERAGE(B44:H44)</f>
        <v>-15.8</v>
      </c>
      <c r="K44" t="e">
        <f t="shared" si="0"/>
        <v>#DIV/0!</v>
      </c>
      <c r="Q44">
        <v>-17.100000000000001</v>
      </c>
      <c r="U44">
        <f t="shared" si="1"/>
        <v>-17.100000000000001</v>
      </c>
      <c r="V44" t="e">
        <f t="shared" si="2"/>
        <v>#DIV/0!</v>
      </c>
      <c r="AC44">
        <v>-16.3</v>
      </c>
      <c r="AG44">
        <f t="shared" si="3"/>
        <v>-16.3</v>
      </c>
      <c r="AH44" t="e">
        <f t="shared" si="4"/>
        <v>#DIV/0!</v>
      </c>
      <c r="AP44">
        <v>-17.100000000000001</v>
      </c>
      <c r="AT44">
        <f t="shared" si="5"/>
        <v>-17.100000000000001</v>
      </c>
      <c r="AU44" t="e">
        <f t="shared" si="6"/>
        <v>#DIV/0!</v>
      </c>
      <c r="BC44">
        <v>-17.100000000000001</v>
      </c>
      <c r="BG44">
        <f t="shared" si="7"/>
        <v>-17.100000000000001</v>
      </c>
      <c r="BH44" t="e">
        <f t="shared" si="8"/>
        <v>#DIV/0!</v>
      </c>
      <c r="BN44">
        <v>-15.8</v>
      </c>
      <c r="BR44">
        <f t="shared" si="10"/>
        <v>-15.8</v>
      </c>
      <c r="BS44" t="e">
        <f t="shared" si="11"/>
        <v>#DIV/0!</v>
      </c>
    </row>
    <row r="62" spans="68:70">
      <c r="BP62" t="s">
        <v>328</v>
      </c>
      <c r="BQ62" t="s">
        <v>327</v>
      </c>
      <c r="BR62" t="s">
        <v>326</v>
      </c>
    </row>
    <row r="63" spans="68:70">
      <c r="BP63" t="s">
        <v>382</v>
      </c>
      <c r="BQ63">
        <v>4.3004482116887948</v>
      </c>
      <c r="BR63">
        <v>-11.634954310437331</v>
      </c>
    </row>
    <row r="64" spans="68:70">
      <c r="BP64" t="s">
        <v>383</v>
      </c>
      <c r="BQ64">
        <v>4.0208972243172267</v>
      </c>
      <c r="BR64">
        <v>-10.741504692365487</v>
      </c>
    </row>
    <row r="65" spans="3:70">
      <c r="BP65" t="s">
        <v>384</v>
      </c>
      <c r="BQ65">
        <v>8.0435865731040028</v>
      </c>
      <c r="BR65">
        <v>-7.5322968216784618</v>
      </c>
    </row>
    <row r="66" spans="3:70">
      <c r="BP66" t="s">
        <v>385</v>
      </c>
      <c r="BQ66">
        <v>13.586268226633516</v>
      </c>
      <c r="BR66">
        <v>-10.029173111252893</v>
      </c>
    </row>
    <row r="67" spans="3:70">
      <c r="BP67" t="s">
        <v>386</v>
      </c>
      <c r="BQ67">
        <v>13.410936493615429</v>
      </c>
      <c r="BR67">
        <v>-9.8065902473956346</v>
      </c>
    </row>
    <row r="68" spans="3:70">
      <c r="BP68" t="s">
        <v>387</v>
      </c>
      <c r="BQ68">
        <v>2.6944023492604567</v>
      </c>
      <c r="BR68">
        <v>-13.431225838562876</v>
      </c>
    </row>
    <row r="70" spans="3:70">
      <c r="BP70" t="s">
        <v>388</v>
      </c>
      <c r="BQ70">
        <v>4.0099087664581701</v>
      </c>
      <c r="BR70">
        <v>-9.9572422041779145</v>
      </c>
    </row>
    <row r="71" spans="3:70">
      <c r="BP71" t="s">
        <v>389</v>
      </c>
      <c r="BQ71">
        <v>4.798496348710847</v>
      </c>
      <c r="BR71">
        <v>-9.7255679833042876</v>
      </c>
    </row>
    <row r="72" spans="3:70">
      <c r="BP72" t="s">
        <v>391</v>
      </c>
      <c r="BQ72">
        <v>6.5398894468774191</v>
      </c>
      <c r="BR72">
        <v>-2.3662898329849504</v>
      </c>
    </row>
    <row r="73" spans="3:70">
      <c r="BP73" t="s">
        <v>390</v>
      </c>
      <c r="BQ73">
        <v>12.765313145567921</v>
      </c>
      <c r="BR73">
        <v>-9.7041146186983287</v>
      </c>
    </row>
    <row r="74" spans="3:70">
      <c r="BP74" t="s">
        <v>392</v>
      </c>
      <c r="BQ74">
        <v>13.128978788194333</v>
      </c>
      <c r="BR74">
        <v>-9.6058051283132908</v>
      </c>
    </row>
    <row r="75" spans="3:70">
      <c r="BP75" t="s">
        <v>404</v>
      </c>
      <c r="BQ75">
        <v>0.49445652738657114</v>
      </c>
      <c r="BR75">
        <v>-14.278768160034943</v>
      </c>
    </row>
    <row r="77" spans="3:70">
      <c r="BP77" t="s">
        <v>397</v>
      </c>
      <c r="BQ77">
        <v>4.1339450771548094</v>
      </c>
      <c r="BR77">
        <v>-10.254492946759447</v>
      </c>
    </row>
    <row r="78" spans="3:70">
      <c r="BP78" t="s">
        <v>395</v>
      </c>
      <c r="BQ78">
        <v>4.9336808742134721</v>
      </c>
      <c r="BR78">
        <v>-9.5255208875714033</v>
      </c>
    </row>
    <row r="79" spans="3:70">
      <c r="BP79" t="s">
        <v>393</v>
      </c>
      <c r="BQ79">
        <v>9.5861195218966166</v>
      </c>
      <c r="BR79">
        <v>-5.2836156663344269</v>
      </c>
    </row>
    <row r="80" spans="3:70">
      <c r="C80" t="s">
        <v>187</v>
      </c>
      <c r="D80" t="s">
        <v>267</v>
      </c>
      <c r="E80" t="s">
        <v>282</v>
      </c>
      <c r="F80" t="s">
        <v>200</v>
      </c>
      <c r="G80" t="s">
        <v>192</v>
      </c>
      <c r="H80" t="s">
        <v>193</v>
      </c>
      <c r="I80" t="s">
        <v>213</v>
      </c>
      <c r="J80" s="65" t="s">
        <v>289</v>
      </c>
      <c r="K80" t="s">
        <v>201</v>
      </c>
      <c r="L80" t="s">
        <v>202</v>
      </c>
      <c r="M80" t="s">
        <v>203</v>
      </c>
      <c r="N80" t="s">
        <v>204</v>
      </c>
      <c r="O80" t="s">
        <v>205</v>
      </c>
      <c r="P80" t="s">
        <v>271</v>
      </c>
      <c r="Q80" t="s">
        <v>240</v>
      </c>
      <c r="R80" t="s">
        <v>241</v>
      </c>
      <c r="S80" t="s">
        <v>242</v>
      </c>
      <c r="T80" t="s">
        <v>263</v>
      </c>
      <c r="U80" t="s">
        <v>243</v>
      </c>
      <c r="V80" t="s">
        <v>245</v>
      </c>
      <c r="W80" t="s">
        <v>246</v>
      </c>
      <c r="X80" t="s">
        <v>251</v>
      </c>
      <c r="Y80" t="s">
        <v>249</v>
      </c>
      <c r="Z80" t="s">
        <v>250</v>
      </c>
      <c r="AA80" t="s">
        <v>252</v>
      </c>
      <c r="AB80" t="s">
        <v>253</v>
      </c>
      <c r="AC80" t="s">
        <v>254</v>
      </c>
      <c r="AD80" t="s">
        <v>256</v>
      </c>
      <c r="AE80" t="s">
        <v>257</v>
      </c>
      <c r="AF80" t="s">
        <v>258</v>
      </c>
      <c r="AG80" t="s">
        <v>259</v>
      </c>
      <c r="AH80" t="s">
        <v>260</v>
      </c>
      <c r="AI80" t="s">
        <v>261</v>
      </c>
      <c r="AJ80" t="s">
        <v>262</v>
      </c>
      <c r="AK80" t="s">
        <v>308</v>
      </c>
      <c r="AL80" t="s">
        <v>309</v>
      </c>
      <c r="BP80" t="s">
        <v>394</v>
      </c>
      <c r="BQ80">
        <v>12.862553069587698</v>
      </c>
      <c r="BR80">
        <v>-9.7386169370336848</v>
      </c>
    </row>
    <row r="81" spans="1:70">
      <c r="A81" t="s">
        <v>351</v>
      </c>
      <c r="C81" s="63">
        <v>42345</v>
      </c>
      <c r="D81">
        <v>1</v>
      </c>
      <c r="F81">
        <v>9.9</v>
      </c>
      <c r="G81">
        <v>7.65</v>
      </c>
      <c r="H81">
        <v>-99</v>
      </c>
      <c r="I81">
        <v>943</v>
      </c>
      <c r="J81">
        <v>684.1</v>
      </c>
      <c r="S81">
        <v>4.3999999999999997E-2</v>
      </c>
      <c r="T81">
        <v>0.2</v>
      </c>
      <c r="V81">
        <v>121</v>
      </c>
      <c r="W81">
        <v>10.9</v>
      </c>
      <c r="Y81">
        <v>6.21</v>
      </c>
      <c r="AA81">
        <v>4.8000000000000001E-2</v>
      </c>
      <c r="AB81">
        <v>37.700000000000003</v>
      </c>
      <c r="AC81">
        <v>0.19700000000000001</v>
      </c>
      <c r="AD81">
        <v>1.2E-2</v>
      </c>
      <c r="AF81">
        <v>8.3000000000000007</v>
      </c>
      <c r="AH81">
        <v>27.3</v>
      </c>
      <c r="AI81">
        <v>310</v>
      </c>
      <c r="BP81" t="s">
        <v>396</v>
      </c>
      <c r="BQ81">
        <v>12.614574189036324</v>
      </c>
      <c r="BR81">
        <v>-9.6185223289817703</v>
      </c>
    </row>
    <row r="82" spans="1:70">
      <c r="A82" t="s">
        <v>351</v>
      </c>
      <c r="C82" s="63">
        <v>42492</v>
      </c>
      <c r="D82">
        <v>148</v>
      </c>
      <c r="F82">
        <v>10.9</v>
      </c>
      <c r="G82">
        <v>7.93</v>
      </c>
      <c r="H82">
        <v>-113</v>
      </c>
      <c r="I82">
        <v>956.5</v>
      </c>
      <c r="J82">
        <v>684</v>
      </c>
      <c r="K82">
        <v>0.5</v>
      </c>
      <c r="L82">
        <v>0.06</v>
      </c>
      <c r="M82">
        <v>2.2799999999999998</v>
      </c>
      <c r="N82">
        <v>8</v>
      </c>
      <c r="O82">
        <v>0.2</v>
      </c>
      <c r="S82">
        <v>4.2999999999999997E-2</v>
      </c>
      <c r="T82">
        <v>0.2</v>
      </c>
      <c r="V82">
        <v>118</v>
      </c>
      <c r="W82">
        <v>11.6</v>
      </c>
      <c r="X82">
        <v>0.5</v>
      </c>
      <c r="Y82">
        <v>5.13</v>
      </c>
      <c r="AA82">
        <v>4.4999999999999998E-2</v>
      </c>
      <c r="AB82">
        <v>36.700000000000003</v>
      </c>
      <c r="AC82">
        <v>0.184</v>
      </c>
      <c r="AD82">
        <v>1.4999999999999999E-2</v>
      </c>
      <c r="AF82">
        <v>7.8</v>
      </c>
      <c r="AH82">
        <v>26.9</v>
      </c>
      <c r="AI82">
        <v>355</v>
      </c>
      <c r="BP82" t="s">
        <v>405</v>
      </c>
    </row>
    <row r="83" spans="1:70">
      <c r="A83" t="s">
        <v>351</v>
      </c>
      <c r="C83" s="63">
        <v>42508</v>
      </c>
      <c r="D83">
        <v>164</v>
      </c>
      <c r="F83">
        <v>9.9</v>
      </c>
      <c r="G83">
        <v>8.24</v>
      </c>
      <c r="H83">
        <v>-132</v>
      </c>
      <c r="I83">
        <v>952.3</v>
      </c>
      <c r="J83">
        <v>687</v>
      </c>
      <c r="K83">
        <v>0.2</v>
      </c>
      <c r="L83">
        <v>0.08</v>
      </c>
      <c r="M83">
        <v>2.6</v>
      </c>
      <c r="N83">
        <v>0</v>
      </c>
      <c r="O83">
        <v>5.3999999999999999E-2</v>
      </c>
      <c r="P83">
        <v>0.48599999999999999</v>
      </c>
      <c r="S83">
        <v>4.2000000000000003E-2</v>
      </c>
      <c r="T83">
        <v>0.19</v>
      </c>
      <c r="V83">
        <v>115</v>
      </c>
      <c r="W83">
        <v>11.4</v>
      </c>
      <c r="X83">
        <v>0.27</v>
      </c>
      <c r="Y83">
        <v>4.92</v>
      </c>
      <c r="AA83">
        <v>0.04</v>
      </c>
      <c r="AB83">
        <v>35.9</v>
      </c>
      <c r="AC83">
        <v>0.17899999999999999</v>
      </c>
      <c r="AD83">
        <v>0.01</v>
      </c>
      <c r="AF83">
        <v>7.7</v>
      </c>
      <c r="AH83">
        <v>25.3</v>
      </c>
      <c r="AI83">
        <v>340</v>
      </c>
    </row>
    <row r="84" spans="1:70">
      <c r="A84" t="s">
        <v>351</v>
      </c>
      <c r="C84" s="63">
        <v>42562</v>
      </c>
      <c r="D84">
        <v>218</v>
      </c>
      <c r="E84">
        <v>2933</v>
      </c>
      <c r="F84">
        <v>10.199999999999999</v>
      </c>
      <c r="G84">
        <v>7.62</v>
      </c>
      <c r="H84">
        <v>-42</v>
      </c>
      <c r="I84">
        <v>950.2</v>
      </c>
      <c r="J84">
        <v>680.4</v>
      </c>
      <c r="K84">
        <v>0.2</v>
      </c>
      <c r="L84">
        <v>0.09</v>
      </c>
      <c r="M84">
        <v>2.12</v>
      </c>
      <c r="N84">
        <v>0</v>
      </c>
      <c r="O84">
        <v>0.1</v>
      </c>
      <c r="P84">
        <v>0.42</v>
      </c>
      <c r="S84">
        <v>4.1000000000000002E-2</v>
      </c>
      <c r="T84">
        <v>0.19</v>
      </c>
      <c r="V84">
        <v>123</v>
      </c>
      <c r="W84">
        <v>10.9</v>
      </c>
      <c r="X84">
        <v>0.47</v>
      </c>
      <c r="Y84">
        <v>5.0199999999999996</v>
      </c>
      <c r="AA84">
        <v>3.7999999999999999E-2</v>
      </c>
      <c r="AB84">
        <v>37.799999999999997</v>
      </c>
      <c r="AC84">
        <v>0.17899999999999999</v>
      </c>
      <c r="AD84">
        <v>1.7999999999999999E-2</v>
      </c>
      <c r="AF84">
        <v>7.9</v>
      </c>
      <c r="AH84">
        <v>27.2</v>
      </c>
      <c r="AI84">
        <v>312</v>
      </c>
      <c r="AJ84">
        <v>0.01</v>
      </c>
      <c r="BP84" t="s">
        <v>398</v>
      </c>
      <c r="BQ84">
        <v>4.2199680204314873</v>
      </c>
      <c r="BR84">
        <v>-12.396954214160711</v>
      </c>
    </row>
    <row r="85" spans="1:70">
      <c r="A85" t="s">
        <v>351</v>
      </c>
      <c r="C85" s="63">
        <v>42633</v>
      </c>
      <c r="E85" s="79">
        <f>AVERAGE(2880, 2880, 2860)</f>
        <v>2873.3333333333335</v>
      </c>
      <c r="F85">
        <v>10.1</v>
      </c>
      <c r="G85">
        <v>6.66</v>
      </c>
      <c r="H85">
        <v>-59</v>
      </c>
      <c r="I85">
        <v>937</v>
      </c>
      <c r="J85">
        <v>674.3</v>
      </c>
      <c r="K85">
        <v>0.3</v>
      </c>
      <c r="L85">
        <v>0.08</v>
      </c>
      <c r="M85">
        <v>2.4900000000000002</v>
      </c>
      <c r="N85">
        <v>0</v>
      </c>
      <c r="O85">
        <v>0.11700000000000001</v>
      </c>
      <c r="P85">
        <v>0.45</v>
      </c>
      <c r="Q85">
        <v>0.05</v>
      </c>
      <c r="R85">
        <v>0.04</v>
      </c>
      <c r="S85">
        <v>4.2000000000000003E-2</v>
      </c>
      <c r="T85">
        <v>0.2</v>
      </c>
      <c r="V85">
        <v>117</v>
      </c>
      <c r="W85">
        <v>10.6</v>
      </c>
      <c r="X85">
        <v>0.32</v>
      </c>
      <c r="Y85">
        <v>4.67</v>
      </c>
      <c r="AA85">
        <v>4.2999999999999997E-2</v>
      </c>
      <c r="AB85">
        <v>37.200000000000003</v>
      </c>
      <c r="AC85">
        <v>0.183</v>
      </c>
      <c r="AF85">
        <v>7.9</v>
      </c>
      <c r="AH85">
        <v>27.2</v>
      </c>
      <c r="AI85">
        <v>302</v>
      </c>
      <c r="AK85">
        <v>-119</v>
      </c>
      <c r="AL85">
        <v>-15.8</v>
      </c>
      <c r="BP85" t="s">
        <v>399</v>
      </c>
      <c r="BQ85">
        <v>4.837125381381898</v>
      </c>
      <c r="BR85">
        <v>-10.220543550192284</v>
      </c>
    </row>
    <row r="86" spans="1:70">
      <c r="A86" t="s">
        <v>351</v>
      </c>
      <c r="C86" s="63">
        <v>42713</v>
      </c>
      <c r="E86">
        <v>2800</v>
      </c>
      <c r="F86">
        <v>10</v>
      </c>
      <c r="G86">
        <v>7.37</v>
      </c>
      <c r="H86">
        <v>-96</v>
      </c>
      <c r="I86">
        <v>956.1</v>
      </c>
      <c r="J86">
        <v>688.7</v>
      </c>
      <c r="K86">
        <v>0.2</v>
      </c>
      <c r="L86">
        <v>7.0000000000000007E-2</v>
      </c>
      <c r="M86">
        <v>2.27</v>
      </c>
      <c r="N86">
        <v>0</v>
      </c>
      <c r="O86">
        <v>0</v>
      </c>
      <c r="P86">
        <v>0.4</v>
      </c>
      <c r="S86">
        <v>3.7999999999999999E-2</v>
      </c>
      <c r="T86">
        <v>0.18</v>
      </c>
      <c r="V86">
        <v>110</v>
      </c>
      <c r="W86">
        <v>11.3</v>
      </c>
      <c r="X86">
        <v>0.4</v>
      </c>
      <c r="Y86">
        <v>4.6100000000000003</v>
      </c>
      <c r="AA86">
        <v>3.5999999999999997E-2</v>
      </c>
      <c r="AB86">
        <v>34.700000000000003</v>
      </c>
      <c r="AC86">
        <v>0.16</v>
      </c>
      <c r="AF86">
        <v>7.2</v>
      </c>
      <c r="AH86">
        <v>25.2</v>
      </c>
      <c r="AI86">
        <v>297</v>
      </c>
      <c r="BP86" t="s">
        <v>400</v>
      </c>
      <c r="BQ86">
        <v>10.360817588964181</v>
      </c>
      <c r="BR86">
        <v>-7.3058164491533217</v>
      </c>
    </row>
    <row r="87" spans="1:70" ht="13" customHeight="1">
      <c r="A87" t="s">
        <v>351</v>
      </c>
      <c r="C87" s="63">
        <v>42781</v>
      </c>
      <c r="E87">
        <v>2787</v>
      </c>
      <c r="F87">
        <v>10</v>
      </c>
      <c r="G87">
        <v>7.52</v>
      </c>
      <c r="H87">
        <v>-120</v>
      </c>
      <c r="I87">
        <v>949.1</v>
      </c>
      <c r="J87">
        <v>671.4</v>
      </c>
      <c r="K87">
        <v>0.3</v>
      </c>
      <c r="L87">
        <v>0.06</v>
      </c>
      <c r="M87">
        <v>2.33</v>
      </c>
      <c r="N87">
        <v>0</v>
      </c>
      <c r="P87">
        <v>0.42599999999999999</v>
      </c>
      <c r="Q87" s="90"/>
      <c r="R87" s="90"/>
      <c r="S87" s="90">
        <v>3.7999999999999999E-2</v>
      </c>
      <c r="T87" s="90">
        <v>0.18</v>
      </c>
      <c r="U87" s="90"/>
      <c r="V87" s="90">
        <v>118</v>
      </c>
      <c r="W87" s="90">
        <v>11.2</v>
      </c>
      <c r="X87" s="90">
        <v>0.44</v>
      </c>
      <c r="Y87" s="90">
        <v>4.92</v>
      </c>
      <c r="Z87" s="90"/>
      <c r="AA87" s="90">
        <v>4.4999999999999998E-2</v>
      </c>
      <c r="AB87" s="90">
        <v>37.799999999999997</v>
      </c>
      <c r="AC87" s="90">
        <v>0.17499999999999999</v>
      </c>
      <c r="AD87" s="90">
        <v>1.0999999999999999E-2</v>
      </c>
      <c r="AE87" s="90"/>
      <c r="AF87" s="90">
        <v>7.9</v>
      </c>
      <c r="AG87" s="90"/>
      <c r="AH87" s="90">
        <v>28</v>
      </c>
      <c r="AI87" s="90">
        <v>325</v>
      </c>
      <c r="AJ87" s="90"/>
      <c r="BP87" t="s">
        <v>401</v>
      </c>
      <c r="BQ87">
        <v>12.860198636731395</v>
      </c>
      <c r="BR87">
        <v>-9.8774555930274026</v>
      </c>
    </row>
    <row r="88" spans="1:70" ht="13" customHeight="1">
      <c r="A88" t="s">
        <v>351</v>
      </c>
      <c r="C88" s="63">
        <v>42864</v>
      </c>
      <c r="E88" s="79">
        <f>AVERAGE(3000,3000,3000)</f>
        <v>3000</v>
      </c>
      <c r="F88">
        <v>10.5</v>
      </c>
      <c r="G88">
        <v>6.49</v>
      </c>
      <c r="H88">
        <v>-47</v>
      </c>
      <c r="I88">
        <v>1052</v>
      </c>
      <c r="J88">
        <v>758.5</v>
      </c>
      <c r="K88">
        <v>0.1</v>
      </c>
      <c r="L88">
        <v>0.05</v>
      </c>
      <c r="M88">
        <v>1.6</v>
      </c>
      <c r="N88">
        <v>2</v>
      </c>
      <c r="O88">
        <v>1.9E-2</v>
      </c>
      <c r="S88">
        <v>4.2000000000000003E-2</v>
      </c>
      <c r="T88">
        <v>0.26</v>
      </c>
      <c r="V88">
        <v>134</v>
      </c>
      <c r="W88">
        <v>12.8</v>
      </c>
      <c r="X88">
        <v>0.74</v>
      </c>
      <c r="Y88">
        <v>7</v>
      </c>
      <c r="AA88">
        <v>4.8000000000000001E-2</v>
      </c>
      <c r="AB88">
        <v>40.9</v>
      </c>
      <c r="AC88">
        <v>0.23599999999999999</v>
      </c>
      <c r="AD88">
        <v>1.6E-2</v>
      </c>
      <c r="AF88">
        <v>7.8</v>
      </c>
      <c r="AH88">
        <v>30.7</v>
      </c>
      <c r="AI88">
        <v>386</v>
      </c>
    </row>
    <row r="89" spans="1:70">
      <c r="A89" t="s">
        <v>352</v>
      </c>
      <c r="C89" s="63">
        <v>42345</v>
      </c>
      <c r="D89">
        <v>1</v>
      </c>
      <c r="F89">
        <v>12.7</v>
      </c>
      <c r="G89">
        <v>8.26</v>
      </c>
      <c r="H89">
        <v>-192</v>
      </c>
      <c r="I89">
        <v>623.6</v>
      </c>
      <c r="J89">
        <v>440.9</v>
      </c>
      <c r="R89">
        <v>0.06</v>
      </c>
      <c r="S89">
        <v>0.13300000000000001</v>
      </c>
      <c r="T89">
        <v>7.0000000000000007E-2</v>
      </c>
      <c r="V89">
        <v>46.5</v>
      </c>
      <c r="W89">
        <v>16.399999999999999</v>
      </c>
      <c r="X89">
        <v>0.79</v>
      </c>
      <c r="Y89">
        <v>0.42</v>
      </c>
      <c r="AA89">
        <v>0.04</v>
      </c>
      <c r="AB89">
        <v>29.3</v>
      </c>
      <c r="AC89">
        <v>4.8000000000000001E-2</v>
      </c>
      <c r="AF89">
        <v>5.0999999999999996</v>
      </c>
      <c r="AH89">
        <v>39</v>
      </c>
      <c r="AI89">
        <v>87.4</v>
      </c>
      <c r="BP89" t="s">
        <v>402</v>
      </c>
      <c r="BQ89">
        <v>12.803488413478537</v>
      </c>
      <c r="BR89">
        <v>-9.989256374556394</v>
      </c>
    </row>
    <row r="90" spans="1:70">
      <c r="A90" t="s">
        <v>352</v>
      </c>
      <c r="C90" s="63">
        <v>42492</v>
      </c>
      <c r="D90">
        <v>148</v>
      </c>
      <c r="K90">
        <v>0.5</v>
      </c>
      <c r="L90">
        <v>0</v>
      </c>
      <c r="M90">
        <v>0.28000000000000003</v>
      </c>
      <c r="N90">
        <v>62</v>
      </c>
      <c r="O90">
        <v>12</v>
      </c>
      <c r="P90">
        <v>0.47499999999999998</v>
      </c>
      <c r="R90">
        <v>0.05</v>
      </c>
      <c r="S90">
        <v>0.13600000000000001</v>
      </c>
      <c r="T90">
        <v>7.0000000000000007E-2</v>
      </c>
      <c r="V90">
        <v>44.1</v>
      </c>
      <c r="W90">
        <v>16.100000000000001</v>
      </c>
      <c r="X90">
        <v>0.77</v>
      </c>
      <c r="Y90">
        <v>0.3</v>
      </c>
      <c r="AA90">
        <v>3.7999999999999999E-2</v>
      </c>
      <c r="AB90">
        <v>28</v>
      </c>
      <c r="AC90">
        <v>4.4999999999999998E-2</v>
      </c>
      <c r="AF90">
        <v>4.8</v>
      </c>
      <c r="AH90">
        <v>36.9</v>
      </c>
      <c r="AI90">
        <v>79.599999999999994</v>
      </c>
      <c r="BP90" t="s">
        <v>403</v>
      </c>
      <c r="BQ90">
        <v>2.9424027802931518</v>
      </c>
      <c r="BR90">
        <v>-13.145720872650131</v>
      </c>
    </row>
    <row r="91" spans="1:70">
      <c r="A91" t="s">
        <v>352</v>
      </c>
      <c r="C91" s="63">
        <v>42508</v>
      </c>
      <c r="D91">
        <v>164</v>
      </c>
      <c r="E91">
        <v>250</v>
      </c>
      <c r="F91">
        <v>12.6</v>
      </c>
      <c r="G91">
        <v>7.94</v>
      </c>
      <c r="H91">
        <v>-101</v>
      </c>
      <c r="I91">
        <v>605.1</v>
      </c>
      <c r="J91">
        <v>427.5</v>
      </c>
      <c r="K91">
        <v>0.1</v>
      </c>
      <c r="L91">
        <v>0.02</v>
      </c>
      <c r="M91">
        <v>0.28999999999999998</v>
      </c>
      <c r="N91">
        <v>7</v>
      </c>
      <c r="O91">
        <v>0.30399999999999999</v>
      </c>
      <c r="P91">
        <v>0.52100000000000002</v>
      </c>
      <c r="R91">
        <v>0.04</v>
      </c>
      <c r="S91">
        <v>0.13300000000000001</v>
      </c>
      <c r="T91">
        <v>0.06</v>
      </c>
      <c r="V91">
        <v>43.8</v>
      </c>
      <c r="W91">
        <v>16</v>
      </c>
      <c r="X91">
        <v>0.77</v>
      </c>
      <c r="Y91">
        <v>0.32</v>
      </c>
      <c r="AA91">
        <v>3.4000000000000002E-2</v>
      </c>
      <c r="AB91">
        <v>27.6</v>
      </c>
      <c r="AC91">
        <v>4.2000000000000003E-2</v>
      </c>
      <c r="AF91">
        <v>4.8</v>
      </c>
      <c r="AH91">
        <v>36</v>
      </c>
      <c r="AI91">
        <v>80.900000000000006</v>
      </c>
    </row>
    <row r="92" spans="1:70">
      <c r="A92" t="s">
        <v>352</v>
      </c>
      <c r="C92" s="63">
        <v>42562</v>
      </c>
      <c r="D92">
        <v>218</v>
      </c>
      <c r="E92">
        <v>295</v>
      </c>
      <c r="F92">
        <v>12.5</v>
      </c>
      <c r="G92">
        <v>8.1199999999999992</v>
      </c>
      <c r="H92">
        <v>-150</v>
      </c>
      <c r="I92">
        <v>618.5</v>
      </c>
      <c r="J92">
        <v>436.7</v>
      </c>
      <c r="K92">
        <v>0.2</v>
      </c>
      <c r="L92">
        <v>0.02</v>
      </c>
      <c r="M92">
        <v>0.31</v>
      </c>
      <c r="N92">
        <v>16</v>
      </c>
      <c r="O92">
        <v>0.215</v>
      </c>
      <c r="P92">
        <v>0.42199999999999999</v>
      </c>
      <c r="S92">
        <v>0.13100000000000001</v>
      </c>
      <c r="T92">
        <v>0.06</v>
      </c>
      <c r="V92">
        <v>48.2</v>
      </c>
      <c r="W92">
        <v>16.100000000000001</v>
      </c>
      <c r="X92">
        <v>0.81</v>
      </c>
      <c r="Y92">
        <v>0.4</v>
      </c>
      <c r="AA92">
        <v>3.3000000000000002E-2</v>
      </c>
      <c r="AB92">
        <v>29.9</v>
      </c>
      <c r="AC92">
        <v>4.3999999999999997E-2</v>
      </c>
      <c r="AF92">
        <v>4.9000000000000004</v>
      </c>
      <c r="AH92">
        <v>39.799999999999997</v>
      </c>
      <c r="AI92">
        <v>84.5</v>
      </c>
    </row>
    <row r="93" spans="1:70">
      <c r="A93" t="s">
        <v>352</v>
      </c>
      <c r="C93" s="63">
        <v>42633</v>
      </c>
      <c r="E93">
        <v>320</v>
      </c>
      <c r="F93">
        <v>12.4</v>
      </c>
      <c r="G93">
        <v>7.5</v>
      </c>
      <c r="H93">
        <v>-98</v>
      </c>
      <c r="I93">
        <v>616.9</v>
      </c>
      <c r="J93">
        <v>435.5</v>
      </c>
      <c r="K93">
        <v>0</v>
      </c>
      <c r="L93">
        <v>0.02</v>
      </c>
      <c r="M93">
        <v>0.25</v>
      </c>
      <c r="N93">
        <v>32</v>
      </c>
      <c r="O93">
        <v>0.27600000000000002</v>
      </c>
      <c r="P93">
        <v>0.41199999999999998</v>
      </c>
      <c r="Q93">
        <v>0.04</v>
      </c>
      <c r="R93">
        <v>0.04</v>
      </c>
      <c r="S93">
        <v>0.13100000000000001</v>
      </c>
      <c r="T93">
        <v>7.0000000000000007E-2</v>
      </c>
      <c r="V93">
        <v>46</v>
      </c>
      <c r="W93">
        <v>16</v>
      </c>
      <c r="X93">
        <v>0.82</v>
      </c>
      <c r="Y93">
        <v>0.36</v>
      </c>
      <c r="AA93">
        <v>3.9E-2</v>
      </c>
      <c r="AB93">
        <v>28.9</v>
      </c>
      <c r="AC93">
        <v>5.1999999999999998E-2</v>
      </c>
      <c r="AF93">
        <v>4.9000000000000004</v>
      </c>
      <c r="AH93">
        <v>38.9</v>
      </c>
      <c r="AI93">
        <v>82.3</v>
      </c>
      <c r="AK93">
        <v>-126</v>
      </c>
      <c r="AL93">
        <v>-17.100000000000001</v>
      </c>
    </row>
    <row r="94" spans="1:70">
      <c r="A94" t="s">
        <v>352</v>
      </c>
      <c r="C94" s="63">
        <v>42713</v>
      </c>
      <c r="E94">
        <v>300</v>
      </c>
      <c r="F94">
        <v>12.5</v>
      </c>
      <c r="G94">
        <v>7.72</v>
      </c>
      <c r="H94">
        <v>-93</v>
      </c>
      <c r="I94">
        <v>626.5</v>
      </c>
      <c r="J94">
        <v>443.5</v>
      </c>
      <c r="K94">
        <v>0.1</v>
      </c>
      <c r="L94">
        <v>0.03</v>
      </c>
      <c r="M94">
        <v>0.31</v>
      </c>
      <c r="N94">
        <v>29</v>
      </c>
      <c r="O94">
        <v>0.54</v>
      </c>
      <c r="P94">
        <v>0.38700000000000001</v>
      </c>
      <c r="Q94" s="91"/>
      <c r="R94" s="91">
        <v>0.05</v>
      </c>
      <c r="S94" s="91">
        <v>0.12</v>
      </c>
      <c r="T94" s="91">
        <v>7.0000000000000007E-2</v>
      </c>
      <c r="U94" s="91"/>
      <c r="V94" s="91">
        <v>43.7</v>
      </c>
      <c r="W94" s="91">
        <v>16.100000000000001</v>
      </c>
      <c r="X94" s="91">
        <v>0.8</v>
      </c>
      <c r="Y94" s="91">
        <v>0.26</v>
      </c>
      <c r="Z94" s="91"/>
      <c r="AA94" s="91">
        <v>3.1E-2</v>
      </c>
      <c r="AB94" s="91">
        <v>27.2</v>
      </c>
      <c r="AC94" s="91">
        <v>4.2999999999999997E-2</v>
      </c>
      <c r="AD94" s="91"/>
      <c r="AE94" s="91"/>
      <c r="AF94" s="91">
        <v>4.5999999999999996</v>
      </c>
      <c r="AG94" s="91"/>
      <c r="AH94" s="91">
        <v>37.200000000000003</v>
      </c>
      <c r="AI94" s="91">
        <v>80.3</v>
      </c>
    </row>
    <row r="95" spans="1:70">
      <c r="A95" t="s">
        <v>352</v>
      </c>
      <c r="C95" s="63">
        <v>42781</v>
      </c>
      <c r="E95">
        <v>300</v>
      </c>
      <c r="F95">
        <v>12.5</v>
      </c>
      <c r="G95">
        <v>7.67</v>
      </c>
      <c r="H95">
        <v>-97</v>
      </c>
      <c r="I95">
        <v>630.29999999999995</v>
      </c>
      <c r="J95">
        <v>444.8</v>
      </c>
      <c r="K95">
        <v>0.2</v>
      </c>
      <c r="L95">
        <v>0.02</v>
      </c>
      <c r="M95">
        <v>0.32</v>
      </c>
      <c r="N95">
        <v>16</v>
      </c>
      <c r="O95">
        <v>0.56100000000000005</v>
      </c>
      <c r="P95">
        <v>0.41699999999999998</v>
      </c>
      <c r="Q95" s="90"/>
      <c r="R95" s="90">
        <v>0.05</v>
      </c>
      <c r="S95" s="90">
        <v>0.125</v>
      </c>
      <c r="T95" s="90">
        <v>0.06</v>
      </c>
      <c r="U95" s="90"/>
      <c r="V95" s="90">
        <v>47.1</v>
      </c>
      <c r="W95" s="90">
        <v>17</v>
      </c>
      <c r="X95" s="90">
        <v>0.84</v>
      </c>
      <c r="Y95" s="90">
        <v>0.35</v>
      </c>
      <c r="Z95" s="90"/>
      <c r="AA95" s="90">
        <v>3.9E-2</v>
      </c>
      <c r="AB95" s="90">
        <v>29.9</v>
      </c>
      <c r="AC95" s="90">
        <v>5.1999999999999998E-2</v>
      </c>
      <c r="AD95" s="90"/>
      <c r="AE95" s="90"/>
      <c r="AF95" s="90">
        <v>5</v>
      </c>
      <c r="AG95" s="90"/>
      <c r="AH95" s="90">
        <v>40.1</v>
      </c>
      <c r="AI95" s="90">
        <v>91.2</v>
      </c>
    </row>
    <row r="96" spans="1:70">
      <c r="A96" t="s">
        <v>352</v>
      </c>
      <c r="C96" s="63">
        <v>42864</v>
      </c>
      <c r="E96" s="79">
        <f>AVERAGE(600,600,600)</f>
        <v>600</v>
      </c>
      <c r="F96">
        <v>12.5</v>
      </c>
      <c r="G96">
        <v>7.27</v>
      </c>
      <c r="H96">
        <v>-93</v>
      </c>
      <c r="I96">
        <v>608.20000000000005</v>
      </c>
      <c r="J96">
        <v>429.6</v>
      </c>
      <c r="K96">
        <v>0.3</v>
      </c>
      <c r="L96">
        <v>0.01</v>
      </c>
      <c r="M96">
        <v>0.3</v>
      </c>
      <c r="N96">
        <v>12</v>
      </c>
      <c r="O96">
        <v>0.47499999999999998</v>
      </c>
      <c r="S96">
        <v>0.13600000000000001</v>
      </c>
      <c r="T96">
        <v>7.0000000000000007E-2</v>
      </c>
      <c r="V96">
        <v>45.8</v>
      </c>
      <c r="W96">
        <v>16.7</v>
      </c>
      <c r="X96">
        <v>0.86</v>
      </c>
      <c r="Y96">
        <v>0.34</v>
      </c>
      <c r="AA96">
        <v>3.6999999999999998E-2</v>
      </c>
      <c r="AB96">
        <v>29.3</v>
      </c>
      <c r="AC96">
        <v>4.9000000000000002E-2</v>
      </c>
      <c r="AF96">
        <v>4.9000000000000004</v>
      </c>
      <c r="AH96">
        <v>38.700000000000003</v>
      </c>
      <c r="AI96">
        <v>83.8</v>
      </c>
    </row>
    <row r="97" spans="1:38">
      <c r="A97" t="s">
        <v>354</v>
      </c>
      <c r="C97" s="63">
        <v>42347</v>
      </c>
      <c r="D97">
        <v>1</v>
      </c>
      <c r="F97">
        <v>16.3</v>
      </c>
      <c r="G97">
        <v>7.35</v>
      </c>
      <c r="H97">
        <v>-20</v>
      </c>
      <c r="I97">
        <v>3044</v>
      </c>
      <c r="J97">
        <v>2321</v>
      </c>
      <c r="S97">
        <v>0.03</v>
      </c>
      <c r="T97">
        <v>0.15</v>
      </c>
      <c r="V97">
        <v>357</v>
      </c>
      <c r="W97">
        <v>7.87</v>
      </c>
      <c r="X97">
        <v>0.45</v>
      </c>
      <c r="Y97">
        <v>1.53</v>
      </c>
      <c r="AA97">
        <v>0.13700000000000001</v>
      </c>
      <c r="AB97">
        <v>237</v>
      </c>
      <c r="AC97">
        <v>0.26900000000000002</v>
      </c>
      <c r="AF97">
        <v>6.2</v>
      </c>
      <c r="AH97">
        <v>98.1</v>
      </c>
      <c r="AI97">
        <v>1640</v>
      </c>
    </row>
    <row r="98" spans="1:38">
      <c r="A98" t="s">
        <v>354</v>
      </c>
      <c r="B98" t="s">
        <v>235</v>
      </c>
      <c r="C98" s="63">
        <v>42495</v>
      </c>
      <c r="D98">
        <v>149</v>
      </c>
      <c r="F98">
        <v>16.3</v>
      </c>
      <c r="G98">
        <v>7.19</v>
      </c>
      <c r="H98">
        <v>-53</v>
      </c>
      <c r="I98">
        <v>3026</v>
      </c>
      <c r="J98">
        <v>2309</v>
      </c>
      <c r="K98">
        <v>0.5</v>
      </c>
      <c r="L98">
        <v>0.27</v>
      </c>
      <c r="M98">
        <v>2.3199999999999998</v>
      </c>
      <c r="N98">
        <v>14</v>
      </c>
      <c r="O98">
        <v>1.6</v>
      </c>
      <c r="P98">
        <v>0.252</v>
      </c>
      <c r="Q98">
        <v>0.05</v>
      </c>
      <c r="R98">
        <v>0.05</v>
      </c>
      <c r="S98">
        <v>2.9000000000000001E-2</v>
      </c>
      <c r="T98">
        <v>0.14000000000000001</v>
      </c>
      <c r="V98">
        <v>342</v>
      </c>
      <c r="W98">
        <v>7.65</v>
      </c>
      <c r="X98">
        <v>0.49</v>
      </c>
      <c r="Y98">
        <v>2.9</v>
      </c>
      <c r="AA98">
        <v>0.121</v>
      </c>
      <c r="AB98">
        <v>232</v>
      </c>
      <c r="AC98">
        <v>0.26300000000000001</v>
      </c>
      <c r="AF98">
        <v>6.1</v>
      </c>
      <c r="AH98">
        <v>98.6</v>
      </c>
      <c r="AI98">
        <v>1780</v>
      </c>
    </row>
    <row r="99" spans="1:38">
      <c r="A99" t="s">
        <v>354</v>
      </c>
      <c r="B99" t="s">
        <v>236</v>
      </c>
      <c r="C99" s="63">
        <v>42495</v>
      </c>
      <c r="D99">
        <v>150</v>
      </c>
      <c r="F99">
        <v>16.7</v>
      </c>
      <c r="G99">
        <v>7.27</v>
      </c>
      <c r="H99">
        <v>-22</v>
      </c>
      <c r="I99">
        <v>3040</v>
      </c>
      <c r="J99">
        <v>2323</v>
      </c>
      <c r="K99">
        <v>0.3</v>
      </c>
      <c r="L99">
        <v>0.22</v>
      </c>
      <c r="M99">
        <v>2.4500000000000002</v>
      </c>
      <c r="N99">
        <v>0</v>
      </c>
      <c r="O99">
        <v>1.4</v>
      </c>
      <c r="P99">
        <v>0.25900000000000001</v>
      </c>
      <c r="Q99">
        <v>0.04</v>
      </c>
      <c r="S99">
        <v>0.03</v>
      </c>
      <c r="T99">
        <v>0.14000000000000001</v>
      </c>
      <c r="V99">
        <v>355</v>
      </c>
      <c r="Y99">
        <v>2.92</v>
      </c>
      <c r="AA99">
        <v>0.123</v>
      </c>
      <c r="AB99">
        <v>238</v>
      </c>
      <c r="AC99">
        <v>0.27</v>
      </c>
      <c r="AF99">
        <v>6.3</v>
      </c>
      <c r="AH99">
        <v>101</v>
      </c>
      <c r="AJ99">
        <v>0.01</v>
      </c>
    </row>
    <row r="100" spans="1:38" ht="70">
      <c r="A100" t="s">
        <v>354</v>
      </c>
      <c r="B100" s="70" t="s">
        <v>237</v>
      </c>
      <c r="C100" s="70">
        <v>42506</v>
      </c>
      <c r="D100">
        <v>160</v>
      </c>
      <c r="E100">
        <v>1400</v>
      </c>
      <c r="F100">
        <v>16.100000000000001</v>
      </c>
      <c r="G100">
        <v>7.94</v>
      </c>
      <c r="H100">
        <v>14</v>
      </c>
      <c r="I100">
        <v>3048</v>
      </c>
      <c r="J100">
        <v>2302</v>
      </c>
      <c r="K100">
        <v>0.8</v>
      </c>
      <c r="L100">
        <v>0.24</v>
      </c>
      <c r="M100">
        <v>1.8</v>
      </c>
      <c r="N100">
        <v>7</v>
      </c>
      <c r="O100">
        <v>3.1</v>
      </c>
      <c r="P100">
        <v>0.34399999999999997</v>
      </c>
      <c r="S100">
        <v>2.9000000000000001E-2</v>
      </c>
      <c r="T100">
        <v>0.13</v>
      </c>
      <c r="V100">
        <v>351</v>
      </c>
      <c r="W100">
        <v>7.73</v>
      </c>
      <c r="X100">
        <v>0.51</v>
      </c>
      <c r="Y100">
        <v>1.97</v>
      </c>
      <c r="AA100">
        <v>0.11700000000000001</v>
      </c>
      <c r="AB100">
        <v>232</v>
      </c>
      <c r="AC100">
        <v>0.27200000000000002</v>
      </c>
      <c r="AF100">
        <v>6.3</v>
      </c>
      <c r="AH100">
        <v>97.7</v>
      </c>
      <c r="AI100">
        <v>1880</v>
      </c>
    </row>
    <row r="101" spans="1:38">
      <c r="A101" t="s">
        <v>354</v>
      </c>
      <c r="B101" s="63">
        <v>42563</v>
      </c>
      <c r="C101" s="63">
        <v>42563</v>
      </c>
      <c r="D101">
        <v>217</v>
      </c>
      <c r="E101">
        <v>1250</v>
      </c>
      <c r="F101">
        <v>16.100000000000001</v>
      </c>
      <c r="G101">
        <v>7.42</v>
      </c>
      <c r="H101">
        <v>52</v>
      </c>
      <c r="I101">
        <v>3036</v>
      </c>
      <c r="J101">
        <v>2310</v>
      </c>
      <c r="K101">
        <v>0.2</v>
      </c>
      <c r="L101">
        <v>0.21</v>
      </c>
      <c r="M101">
        <v>2.83</v>
      </c>
      <c r="N101">
        <v>0</v>
      </c>
      <c r="O101">
        <v>8.5000000000000006E-3</v>
      </c>
      <c r="P101">
        <v>0.25700000000000001</v>
      </c>
      <c r="S101">
        <v>3.3000000000000002E-2</v>
      </c>
      <c r="T101">
        <v>0.12</v>
      </c>
      <c r="V101">
        <v>374</v>
      </c>
      <c r="W101">
        <v>7.6</v>
      </c>
      <c r="X101">
        <v>0.51</v>
      </c>
      <c r="Y101">
        <v>3.27</v>
      </c>
      <c r="AA101">
        <v>0.11899999999999999</v>
      </c>
      <c r="AB101">
        <v>250</v>
      </c>
      <c r="AC101">
        <v>0.26600000000000001</v>
      </c>
      <c r="AE101">
        <v>0.05</v>
      </c>
      <c r="AF101">
        <v>6.6</v>
      </c>
      <c r="AH101">
        <v>108</v>
      </c>
      <c r="AI101">
        <v>1610</v>
      </c>
      <c r="AJ101">
        <v>0.01</v>
      </c>
    </row>
    <row r="102" spans="1:38">
      <c r="A102" t="s">
        <v>354</v>
      </c>
      <c r="B102" s="63">
        <v>42634</v>
      </c>
      <c r="C102" s="63">
        <v>42634</v>
      </c>
      <c r="E102">
        <v>1346</v>
      </c>
      <c r="F102">
        <v>16.100000000000001</v>
      </c>
      <c r="G102">
        <v>7.03</v>
      </c>
      <c r="H102">
        <v>-42</v>
      </c>
      <c r="I102">
        <v>2998</v>
      </c>
      <c r="J102">
        <v>2281</v>
      </c>
      <c r="K102">
        <v>0.3</v>
      </c>
      <c r="L102">
        <v>0.31</v>
      </c>
      <c r="M102">
        <v>2.71</v>
      </c>
      <c r="N102">
        <v>8</v>
      </c>
      <c r="O102">
        <v>3.4000000000000002E-2</v>
      </c>
      <c r="P102">
        <v>0.22600000000000001</v>
      </c>
      <c r="Q102">
        <v>0.06</v>
      </c>
      <c r="S102">
        <v>2.9000000000000001E-2</v>
      </c>
      <c r="T102">
        <v>0.13</v>
      </c>
      <c r="V102">
        <v>352</v>
      </c>
      <c r="Y102">
        <v>3.18</v>
      </c>
      <c r="AA102">
        <v>0.124</v>
      </c>
      <c r="AB102">
        <v>236</v>
      </c>
      <c r="AC102">
        <v>0.28000000000000003</v>
      </c>
      <c r="AF102">
        <v>6.5</v>
      </c>
      <c r="AH102">
        <v>108</v>
      </c>
      <c r="AI102">
        <v>1590</v>
      </c>
      <c r="AK102">
        <v>-120</v>
      </c>
      <c r="AL102">
        <v>-16.3</v>
      </c>
    </row>
    <row r="103" spans="1:38">
      <c r="A103" t="s">
        <v>354</v>
      </c>
      <c r="B103" s="63">
        <v>42712</v>
      </c>
      <c r="C103" s="63">
        <v>42712</v>
      </c>
      <c r="E103">
        <v>3500</v>
      </c>
      <c r="F103">
        <v>16.2</v>
      </c>
      <c r="G103">
        <v>7.27</v>
      </c>
      <c r="H103">
        <v>-30</v>
      </c>
      <c r="I103">
        <v>3036</v>
      </c>
      <c r="J103">
        <v>2313</v>
      </c>
      <c r="K103">
        <v>0.2</v>
      </c>
      <c r="L103">
        <v>0.28000000000000003</v>
      </c>
      <c r="M103">
        <v>2.92</v>
      </c>
      <c r="N103">
        <v>0</v>
      </c>
      <c r="O103">
        <v>0.14699999999999999</v>
      </c>
      <c r="P103">
        <v>0.25900000000000001</v>
      </c>
      <c r="S103">
        <v>2.7E-2</v>
      </c>
      <c r="T103">
        <v>0.12</v>
      </c>
      <c r="V103">
        <v>326</v>
      </c>
      <c r="W103">
        <v>12.3</v>
      </c>
      <c r="Y103">
        <v>2.85</v>
      </c>
      <c r="Z103">
        <v>0.03</v>
      </c>
      <c r="AA103">
        <v>0.112</v>
      </c>
      <c r="AB103">
        <v>226</v>
      </c>
      <c r="AC103">
        <v>0.251</v>
      </c>
      <c r="AF103">
        <v>5.9</v>
      </c>
      <c r="AH103">
        <v>97.1</v>
      </c>
      <c r="AI103">
        <v>1540</v>
      </c>
    </row>
    <row r="104" spans="1:38">
      <c r="A104" t="s">
        <v>354</v>
      </c>
      <c r="B104" s="63"/>
      <c r="C104" s="63">
        <v>42782</v>
      </c>
      <c r="E104">
        <v>1400</v>
      </c>
      <c r="F104">
        <v>16.3</v>
      </c>
      <c r="G104">
        <v>7.04</v>
      </c>
      <c r="H104">
        <v>-57</v>
      </c>
      <c r="I104">
        <v>3029</v>
      </c>
      <c r="J104">
        <v>2305</v>
      </c>
      <c r="K104">
        <v>0.1</v>
      </c>
      <c r="L104">
        <v>0.2</v>
      </c>
      <c r="M104">
        <v>2.58</v>
      </c>
      <c r="N104">
        <v>14</v>
      </c>
      <c r="O104">
        <v>1.6E-2</v>
      </c>
      <c r="P104">
        <v>0.20499999999999999</v>
      </c>
      <c r="Q104" s="90">
        <v>0.06</v>
      </c>
      <c r="R104" s="90"/>
      <c r="S104" s="90">
        <v>2.5000000000000001E-2</v>
      </c>
      <c r="T104" s="90">
        <v>0.12</v>
      </c>
      <c r="U104" s="90"/>
      <c r="V104" s="90">
        <v>347</v>
      </c>
      <c r="W104" s="90"/>
      <c r="X104" s="90"/>
      <c r="Y104" s="90">
        <v>3.1</v>
      </c>
      <c r="Z104" s="90"/>
      <c r="AA104" s="90">
        <v>0.127</v>
      </c>
      <c r="AB104" s="90">
        <v>242</v>
      </c>
      <c r="AC104" s="90">
        <v>0.28000000000000003</v>
      </c>
      <c r="AD104" s="90"/>
      <c r="AE104" s="90"/>
      <c r="AF104" s="90">
        <v>6.6</v>
      </c>
      <c r="AG104" s="90"/>
      <c r="AH104" s="90">
        <v>111</v>
      </c>
      <c r="AI104" s="90">
        <v>1610</v>
      </c>
    </row>
    <row r="105" spans="1:38">
      <c r="A105" t="s">
        <v>354</v>
      </c>
      <c r="B105" s="63"/>
      <c r="C105" s="63">
        <v>42866</v>
      </c>
      <c r="E105" s="79">
        <f>AVERAGE(1200,1200,1200)</f>
        <v>1200</v>
      </c>
      <c r="F105">
        <v>16.2</v>
      </c>
      <c r="G105">
        <v>6.89</v>
      </c>
      <c r="H105">
        <v>-39</v>
      </c>
      <c r="I105">
        <v>3039</v>
      </c>
      <c r="J105">
        <v>2313</v>
      </c>
      <c r="K105">
        <v>0.3</v>
      </c>
      <c r="L105">
        <v>0.21</v>
      </c>
      <c r="M105">
        <v>2.2999999999999998</v>
      </c>
      <c r="N105">
        <v>21</v>
      </c>
      <c r="O105">
        <v>3.1E-2</v>
      </c>
      <c r="S105">
        <v>3.1E-2</v>
      </c>
      <c r="T105">
        <v>0.15</v>
      </c>
      <c r="V105">
        <v>345</v>
      </c>
      <c r="X105">
        <v>1.38</v>
      </c>
      <c r="Y105">
        <v>2.98</v>
      </c>
      <c r="AA105">
        <v>0.125</v>
      </c>
      <c r="AB105">
        <v>235</v>
      </c>
      <c r="AC105">
        <v>0.26900000000000002</v>
      </c>
      <c r="AF105">
        <v>6.4</v>
      </c>
      <c r="AH105">
        <v>113</v>
      </c>
      <c r="AI105">
        <v>1610</v>
      </c>
    </row>
    <row r="106" spans="1:38">
      <c r="A106" t="s">
        <v>355</v>
      </c>
      <c r="B106" s="70">
        <v>42348</v>
      </c>
      <c r="C106" s="70">
        <v>42348</v>
      </c>
      <c r="D106">
        <v>1</v>
      </c>
      <c r="F106">
        <v>22.9</v>
      </c>
      <c r="G106">
        <v>8.83</v>
      </c>
      <c r="H106">
        <v>-276</v>
      </c>
      <c r="I106">
        <v>1758</v>
      </c>
      <c r="J106">
        <v>1283</v>
      </c>
      <c r="R106">
        <v>0.04</v>
      </c>
      <c r="S106">
        <v>4.1000000000000002E-2</v>
      </c>
      <c r="T106">
        <v>0.59</v>
      </c>
      <c r="V106">
        <v>7.4</v>
      </c>
      <c r="W106">
        <v>20.7</v>
      </c>
      <c r="X106">
        <v>6.22</v>
      </c>
      <c r="AA106">
        <v>0.26100000000000001</v>
      </c>
      <c r="AB106">
        <v>8.1</v>
      </c>
      <c r="AC106">
        <v>5.0000000000000001E-3</v>
      </c>
      <c r="AF106">
        <v>8.1999999999999993</v>
      </c>
      <c r="AH106">
        <v>364</v>
      </c>
      <c r="AI106">
        <v>272</v>
      </c>
    </row>
    <row r="107" spans="1:38">
      <c r="A107" t="s">
        <v>355</v>
      </c>
      <c r="B107" s="70">
        <v>42494</v>
      </c>
      <c r="C107" s="70">
        <v>42494</v>
      </c>
      <c r="D107">
        <v>147</v>
      </c>
      <c r="F107">
        <v>22.7</v>
      </c>
      <c r="G107">
        <v>8.6199999999999992</v>
      </c>
      <c r="H107">
        <v>-241</v>
      </c>
      <c r="I107">
        <v>1763</v>
      </c>
      <c r="J107">
        <v>1289</v>
      </c>
      <c r="K107">
        <v>1</v>
      </c>
      <c r="L107">
        <v>1.2</v>
      </c>
      <c r="M107">
        <v>0.11</v>
      </c>
      <c r="N107">
        <v>978</v>
      </c>
      <c r="O107">
        <v>0.8</v>
      </c>
      <c r="P107">
        <v>0.23599999999999999</v>
      </c>
      <c r="S107">
        <v>4.2000000000000003E-2</v>
      </c>
      <c r="T107">
        <v>0.61</v>
      </c>
      <c r="U107">
        <v>0.109</v>
      </c>
      <c r="V107">
        <v>7.1</v>
      </c>
      <c r="W107">
        <v>20.7</v>
      </c>
      <c r="X107">
        <v>6.77</v>
      </c>
      <c r="AA107">
        <v>0.253</v>
      </c>
      <c r="AB107">
        <v>7.9</v>
      </c>
      <c r="AC107">
        <v>5.0000000000000001E-3</v>
      </c>
      <c r="AF107">
        <v>8</v>
      </c>
      <c r="AH107">
        <v>371</v>
      </c>
      <c r="AI107">
        <v>299</v>
      </c>
    </row>
    <row r="108" spans="1:38" ht="42">
      <c r="A108" t="s">
        <v>355</v>
      </c>
      <c r="B108" s="74" t="s">
        <v>230</v>
      </c>
      <c r="C108" s="70">
        <v>42507</v>
      </c>
      <c r="D108">
        <v>160</v>
      </c>
      <c r="F108">
        <v>22.6</v>
      </c>
      <c r="G108" s="77">
        <v>8.6248868405892516</v>
      </c>
      <c r="H108">
        <v>-171</v>
      </c>
      <c r="I108">
        <v>1765</v>
      </c>
      <c r="J108">
        <v>1292</v>
      </c>
      <c r="K108">
        <v>0.9</v>
      </c>
      <c r="L108">
        <v>1.34</v>
      </c>
      <c r="M108">
        <v>0</v>
      </c>
      <c r="N108">
        <v>1264</v>
      </c>
      <c r="O108">
        <v>0.08</v>
      </c>
      <c r="P108">
        <v>0.27900000000000003</v>
      </c>
      <c r="S108">
        <v>4.1000000000000002E-2</v>
      </c>
      <c r="T108">
        <v>0.61</v>
      </c>
      <c r="V108">
        <v>7.2</v>
      </c>
      <c r="W108">
        <v>20.7</v>
      </c>
      <c r="X108">
        <v>6.17</v>
      </c>
      <c r="AA108">
        <v>0.251</v>
      </c>
      <c r="AB108">
        <v>8.1</v>
      </c>
      <c r="AF108">
        <v>7.9</v>
      </c>
      <c r="AH108">
        <v>367</v>
      </c>
      <c r="AI108">
        <v>297</v>
      </c>
    </row>
    <row r="109" spans="1:38" ht="42">
      <c r="A109" t="s">
        <v>355</v>
      </c>
      <c r="B109" s="74" t="s">
        <v>231</v>
      </c>
      <c r="C109" s="70">
        <v>42507</v>
      </c>
      <c r="D109">
        <v>161</v>
      </c>
      <c r="E109">
        <v>800</v>
      </c>
      <c r="F109">
        <v>22.6</v>
      </c>
      <c r="G109" s="77">
        <v>8.5672784132993165</v>
      </c>
      <c r="H109">
        <v>-163</v>
      </c>
      <c r="I109">
        <v>1770</v>
      </c>
      <c r="J109">
        <v>1294</v>
      </c>
      <c r="K109">
        <v>0.9</v>
      </c>
      <c r="L109">
        <v>1.68</v>
      </c>
      <c r="M109">
        <v>0.03</v>
      </c>
      <c r="N109">
        <v>1080</v>
      </c>
      <c r="O109">
        <v>0.25</v>
      </c>
      <c r="P109">
        <v>0.28000000000000003</v>
      </c>
      <c r="S109">
        <v>0.04</v>
      </c>
      <c r="T109">
        <v>0.61</v>
      </c>
      <c r="U109">
        <v>8.5999999999999993E-2</v>
      </c>
      <c r="V109">
        <v>7.5</v>
      </c>
      <c r="W109">
        <v>20.7</v>
      </c>
      <c r="X109">
        <v>6.32</v>
      </c>
      <c r="AA109">
        <v>0.252</v>
      </c>
      <c r="AB109">
        <v>8.4</v>
      </c>
      <c r="AF109">
        <v>8</v>
      </c>
      <c r="AH109">
        <v>367</v>
      </c>
      <c r="AI109">
        <v>301</v>
      </c>
    </row>
    <row r="110" spans="1:38" ht="42">
      <c r="A110" t="s">
        <v>355</v>
      </c>
      <c r="B110" s="74" t="s">
        <v>283</v>
      </c>
      <c r="C110" s="70">
        <v>42562</v>
      </c>
      <c r="D110">
        <v>215</v>
      </c>
      <c r="F110" s="66">
        <v>22.7</v>
      </c>
      <c r="G110" s="66">
        <v>7.82</v>
      </c>
      <c r="H110" s="66">
        <v>-169</v>
      </c>
      <c r="I110" s="66">
        <v>1918</v>
      </c>
      <c r="J110" s="66">
        <v>1413</v>
      </c>
      <c r="K110" s="66"/>
      <c r="L110" s="66"/>
      <c r="M110" s="66"/>
      <c r="N110" s="66"/>
      <c r="O110" s="66"/>
    </row>
    <row r="111" spans="1:38" ht="42">
      <c r="A111" t="s">
        <v>355</v>
      </c>
      <c r="B111" s="74" t="s">
        <v>284</v>
      </c>
      <c r="C111" s="70">
        <v>42562</v>
      </c>
      <c r="D111">
        <v>215.5</v>
      </c>
      <c r="F111" s="66">
        <v>22.7</v>
      </c>
      <c r="G111" s="66">
        <v>8.07</v>
      </c>
      <c r="H111" s="66">
        <v>-250</v>
      </c>
      <c r="I111" s="66">
        <v>1768</v>
      </c>
      <c r="J111" s="66">
        <v>1291</v>
      </c>
      <c r="K111" s="66">
        <v>1</v>
      </c>
      <c r="L111" s="66">
        <v>1.64</v>
      </c>
      <c r="M111" s="66">
        <v>0.01</v>
      </c>
      <c r="N111" s="66">
        <v>546</v>
      </c>
      <c r="O111" s="66">
        <v>4.1000000000000002E-2</v>
      </c>
      <c r="P111" s="66">
        <v>0.21299999999999999</v>
      </c>
      <c r="R111" s="66">
        <v>0.05</v>
      </c>
      <c r="S111" s="66">
        <v>3.9E-2</v>
      </c>
      <c r="T111" s="66">
        <v>0.6</v>
      </c>
      <c r="V111" s="66">
        <v>7.6</v>
      </c>
      <c r="W111" s="66">
        <v>20.5</v>
      </c>
      <c r="X111">
        <v>6.44</v>
      </c>
      <c r="AA111">
        <v>0.251</v>
      </c>
      <c r="AB111">
        <v>8.4</v>
      </c>
      <c r="AE111">
        <v>7.0000000000000007E-2</v>
      </c>
      <c r="AF111">
        <v>8.1</v>
      </c>
      <c r="AH111">
        <v>377</v>
      </c>
      <c r="AI111">
        <v>283</v>
      </c>
    </row>
    <row r="112" spans="1:38">
      <c r="A112" t="s">
        <v>355</v>
      </c>
      <c r="B112" s="70">
        <v>42633</v>
      </c>
      <c r="C112" s="70">
        <v>42633</v>
      </c>
      <c r="E112">
        <v>900</v>
      </c>
      <c r="F112">
        <v>22.7</v>
      </c>
      <c r="G112">
        <v>8.4</v>
      </c>
      <c r="H112">
        <v>-254</v>
      </c>
      <c r="I112">
        <v>1760</v>
      </c>
      <c r="J112">
        <v>1284</v>
      </c>
      <c r="K112">
        <v>1.1000000000000001</v>
      </c>
      <c r="L112">
        <v>1.64</v>
      </c>
      <c r="M112">
        <v>0.01</v>
      </c>
      <c r="N112">
        <v>992</v>
      </c>
      <c r="O112">
        <v>0.127</v>
      </c>
      <c r="P112">
        <v>0.20200000000000001</v>
      </c>
      <c r="Q112">
        <v>4.1000000000000002E-2</v>
      </c>
      <c r="S112">
        <v>4.1000000000000002E-2</v>
      </c>
      <c r="T112">
        <v>0.62</v>
      </c>
      <c r="V112">
        <v>6.9</v>
      </c>
      <c r="W112">
        <v>19.8</v>
      </c>
      <c r="X112">
        <v>6.43</v>
      </c>
      <c r="Y112">
        <v>0.06</v>
      </c>
      <c r="AA112">
        <v>0.253</v>
      </c>
      <c r="AB112">
        <v>7.6</v>
      </c>
      <c r="AC112">
        <v>7.0000000000000001E-3</v>
      </c>
      <c r="AF112">
        <v>8</v>
      </c>
      <c r="AH112">
        <v>388</v>
      </c>
      <c r="AI112">
        <v>272</v>
      </c>
      <c r="AK112">
        <v>-126</v>
      </c>
      <c r="AL112">
        <v>-17.100000000000001</v>
      </c>
    </row>
    <row r="113" spans="1:38">
      <c r="A113" t="s">
        <v>355</v>
      </c>
      <c r="B113" s="70">
        <v>42710</v>
      </c>
      <c r="C113" s="70">
        <v>42710</v>
      </c>
      <c r="E113">
        <v>820</v>
      </c>
      <c r="F113">
        <v>22.6</v>
      </c>
      <c r="G113">
        <v>8.8800000000000008</v>
      </c>
      <c r="H113">
        <v>-278</v>
      </c>
      <c r="I113">
        <v>1774</v>
      </c>
      <c r="J113">
        <v>1296</v>
      </c>
      <c r="K113">
        <v>1</v>
      </c>
      <c r="L113">
        <v>1.56</v>
      </c>
      <c r="M113">
        <v>0.01</v>
      </c>
      <c r="N113">
        <v>537</v>
      </c>
      <c r="O113">
        <v>4.2999999999999997E-2</v>
      </c>
      <c r="P113">
        <v>0.17399999999999999</v>
      </c>
      <c r="S113">
        <v>3.7999999999999999E-2</v>
      </c>
      <c r="T113">
        <v>0.56000000000000005</v>
      </c>
      <c r="V113">
        <v>6.9</v>
      </c>
      <c r="W113">
        <v>19.7</v>
      </c>
      <c r="X113">
        <v>5.97</v>
      </c>
      <c r="AA113">
        <v>0.23699999999999999</v>
      </c>
      <c r="AB113">
        <v>7.7</v>
      </c>
      <c r="AF113">
        <v>7.3</v>
      </c>
      <c r="AH113">
        <v>357</v>
      </c>
      <c r="AI113">
        <v>262</v>
      </c>
    </row>
    <row r="114" spans="1:38">
      <c r="A114" t="s">
        <v>355</v>
      </c>
      <c r="B114" s="70"/>
      <c r="C114" s="63">
        <v>42781</v>
      </c>
      <c r="E114">
        <v>850</v>
      </c>
      <c r="F114">
        <v>22.6</v>
      </c>
      <c r="G114">
        <v>7.28</v>
      </c>
      <c r="H114">
        <v>-200</v>
      </c>
      <c r="I114">
        <v>1767</v>
      </c>
      <c r="J114">
        <v>1290</v>
      </c>
      <c r="K114">
        <v>0.9</v>
      </c>
      <c r="L114">
        <v>1.24</v>
      </c>
      <c r="M114">
        <v>0</v>
      </c>
      <c r="N114">
        <v>864</v>
      </c>
      <c r="O114">
        <v>2.7E-2</v>
      </c>
      <c r="P114">
        <v>0.16800000000000001</v>
      </c>
      <c r="R114" s="90"/>
      <c r="S114" s="90">
        <v>3.6999999999999998E-2</v>
      </c>
      <c r="T114" s="90">
        <v>0.6</v>
      </c>
      <c r="U114" s="90"/>
      <c r="V114" s="90">
        <v>7</v>
      </c>
      <c r="W114" s="90">
        <v>21.2</v>
      </c>
      <c r="X114" s="90">
        <v>6.83</v>
      </c>
      <c r="Y114" s="90"/>
      <c r="Z114" s="90"/>
      <c r="AA114" s="90">
        <v>0.255</v>
      </c>
      <c r="AB114" s="90">
        <v>8</v>
      </c>
      <c r="AC114" s="90">
        <v>7.0000000000000001E-3</v>
      </c>
      <c r="AD114" s="90"/>
      <c r="AE114" s="90"/>
      <c r="AF114" s="90">
        <v>8.1</v>
      </c>
      <c r="AG114" s="90"/>
      <c r="AH114" s="90">
        <v>382</v>
      </c>
      <c r="AI114" s="90">
        <v>289</v>
      </c>
    </row>
    <row r="115" spans="1:38">
      <c r="A115" t="s">
        <v>355</v>
      </c>
      <c r="C115" s="63">
        <v>42864</v>
      </c>
      <c r="E115" s="79">
        <v>580</v>
      </c>
      <c r="F115">
        <v>22.1</v>
      </c>
      <c r="G115">
        <v>8.2200000000000006</v>
      </c>
      <c r="H115">
        <v>-172</v>
      </c>
      <c r="I115">
        <v>1777</v>
      </c>
      <c r="J115">
        <v>1296</v>
      </c>
      <c r="K115">
        <v>1.1000000000000001</v>
      </c>
      <c r="L115" s="84">
        <v>1</v>
      </c>
      <c r="M115">
        <v>0</v>
      </c>
      <c r="N115" s="84">
        <v>678</v>
      </c>
      <c r="O115" s="66">
        <v>2.7E-2</v>
      </c>
      <c r="S115">
        <v>4.2999999999999997E-2</v>
      </c>
      <c r="T115">
        <v>0.62</v>
      </c>
      <c r="V115">
        <v>7.4</v>
      </c>
      <c r="W115">
        <v>21.7</v>
      </c>
      <c r="X115">
        <v>7.08</v>
      </c>
      <c r="AA115">
        <v>0.253</v>
      </c>
      <c r="AB115">
        <v>8.1999999999999993</v>
      </c>
      <c r="AC115">
        <v>8.0000000000000002E-3</v>
      </c>
      <c r="AF115">
        <v>8</v>
      </c>
      <c r="AH115">
        <v>394</v>
      </c>
      <c r="AI115">
        <v>294</v>
      </c>
    </row>
    <row r="116" spans="1:38">
      <c r="A116" t="s">
        <v>356</v>
      </c>
      <c r="B116" s="71">
        <v>42712</v>
      </c>
      <c r="C116" s="71">
        <v>42346</v>
      </c>
      <c r="D116">
        <v>1</v>
      </c>
      <c r="F116">
        <v>32.799999999999997</v>
      </c>
      <c r="G116">
        <v>9.1199999999999992</v>
      </c>
      <c r="H116">
        <v>-312</v>
      </c>
      <c r="I116">
        <v>1562</v>
      </c>
      <c r="J116">
        <v>1128</v>
      </c>
      <c r="S116">
        <v>6.3E-2</v>
      </c>
      <c r="T116">
        <v>0.41</v>
      </c>
      <c r="V116">
        <v>4.4000000000000004</v>
      </c>
      <c r="W116">
        <v>19.600000000000001</v>
      </c>
      <c r="X116">
        <v>5.44</v>
      </c>
      <c r="AA116">
        <v>0.24099999999999999</v>
      </c>
      <c r="AB116">
        <v>6</v>
      </c>
      <c r="AF116">
        <v>7.2</v>
      </c>
      <c r="AH116">
        <v>338</v>
      </c>
      <c r="AI116">
        <v>167</v>
      </c>
    </row>
    <row r="117" spans="1:38" ht="56">
      <c r="A117" t="s">
        <v>356</v>
      </c>
      <c r="B117" s="72" t="s">
        <v>264</v>
      </c>
      <c r="C117" s="72">
        <v>42493</v>
      </c>
      <c r="D117">
        <v>148</v>
      </c>
      <c r="F117">
        <v>32.6</v>
      </c>
      <c r="G117">
        <v>8.61</v>
      </c>
      <c r="H117">
        <v>-240</v>
      </c>
      <c r="I117">
        <v>1560</v>
      </c>
      <c r="J117">
        <v>1127</v>
      </c>
      <c r="K117">
        <v>0.6</v>
      </c>
      <c r="L117">
        <v>0.4</v>
      </c>
      <c r="M117">
        <v>0.03</v>
      </c>
      <c r="N117">
        <v>268</v>
      </c>
      <c r="O117">
        <v>0.4</v>
      </c>
      <c r="R117">
        <v>0.04</v>
      </c>
      <c r="S117">
        <v>6.3E-2</v>
      </c>
      <c r="T117">
        <v>0.54</v>
      </c>
      <c r="V117">
        <v>4.2</v>
      </c>
      <c r="W117">
        <v>19.600000000000001</v>
      </c>
      <c r="X117">
        <v>5.87</v>
      </c>
      <c r="AA117">
        <v>0.23400000000000001</v>
      </c>
      <c r="AB117">
        <v>5.8</v>
      </c>
      <c r="AF117">
        <v>7</v>
      </c>
      <c r="AH117">
        <v>339</v>
      </c>
      <c r="AI117">
        <v>182</v>
      </c>
    </row>
    <row r="118" spans="1:38" ht="42">
      <c r="A118" t="s">
        <v>356</v>
      </c>
      <c r="B118" s="69" t="s">
        <v>265</v>
      </c>
      <c r="C118" s="72">
        <v>42493</v>
      </c>
      <c r="D118">
        <v>149</v>
      </c>
      <c r="F118">
        <v>32</v>
      </c>
      <c r="G118">
        <v>8.69</v>
      </c>
      <c r="H118">
        <v>-173</v>
      </c>
      <c r="I118">
        <v>1559</v>
      </c>
      <c r="J118">
        <v>1120</v>
      </c>
      <c r="K118">
        <v>0.7</v>
      </c>
      <c r="L118">
        <v>0.43</v>
      </c>
      <c r="M118">
        <v>0</v>
      </c>
      <c r="N118">
        <v>196</v>
      </c>
      <c r="O118">
        <v>6.3</v>
      </c>
      <c r="R118">
        <v>0.05</v>
      </c>
      <c r="S118">
        <v>6.3E-2</v>
      </c>
      <c r="T118">
        <v>0.53</v>
      </c>
      <c r="V118">
        <v>4</v>
      </c>
      <c r="W118">
        <v>19.600000000000001</v>
      </c>
      <c r="X118">
        <v>5.76</v>
      </c>
      <c r="AA118">
        <v>0.23200000000000001</v>
      </c>
      <c r="AB118">
        <v>5.4</v>
      </c>
      <c r="AF118">
        <v>6.9</v>
      </c>
      <c r="AH118">
        <v>337</v>
      </c>
      <c r="AI118">
        <v>177</v>
      </c>
    </row>
    <row r="119" spans="1:38" ht="42">
      <c r="A119" t="s">
        <v>356</v>
      </c>
      <c r="B119" s="69" t="s">
        <v>266</v>
      </c>
      <c r="C119" s="72">
        <v>42494</v>
      </c>
      <c r="D119">
        <v>150</v>
      </c>
      <c r="F119">
        <v>32.1</v>
      </c>
      <c r="G119">
        <v>8.69</v>
      </c>
      <c r="H119">
        <v>-208</v>
      </c>
      <c r="I119">
        <v>1540</v>
      </c>
      <c r="J119">
        <v>1107</v>
      </c>
      <c r="K119">
        <v>0.6</v>
      </c>
      <c r="L119">
        <v>0.36</v>
      </c>
      <c r="M119">
        <v>0.13</v>
      </c>
      <c r="N119">
        <v>218</v>
      </c>
      <c r="O119">
        <v>2.2000000000000002</v>
      </c>
      <c r="P119">
        <v>0.216</v>
      </c>
      <c r="R119">
        <v>0.05</v>
      </c>
      <c r="S119">
        <v>6.0999999999999999E-2</v>
      </c>
      <c r="T119">
        <v>0.53</v>
      </c>
      <c r="V119">
        <v>3.9</v>
      </c>
      <c r="W119">
        <v>19.399999999999999</v>
      </c>
      <c r="X119">
        <v>5.97</v>
      </c>
      <c r="AA119">
        <v>0.23300000000000001</v>
      </c>
      <c r="AB119">
        <v>5.3</v>
      </c>
      <c r="AF119">
        <v>6.9</v>
      </c>
      <c r="AH119">
        <v>335</v>
      </c>
      <c r="AI119">
        <v>177</v>
      </c>
    </row>
    <row r="120" spans="1:38">
      <c r="A120" t="s">
        <v>356</v>
      </c>
      <c r="C120" s="71">
        <v>42509</v>
      </c>
      <c r="D120">
        <v>164</v>
      </c>
      <c r="E120">
        <v>1700</v>
      </c>
      <c r="F120">
        <v>31.1</v>
      </c>
      <c r="G120">
        <v>8.61</v>
      </c>
      <c r="H120">
        <v>-133</v>
      </c>
      <c r="I120">
        <v>1534</v>
      </c>
      <c r="J120">
        <v>1107</v>
      </c>
      <c r="K120">
        <v>0.7</v>
      </c>
      <c r="L120">
        <v>0.48</v>
      </c>
      <c r="M120">
        <v>0</v>
      </c>
      <c r="N120">
        <v>354</v>
      </c>
      <c r="O120">
        <v>0</v>
      </c>
      <c r="P120">
        <v>0.22800000000000001</v>
      </c>
      <c r="Q120">
        <v>0.05</v>
      </c>
      <c r="S120">
        <v>6.2E-2</v>
      </c>
      <c r="T120">
        <v>0.52</v>
      </c>
      <c r="U120">
        <v>0.107</v>
      </c>
      <c r="V120">
        <v>4.0999999999999996</v>
      </c>
      <c r="W120">
        <v>19</v>
      </c>
      <c r="X120">
        <v>5.91</v>
      </c>
      <c r="Y120">
        <v>0.18</v>
      </c>
      <c r="AA120">
        <v>0.22800000000000001</v>
      </c>
      <c r="AB120">
        <v>5.3</v>
      </c>
      <c r="AC120">
        <v>7.0000000000000001E-3</v>
      </c>
      <c r="AF120">
        <v>7</v>
      </c>
      <c r="AH120">
        <v>332</v>
      </c>
      <c r="AI120">
        <v>184</v>
      </c>
    </row>
    <row r="121" spans="1:38">
      <c r="A121" t="s">
        <v>356</v>
      </c>
      <c r="C121" s="63">
        <v>42564</v>
      </c>
      <c r="D121">
        <v>219</v>
      </c>
      <c r="E121">
        <v>14200</v>
      </c>
      <c r="F121">
        <v>32.1</v>
      </c>
      <c r="G121">
        <v>8.75</v>
      </c>
      <c r="H121">
        <v>-312</v>
      </c>
      <c r="I121">
        <v>1542</v>
      </c>
      <c r="J121">
        <v>1108</v>
      </c>
      <c r="K121">
        <v>0.8</v>
      </c>
      <c r="L121">
        <v>0.47</v>
      </c>
      <c r="M121">
        <v>0</v>
      </c>
      <c r="N121">
        <v>336</v>
      </c>
      <c r="O121">
        <v>7.0000000000000001E-3</v>
      </c>
      <c r="P121">
        <v>0.218</v>
      </c>
      <c r="S121">
        <v>6.2E-2</v>
      </c>
      <c r="T121">
        <v>0.51</v>
      </c>
      <c r="V121">
        <v>4.0999999999999996</v>
      </c>
      <c r="W121">
        <v>19</v>
      </c>
      <c r="X121">
        <v>5.71</v>
      </c>
      <c r="AA121">
        <v>0.22700000000000001</v>
      </c>
      <c r="AB121">
        <v>5.3</v>
      </c>
      <c r="AE121">
        <v>7.0000000000000007E-2</v>
      </c>
      <c r="AF121">
        <v>7.1</v>
      </c>
      <c r="AH121">
        <v>337</v>
      </c>
      <c r="AI121">
        <v>172</v>
      </c>
    </row>
    <row r="122" spans="1:38">
      <c r="A122" t="s">
        <v>356</v>
      </c>
      <c r="C122" s="63">
        <v>42635</v>
      </c>
      <c r="E122">
        <v>16400</v>
      </c>
      <c r="F122">
        <v>31.5</v>
      </c>
      <c r="G122">
        <v>8.83</v>
      </c>
      <c r="H122">
        <v>-232</v>
      </c>
      <c r="I122">
        <v>1536</v>
      </c>
      <c r="J122">
        <v>1107</v>
      </c>
      <c r="K122">
        <v>0.8</v>
      </c>
      <c r="L122">
        <v>0.5</v>
      </c>
      <c r="M122">
        <v>0.01</v>
      </c>
      <c r="N122">
        <v>397</v>
      </c>
      <c r="O122">
        <v>7.0000000000000007E-2</v>
      </c>
      <c r="P122">
        <v>0.161</v>
      </c>
      <c r="Q122">
        <v>0.05</v>
      </c>
      <c r="S122">
        <v>6.5000000000000002E-2</v>
      </c>
      <c r="T122">
        <v>0.53</v>
      </c>
      <c r="V122">
        <v>4</v>
      </c>
      <c r="W122">
        <v>18.399999999999999</v>
      </c>
      <c r="X122">
        <v>5.6</v>
      </c>
      <c r="Y122">
        <v>0.02</v>
      </c>
      <c r="AA122">
        <v>0.23300000000000001</v>
      </c>
      <c r="AB122">
        <v>5.0999999999999996</v>
      </c>
      <c r="AF122">
        <v>6.9</v>
      </c>
      <c r="AH122">
        <v>352</v>
      </c>
      <c r="AI122">
        <v>167</v>
      </c>
      <c r="AK122">
        <v>-127</v>
      </c>
      <c r="AL122">
        <v>-17.100000000000001</v>
      </c>
    </row>
    <row r="123" spans="1:38">
      <c r="A123" t="s">
        <v>356</v>
      </c>
      <c r="C123" s="63">
        <v>42711</v>
      </c>
      <c r="E123">
        <v>17280</v>
      </c>
      <c r="F123">
        <v>31.4</v>
      </c>
      <c r="G123">
        <v>9.07</v>
      </c>
      <c r="H123">
        <v>-233</v>
      </c>
      <c r="I123">
        <v>1540</v>
      </c>
      <c r="J123">
        <v>1109</v>
      </c>
      <c r="K123">
        <v>0.7</v>
      </c>
      <c r="L123">
        <v>0.46</v>
      </c>
      <c r="M123">
        <v>0</v>
      </c>
      <c r="N123">
        <v>329</v>
      </c>
      <c r="O123">
        <v>5.8000000000000003E-2</v>
      </c>
      <c r="Q123" s="91"/>
      <c r="R123" s="91"/>
      <c r="S123" s="91">
        <v>5.7000000000000002E-2</v>
      </c>
      <c r="T123" s="91">
        <v>0.53</v>
      </c>
      <c r="U123" s="91"/>
      <c r="V123" s="91">
        <v>3.8</v>
      </c>
      <c r="W123" s="91">
        <v>17.899999999999999</v>
      </c>
      <c r="X123" s="91">
        <v>5.25</v>
      </c>
      <c r="Y123" s="91"/>
      <c r="Z123" s="91"/>
      <c r="AA123" s="91">
        <v>0.223</v>
      </c>
      <c r="AB123" s="91">
        <v>5</v>
      </c>
      <c r="AC123" s="91"/>
      <c r="AD123" s="91"/>
      <c r="AE123" s="91"/>
      <c r="AF123" s="91">
        <v>6.9</v>
      </c>
      <c r="AG123" s="91"/>
      <c r="AH123" s="91">
        <v>342</v>
      </c>
      <c r="AI123" s="91">
        <v>156</v>
      </c>
    </row>
    <row r="124" spans="1:38">
      <c r="A124" t="s">
        <v>356</v>
      </c>
      <c r="C124" s="63">
        <v>42780</v>
      </c>
      <c r="E124">
        <v>16100</v>
      </c>
      <c r="F124">
        <v>32</v>
      </c>
      <c r="G124">
        <v>8.3800000000000008</v>
      </c>
      <c r="H124">
        <v>-133</v>
      </c>
      <c r="I124">
        <v>1540</v>
      </c>
      <c r="J124">
        <v>1110</v>
      </c>
      <c r="K124">
        <v>0.8</v>
      </c>
      <c r="L124">
        <v>0.49</v>
      </c>
      <c r="M124">
        <v>0</v>
      </c>
      <c r="N124">
        <v>336</v>
      </c>
      <c r="O124">
        <v>8.0000000000000002E-3</v>
      </c>
      <c r="P124">
        <v>0.123</v>
      </c>
      <c r="Q124" s="90"/>
      <c r="R124" s="90"/>
      <c r="S124" s="90">
        <v>0.06</v>
      </c>
      <c r="T124" s="90">
        <v>0.51</v>
      </c>
      <c r="U124" s="90"/>
      <c r="V124" s="90">
        <v>3.8</v>
      </c>
      <c r="W124" s="90">
        <v>19.5</v>
      </c>
      <c r="X124" s="90">
        <v>5.83</v>
      </c>
      <c r="Y124" s="90">
        <v>0.02</v>
      </c>
      <c r="Z124" s="90"/>
      <c r="AA124" s="90">
        <v>0.23300000000000001</v>
      </c>
      <c r="AB124" s="90">
        <v>5.2</v>
      </c>
      <c r="AC124" s="90"/>
      <c r="AD124" s="90"/>
      <c r="AE124" s="90"/>
      <c r="AF124" s="90">
        <v>7.1</v>
      </c>
      <c r="AG124" s="90"/>
      <c r="AH124" s="90">
        <v>344</v>
      </c>
      <c r="AI124" s="90">
        <v>173</v>
      </c>
    </row>
    <row r="125" spans="1:38">
      <c r="A125" t="s">
        <v>356</v>
      </c>
      <c r="C125" s="63">
        <v>42865</v>
      </c>
      <c r="E125" s="79">
        <f>AVERAGE((1100*12),(1150*12),(1250*12))</f>
        <v>14000</v>
      </c>
      <c r="F125">
        <v>31.1</v>
      </c>
      <c r="G125">
        <v>8.7799999999999994</v>
      </c>
      <c r="H125">
        <v>-223</v>
      </c>
      <c r="I125">
        <v>1539</v>
      </c>
      <c r="J125">
        <v>1107</v>
      </c>
      <c r="K125">
        <v>0.9</v>
      </c>
      <c r="L125">
        <v>0.47</v>
      </c>
      <c r="M125">
        <v>0.01</v>
      </c>
      <c r="N125">
        <v>348</v>
      </c>
      <c r="O125">
        <v>4.1000000000000002E-2</v>
      </c>
      <c r="S125">
        <v>6.8000000000000005E-2</v>
      </c>
      <c r="T125">
        <v>0.52</v>
      </c>
      <c r="U125">
        <v>0.19400000000000001</v>
      </c>
      <c r="V125">
        <v>3.8</v>
      </c>
      <c r="W125">
        <v>19.399999999999999</v>
      </c>
      <c r="X125">
        <v>5.92</v>
      </c>
      <c r="Y125">
        <v>0.02</v>
      </c>
      <c r="AA125">
        <v>0.23100000000000001</v>
      </c>
      <c r="AB125">
        <v>5.0999999999999996</v>
      </c>
      <c r="AF125">
        <v>6.9</v>
      </c>
      <c r="AH125">
        <v>352</v>
      </c>
      <c r="AI125">
        <v>170</v>
      </c>
    </row>
    <row r="126" spans="1:38">
      <c r="A126" t="s">
        <v>357</v>
      </c>
      <c r="C126" s="63">
        <v>42346</v>
      </c>
      <c r="D126">
        <v>1</v>
      </c>
      <c r="F126">
        <v>21</v>
      </c>
      <c r="G126">
        <v>9.3699999999999992</v>
      </c>
      <c r="H126">
        <v>-350</v>
      </c>
      <c r="I126">
        <v>7894</v>
      </c>
      <c r="J126">
        <v>6579</v>
      </c>
      <c r="S126">
        <v>8.9999999999999993E-3</v>
      </c>
      <c r="T126">
        <v>0.48</v>
      </c>
      <c r="V126">
        <v>330</v>
      </c>
      <c r="W126">
        <v>219</v>
      </c>
      <c r="X126">
        <v>2.83</v>
      </c>
      <c r="Y126">
        <v>0.47</v>
      </c>
      <c r="AA126">
        <v>2.38</v>
      </c>
      <c r="AB126">
        <v>99.6</v>
      </c>
      <c r="AC126">
        <v>0.19800000000000001</v>
      </c>
      <c r="AF126">
        <v>1</v>
      </c>
      <c r="AH126">
        <v>1330</v>
      </c>
      <c r="AI126">
        <v>4190</v>
      </c>
    </row>
    <row r="127" spans="1:38">
      <c r="A127" t="s">
        <v>357</v>
      </c>
      <c r="C127" s="63">
        <v>42494</v>
      </c>
      <c r="D127">
        <v>149</v>
      </c>
      <c r="F127">
        <v>21.3</v>
      </c>
      <c r="G127">
        <v>9.3000000000000007</v>
      </c>
      <c r="H127">
        <v>-324</v>
      </c>
      <c r="I127">
        <v>7825</v>
      </c>
      <c r="J127">
        <v>6530</v>
      </c>
      <c r="K127">
        <v>0.3</v>
      </c>
      <c r="L127">
        <v>0.12</v>
      </c>
      <c r="M127">
        <v>0.18</v>
      </c>
      <c r="N127">
        <v>61</v>
      </c>
      <c r="O127">
        <v>1.1000000000000001</v>
      </c>
      <c r="Q127">
        <v>0.17</v>
      </c>
      <c r="R127">
        <v>0.06</v>
      </c>
      <c r="S127">
        <v>2.1000000000000001E-2</v>
      </c>
      <c r="T127">
        <v>0.91</v>
      </c>
      <c r="V127">
        <v>309</v>
      </c>
      <c r="W127">
        <v>181</v>
      </c>
      <c r="X127">
        <v>3.01</v>
      </c>
      <c r="Y127">
        <v>0.34</v>
      </c>
      <c r="AA127">
        <v>2.2799999999999998</v>
      </c>
      <c r="AB127">
        <v>91.2</v>
      </c>
      <c r="AC127">
        <v>0.159</v>
      </c>
      <c r="AD127">
        <v>1.0999999999999999E-2</v>
      </c>
      <c r="AF127">
        <v>0.9</v>
      </c>
      <c r="AH127">
        <v>1590</v>
      </c>
      <c r="AI127">
        <v>3710</v>
      </c>
    </row>
    <row r="128" spans="1:38">
      <c r="A128" t="s">
        <v>357</v>
      </c>
      <c r="C128" s="63">
        <v>42509</v>
      </c>
      <c r="D128">
        <v>164</v>
      </c>
      <c r="F128">
        <v>21.6</v>
      </c>
      <c r="G128">
        <v>8.9700000000000006</v>
      </c>
      <c r="H128">
        <v>-134</v>
      </c>
      <c r="I128">
        <v>7883</v>
      </c>
      <c r="J128">
        <v>6554</v>
      </c>
      <c r="K128">
        <v>0.3</v>
      </c>
      <c r="L128">
        <v>0.13</v>
      </c>
      <c r="M128">
        <v>0.08</v>
      </c>
      <c r="N128">
        <v>86</v>
      </c>
      <c r="O128">
        <v>0.68</v>
      </c>
      <c r="P128">
        <v>0.314</v>
      </c>
      <c r="S128">
        <v>8.9999999999999993E-3</v>
      </c>
      <c r="T128">
        <v>0.9</v>
      </c>
      <c r="V128">
        <v>310</v>
      </c>
      <c r="W128">
        <v>208</v>
      </c>
      <c r="X128">
        <v>2.96</v>
      </c>
      <c r="Y128">
        <v>0.15</v>
      </c>
      <c r="AA128">
        <v>2.23</v>
      </c>
      <c r="AB128">
        <v>89.4</v>
      </c>
      <c r="AC128">
        <v>0.17499999999999999</v>
      </c>
      <c r="AF128">
        <v>1.1000000000000001</v>
      </c>
      <c r="AH128">
        <v>1510</v>
      </c>
      <c r="AI128">
        <v>4290</v>
      </c>
    </row>
    <row r="129" spans="1:38">
      <c r="A129" t="s">
        <v>357</v>
      </c>
      <c r="C129" s="63">
        <v>42564</v>
      </c>
      <c r="D129">
        <v>219</v>
      </c>
      <c r="F129">
        <v>22.1</v>
      </c>
      <c r="G129">
        <v>9.18</v>
      </c>
      <c r="H129">
        <v>-314</v>
      </c>
      <c r="I129">
        <v>7875</v>
      </c>
      <c r="J129">
        <v>6538</v>
      </c>
      <c r="K129">
        <v>0.2</v>
      </c>
      <c r="L129">
        <v>0.13</v>
      </c>
      <c r="M129">
        <v>0.09</v>
      </c>
      <c r="N129">
        <v>98</v>
      </c>
      <c r="O129">
        <v>1.4999999999999999E-2</v>
      </c>
      <c r="P129">
        <v>0.38600000000000001</v>
      </c>
      <c r="Q129">
        <v>0.03</v>
      </c>
      <c r="R129">
        <v>7.0000000000000007E-2</v>
      </c>
      <c r="S129">
        <v>8.0000000000000002E-3</v>
      </c>
      <c r="T129">
        <v>0.87</v>
      </c>
      <c r="V129">
        <v>331</v>
      </c>
      <c r="W129">
        <v>211</v>
      </c>
      <c r="X129">
        <v>3.11</v>
      </c>
      <c r="Y129">
        <v>0.18</v>
      </c>
      <c r="AA129">
        <v>2.3199999999999998</v>
      </c>
      <c r="AB129">
        <v>95.7</v>
      </c>
      <c r="AC129">
        <v>0.17299999999999999</v>
      </c>
      <c r="AF129">
        <v>1</v>
      </c>
      <c r="AH129">
        <v>1580</v>
      </c>
      <c r="AI129">
        <v>4180</v>
      </c>
    </row>
    <row r="130" spans="1:38">
      <c r="A130" t="s">
        <v>357</v>
      </c>
      <c r="C130" s="63">
        <v>42635</v>
      </c>
      <c r="F130">
        <v>21.8</v>
      </c>
      <c r="G130">
        <v>8.14</v>
      </c>
      <c r="H130">
        <v>-250</v>
      </c>
      <c r="I130">
        <v>7987</v>
      </c>
      <c r="J130">
        <v>6636</v>
      </c>
      <c r="K130">
        <v>0.3</v>
      </c>
      <c r="L130">
        <v>0.06</v>
      </c>
      <c r="M130">
        <v>2.0299999999999998</v>
      </c>
      <c r="N130">
        <v>73</v>
      </c>
      <c r="O130">
        <v>7.0000000000000007E-2</v>
      </c>
      <c r="P130">
        <v>0.158</v>
      </c>
      <c r="Q130">
        <v>0.06</v>
      </c>
      <c r="T130">
        <v>0.94</v>
      </c>
      <c r="V130">
        <v>325</v>
      </c>
      <c r="W130">
        <v>217</v>
      </c>
      <c r="Y130">
        <v>3.78</v>
      </c>
      <c r="AA130">
        <v>2.2200000000000002</v>
      </c>
      <c r="AB130">
        <v>98.9</v>
      </c>
      <c r="AC130">
        <v>0.34599999999999997</v>
      </c>
      <c r="AF130">
        <v>6.4</v>
      </c>
      <c r="AH130">
        <v>1600</v>
      </c>
      <c r="AI130">
        <v>4290</v>
      </c>
      <c r="AK130">
        <v>-113</v>
      </c>
      <c r="AL130">
        <v>-15.8</v>
      </c>
    </row>
    <row r="131" spans="1:38">
      <c r="A131" t="s">
        <v>357</v>
      </c>
      <c r="C131" s="63">
        <v>42711</v>
      </c>
      <c r="F131">
        <v>24.6</v>
      </c>
      <c r="G131">
        <v>8.64</v>
      </c>
      <c r="H131">
        <v>-205</v>
      </c>
      <c r="I131">
        <v>7978</v>
      </c>
      <c r="J131">
        <v>6685</v>
      </c>
      <c r="K131">
        <v>0.4</v>
      </c>
      <c r="L131">
        <v>0.08</v>
      </c>
      <c r="M131">
        <v>1.23</v>
      </c>
      <c r="N131">
        <v>55</v>
      </c>
      <c r="O131">
        <v>0.09</v>
      </c>
      <c r="P131">
        <v>0.13600000000000001</v>
      </c>
      <c r="S131">
        <v>7.0000000000000001E-3</v>
      </c>
      <c r="T131">
        <v>0.85</v>
      </c>
      <c r="V131">
        <v>310</v>
      </c>
      <c r="W131">
        <v>233</v>
      </c>
      <c r="X131">
        <v>3.12</v>
      </c>
      <c r="Y131">
        <v>2.3199999999999998</v>
      </c>
      <c r="AA131">
        <v>2.08</v>
      </c>
      <c r="AB131">
        <v>93</v>
      </c>
      <c r="AC131">
        <v>0.33200000000000002</v>
      </c>
      <c r="AF131">
        <v>5.2</v>
      </c>
      <c r="AH131">
        <v>1510</v>
      </c>
      <c r="AI131">
        <v>4370</v>
      </c>
    </row>
    <row r="132" spans="1:38">
      <c r="A132" t="s">
        <v>357</v>
      </c>
      <c r="C132" s="63">
        <v>42780</v>
      </c>
      <c r="F132">
        <v>20.8</v>
      </c>
      <c r="G132">
        <v>8.11</v>
      </c>
      <c r="H132">
        <v>-213</v>
      </c>
      <c r="I132">
        <v>7937</v>
      </c>
      <c r="J132">
        <v>6619</v>
      </c>
      <c r="K132">
        <v>0.3</v>
      </c>
      <c r="L132">
        <v>0.08</v>
      </c>
      <c r="M132">
        <v>1.43</v>
      </c>
      <c r="N132">
        <v>74</v>
      </c>
      <c r="O132">
        <v>0.02</v>
      </c>
      <c r="P132">
        <v>0.13600000000000001</v>
      </c>
      <c r="Q132" s="90"/>
      <c r="R132" s="90"/>
      <c r="S132" s="90">
        <v>5.0000000000000001E-3</v>
      </c>
      <c r="T132" s="90">
        <v>0.92</v>
      </c>
      <c r="U132" s="90"/>
      <c r="V132" s="90">
        <v>327</v>
      </c>
      <c r="W132" s="90">
        <v>216</v>
      </c>
      <c r="X132" s="90">
        <v>3.48</v>
      </c>
      <c r="Y132" s="90">
        <v>2.5</v>
      </c>
      <c r="Z132" s="90"/>
      <c r="AA132" s="90">
        <v>2.23</v>
      </c>
      <c r="AB132" s="90">
        <v>98</v>
      </c>
      <c r="AC132" s="90">
        <v>0.39</v>
      </c>
      <c r="AD132" s="90"/>
      <c r="AE132" s="90"/>
      <c r="AF132" s="90">
        <v>5.3</v>
      </c>
      <c r="AG132" s="90"/>
      <c r="AH132" s="90">
        <v>1600</v>
      </c>
      <c r="AI132" s="90">
        <v>4280</v>
      </c>
    </row>
    <row r="133" spans="1:38">
      <c r="A133" t="s">
        <v>357</v>
      </c>
      <c r="C133" s="63">
        <v>42866</v>
      </c>
      <c r="D133" s="81"/>
      <c r="F133">
        <v>20.2</v>
      </c>
      <c r="G133">
        <v>8.2899999999999991</v>
      </c>
      <c r="H133">
        <v>-257</v>
      </c>
      <c r="I133">
        <v>7952</v>
      </c>
      <c r="J133">
        <v>6621</v>
      </c>
      <c r="K133">
        <v>0.3</v>
      </c>
      <c r="L133">
        <v>0.06</v>
      </c>
      <c r="M133">
        <v>1.74</v>
      </c>
      <c r="N133">
        <v>122</v>
      </c>
      <c r="O133">
        <v>0.312</v>
      </c>
      <c r="S133">
        <v>0.01</v>
      </c>
      <c r="T133">
        <v>0.94</v>
      </c>
      <c r="V133">
        <v>323</v>
      </c>
      <c r="W133">
        <v>225</v>
      </c>
      <c r="X133">
        <v>5.23</v>
      </c>
      <c r="Y133">
        <v>4.47</v>
      </c>
      <c r="AA133">
        <v>2.27</v>
      </c>
      <c r="AB133">
        <v>98.2</v>
      </c>
      <c r="AC133">
        <v>0.35699999999999998</v>
      </c>
      <c r="AF133">
        <v>6.9</v>
      </c>
      <c r="AH133">
        <v>1570</v>
      </c>
      <c r="AI133">
        <v>4260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7"/>
  <sheetViews>
    <sheetView workbookViewId="0">
      <selection activeCell="G22" sqref="G22"/>
    </sheetView>
  </sheetViews>
  <sheetFormatPr baseColWidth="10" defaultColWidth="11.5" defaultRowHeight="13"/>
  <cols>
    <col min="6" max="6" width="9.5" customWidth="1"/>
    <col min="7" max="7" width="11.5" customWidth="1"/>
    <col min="11" max="11" width="11.1640625" customWidth="1"/>
  </cols>
  <sheetData>
    <row r="1" spans="1:14" ht="16">
      <c r="A1" s="127" t="s">
        <v>320</v>
      </c>
      <c r="B1" s="128">
        <v>42491</v>
      </c>
      <c r="C1" s="128">
        <v>42552</v>
      </c>
      <c r="D1" s="128">
        <v>42614</v>
      </c>
      <c r="E1" s="128">
        <v>42705</v>
      </c>
      <c r="F1" s="128">
        <v>42767</v>
      </c>
      <c r="G1" s="129" t="s">
        <v>480</v>
      </c>
      <c r="H1" s="128">
        <v>42964</v>
      </c>
      <c r="I1" s="127" t="s">
        <v>321</v>
      </c>
      <c r="J1" s="127" t="s">
        <v>322</v>
      </c>
      <c r="K1" t="s">
        <v>500</v>
      </c>
      <c r="L1" t="s">
        <v>499</v>
      </c>
      <c r="M1" t="s">
        <v>498</v>
      </c>
      <c r="N1" t="s">
        <v>501</v>
      </c>
    </row>
    <row r="2" spans="1:14" ht="16">
      <c r="A2" s="127" t="s">
        <v>311</v>
      </c>
      <c r="B2" s="130">
        <v>3182</v>
      </c>
      <c r="C2" s="92">
        <v>1754.8513289999999</v>
      </c>
      <c r="D2" s="92"/>
      <c r="E2" s="92">
        <v>1101.5300549999999</v>
      </c>
      <c r="F2" s="92">
        <v>1868.8027139999999</v>
      </c>
      <c r="G2" s="127">
        <v>2233</v>
      </c>
      <c r="H2" s="127">
        <v>1181</v>
      </c>
      <c r="I2" s="130">
        <f t="shared" ref="I2:I7" si="0">AVERAGE(B2:G2)</f>
        <v>2028.0368195999999</v>
      </c>
      <c r="J2" s="130">
        <f t="shared" ref="J2:J7" si="1">STDEV(B2:F2)</f>
        <v>871.68976570396842</v>
      </c>
      <c r="K2" s="79">
        <f>I2*26</f>
        <v>52728.957309599995</v>
      </c>
      <c r="L2">
        <f>K2*0.000000001</f>
        <v>5.27289573096E-5</v>
      </c>
      <c r="M2" s="79">
        <f>100/L2</f>
        <v>1896491.1331898021</v>
      </c>
      <c r="N2">
        <f>0.5/L2</f>
        <v>9482.4556659490099</v>
      </c>
    </row>
    <row r="3" spans="1:14" ht="16">
      <c r="A3" s="127" t="s">
        <v>312</v>
      </c>
      <c r="B3" s="130">
        <v>3159</v>
      </c>
      <c r="C3" s="130">
        <v>8964</v>
      </c>
      <c r="D3" s="130"/>
      <c r="E3" s="130">
        <v>5634.262925</v>
      </c>
      <c r="F3" s="130">
        <v>18084.0847995</v>
      </c>
      <c r="G3" s="127">
        <v>14282</v>
      </c>
      <c r="H3" s="127">
        <v>52133</v>
      </c>
      <c r="I3" s="130">
        <f t="shared" si="0"/>
        <v>10024.6695449</v>
      </c>
      <c r="J3" s="130">
        <f t="shared" si="1"/>
        <v>6530.9791778978606</v>
      </c>
      <c r="K3" s="79">
        <f t="shared" ref="K3:K7" si="2">I3*26</f>
        <v>260641.40816739999</v>
      </c>
      <c r="L3">
        <f t="shared" ref="L3:L7" si="3">K3*0.000000001</f>
        <v>2.6064140816739999E-4</v>
      </c>
      <c r="M3" s="79">
        <f t="shared" ref="M3:M7" si="4">100/L3</f>
        <v>383668.89092225069</v>
      </c>
      <c r="N3">
        <f t="shared" ref="N3:N7" si="5">0.5/L3</f>
        <v>1918.3444546112532</v>
      </c>
    </row>
    <row r="4" spans="1:14" ht="16">
      <c r="A4" s="127" t="s">
        <v>313</v>
      </c>
      <c r="B4" s="130">
        <v>9557</v>
      </c>
      <c r="C4" s="130">
        <v>8916.6958762499999</v>
      </c>
      <c r="D4" s="130">
        <v>81032.09599999999</v>
      </c>
      <c r="E4" s="130">
        <v>3129.8647080000001</v>
      </c>
      <c r="F4" s="92">
        <v>3978.8025262500005</v>
      </c>
      <c r="G4" s="127">
        <v>3229</v>
      </c>
      <c r="H4" s="127">
        <v>2357</v>
      </c>
      <c r="I4" s="130">
        <f t="shared" si="0"/>
        <v>18307.243185083331</v>
      </c>
      <c r="J4" s="130">
        <f t="shared" si="1"/>
        <v>33501.278486242627</v>
      </c>
      <c r="K4" s="79">
        <f t="shared" si="2"/>
        <v>475988.32281216659</v>
      </c>
      <c r="L4">
        <f t="shared" si="3"/>
        <v>4.7598832281216664E-4</v>
      </c>
      <c r="M4" s="79">
        <f t="shared" si="4"/>
        <v>210089.18750189961</v>
      </c>
      <c r="N4">
        <f t="shared" si="5"/>
        <v>1050.445937509498</v>
      </c>
    </row>
    <row r="5" spans="1:14" ht="16">
      <c r="A5" s="127" t="s">
        <v>314</v>
      </c>
      <c r="B5" s="130">
        <v>30767</v>
      </c>
      <c r="C5" s="130">
        <v>10256</v>
      </c>
      <c r="D5" s="130"/>
      <c r="E5" s="130">
        <v>6058.4153029999998</v>
      </c>
      <c r="F5" s="130">
        <v>7660.0653249999996</v>
      </c>
      <c r="G5" s="127">
        <v>20195</v>
      </c>
      <c r="H5" s="127">
        <v>15573</v>
      </c>
      <c r="I5" s="130">
        <f t="shared" si="0"/>
        <v>14987.296125600002</v>
      </c>
      <c r="J5" s="130">
        <f t="shared" si="1"/>
        <v>11518.353418645491</v>
      </c>
      <c r="K5" s="79">
        <f t="shared" si="2"/>
        <v>389669.69926560007</v>
      </c>
      <c r="L5">
        <f t="shared" si="3"/>
        <v>3.8966969926560011E-4</v>
      </c>
      <c r="M5" s="79">
        <f t="shared" si="4"/>
        <v>256627.60073074012</v>
      </c>
      <c r="N5">
        <f t="shared" si="5"/>
        <v>1283.1380036537005</v>
      </c>
    </row>
    <row r="6" spans="1:14" ht="16">
      <c r="A6" s="127" t="s">
        <v>315</v>
      </c>
      <c r="B6" s="130">
        <v>2152</v>
      </c>
      <c r="C6" s="130">
        <v>9116</v>
      </c>
      <c r="D6" s="130"/>
      <c r="E6" s="130">
        <v>5602.6097630000004</v>
      </c>
      <c r="F6" s="130">
        <v>7520.7914099999998</v>
      </c>
      <c r="G6" s="127">
        <v>8458</v>
      </c>
      <c r="H6" s="131">
        <v>6742</v>
      </c>
      <c r="I6" s="130">
        <f t="shared" si="0"/>
        <v>6569.8802345999993</v>
      </c>
      <c r="J6" s="130">
        <f t="shared" si="1"/>
        <v>2997.164593057706</v>
      </c>
      <c r="K6" s="79">
        <f t="shared" si="2"/>
        <v>170816.88609959997</v>
      </c>
      <c r="L6">
        <f t="shared" si="3"/>
        <v>1.7081688609959998E-4</v>
      </c>
      <c r="M6" s="79">
        <f t="shared" si="4"/>
        <v>585422.21605475212</v>
      </c>
      <c r="N6">
        <f t="shared" si="5"/>
        <v>2927.1110802737603</v>
      </c>
    </row>
    <row r="7" spans="1:14" ht="16">
      <c r="A7" s="127" t="s">
        <v>316</v>
      </c>
      <c r="B7" s="130">
        <v>420813</v>
      </c>
      <c r="C7" s="130">
        <v>242463.2248</v>
      </c>
      <c r="D7" s="130">
        <v>152884.77489999999</v>
      </c>
      <c r="E7" s="130">
        <v>403387.90289999999</v>
      </c>
      <c r="F7" s="130">
        <v>73815.174950000001</v>
      </c>
      <c r="G7" s="127">
        <v>14138</v>
      </c>
      <c r="H7" s="127">
        <v>39693</v>
      </c>
      <c r="I7" s="130">
        <f t="shared" si="0"/>
        <v>217917.01292499996</v>
      </c>
      <c r="J7" s="130">
        <f t="shared" si="1"/>
        <v>152363.13824646492</v>
      </c>
      <c r="K7" s="79">
        <f t="shared" si="2"/>
        <v>5665842.3360499991</v>
      </c>
      <c r="L7">
        <f t="shared" si="3"/>
        <v>5.6658423360499994E-3</v>
      </c>
      <c r="M7" s="79">
        <f t="shared" si="4"/>
        <v>17649.626316590384</v>
      </c>
      <c r="N7">
        <f t="shared" si="5"/>
        <v>88.248131582951913</v>
      </c>
    </row>
    <row r="8" spans="1:14" ht="16">
      <c r="A8" s="127" t="s">
        <v>481</v>
      </c>
      <c r="B8" s="127"/>
      <c r="C8" s="127"/>
      <c r="D8" s="127"/>
      <c r="E8" s="127"/>
      <c r="F8" s="127"/>
      <c r="G8" s="127"/>
      <c r="H8" s="127">
        <v>262848</v>
      </c>
      <c r="I8" s="127"/>
    </row>
    <row r="9" spans="1:14" ht="16">
      <c r="A9" s="127"/>
      <c r="B9" s="127"/>
      <c r="C9" s="127"/>
      <c r="D9" s="127"/>
      <c r="E9" s="127"/>
      <c r="F9" s="127"/>
      <c r="G9" s="127"/>
      <c r="H9" s="127"/>
      <c r="I9" s="127"/>
    </row>
    <row r="10" spans="1:14" ht="16">
      <c r="A10" s="127" t="s">
        <v>482</v>
      </c>
      <c r="B10" s="127"/>
      <c r="C10" s="127"/>
      <c r="D10" s="127"/>
      <c r="E10" s="127"/>
      <c r="F10" s="127"/>
      <c r="G10" s="127"/>
      <c r="H10" s="127"/>
      <c r="I10" s="127"/>
    </row>
    <row r="11" spans="1:14" ht="16">
      <c r="A11" s="127" t="s">
        <v>320</v>
      </c>
      <c r="B11" s="132">
        <v>42705</v>
      </c>
      <c r="C11" s="132"/>
      <c r="D11" s="127"/>
      <c r="E11" s="127"/>
      <c r="F11" s="127"/>
      <c r="G11" s="127"/>
      <c r="H11" s="127"/>
      <c r="I11" s="127"/>
    </row>
    <row r="12" spans="1:14" ht="16">
      <c r="A12" s="127" t="s">
        <v>311</v>
      </c>
      <c r="B12" s="127">
        <v>1295</v>
      </c>
      <c r="C12" s="127"/>
      <c r="D12" s="127"/>
      <c r="E12" s="127"/>
      <c r="F12" s="127"/>
      <c r="G12" s="127"/>
      <c r="H12" s="127"/>
      <c r="I12" s="127"/>
    </row>
    <row r="13" spans="1:14" ht="16">
      <c r="A13" s="127" t="s">
        <v>312</v>
      </c>
      <c r="B13" s="127">
        <v>8873</v>
      </c>
      <c r="C13" s="127"/>
      <c r="D13" s="127"/>
      <c r="E13" s="127"/>
      <c r="F13" s="127"/>
      <c r="G13" s="127"/>
      <c r="H13" s="127"/>
      <c r="I13" s="127"/>
    </row>
    <row r="14" spans="1:14" ht="16">
      <c r="A14" s="127" t="s">
        <v>313</v>
      </c>
      <c r="B14" s="127">
        <v>3248</v>
      </c>
      <c r="C14" s="127"/>
      <c r="D14" s="127"/>
      <c r="E14" s="127"/>
      <c r="F14" s="127"/>
      <c r="G14" s="127"/>
      <c r="H14" s="127"/>
      <c r="I14" s="127"/>
    </row>
    <row r="15" spans="1:14" ht="16">
      <c r="A15" s="127" t="s">
        <v>314</v>
      </c>
      <c r="B15" s="127">
        <v>5356</v>
      </c>
      <c r="C15" s="127"/>
      <c r="D15" s="127"/>
      <c r="E15" s="127"/>
      <c r="F15" s="127"/>
      <c r="G15" s="127"/>
      <c r="H15" s="127"/>
      <c r="I15" s="127"/>
    </row>
    <row r="16" spans="1:14" ht="16">
      <c r="A16" s="127" t="s">
        <v>315</v>
      </c>
      <c r="B16" s="127">
        <v>8242</v>
      </c>
      <c r="C16" s="127"/>
      <c r="D16" s="127"/>
      <c r="E16" s="127"/>
      <c r="F16" s="127"/>
      <c r="G16" s="127"/>
      <c r="H16" s="127"/>
      <c r="I16" s="127"/>
    </row>
    <row r="17" spans="1:9" ht="16">
      <c r="A17" s="127" t="s">
        <v>316</v>
      </c>
      <c r="B17" s="127">
        <v>519112</v>
      </c>
      <c r="C17" s="127"/>
      <c r="D17" s="127"/>
      <c r="E17" s="127"/>
      <c r="F17" s="127"/>
      <c r="G17" s="127"/>
      <c r="H17" s="127"/>
      <c r="I17" s="127"/>
    </row>
  </sheetData>
  <conditionalFormatting sqref="I2:I7 B2:F7">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45"/>
  <sheetViews>
    <sheetView workbookViewId="0">
      <selection activeCell="K7" sqref="K7:K41"/>
    </sheetView>
  </sheetViews>
  <sheetFormatPr baseColWidth="10" defaultColWidth="8.83203125" defaultRowHeight="13"/>
  <cols>
    <col min="1" max="1" width="20.5" bestFit="1" customWidth="1"/>
  </cols>
  <sheetData>
    <row r="2" spans="1:11">
      <c r="H2" t="s">
        <v>310</v>
      </c>
    </row>
    <row r="3" spans="1:11">
      <c r="H3" t="s">
        <v>311</v>
      </c>
    </row>
    <row r="4" spans="1:11">
      <c r="A4" s="62" t="s">
        <v>239</v>
      </c>
      <c r="H4">
        <v>800</v>
      </c>
    </row>
    <row r="5" spans="1:11">
      <c r="A5" t="s">
        <v>187</v>
      </c>
      <c r="B5" s="63">
        <v>42345</v>
      </c>
      <c r="C5" s="63">
        <v>42492</v>
      </c>
      <c r="D5" s="63">
        <v>42508</v>
      </c>
      <c r="E5" s="63">
        <v>42562</v>
      </c>
      <c r="F5" s="63">
        <v>42633</v>
      </c>
      <c r="G5" s="63">
        <v>42713</v>
      </c>
      <c r="H5" s="63">
        <v>42781</v>
      </c>
      <c r="I5" s="63">
        <v>42864</v>
      </c>
      <c r="J5" s="63">
        <v>42978</v>
      </c>
      <c r="K5" s="63">
        <v>43069</v>
      </c>
    </row>
    <row r="6" spans="1:11">
      <c r="A6" t="s">
        <v>267</v>
      </c>
      <c r="B6">
        <v>1</v>
      </c>
      <c r="C6">
        <v>148</v>
      </c>
      <c r="D6">
        <v>164</v>
      </c>
      <c r="E6">
        <v>218</v>
      </c>
    </row>
    <row r="7" spans="1:11">
      <c r="A7" t="s">
        <v>282</v>
      </c>
      <c r="E7">
        <v>2933</v>
      </c>
      <c r="F7" s="79">
        <f>AVERAGE(2880, 2880, 2860)</f>
        <v>2873.3333333333335</v>
      </c>
      <c r="G7">
        <v>2800</v>
      </c>
      <c r="H7">
        <v>2787</v>
      </c>
      <c r="I7" s="79">
        <f>AVERAGE(3000,3000,3000)</f>
        <v>3000</v>
      </c>
      <c r="J7" s="79">
        <f>(AVERAGE(700,750,700))*4</f>
        <v>2866.6666666666665</v>
      </c>
      <c r="K7" s="83" t="s">
        <v>507</v>
      </c>
    </row>
    <row r="8" spans="1:11">
      <c r="A8" t="s">
        <v>200</v>
      </c>
      <c r="B8">
        <v>9.9</v>
      </c>
      <c r="C8">
        <v>10.9</v>
      </c>
      <c r="D8">
        <v>9.9</v>
      </c>
      <c r="E8">
        <v>10.199999999999999</v>
      </c>
      <c r="F8">
        <v>10.1</v>
      </c>
      <c r="G8">
        <v>10</v>
      </c>
      <c r="H8">
        <v>10</v>
      </c>
      <c r="I8">
        <v>10.5</v>
      </c>
      <c r="J8">
        <v>10.1</v>
      </c>
      <c r="K8">
        <v>10.3</v>
      </c>
    </row>
    <row r="9" spans="1:11">
      <c r="A9" t="s">
        <v>192</v>
      </c>
      <c r="B9">
        <v>7.65</v>
      </c>
      <c r="C9">
        <v>7.93</v>
      </c>
      <c r="D9">
        <v>8.24</v>
      </c>
      <c r="E9">
        <v>7.62</v>
      </c>
      <c r="F9">
        <v>6.66</v>
      </c>
      <c r="G9">
        <v>7.37</v>
      </c>
      <c r="H9">
        <v>7.52</v>
      </c>
      <c r="I9">
        <v>6.49</v>
      </c>
      <c r="J9">
        <v>7.75</v>
      </c>
      <c r="K9">
        <v>7.35</v>
      </c>
    </row>
    <row r="10" spans="1:11">
      <c r="A10" t="s">
        <v>193</v>
      </c>
      <c r="B10">
        <v>-99</v>
      </c>
      <c r="C10">
        <v>-113</v>
      </c>
      <c r="D10">
        <v>-132</v>
      </c>
      <c r="E10">
        <v>-42</v>
      </c>
      <c r="F10">
        <v>-59</v>
      </c>
      <c r="G10">
        <v>-96</v>
      </c>
      <c r="H10">
        <v>-120</v>
      </c>
      <c r="I10">
        <v>-47</v>
      </c>
      <c r="J10">
        <v>-93</v>
      </c>
      <c r="K10">
        <v>-94</v>
      </c>
    </row>
    <row r="11" spans="1:11">
      <c r="A11" t="s">
        <v>213</v>
      </c>
      <c r="B11">
        <v>943</v>
      </c>
      <c r="C11">
        <v>956.5</v>
      </c>
      <c r="D11">
        <v>952.3</v>
      </c>
      <c r="E11">
        <v>950.2</v>
      </c>
      <c r="F11">
        <v>937</v>
      </c>
      <c r="G11">
        <v>956.1</v>
      </c>
      <c r="H11">
        <v>949.1</v>
      </c>
      <c r="I11">
        <v>1052</v>
      </c>
      <c r="J11">
        <v>972.8</v>
      </c>
      <c r="K11">
        <v>993.4</v>
      </c>
    </row>
    <row r="12" spans="1:11">
      <c r="A12" s="65" t="s">
        <v>289</v>
      </c>
      <c r="B12">
        <v>684.1</v>
      </c>
      <c r="C12">
        <v>684</v>
      </c>
      <c r="D12">
        <v>687</v>
      </c>
      <c r="E12">
        <v>680.4</v>
      </c>
      <c r="F12">
        <v>674.3</v>
      </c>
      <c r="G12">
        <v>688.7</v>
      </c>
      <c r="H12">
        <v>671.4</v>
      </c>
      <c r="I12">
        <v>758.5</v>
      </c>
      <c r="J12">
        <v>700.2</v>
      </c>
      <c r="K12">
        <v>715.4</v>
      </c>
    </row>
    <row r="13" spans="1:11">
      <c r="A13" t="s">
        <v>201</v>
      </c>
      <c r="C13">
        <v>0.5</v>
      </c>
      <c r="D13">
        <v>0.2</v>
      </c>
      <c r="E13">
        <v>0.2</v>
      </c>
      <c r="F13">
        <v>0.3</v>
      </c>
      <c r="G13">
        <v>0.2</v>
      </c>
      <c r="H13">
        <v>0.3</v>
      </c>
      <c r="I13">
        <v>0.1</v>
      </c>
      <c r="J13">
        <v>0.3</v>
      </c>
      <c r="K13">
        <v>0.3</v>
      </c>
    </row>
    <row r="14" spans="1:11">
      <c r="A14" t="s">
        <v>202</v>
      </c>
      <c r="C14">
        <v>0.06</v>
      </c>
      <c r="D14">
        <v>0.08</v>
      </c>
      <c r="E14">
        <v>0.09</v>
      </c>
      <c r="F14">
        <v>0.08</v>
      </c>
      <c r="G14">
        <v>7.0000000000000007E-2</v>
      </c>
      <c r="H14">
        <v>0.06</v>
      </c>
      <c r="I14">
        <v>0.05</v>
      </c>
      <c r="J14">
        <v>0.05</v>
      </c>
      <c r="K14">
        <v>7.0000000000000007E-2</v>
      </c>
    </row>
    <row r="15" spans="1:11">
      <c r="A15" t="s">
        <v>203</v>
      </c>
      <c r="C15">
        <v>2.2799999999999998</v>
      </c>
      <c r="D15">
        <v>2.6</v>
      </c>
      <c r="E15">
        <v>2.12</v>
      </c>
      <c r="F15">
        <v>2.4900000000000002</v>
      </c>
      <c r="G15">
        <v>2.27</v>
      </c>
      <c r="H15">
        <v>2.33</v>
      </c>
      <c r="I15">
        <v>1.6</v>
      </c>
      <c r="J15">
        <v>1.91</v>
      </c>
      <c r="K15">
        <f>2.03*2</f>
        <v>4.0599999999999996</v>
      </c>
    </row>
    <row r="16" spans="1:11">
      <c r="A16" t="s">
        <v>204</v>
      </c>
      <c r="C16">
        <v>8</v>
      </c>
      <c r="D16">
        <v>0</v>
      </c>
      <c r="E16">
        <v>0</v>
      </c>
      <c r="F16">
        <v>0</v>
      </c>
      <c r="G16">
        <v>0</v>
      </c>
      <c r="H16">
        <v>0</v>
      </c>
      <c r="I16">
        <v>2</v>
      </c>
      <c r="J16">
        <v>2</v>
      </c>
      <c r="K16">
        <v>1</v>
      </c>
    </row>
    <row r="17" spans="1:11">
      <c r="A17" t="s">
        <v>205</v>
      </c>
      <c r="C17">
        <v>0.2</v>
      </c>
      <c r="D17">
        <v>5.3999999999999999E-2</v>
      </c>
      <c r="E17">
        <v>0.1</v>
      </c>
      <c r="F17">
        <v>0.11700000000000001</v>
      </c>
      <c r="G17">
        <v>0</v>
      </c>
      <c r="I17">
        <v>1.9E-2</v>
      </c>
      <c r="J17">
        <v>35</v>
      </c>
      <c r="K17">
        <v>2.5000000000000001E-2</v>
      </c>
    </row>
    <row r="18" spans="1:11">
      <c r="A18" t="s">
        <v>271</v>
      </c>
      <c r="D18">
        <v>0.48599999999999999</v>
      </c>
      <c r="E18">
        <v>0.42</v>
      </c>
      <c r="F18">
        <v>0.45</v>
      </c>
      <c r="G18">
        <v>0.4</v>
      </c>
      <c r="H18">
        <v>0.42599999999999999</v>
      </c>
      <c r="J18">
        <v>0.435</v>
      </c>
      <c r="K18">
        <v>0.39</v>
      </c>
    </row>
    <row r="19" spans="1:11">
      <c r="A19" t="s">
        <v>240</v>
      </c>
      <c r="F19">
        <v>0.05</v>
      </c>
      <c r="H19" s="90"/>
    </row>
    <row r="20" spans="1:11">
      <c r="A20" t="s">
        <v>241</v>
      </c>
      <c r="F20">
        <v>0.04</v>
      </c>
      <c r="H20" s="90"/>
    </row>
    <row r="21" spans="1:11">
      <c r="A21" t="s">
        <v>242</v>
      </c>
      <c r="B21">
        <v>4.3999999999999997E-2</v>
      </c>
      <c r="C21">
        <v>4.2999999999999997E-2</v>
      </c>
      <c r="D21">
        <v>4.2000000000000003E-2</v>
      </c>
      <c r="E21">
        <v>4.1000000000000002E-2</v>
      </c>
      <c r="F21">
        <v>4.2000000000000003E-2</v>
      </c>
      <c r="G21">
        <v>3.7999999999999999E-2</v>
      </c>
      <c r="H21" s="90">
        <v>3.7999999999999999E-2</v>
      </c>
      <c r="I21">
        <v>4.2000000000000003E-2</v>
      </c>
      <c r="J21">
        <v>4.2000000000000003E-2</v>
      </c>
      <c r="K21">
        <v>3.9E-2</v>
      </c>
    </row>
    <row r="22" spans="1:11">
      <c r="A22" t="s">
        <v>263</v>
      </c>
      <c r="B22">
        <v>0.2</v>
      </c>
      <c r="C22">
        <v>0.2</v>
      </c>
      <c r="D22">
        <v>0.19</v>
      </c>
      <c r="E22">
        <v>0.19</v>
      </c>
      <c r="F22">
        <v>0.2</v>
      </c>
      <c r="G22">
        <v>0.18</v>
      </c>
      <c r="H22" s="90">
        <v>0.18</v>
      </c>
      <c r="I22">
        <v>0.26</v>
      </c>
      <c r="J22" s="65">
        <v>0.24</v>
      </c>
      <c r="K22" s="65">
        <v>0.26</v>
      </c>
    </row>
    <row r="23" spans="1:11">
      <c r="A23" t="s">
        <v>243</v>
      </c>
      <c r="H23" s="90"/>
      <c r="J23" s="65"/>
    </row>
    <row r="24" spans="1:11">
      <c r="A24" t="s">
        <v>244</v>
      </c>
      <c r="H24" s="90"/>
      <c r="J24" s="65"/>
    </row>
    <row r="25" spans="1:11">
      <c r="A25" t="s">
        <v>245</v>
      </c>
      <c r="B25">
        <v>121</v>
      </c>
      <c r="C25">
        <v>118</v>
      </c>
      <c r="D25">
        <v>115</v>
      </c>
      <c r="E25">
        <v>123</v>
      </c>
      <c r="F25">
        <v>117</v>
      </c>
      <c r="G25">
        <v>110</v>
      </c>
      <c r="H25" s="90">
        <v>118</v>
      </c>
      <c r="I25">
        <v>134</v>
      </c>
      <c r="J25" s="65">
        <v>120</v>
      </c>
      <c r="K25" s="65">
        <v>127</v>
      </c>
    </row>
    <row r="26" spans="1:11">
      <c r="A26" t="s">
        <v>246</v>
      </c>
      <c r="B26">
        <v>10.9</v>
      </c>
      <c r="C26">
        <v>11.6</v>
      </c>
      <c r="D26">
        <v>11.4</v>
      </c>
      <c r="E26">
        <v>10.9</v>
      </c>
      <c r="F26">
        <v>10.6</v>
      </c>
      <c r="G26">
        <v>11.3</v>
      </c>
      <c r="H26" s="90">
        <v>11.2</v>
      </c>
      <c r="I26">
        <v>12.8</v>
      </c>
      <c r="J26" s="65">
        <v>12.5</v>
      </c>
      <c r="K26" s="65">
        <v>10.3</v>
      </c>
    </row>
    <row r="27" spans="1:11">
      <c r="A27" t="s">
        <v>247</v>
      </c>
      <c r="H27" s="90"/>
    </row>
    <row r="28" spans="1:11">
      <c r="A28" t="s">
        <v>248</v>
      </c>
      <c r="H28" s="90"/>
    </row>
    <row r="29" spans="1:11">
      <c r="A29" t="s">
        <v>251</v>
      </c>
      <c r="C29">
        <v>0.5</v>
      </c>
      <c r="D29">
        <v>0.27</v>
      </c>
      <c r="E29">
        <v>0.47</v>
      </c>
      <c r="F29">
        <v>0.32</v>
      </c>
      <c r="G29">
        <v>0.4</v>
      </c>
      <c r="H29" s="90">
        <v>0.44</v>
      </c>
      <c r="I29">
        <v>0.74</v>
      </c>
      <c r="J29">
        <v>0.5</v>
      </c>
      <c r="K29">
        <v>0.28999999999999998</v>
      </c>
    </row>
    <row r="30" spans="1:11">
      <c r="A30" t="s">
        <v>249</v>
      </c>
      <c r="B30">
        <v>6.21</v>
      </c>
      <c r="C30">
        <v>5.13</v>
      </c>
      <c r="D30">
        <v>4.92</v>
      </c>
      <c r="E30">
        <v>5.0199999999999996</v>
      </c>
      <c r="F30">
        <v>4.67</v>
      </c>
      <c r="G30">
        <v>4.6100000000000003</v>
      </c>
      <c r="H30" s="90">
        <v>4.92</v>
      </c>
      <c r="I30">
        <v>7</v>
      </c>
      <c r="J30">
        <v>4.92</v>
      </c>
      <c r="K30">
        <v>5.42</v>
      </c>
    </row>
    <row r="31" spans="1:11">
      <c r="A31" t="s">
        <v>250</v>
      </c>
      <c r="H31" s="90"/>
    </row>
    <row r="32" spans="1:11">
      <c r="A32" t="s">
        <v>252</v>
      </c>
      <c r="B32">
        <v>4.8000000000000001E-2</v>
      </c>
      <c r="C32">
        <v>4.4999999999999998E-2</v>
      </c>
      <c r="D32">
        <v>0.04</v>
      </c>
      <c r="E32">
        <v>3.7999999999999999E-2</v>
      </c>
      <c r="F32">
        <v>4.2999999999999997E-2</v>
      </c>
      <c r="G32">
        <v>3.5999999999999997E-2</v>
      </c>
      <c r="H32" s="90">
        <v>4.4999999999999998E-2</v>
      </c>
      <c r="I32">
        <v>4.8000000000000001E-2</v>
      </c>
      <c r="J32">
        <v>4.1000000000000002E-2</v>
      </c>
      <c r="K32">
        <v>4.4999999999999998E-2</v>
      </c>
    </row>
    <row r="33" spans="1:13">
      <c r="A33" t="s">
        <v>253</v>
      </c>
      <c r="B33">
        <v>37.700000000000003</v>
      </c>
      <c r="C33">
        <v>36.700000000000003</v>
      </c>
      <c r="D33">
        <v>35.9</v>
      </c>
      <c r="E33">
        <v>37.799999999999997</v>
      </c>
      <c r="F33">
        <v>37.200000000000003</v>
      </c>
      <c r="G33">
        <v>34.700000000000003</v>
      </c>
      <c r="H33" s="90">
        <v>37.799999999999997</v>
      </c>
      <c r="I33">
        <v>40.9</v>
      </c>
      <c r="J33">
        <v>38.700000000000003</v>
      </c>
      <c r="K33">
        <v>39.9</v>
      </c>
    </row>
    <row r="34" spans="1:13">
      <c r="A34" t="s">
        <v>254</v>
      </c>
      <c r="B34">
        <v>0.19700000000000001</v>
      </c>
      <c r="C34">
        <v>0.184</v>
      </c>
      <c r="D34">
        <v>0.17899999999999999</v>
      </c>
      <c r="E34">
        <v>0.17899999999999999</v>
      </c>
      <c r="F34">
        <v>0.183</v>
      </c>
      <c r="G34">
        <v>0.16</v>
      </c>
      <c r="H34" s="90">
        <v>0.17499999999999999</v>
      </c>
      <c r="I34">
        <v>0.23599999999999999</v>
      </c>
      <c r="J34">
        <v>0.218</v>
      </c>
      <c r="K34">
        <v>0.23499999999999999</v>
      </c>
    </row>
    <row r="35" spans="1:13">
      <c r="A35" t="s">
        <v>255</v>
      </c>
      <c r="H35" s="90"/>
    </row>
    <row r="36" spans="1:13">
      <c r="A36" t="s">
        <v>256</v>
      </c>
      <c r="B36">
        <v>1.2E-2</v>
      </c>
      <c r="C36">
        <v>1.4999999999999999E-2</v>
      </c>
      <c r="D36">
        <v>0.01</v>
      </c>
      <c r="E36">
        <v>1.7999999999999999E-2</v>
      </c>
      <c r="H36" s="90">
        <v>1.0999999999999999E-2</v>
      </c>
      <c r="I36">
        <v>1.6E-2</v>
      </c>
    </row>
    <row r="37" spans="1:13">
      <c r="A37" t="s">
        <v>257</v>
      </c>
      <c r="H37" s="90"/>
    </row>
    <row r="38" spans="1:13">
      <c r="A38" t="s">
        <v>258</v>
      </c>
      <c r="B38">
        <v>8.3000000000000007</v>
      </c>
      <c r="C38">
        <v>7.8</v>
      </c>
      <c r="D38">
        <v>7.7</v>
      </c>
      <c r="E38">
        <v>7.9</v>
      </c>
      <c r="F38">
        <v>7.9</v>
      </c>
      <c r="G38">
        <v>7.2</v>
      </c>
      <c r="H38" s="90">
        <v>7.9</v>
      </c>
      <c r="I38">
        <v>7.8</v>
      </c>
      <c r="J38">
        <v>8</v>
      </c>
      <c r="K38">
        <v>8</v>
      </c>
    </row>
    <row r="39" spans="1:13">
      <c r="A39" t="s">
        <v>259</v>
      </c>
      <c r="H39" s="90"/>
    </row>
    <row r="40" spans="1:13">
      <c r="A40" t="s">
        <v>260</v>
      </c>
      <c r="B40">
        <v>27.3</v>
      </c>
      <c r="C40">
        <v>26.9</v>
      </c>
      <c r="D40">
        <v>25.3</v>
      </c>
      <c r="E40">
        <v>27.2</v>
      </c>
      <c r="F40">
        <v>27.2</v>
      </c>
      <c r="G40">
        <v>25.2</v>
      </c>
      <c r="H40" s="90">
        <v>28</v>
      </c>
      <c r="I40">
        <v>30.7</v>
      </c>
      <c r="J40">
        <v>28.4</v>
      </c>
      <c r="K40">
        <v>29.9</v>
      </c>
    </row>
    <row r="41" spans="1:13">
      <c r="A41" t="s">
        <v>261</v>
      </c>
      <c r="B41">
        <v>310</v>
      </c>
      <c r="C41">
        <v>355</v>
      </c>
      <c r="D41">
        <v>340</v>
      </c>
      <c r="E41">
        <v>312</v>
      </c>
      <c r="F41">
        <v>302</v>
      </c>
      <c r="G41">
        <v>297</v>
      </c>
      <c r="H41" s="90">
        <v>325</v>
      </c>
      <c r="I41">
        <v>386</v>
      </c>
      <c r="J41">
        <v>323</v>
      </c>
      <c r="K41">
        <v>330</v>
      </c>
    </row>
    <row r="42" spans="1:13">
      <c r="A42" t="s">
        <v>262</v>
      </c>
      <c r="E42">
        <v>0.01</v>
      </c>
      <c r="H42" s="90"/>
      <c r="I42" s="90"/>
      <c r="J42" s="90"/>
      <c r="K42" s="90"/>
      <c r="L42" s="90"/>
      <c r="M42" s="90"/>
    </row>
    <row r="45" spans="1:13">
      <c r="A45" t="s">
        <v>307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2"/>
  <sheetViews>
    <sheetView workbookViewId="0">
      <selection activeCell="J5" sqref="J5:K41"/>
    </sheetView>
  </sheetViews>
  <sheetFormatPr baseColWidth="10" defaultColWidth="8.83203125" defaultRowHeight="13"/>
  <cols>
    <col min="1" max="1" width="20.5" bestFit="1" customWidth="1"/>
  </cols>
  <sheetData>
    <row r="1" spans="1:11">
      <c r="A1" t="s">
        <v>238</v>
      </c>
    </row>
    <row r="2" spans="1:11">
      <c r="H2">
        <v>19223</v>
      </c>
    </row>
    <row r="3" spans="1:11">
      <c r="H3" t="s">
        <v>312</v>
      </c>
    </row>
    <row r="4" spans="1:11">
      <c r="H4">
        <v>800</v>
      </c>
    </row>
    <row r="5" spans="1:11">
      <c r="A5" t="s">
        <v>187</v>
      </c>
      <c r="B5" s="63">
        <v>42345</v>
      </c>
      <c r="C5" s="63">
        <v>42492</v>
      </c>
      <c r="D5" s="63">
        <v>42508</v>
      </c>
      <c r="E5" s="63">
        <v>42562</v>
      </c>
      <c r="F5" s="63">
        <v>42633</v>
      </c>
      <c r="G5" s="63">
        <v>42713</v>
      </c>
      <c r="H5" s="63">
        <v>42781</v>
      </c>
      <c r="I5" s="63">
        <v>42864</v>
      </c>
      <c r="J5" s="63">
        <v>42978</v>
      </c>
      <c r="K5" s="63">
        <v>43069</v>
      </c>
    </row>
    <row r="6" spans="1:11">
      <c r="A6" t="s">
        <v>267</v>
      </c>
      <c r="B6">
        <v>1</v>
      </c>
      <c r="C6">
        <v>148</v>
      </c>
      <c r="D6">
        <v>164</v>
      </c>
      <c r="E6">
        <v>218</v>
      </c>
    </row>
    <row r="7" spans="1:11">
      <c r="A7" t="s">
        <v>281</v>
      </c>
      <c r="D7">
        <v>250</v>
      </c>
      <c r="E7">
        <v>295</v>
      </c>
      <c r="F7">
        <v>320</v>
      </c>
      <c r="G7">
        <v>300</v>
      </c>
      <c r="H7">
        <v>300</v>
      </c>
      <c r="I7" s="79">
        <f>AVERAGE(600,600,600)</f>
        <v>600</v>
      </c>
      <c r="J7" s="79">
        <v>300</v>
      </c>
      <c r="K7" s="79">
        <v>350</v>
      </c>
    </row>
    <row r="8" spans="1:11">
      <c r="A8" t="s">
        <v>200</v>
      </c>
      <c r="B8">
        <v>12.7</v>
      </c>
      <c r="D8">
        <v>12.6</v>
      </c>
      <c r="E8">
        <v>12.5</v>
      </c>
      <c r="F8">
        <v>12.4</v>
      </c>
      <c r="G8">
        <v>12.5</v>
      </c>
      <c r="H8">
        <v>12.5</v>
      </c>
      <c r="I8">
        <v>12.5</v>
      </c>
      <c r="J8">
        <v>12.5</v>
      </c>
      <c r="K8">
        <v>12.4</v>
      </c>
    </row>
    <row r="9" spans="1:11">
      <c r="A9" t="s">
        <v>192</v>
      </c>
      <c r="B9">
        <v>8.26</v>
      </c>
      <c r="D9">
        <v>7.94</v>
      </c>
      <c r="E9">
        <v>8.1199999999999992</v>
      </c>
      <c r="F9">
        <v>7.5</v>
      </c>
      <c r="G9">
        <v>7.72</v>
      </c>
      <c r="H9">
        <v>7.67</v>
      </c>
      <c r="I9">
        <v>7.27</v>
      </c>
      <c r="J9">
        <v>7.84</v>
      </c>
      <c r="K9">
        <v>7.9</v>
      </c>
    </row>
    <row r="10" spans="1:11">
      <c r="A10" t="s">
        <v>193</v>
      </c>
      <c r="B10">
        <v>-192</v>
      </c>
      <c r="D10">
        <v>-101</v>
      </c>
      <c r="E10">
        <v>-150</v>
      </c>
      <c r="F10">
        <v>-98</v>
      </c>
      <c r="G10">
        <v>-93</v>
      </c>
      <c r="H10">
        <v>-97</v>
      </c>
      <c r="I10">
        <v>-93</v>
      </c>
      <c r="J10">
        <v>-151</v>
      </c>
      <c r="K10">
        <v>-152</v>
      </c>
    </row>
    <row r="11" spans="1:11">
      <c r="A11" t="s">
        <v>213</v>
      </c>
      <c r="B11">
        <v>623.6</v>
      </c>
      <c r="D11">
        <v>605.1</v>
      </c>
      <c r="E11">
        <v>618.5</v>
      </c>
      <c r="F11">
        <v>616.9</v>
      </c>
      <c r="G11">
        <v>626.5</v>
      </c>
      <c r="H11">
        <v>630.29999999999995</v>
      </c>
      <c r="I11">
        <v>608.20000000000005</v>
      </c>
      <c r="J11">
        <v>622.20000000000005</v>
      </c>
      <c r="K11">
        <v>622.5</v>
      </c>
    </row>
    <row r="12" spans="1:11">
      <c r="A12" t="s">
        <v>194</v>
      </c>
      <c r="B12">
        <v>440.9</v>
      </c>
      <c r="D12">
        <v>427.5</v>
      </c>
      <c r="E12">
        <v>436.7</v>
      </c>
      <c r="F12">
        <v>435.5</v>
      </c>
      <c r="G12">
        <v>443.5</v>
      </c>
      <c r="H12">
        <v>444.8</v>
      </c>
      <c r="I12">
        <v>429.6</v>
      </c>
      <c r="J12">
        <v>439.4</v>
      </c>
      <c r="K12">
        <v>439.7</v>
      </c>
    </row>
    <row r="13" spans="1:11">
      <c r="A13" t="s">
        <v>201</v>
      </c>
      <c r="C13">
        <v>0.5</v>
      </c>
      <c r="D13">
        <v>0.1</v>
      </c>
      <c r="E13">
        <v>0.2</v>
      </c>
      <c r="F13">
        <v>0</v>
      </c>
      <c r="G13">
        <v>0.1</v>
      </c>
      <c r="H13">
        <v>0.2</v>
      </c>
      <c r="I13">
        <v>0.3</v>
      </c>
      <c r="J13">
        <v>0.4</v>
      </c>
      <c r="K13">
        <v>0.2</v>
      </c>
    </row>
    <row r="14" spans="1:11">
      <c r="A14" t="s">
        <v>202</v>
      </c>
      <c r="C14">
        <v>0</v>
      </c>
      <c r="D14">
        <v>0.02</v>
      </c>
      <c r="E14">
        <v>0.02</v>
      </c>
      <c r="F14">
        <v>0.02</v>
      </c>
      <c r="G14">
        <v>0.03</v>
      </c>
      <c r="H14">
        <v>0.02</v>
      </c>
      <c r="I14">
        <v>0.01</v>
      </c>
      <c r="J14">
        <v>0.03</v>
      </c>
      <c r="K14">
        <v>0.02</v>
      </c>
    </row>
    <row r="15" spans="1:11">
      <c r="A15" t="s">
        <v>203</v>
      </c>
      <c r="C15">
        <v>0.28000000000000003</v>
      </c>
      <c r="D15">
        <v>0.28999999999999998</v>
      </c>
      <c r="E15">
        <v>0.31</v>
      </c>
      <c r="F15">
        <v>0.25</v>
      </c>
      <c r="G15">
        <v>0.31</v>
      </c>
      <c r="H15">
        <v>0.32</v>
      </c>
      <c r="I15">
        <v>0.3</v>
      </c>
      <c r="J15">
        <v>0.3</v>
      </c>
      <c r="K15">
        <v>0.28999999999999998</v>
      </c>
    </row>
    <row r="16" spans="1:11">
      <c r="A16" t="s">
        <v>204</v>
      </c>
      <c r="C16">
        <v>62</v>
      </c>
      <c r="D16">
        <v>7</v>
      </c>
      <c r="E16">
        <v>16</v>
      </c>
      <c r="F16">
        <v>32</v>
      </c>
      <c r="G16">
        <v>29</v>
      </c>
      <c r="H16">
        <v>16</v>
      </c>
      <c r="I16">
        <v>12</v>
      </c>
      <c r="J16">
        <v>21</v>
      </c>
      <c r="K16">
        <v>21</v>
      </c>
    </row>
    <row r="17" spans="1:11">
      <c r="A17" t="s">
        <v>205</v>
      </c>
      <c r="C17">
        <v>12</v>
      </c>
      <c r="D17">
        <v>0.30399999999999999</v>
      </c>
      <c r="E17">
        <v>0.215</v>
      </c>
      <c r="F17">
        <v>0.27600000000000002</v>
      </c>
      <c r="G17">
        <v>0.54</v>
      </c>
      <c r="H17">
        <v>0.56100000000000005</v>
      </c>
      <c r="I17">
        <v>0.47499999999999998</v>
      </c>
      <c r="J17" s="65" t="s">
        <v>508</v>
      </c>
      <c r="K17" s="65">
        <v>0.63</v>
      </c>
    </row>
    <row r="18" spans="1:11">
      <c r="A18" t="s">
        <v>271</v>
      </c>
      <c r="C18">
        <v>0.47499999999999998</v>
      </c>
      <c r="D18">
        <v>0.52100000000000002</v>
      </c>
      <c r="E18">
        <v>0.42199999999999999</v>
      </c>
      <c r="F18">
        <v>0.41199999999999998</v>
      </c>
      <c r="G18">
        <v>0.38700000000000001</v>
      </c>
      <c r="H18">
        <v>0.41699999999999998</v>
      </c>
      <c r="J18" s="65">
        <v>0.42099999999999999</v>
      </c>
      <c r="K18" s="65">
        <v>0.35499999999999998</v>
      </c>
    </row>
    <row r="19" spans="1:11">
      <c r="A19" t="s">
        <v>240</v>
      </c>
      <c r="F19">
        <v>0.04</v>
      </c>
      <c r="G19" s="91"/>
      <c r="H19" s="90"/>
    </row>
    <row r="20" spans="1:11">
      <c r="A20" t="s">
        <v>241</v>
      </c>
      <c r="B20">
        <v>0.06</v>
      </c>
      <c r="C20">
        <v>0.05</v>
      </c>
      <c r="D20">
        <v>0.04</v>
      </c>
      <c r="F20">
        <v>0.04</v>
      </c>
      <c r="G20" s="91">
        <v>0.05</v>
      </c>
      <c r="H20" s="90">
        <v>0.05</v>
      </c>
      <c r="K20">
        <v>0.05</v>
      </c>
    </row>
    <row r="21" spans="1:11">
      <c r="A21" t="s">
        <v>242</v>
      </c>
      <c r="B21">
        <v>0.13300000000000001</v>
      </c>
      <c r="C21">
        <v>0.13600000000000001</v>
      </c>
      <c r="D21">
        <v>0.13300000000000001</v>
      </c>
      <c r="E21">
        <v>0.13100000000000001</v>
      </c>
      <c r="F21">
        <v>0.13100000000000001</v>
      </c>
      <c r="G21" s="91">
        <v>0.12</v>
      </c>
      <c r="H21" s="90">
        <v>0.125</v>
      </c>
      <c r="I21">
        <v>0.13600000000000001</v>
      </c>
      <c r="J21">
        <v>0.13300000000000001</v>
      </c>
      <c r="K21">
        <v>0.13100000000000001</v>
      </c>
    </row>
    <row r="22" spans="1:11">
      <c r="A22" t="s">
        <v>263</v>
      </c>
      <c r="B22">
        <v>7.0000000000000007E-2</v>
      </c>
      <c r="C22">
        <v>7.0000000000000007E-2</v>
      </c>
      <c r="D22">
        <v>0.06</v>
      </c>
      <c r="E22">
        <v>0.06</v>
      </c>
      <c r="F22">
        <v>7.0000000000000007E-2</v>
      </c>
      <c r="G22" s="91">
        <v>7.0000000000000007E-2</v>
      </c>
      <c r="H22" s="90">
        <v>0.06</v>
      </c>
      <c r="I22">
        <v>7.0000000000000007E-2</v>
      </c>
      <c r="J22">
        <v>0.08</v>
      </c>
      <c r="K22">
        <v>0.08</v>
      </c>
    </row>
    <row r="23" spans="1:11">
      <c r="A23" t="s">
        <v>243</v>
      </c>
      <c r="G23" s="91"/>
      <c r="H23" s="90"/>
    </row>
    <row r="24" spans="1:11">
      <c r="A24" t="s">
        <v>244</v>
      </c>
      <c r="G24" s="91"/>
      <c r="H24" s="90"/>
    </row>
    <row r="25" spans="1:11">
      <c r="A25" t="s">
        <v>245</v>
      </c>
      <c r="B25">
        <v>46.5</v>
      </c>
      <c r="C25">
        <v>44.1</v>
      </c>
      <c r="D25">
        <v>43.8</v>
      </c>
      <c r="E25">
        <v>48.2</v>
      </c>
      <c r="F25">
        <v>46</v>
      </c>
      <c r="G25" s="91">
        <v>43.7</v>
      </c>
      <c r="H25" s="90">
        <v>47.1</v>
      </c>
      <c r="I25">
        <v>45.8</v>
      </c>
      <c r="J25">
        <v>46.6</v>
      </c>
      <c r="K25">
        <v>47.6</v>
      </c>
    </row>
    <row r="26" spans="1:11">
      <c r="A26" t="s">
        <v>246</v>
      </c>
      <c r="B26">
        <v>16.399999999999999</v>
      </c>
      <c r="C26">
        <v>16.100000000000001</v>
      </c>
      <c r="D26">
        <v>16</v>
      </c>
      <c r="E26">
        <v>16.100000000000001</v>
      </c>
      <c r="F26">
        <v>16</v>
      </c>
      <c r="G26" s="91">
        <v>16.100000000000001</v>
      </c>
      <c r="H26" s="90">
        <v>17</v>
      </c>
      <c r="I26">
        <v>16.7</v>
      </c>
      <c r="J26">
        <v>17.3</v>
      </c>
      <c r="K26">
        <v>16.7</v>
      </c>
    </row>
    <row r="27" spans="1:11">
      <c r="A27" t="s">
        <v>247</v>
      </c>
      <c r="G27" s="91"/>
      <c r="H27" s="90"/>
    </row>
    <row r="28" spans="1:11">
      <c r="A28" t="s">
        <v>248</v>
      </c>
      <c r="G28" s="91"/>
      <c r="H28" s="90"/>
    </row>
    <row r="29" spans="1:11">
      <c r="A29" t="s">
        <v>251</v>
      </c>
      <c r="B29">
        <v>0.79</v>
      </c>
      <c r="C29">
        <v>0.77</v>
      </c>
      <c r="D29">
        <v>0.77</v>
      </c>
      <c r="E29">
        <v>0.81</v>
      </c>
      <c r="F29">
        <v>0.82</v>
      </c>
      <c r="G29" s="91">
        <v>0.8</v>
      </c>
      <c r="H29" s="90">
        <v>0.84</v>
      </c>
      <c r="I29">
        <v>0.86</v>
      </c>
      <c r="J29">
        <v>0.89</v>
      </c>
      <c r="K29">
        <v>0.77</v>
      </c>
    </row>
    <row r="30" spans="1:11">
      <c r="A30" t="s">
        <v>249</v>
      </c>
      <c r="B30">
        <v>0.42</v>
      </c>
      <c r="C30">
        <v>0.3</v>
      </c>
      <c r="D30">
        <v>0.32</v>
      </c>
      <c r="E30">
        <v>0.4</v>
      </c>
      <c r="F30">
        <v>0.36</v>
      </c>
      <c r="G30" s="91">
        <v>0.26</v>
      </c>
      <c r="H30" s="90">
        <v>0.35</v>
      </c>
      <c r="I30">
        <v>0.34</v>
      </c>
      <c r="J30">
        <v>0.34</v>
      </c>
      <c r="K30">
        <v>0.31</v>
      </c>
    </row>
    <row r="31" spans="1:11">
      <c r="A31" t="s">
        <v>250</v>
      </c>
      <c r="G31" s="91"/>
      <c r="H31" s="90"/>
    </row>
    <row r="32" spans="1:11">
      <c r="A32" t="s">
        <v>252</v>
      </c>
      <c r="B32">
        <v>0.04</v>
      </c>
      <c r="C32">
        <v>3.7999999999999999E-2</v>
      </c>
      <c r="D32">
        <v>3.4000000000000002E-2</v>
      </c>
      <c r="E32">
        <v>3.3000000000000002E-2</v>
      </c>
      <c r="F32">
        <v>3.9E-2</v>
      </c>
      <c r="G32" s="91">
        <v>3.1E-2</v>
      </c>
      <c r="H32" s="90">
        <v>3.9E-2</v>
      </c>
      <c r="I32">
        <v>3.6999999999999998E-2</v>
      </c>
      <c r="J32">
        <v>3.3000000000000002E-2</v>
      </c>
      <c r="K32">
        <v>3.5999999999999997E-2</v>
      </c>
    </row>
    <row r="33" spans="1:11">
      <c r="A33" t="s">
        <v>253</v>
      </c>
      <c r="B33">
        <v>29.3</v>
      </c>
      <c r="C33">
        <v>28</v>
      </c>
      <c r="D33">
        <v>27.6</v>
      </c>
      <c r="E33">
        <v>29.9</v>
      </c>
      <c r="F33">
        <v>28.9</v>
      </c>
      <c r="G33" s="91">
        <v>27.2</v>
      </c>
      <c r="H33" s="90">
        <v>29.9</v>
      </c>
      <c r="I33">
        <v>29.3</v>
      </c>
      <c r="J33">
        <v>30.2</v>
      </c>
      <c r="K33">
        <v>30.2</v>
      </c>
    </row>
    <row r="34" spans="1:11">
      <c r="A34" t="s">
        <v>254</v>
      </c>
      <c r="B34">
        <v>4.8000000000000001E-2</v>
      </c>
      <c r="C34">
        <v>4.4999999999999998E-2</v>
      </c>
      <c r="D34">
        <v>4.2000000000000003E-2</v>
      </c>
      <c r="E34">
        <v>4.3999999999999997E-2</v>
      </c>
      <c r="F34">
        <v>5.1999999999999998E-2</v>
      </c>
      <c r="G34" s="91">
        <v>4.2999999999999997E-2</v>
      </c>
      <c r="H34" s="90">
        <v>5.1999999999999998E-2</v>
      </c>
      <c r="I34">
        <v>4.9000000000000002E-2</v>
      </c>
      <c r="J34">
        <v>5.0999999999999997E-2</v>
      </c>
      <c r="K34">
        <v>4.5999999999999999E-2</v>
      </c>
    </row>
    <row r="35" spans="1:11">
      <c r="A35" t="s">
        <v>255</v>
      </c>
      <c r="G35" s="91"/>
      <c r="H35" s="90"/>
    </row>
    <row r="36" spans="1:11">
      <c r="A36" t="s">
        <v>256</v>
      </c>
      <c r="G36" s="91"/>
      <c r="H36" s="90"/>
    </row>
    <row r="37" spans="1:11">
      <c r="A37" t="s">
        <v>257</v>
      </c>
      <c r="G37" s="91"/>
      <c r="H37" s="90"/>
    </row>
    <row r="38" spans="1:11">
      <c r="A38" t="s">
        <v>258</v>
      </c>
      <c r="B38">
        <v>5.0999999999999996</v>
      </c>
      <c r="C38">
        <v>4.8</v>
      </c>
      <c r="D38">
        <v>4.8</v>
      </c>
      <c r="E38">
        <v>4.9000000000000004</v>
      </c>
      <c r="F38">
        <v>4.9000000000000004</v>
      </c>
      <c r="G38" s="91">
        <v>4.5999999999999996</v>
      </c>
      <c r="H38" s="90">
        <v>5</v>
      </c>
      <c r="I38">
        <v>4.9000000000000004</v>
      </c>
      <c r="J38">
        <v>5</v>
      </c>
      <c r="K38">
        <v>5</v>
      </c>
    </row>
    <row r="39" spans="1:11">
      <c r="A39" t="s">
        <v>259</v>
      </c>
      <c r="G39" s="91"/>
      <c r="H39" s="90"/>
    </row>
    <row r="40" spans="1:11">
      <c r="A40" t="s">
        <v>260</v>
      </c>
      <c r="B40">
        <v>39</v>
      </c>
      <c r="C40">
        <v>36.9</v>
      </c>
      <c r="D40">
        <v>36</v>
      </c>
      <c r="E40">
        <v>39.799999999999997</v>
      </c>
      <c r="F40">
        <v>38.9</v>
      </c>
      <c r="G40" s="91">
        <v>37.200000000000003</v>
      </c>
      <c r="H40" s="90">
        <v>40.1</v>
      </c>
      <c r="I40">
        <v>38.700000000000003</v>
      </c>
      <c r="J40">
        <v>39</v>
      </c>
      <c r="K40">
        <v>38.6</v>
      </c>
    </row>
    <row r="41" spans="1:11">
      <c r="A41" t="s">
        <v>261</v>
      </c>
      <c r="B41">
        <v>87.4</v>
      </c>
      <c r="C41">
        <v>79.599999999999994</v>
      </c>
      <c r="D41">
        <v>80.900000000000006</v>
      </c>
      <c r="E41">
        <v>84.5</v>
      </c>
      <c r="F41">
        <v>82.3</v>
      </c>
      <c r="G41" s="91">
        <v>80.3</v>
      </c>
      <c r="H41" s="90">
        <v>91.2</v>
      </c>
      <c r="I41">
        <v>83.8</v>
      </c>
      <c r="J41">
        <v>85.5</v>
      </c>
      <c r="K41">
        <v>81.5</v>
      </c>
    </row>
    <row r="42" spans="1:11">
      <c r="A42" t="s">
        <v>262</v>
      </c>
      <c r="H42" s="9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2"/>
  <sheetViews>
    <sheetView workbookViewId="0">
      <selection activeCell="K5" sqref="K5:L41"/>
    </sheetView>
  </sheetViews>
  <sheetFormatPr baseColWidth="10" defaultColWidth="8.83203125" defaultRowHeight="13"/>
  <cols>
    <col min="1" max="1" width="20.5" bestFit="1" customWidth="1"/>
    <col min="3" max="3" width="19" bestFit="1" customWidth="1"/>
    <col min="4" max="4" width="19" customWidth="1"/>
    <col min="5" max="5" width="14.5" customWidth="1"/>
  </cols>
  <sheetData>
    <row r="1" spans="1:12">
      <c r="A1" t="s">
        <v>234</v>
      </c>
    </row>
    <row r="2" spans="1:12">
      <c r="I2">
        <v>24790</v>
      </c>
    </row>
    <row r="3" spans="1:12">
      <c r="I3" t="s">
        <v>313</v>
      </c>
    </row>
    <row r="4" spans="1:12">
      <c r="I4">
        <v>2000</v>
      </c>
    </row>
    <row r="5" spans="1:12" ht="40.5" customHeight="1">
      <c r="A5" t="s">
        <v>187</v>
      </c>
      <c r="B5" s="63">
        <v>42347</v>
      </c>
      <c r="C5" t="s">
        <v>235</v>
      </c>
      <c r="D5" t="s">
        <v>236</v>
      </c>
      <c r="E5" s="70" t="s">
        <v>237</v>
      </c>
      <c r="F5" s="63">
        <v>42563</v>
      </c>
      <c r="G5" s="63">
        <v>42634</v>
      </c>
      <c r="H5" s="63">
        <v>42712</v>
      </c>
      <c r="I5" s="63">
        <v>42782</v>
      </c>
      <c r="J5" s="63">
        <v>42866</v>
      </c>
      <c r="K5" s="63">
        <v>42977</v>
      </c>
      <c r="L5" s="63">
        <v>43066</v>
      </c>
    </row>
    <row r="6" spans="1:12">
      <c r="A6" t="s">
        <v>267</v>
      </c>
      <c r="B6">
        <v>1</v>
      </c>
      <c r="C6">
        <v>149</v>
      </c>
      <c r="D6">
        <v>150</v>
      </c>
      <c r="E6">
        <v>160</v>
      </c>
      <c r="F6">
        <v>217</v>
      </c>
    </row>
    <row r="7" spans="1:12">
      <c r="A7" t="s">
        <v>281</v>
      </c>
      <c r="E7">
        <v>1400</v>
      </c>
      <c r="F7">
        <v>1250</v>
      </c>
      <c r="G7">
        <v>1346</v>
      </c>
      <c r="H7">
        <v>3500</v>
      </c>
      <c r="I7">
        <v>1400</v>
      </c>
      <c r="J7" s="79">
        <f>AVERAGE(1200,1200,1200)</f>
        <v>1200</v>
      </c>
      <c r="K7" s="79">
        <v>1300</v>
      </c>
      <c r="L7" s="79">
        <v>850</v>
      </c>
    </row>
    <row r="8" spans="1:12">
      <c r="A8" t="s">
        <v>200</v>
      </c>
      <c r="B8">
        <v>16.3</v>
      </c>
      <c r="C8">
        <v>16.3</v>
      </c>
      <c r="D8">
        <v>16.7</v>
      </c>
      <c r="E8">
        <v>16.100000000000001</v>
      </c>
      <c r="F8">
        <v>16.100000000000001</v>
      </c>
      <c r="G8">
        <v>16.100000000000001</v>
      </c>
      <c r="H8">
        <v>16.2</v>
      </c>
      <c r="I8">
        <v>16.3</v>
      </c>
      <c r="J8">
        <v>16.2</v>
      </c>
      <c r="K8">
        <v>16.100000000000001</v>
      </c>
      <c r="L8">
        <v>16.2</v>
      </c>
    </row>
    <row r="9" spans="1:12">
      <c r="A9" t="s">
        <v>192</v>
      </c>
      <c r="B9">
        <v>7.35</v>
      </c>
      <c r="C9">
        <v>7.19</v>
      </c>
      <c r="D9">
        <v>7.27</v>
      </c>
      <c r="E9">
        <v>7.94</v>
      </c>
      <c r="F9">
        <v>7.42</v>
      </c>
      <c r="G9">
        <v>7.03</v>
      </c>
      <c r="H9">
        <v>7.27</v>
      </c>
      <c r="I9">
        <v>7.04</v>
      </c>
      <c r="J9">
        <v>6.89</v>
      </c>
      <c r="K9">
        <v>6.23</v>
      </c>
      <c r="L9">
        <v>6.54</v>
      </c>
    </row>
    <row r="10" spans="1:12">
      <c r="A10" t="s">
        <v>193</v>
      </c>
      <c r="B10">
        <v>-20</v>
      </c>
      <c r="C10">
        <v>-53</v>
      </c>
      <c r="D10">
        <v>-22</v>
      </c>
      <c r="E10">
        <v>14</v>
      </c>
      <c r="F10">
        <v>52</v>
      </c>
      <c r="G10">
        <v>-42</v>
      </c>
      <c r="H10">
        <v>-30</v>
      </c>
      <c r="I10">
        <v>-57</v>
      </c>
      <c r="J10">
        <v>-39</v>
      </c>
      <c r="K10">
        <v>-45</v>
      </c>
      <c r="L10">
        <v>-68</v>
      </c>
    </row>
    <row r="11" spans="1:12">
      <c r="A11" t="s">
        <v>213</v>
      </c>
      <c r="B11">
        <v>3044</v>
      </c>
      <c r="C11">
        <v>3026</v>
      </c>
      <c r="D11">
        <v>3040</v>
      </c>
      <c r="E11">
        <v>3048</v>
      </c>
      <c r="F11">
        <v>3036</v>
      </c>
      <c r="G11">
        <v>2998</v>
      </c>
      <c r="H11">
        <v>3036</v>
      </c>
      <c r="I11">
        <v>3029</v>
      </c>
      <c r="J11">
        <v>3039</v>
      </c>
      <c r="K11">
        <v>3048</v>
      </c>
      <c r="L11">
        <v>3057</v>
      </c>
    </row>
    <row r="12" spans="1:12">
      <c r="A12" t="s">
        <v>194</v>
      </c>
      <c r="B12">
        <v>2321</v>
      </c>
      <c r="C12">
        <v>2309</v>
      </c>
      <c r="D12">
        <v>2323</v>
      </c>
      <c r="E12">
        <v>2302</v>
      </c>
      <c r="F12">
        <v>2310</v>
      </c>
      <c r="G12">
        <v>2281</v>
      </c>
      <c r="H12">
        <v>2313</v>
      </c>
      <c r="I12">
        <v>2305</v>
      </c>
      <c r="J12">
        <v>2313</v>
      </c>
      <c r="K12">
        <v>2323</v>
      </c>
      <c r="L12">
        <v>2330</v>
      </c>
    </row>
    <row r="13" spans="1:12">
      <c r="A13" t="s">
        <v>201</v>
      </c>
      <c r="C13">
        <v>0.5</v>
      </c>
      <c r="D13">
        <v>0.3</v>
      </c>
      <c r="E13">
        <v>0.8</v>
      </c>
      <c r="F13">
        <v>0.2</v>
      </c>
      <c r="G13">
        <v>0.3</v>
      </c>
      <c r="H13">
        <v>0.2</v>
      </c>
      <c r="I13">
        <v>0.1</v>
      </c>
      <c r="J13">
        <v>0.3</v>
      </c>
      <c r="K13">
        <v>0.3</v>
      </c>
      <c r="L13">
        <v>0.3</v>
      </c>
    </row>
    <row r="14" spans="1:12">
      <c r="A14" t="s">
        <v>202</v>
      </c>
      <c r="C14">
        <v>0.27</v>
      </c>
      <c r="D14">
        <v>0.22</v>
      </c>
      <c r="E14">
        <v>0.24</v>
      </c>
      <c r="F14">
        <v>0.21</v>
      </c>
      <c r="G14">
        <v>0.31</v>
      </c>
      <c r="H14">
        <v>0.28000000000000003</v>
      </c>
      <c r="I14">
        <v>0.2</v>
      </c>
      <c r="J14">
        <v>0.21</v>
      </c>
      <c r="K14">
        <v>0.24</v>
      </c>
      <c r="L14">
        <v>0.21</v>
      </c>
    </row>
    <row r="15" spans="1:12">
      <c r="A15" t="s">
        <v>203</v>
      </c>
      <c r="C15">
        <v>2.3199999999999998</v>
      </c>
      <c r="D15">
        <v>2.4500000000000002</v>
      </c>
      <c r="E15">
        <v>1.8</v>
      </c>
      <c r="F15">
        <v>2.83</v>
      </c>
      <c r="G15">
        <v>2.71</v>
      </c>
      <c r="H15">
        <v>2.92</v>
      </c>
      <c r="I15">
        <v>2.58</v>
      </c>
      <c r="J15">
        <v>2.2999999999999998</v>
      </c>
      <c r="K15">
        <v>2.72</v>
      </c>
      <c r="L15">
        <v>2.8</v>
      </c>
    </row>
    <row r="16" spans="1:12">
      <c r="A16" t="s">
        <v>204</v>
      </c>
      <c r="C16">
        <v>14</v>
      </c>
      <c r="D16">
        <v>0</v>
      </c>
      <c r="E16">
        <v>7</v>
      </c>
      <c r="F16">
        <v>0</v>
      </c>
      <c r="G16">
        <v>8</v>
      </c>
      <c r="H16">
        <v>0</v>
      </c>
      <c r="I16">
        <v>14</v>
      </c>
      <c r="J16">
        <v>21</v>
      </c>
      <c r="K16">
        <v>19</v>
      </c>
      <c r="L16">
        <v>16</v>
      </c>
    </row>
    <row r="17" spans="1:12">
      <c r="A17" t="s">
        <v>205</v>
      </c>
      <c r="C17">
        <v>1.6</v>
      </c>
      <c r="D17">
        <v>1.4</v>
      </c>
      <c r="E17">
        <v>3.1</v>
      </c>
      <c r="F17">
        <v>8.5000000000000006E-3</v>
      </c>
      <c r="G17">
        <v>3.4000000000000002E-2</v>
      </c>
      <c r="H17">
        <v>0.14699999999999999</v>
      </c>
      <c r="I17">
        <v>1.6E-2</v>
      </c>
      <c r="J17">
        <v>3.1E-2</v>
      </c>
      <c r="K17">
        <v>2.5999999999999999E-2</v>
      </c>
      <c r="L17">
        <v>4.0000000000000001E-3</v>
      </c>
    </row>
    <row r="18" spans="1:12">
      <c r="A18" t="s">
        <v>271</v>
      </c>
      <c r="C18">
        <v>0.252</v>
      </c>
      <c r="D18">
        <v>0.25900000000000001</v>
      </c>
      <c r="E18">
        <v>0.34399999999999997</v>
      </c>
      <c r="F18">
        <v>0.25700000000000001</v>
      </c>
      <c r="G18">
        <v>0.22600000000000001</v>
      </c>
      <c r="H18">
        <v>0.25900000000000001</v>
      </c>
      <c r="I18">
        <v>0.20499999999999999</v>
      </c>
      <c r="K18">
        <v>0.28799999999999998</v>
      </c>
      <c r="L18">
        <v>0.18099999999999999</v>
      </c>
    </row>
    <row r="19" spans="1:12">
      <c r="A19" t="s">
        <v>240</v>
      </c>
      <c r="C19">
        <v>0.05</v>
      </c>
      <c r="D19">
        <v>0.04</v>
      </c>
      <c r="G19">
        <v>0.06</v>
      </c>
      <c r="I19" s="90">
        <v>0.06</v>
      </c>
      <c r="L19">
        <v>0.05</v>
      </c>
    </row>
    <row r="20" spans="1:12">
      <c r="A20" t="s">
        <v>241</v>
      </c>
      <c r="C20">
        <v>0.05</v>
      </c>
      <c r="I20" s="90"/>
    </row>
    <row r="21" spans="1:12">
      <c r="A21" t="s">
        <v>242</v>
      </c>
      <c r="B21">
        <v>0.03</v>
      </c>
      <c r="C21">
        <v>2.9000000000000001E-2</v>
      </c>
      <c r="D21">
        <v>0.03</v>
      </c>
      <c r="E21">
        <v>2.9000000000000001E-2</v>
      </c>
      <c r="F21">
        <v>3.3000000000000002E-2</v>
      </c>
      <c r="G21">
        <v>2.9000000000000001E-2</v>
      </c>
      <c r="H21">
        <v>2.7E-2</v>
      </c>
      <c r="I21" s="90">
        <v>2.5000000000000001E-2</v>
      </c>
      <c r="J21">
        <v>3.1E-2</v>
      </c>
      <c r="K21">
        <v>0.03</v>
      </c>
      <c r="L21">
        <v>2.7E-2</v>
      </c>
    </row>
    <row r="22" spans="1:12">
      <c r="A22" t="s">
        <v>263</v>
      </c>
      <c r="B22">
        <v>0.15</v>
      </c>
      <c r="C22">
        <v>0.14000000000000001</v>
      </c>
      <c r="D22">
        <v>0.14000000000000001</v>
      </c>
      <c r="E22">
        <v>0.13</v>
      </c>
      <c r="F22">
        <v>0.12</v>
      </c>
      <c r="G22">
        <v>0.13</v>
      </c>
      <c r="H22">
        <v>0.12</v>
      </c>
      <c r="I22" s="90">
        <v>0.12</v>
      </c>
      <c r="J22">
        <v>0.15</v>
      </c>
      <c r="K22">
        <v>0.15</v>
      </c>
      <c r="L22">
        <v>0.14000000000000001</v>
      </c>
    </row>
    <row r="23" spans="1:12">
      <c r="A23" t="s">
        <v>243</v>
      </c>
      <c r="I23" s="90"/>
    </row>
    <row r="24" spans="1:12">
      <c r="A24" t="s">
        <v>244</v>
      </c>
      <c r="I24" s="90"/>
    </row>
    <row r="25" spans="1:12">
      <c r="A25" t="s">
        <v>245</v>
      </c>
      <c r="B25">
        <v>357</v>
      </c>
      <c r="C25">
        <v>342</v>
      </c>
      <c r="D25">
        <v>355</v>
      </c>
      <c r="E25">
        <v>351</v>
      </c>
      <c r="F25">
        <v>374</v>
      </c>
      <c r="G25">
        <v>352</v>
      </c>
      <c r="H25">
        <v>326</v>
      </c>
      <c r="I25" s="90">
        <v>347</v>
      </c>
      <c r="J25">
        <v>345</v>
      </c>
      <c r="K25">
        <v>351</v>
      </c>
      <c r="L25">
        <v>358</v>
      </c>
    </row>
    <row r="26" spans="1:12">
      <c r="A26" t="s">
        <v>246</v>
      </c>
      <c r="B26">
        <v>7.87</v>
      </c>
      <c r="C26">
        <v>7.65</v>
      </c>
      <c r="E26">
        <v>7.73</v>
      </c>
      <c r="F26">
        <v>7.6</v>
      </c>
      <c r="H26">
        <v>12.3</v>
      </c>
      <c r="I26" s="90"/>
    </row>
    <row r="27" spans="1:12">
      <c r="A27" t="s">
        <v>247</v>
      </c>
      <c r="I27" s="90"/>
    </row>
    <row r="28" spans="1:12">
      <c r="A28" t="s">
        <v>248</v>
      </c>
      <c r="I28" s="90"/>
    </row>
    <row r="29" spans="1:12">
      <c r="A29" t="s">
        <v>251</v>
      </c>
      <c r="B29">
        <v>0.45</v>
      </c>
      <c r="C29">
        <v>0.49</v>
      </c>
      <c r="E29">
        <v>0.51</v>
      </c>
      <c r="F29">
        <v>0.51</v>
      </c>
      <c r="I29" s="90"/>
      <c r="J29">
        <v>1.38</v>
      </c>
    </row>
    <row r="30" spans="1:12">
      <c r="A30" t="s">
        <v>249</v>
      </c>
      <c r="B30">
        <v>1.53</v>
      </c>
      <c r="C30">
        <v>2.9</v>
      </c>
      <c r="D30">
        <v>2.92</v>
      </c>
      <c r="E30">
        <v>1.97</v>
      </c>
      <c r="F30">
        <v>3.27</v>
      </c>
      <c r="G30">
        <v>3.18</v>
      </c>
      <c r="H30">
        <v>2.85</v>
      </c>
      <c r="I30" s="90">
        <v>3.1</v>
      </c>
      <c r="J30">
        <v>2.98</v>
      </c>
      <c r="K30">
        <v>2.98</v>
      </c>
      <c r="L30">
        <v>3.08</v>
      </c>
    </row>
    <row r="31" spans="1:12">
      <c r="A31" t="s">
        <v>250</v>
      </c>
      <c r="H31">
        <v>0.03</v>
      </c>
      <c r="I31" s="90"/>
    </row>
    <row r="32" spans="1:12">
      <c r="A32" t="s">
        <v>252</v>
      </c>
      <c r="B32">
        <v>0.13700000000000001</v>
      </c>
      <c r="C32">
        <v>0.121</v>
      </c>
      <c r="D32">
        <v>0.123</v>
      </c>
      <c r="E32">
        <v>0.11700000000000001</v>
      </c>
      <c r="F32">
        <v>0.11899999999999999</v>
      </c>
      <c r="G32">
        <v>0.124</v>
      </c>
      <c r="H32">
        <v>0.112</v>
      </c>
      <c r="I32" s="90">
        <v>0.127</v>
      </c>
      <c r="J32">
        <v>0.125</v>
      </c>
      <c r="K32">
        <v>0.11899999999999999</v>
      </c>
      <c r="L32">
        <v>0.124</v>
      </c>
    </row>
    <row r="33" spans="1:12">
      <c r="A33" t="s">
        <v>253</v>
      </c>
      <c r="B33">
        <v>237</v>
      </c>
      <c r="C33">
        <v>232</v>
      </c>
      <c r="D33">
        <v>238</v>
      </c>
      <c r="E33">
        <v>232</v>
      </c>
      <c r="F33">
        <v>250</v>
      </c>
      <c r="G33">
        <v>236</v>
      </c>
      <c r="H33">
        <v>226</v>
      </c>
      <c r="I33" s="90">
        <v>242</v>
      </c>
      <c r="J33">
        <v>235</v>
      </c>
      <c r="K33">
        <v>243</v>
      </c>
      <c r="L33">
        <v>242</v>
      </c>
    </row>
    <row r="34" spans="1:12">
      <c r="A34" t="s">
        <v>254</v>
      </c>
      <c r="B34">
        <v>0.26900000000000002</v>
      </c>
      <c r="C34">
        <v>0.26300000000000001</v>
      </c>
      <c r="D34">
        <v>0.27</v>
      </c>
      <c r="E34">
        <v>0.27200000000000002</v>
      </c>
      <c r="F34">
        <v>0.26600000000000001</v>
      </c>
      <c r="G34">
        <v>0.28000000000000003</v>
      </c>
      <c r="H34">
        <v>0.251</v>
      </c>
      <c r="I34" s="90">
        <v>0.28000000000000003</v>
      </c>
      <c r="J34">
        <v>0.26900000000000002</v>
      </c>
      <c r="K34">
        <v>0.27500000000000002</v>
      </c>
      <c r="L34">
        <v>0.27800000000000002</v>
      </c>
    </row>
    <row r="35" spans="1:12">
      <c r="A35" t="s">
        <v>255</v>
      </c>
      <c r="I35" s="90"/>
    </row>
    <row r="36" spans="1:12">
      <c r="A36" t="s">
        <v>256</v>
      </c>
      <c r="I36" s="90"/>
    </row>
    <row r="37" spans="1:12">
      <c r="A37" t="s">
        <v>257</v>
      </c>
      <c r="F37">
        <v>0.05</v>
      </c>
      <c r="I37" s="90"/>
    </row>
    <row r="38" spans="1:12">
      <c r="A38" t="s">
        <v>258</v>
      </c>
      <c r="B38">
        <v>6.2</v>
      </c>
      <c r="C38">
        <v>6.1</v>
      </c>
      <c r="D38">
        <v>6.3</v>
      </c>
      <c r="E38">
        <v>6.3</v>
      </c>
      <c r="F38">
        <v>6.6</v>
      </c>
      <c r="G38">
        <v>6.5</v>
      </c>
      <c r="H38">
        <v>5.9</v>
      </c>
      <c r="I38" s="90">
        <v>6.6</v>
      </c>
      <c r="J38">
        <v>6.4</v>
      </c>
      <c r="K38">
        <v>6.6</v>
      </c>
      <c r="L38">
        <v>6.6</v>
      </c>
    </row>
    <row r="39" spans="1:12">
      <c r="A39" t="s">
        <v>259</v>
      </c>
      <c r="I39" s="90"/>
    </row>
    <row r="40" spans="1:12">
      <c r="A40" t="s">
        <v>260</v>
      </c>
      <c r="B40">
        <v>98.1</v>
      </c>
      <c r="C40">
        <v>98.6</v>
      </c>
      <c r="D40">
        <v>101</v>
      </c>
      <c r="E40">
        <v>97.7</v>
      </c>
      <c r="F40">
        <v>108</v>
      </c>
      <c r="G40">
        <v>108</v>
      </c>
      <c r="H40">
        <v>97.1</v>
      </c>
      <c r="I40" s="90">
        <v>111</v>
      </c>
      <c r="J40">
        <v>113</v>
      </c>
      <c r="K40">
        <v>112</v>
      </c>
      <c r="L40">
        <v>114</v>
      </c>
    </row>
    <row r="41" spans="1:12">
      <c r="A41" t="s">
        <v>261</v>
      </c>
      <c r="B41">
        <v>1640</v>
      </c>
      <c r="C41">
        <v>1780</v>
      </c>
      <c r="E41">
        <v>1880</v>
      </c>
      <c r="F41">
        <v>1610</v>
      </c>
      <c r="G41">
        <v>1590</v>
      </c>
      <c r="H41">
        <v>1540</v>
      </c>
      <c r="I41" s="90">
        <v>1610</v>
      </c>
      <c r="J41">
        <v>1610</v>
      </c>
      <c r="K41">
        <v>1630</v>
      </c>
      <c r="L41">
        <v>1660</v>
      </c>
    </row>
    <row r="42" spans="1:12">
      <c r="A42" t="s">
        <v>262</v>
      </c>
      <c r="D42">
        <v>0.01</v>
      </c>
      <c r="F42">
        <v>0.01</v>
      </c>
      <c r="I42" s="9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2"/>
  <sheetViews>
    <sheetView topLeftCell="A2" workbookViewId="0">
      <selection activeCell="M5" sqref="M5:O41"/>
    </sheetView>
  </sheetViews>
  <sheetFormatPr baseColWidth="10" defaultColWidth="8.83203125" defaultRowHeight="13"/>
  <cols>
    <col min="1" max="1" width="20.5" bestFit="1" customWidth="1"/>
    <col min="2" max="2" width="10.1640625" bestFit="1" customWidth="1"/>
    <col min="4" max="4" width="12.6640625" customWidth="1"/>
    <col min="5" max="5" width="11.5" customWidth="1"/>
    <col min="6" max="6" width="13.6640625" customWidth="1"/>
    <col min="7" max="7" width="11.1640625" customWidth="1"/>
    <col min="8" max="8" width="9.1640625" hidden="1" customWidth="1"/>
    <col min="10" max="10" width="9.1640625" bestFit="1" customWidth="1"/>
    <col min="11" max="11" width="8.83203125" customWidth="1"/>
  </cols>
  <sheetData>
    <row r="1" spans="1:15">
      <c r="A1" t="s">
        <v>233</v>
      </c>
    </row>
    <row r="2" spans="1:15">
      <c r="K2">
        <v>24228</v>
      </c>
    </row>
    <row r="3" spans="1:15">
      <c r="K3" t="s">
        <v>314</v>
      </c>
    </row>
    <row r="4" spans="1:15">
      <c r="K4">
        <v>4100</v>
      </c>
    </row>
    <row r="5" spans="1:15" ht="39" customHeight="1">
      <c r="A5" t="s">
        <v>187</v>
      </c>
      <c r="B5" s="70">
        <v>42348</v>
      </c>
      <c r="C5" s="70">
        <v>42494</v>
      </c>
      <c r="D5" s="74" t="s">
        <v>230</v>
      </c>
      <c r="E5" s="74" t="s">
        <v>231</v>
      </c>
      <c r="F5" s="74" t="s">
        <v>283</v>
      </c>
      <c r="G5" s="74" t="s">
        <v>284</v>
      </c>
      <c r="H5" s="74"/>
      <c r="I5" s="70">
        <v>42633</v>
      </c>
      <c r="J5" s="70">
        <v>42710</v>
      </c>
      <c r="K5" s="63">
        <v>42781</v>
      </c>
      <c r="L5" s="63">
        <v>42864</v>
      </c>
      <c r="M5" s="63">
        <v>42978</v>
      </c>
      <c r="N5" s="148" t="s">
        <v>509</v>
      </c>
      <c r="O5" s="63">
        <v>43069</v>
      </c>
    </row>
    <row r="6" spans="1:15">
      <c r="A6" t="s">
        <v>267</v>
      </c>
      <c r="B6">
        <v>1</v>
      </c>
      <c r="C6">
        <v>147</v>
      </c>
      <c r="D6">
        <v>160</v>
      </c>
      <c r="E6">
        <v>161</v>
      </c>
      <c r="F6">
        <v>215</v>
      </c>
      <c r="G6">
        <v>215.5</v>
      </c>
    </row>
    <row r="7" spans="1:15">
      <c r="A7" t="s">
        <v>282</v>
      </c>
      <c r="E7">
        <v>800</v>
      </c>
      <c r="I7">
        <v>900</v>
      </c>
      <c r="J7">
        <v>820</v>
      </c>
      <c r="K7">
        <v>850</v>
      </c>
      <c r="L7" s="79">
        <v>580</v>
      </c>
      <c r="M7" s="79">
        <v>700</v>
      </c>
      <c r="N7">
        <v>350</v>
      </c>
      <c r="O7" s="79">
        <v>275</v>
      </c>
    </row>
    <row r="8" spans="1:15">
      <c r="A8" t="s">
        <v>200</v>
      </c>
      <c r="B8">
        <v>22.9</v>
      </c>
      <c r="C8">
        <v>22.7</v>
      </c>
      <c r="D8">
        <v>22.6</v>
      </c>
      <c r="E8">
        <v>22.6</v>
      </c>
      <c r="F8" s="66">
        <v>22.7</v>
      </c>
      <c r="G8" s="66">
        <v>22.7</v>
      </c>
      <c r="I8">
        <v>22.7</v>
      </c>
      <c r="J8">
        <v>22.6</v>
      </c>
      <c r="K8">
        <v>22.6</v>
      </c>
      <c r="L8">
        <v>22.1</v>
      </c>
      <c r="M8">
        <v>22.5</v>
      </c>
      <c r="N8">
        <v>22.6</v>
      </c>
      <c r="O8">
        <v>21.9</v>
      </c>
    </row>
    <row r="9" spans="1:15">
      <c r="A9" t="s">
        <v>192</v>
      </c>
      <c r="B9">
        <v>8.83</v>
      </c>
      <c r="C9">
        <v>8.6199999999999992</v>
      </c>
      <c r="D9" s="77">
        <v>8.6248868405892516</v>
      </c>
      <c r="E9" s="77">
        <v>8.5672784132993165</v>
      </c>
      <c r="F9" s="66">
        <v>7.82</v>
      </c>
      <c r="G9" s="66">
        <v>8.07</v>
      </c>
      <c r="I9">
        <v>8.4</v>
      </c>
      <c r="J9">
        <v>8.8800000000000008</v>
      </c>
      <c r="K9">
        <v>7.28</v>
      </c>
      <c r="L9">
        <v>8.2200000000000006</v>
      </c>
      <c r="M9">
        <v>8.36</v>
      </c>
      <c r="N9">
        <v>8.3800000000000008</v>
      </c>
      <c r="O9">
        <v>8.34</v>
      </c>
    </row>
    <row r="10" spans="1:15">
      <c r="A10" t="s">
        <v>193</v>
      </c>
      <c r="B10">
        <v>-276</v>
      </c>
      <c r="C10">
        <v>-241</v>
      </c>
      <c r="D10">
        <v>-171</v>
      </c>
      <c r="E10">
        <v>-163</v>
      </c>
      <c r="F10" s="66">
        <v>-169</v>
      </c>
      <c r="G10" s="66">
        <v>-250</v>
      </c>
      <c r="I10">
        <v>-254</v>
      </c>
      <c r="J10">
        <v>-278</v>
      </c>
      <c r="K10">
        <v>-200</v>
      </c>
      <c r="L10">
        <v>-172</v>
      </c>
      <c r="M10">
        <v>-255</v>
      </c>
      <c r="N10">
        <v>-154</v>
      </c>
      <c r="O10">
        <v>-241</v>
      </c>
    </row>
    <row r="11" spans="1:15">
      <c r="A11" t="s">
        <v>213</v>
      </c>
      <c r="B11">
        <v>1758</v>
      </c>
      <c r="C11">
        <v>1763</v>
      </c>
      <c r="D11">
        <v>1765</v>
      </c>
      <c r="E11">
        <v>1770</v>
      </c>
      <c r="F11" s="66">
        <v>1918</v>
      </c>
      <c r="G11" s="66">
        <v>1768</v>
      </c>
      <c r="I11">
        <v>1760</v>
      </c>
      <c r="J11">
        <v>1774</v>
      </c>
      <c r="K11">
        <v>1767</v>
      </c>
      <c r="L11">
        <v>1777</v>
      </c>
      <c r="M11">
        <v>1777</v>
      </c>
      <c r="N11">
        <v>1773</v>
      </c>
      <c r="O11">
        <v>1778</v>
      </c>
    </row>
    <row r="12" spans="1:15">
      <c r="A12" t="s">
        <v>194</v>
      </c>
      <c r="B12">
        <v>1283</v>
      </c>
      <c r="C12">
        <v>1289</v>
      </c>
      <c r="D12">
        <v>1292</v>
      </c>
      <c r="E12">
        <v>1294</v>
      </c>
      <c r="F12" s="66">
        <v>1413</v>
      </c>
      <c r="G12" s="66">
        <v>1291</v>
      </c>
      <c r="I12">
        <v>1284</v>
      </c>
      <c r="J12">
        <v>1296</v>
      </c>
      <c r="K12">
        <v>1290</v>
      </c>
      <c r="L12">
        <v>1296</v>
      </c>
      <c r="M12">
        <v>1300</v>
      </c>
      <c r="N12">
        <v>1296</v>
      </c>
      <c r="O12">
        <v>1300</v>
      </c>
    </row>
    <row r="13" spans="1:15">
      <c r="A13" t="s">
        <v>201</v>
      </c>
      <c r="C13">
        <v>1</v>
      </c>
      <c r="D13">
        <v>0.9</v>
      </c>
      <c r="E13">
        <v>0.9</v>
      </c>
      <c r="F13" s="66"/>
      <c r="G13" s="66">
        <v>1</v>
      </c>
      <c r="I13">
        <v>1.1000000000000001</v>
      </c>
      <c r="J13">
        <v>1</v>
      </c>
      <c r="K13">
        <v>0.9</v>
      </c>
      <c r="L13">
        <v>1.1000000000000001</v>
      </c>
      <c r="M13">
        <v>0.9</v>
      </c>
      <c r="N13">
        <v>0.8</v>
      </c>
      <c r="O13">
        <v>1</v>
      </c>
    </row>
    <row r="14" spans="1:15">
      <c r="A14" t="s">
        <v>202</v>
      </c>
      <c r="C14">
        <v>1.2</v>
      </c>
      <c r="D14">
        <v>1.34</v>
      </c>
      <c r="E14">
        <v>1.68</v>
      </c>
      <c r="F14" s="66"/>
      <c r="G14" s="66">
        <v>1.64</v>
      </c>
      <c r="I14">
        <v>1.64</v>
      </c>
      <c r="J14">
        <v>1.56</v>
      </c>
      <c r="K14">
        <v>1.24</v>
      </c>
      <c r="L14" s="84">
        <v>1</v>
      </c>
      <c r="M14" s="84">
        <f>0.31*4</f>
        <v>1.24</v>
      </c>
      <c r="N14">
        <f>0.31*4</f>
        <v>1.24</v>
      </c>
      <c r="O14" s="84">
        <f>0.28*4</f>
        <v>1.1200000000000001</v>
      </c>
    </row>
    <row r="15" spans="1:15">
      <c r="A15" t="s">
        <v>203</v>
      </c>
      <c r="C15">
        <v>0.11</v>
      </c>
      <c r="D15">
        <v>0</v>
      </c>
      <c r="E15">
        <v>0.03</v>
      </c>
      <c r="F15" s="66"/>
      <c r="G15" s="66">
        <v>0.01</v>
      </c>
      <c r="I15">
        <v>0.01</v>
      </c>
      <c r="J15">
        <v>0.01</v>
      </c>
      <c r="K15">
        <v>0</v>
      </c>
      <c r="L15">
        <v>0</v>
      </c>
      <c r="M15">
        <v>0.01</v>
      </c>
      <c r="N15">
        <v>0</v>
      </c>
      <c r="O15">
        <v>0</v>
      </c>
    </row>
    <row r="16" spans="1:15">
      <c r="A16" t="s">
        <v>204</v>
      </c>
      <c r="C16">
        <v>978</v>
      </c>
      <c r="D16">
        <v>1264</v>
      </c>
      <c r="E16">
        <v>1080</v>
      </c>
      <c r="F16" s="66"/>
      <c r="G16" s="66">
        <v>546</v>
      </c>
      <c r="I16">
        <v>992</v>
      </c>
      <c r="J16">
        <v>537</v>
      </c>
      <c r="K16">
        <v>864</v>
      </c>
      <c r="L16" s="84">
        <v>678</v>
      </c>
      <c r="M16" s="84">
        <f>458*2</f>
        <v>916</v>
      </c>
      <c r="N16">
        <f>415*2</f>
        <v>830</v>
      </c>
      <c r="O16" s="84">
        <f>464*2</f>
        <v>928</v>
      </c>
    </row>
    <row r="17" spans="1:15">
      <c r="A17" t="s">
        <v>205</v>
      </c>
      <c r="C17">
        <v>0.8</v>
      </c>
      <c r="D17">
        <v>0.08</v>
      </c>
      <c r="E17">
        <v>0.25</v>
      </c>
      <c r="F17" s="66"/>
      <c r="G17" s="66">
        <v>4.1000000000000002E-2</v>
      </c>
      <c r="I17">
        <v>0.127</v>
      </c>
      <c r="J17">
        <v>4.2999999999999997E-2</v>
      </c>
      <c r="K17">
        <v>2.7E-2</v>
      </c>
      <c r="L17" s="66">
        <v>2.7E-2</v>
      </c>
      <c r="M17" s="66">
        <v>3.1E-2</v>
      </c>
      <c r="N17">
        <v>1.7000000000000001E-2</v>
      </c>
      <c r="O17" s="66">
        <v>4.4999999999999998E-2</v>
      </c>
    </row>
    <row r="18" spans="1:15">
      <c r="A18" t="s">
        <v>271</v>
      </c>
      <c r="C18">
        <v>0.23599999999999999</v>
      </c>
      <c r="D18">
        <v>0.27900000000000003</v>
      </c>
      <c r="E18">
        <v>0.28000000000000003</v>
      </c>
      <c r="G18" s="66">
        <v>0.21299999999999999</v>
      </c>
      <c r="I18">
        <v>0.20200000000000001</v>
      </c>
      <c r="J18">
        <v>0.17399999999999999</v>
      </c>
      <c r="K18">
        <v>0.16800000000000001</v>
      </c>
      <c r="M18" s="66">
        <v>0.23200000000000001</v>
      </c>
      <c r="N18">
        <v>0.11700000000000001</v>
      </c>
      <c r="O18" s="66">
        <v>0.115</v>
      </c>
    </row>
    <row r="19" spans="1:15">
      <c r="A19" t="s">
        <v>240</v>
      </c>
      <c r="I19">
        <v>4.1000000000000002E-2</v>
      </c>
    </row>
    <row r="20" spans="1:15">
      <c r="A20" t="s">
        <v>241</v>
      </c>
      <c r="B20">
        <v>0.04</v>
      </c>
      <c r="G20" s="66">
        <v>0.05</v>
      </c>
      <c r="K20" s="90"/>
    </row>
    <row r="21" spans="1:15">
      <c r="A21" t="s">
        <v>242</v>
      </c>
      <c r="B21">
        <v>4.1000000000000002E-2</v>
      </c>
      <c r="C21">
        <v>4.2000000000000003E-2</v>
      </c>
      <c r="D21">
        <v>4.1000000000000002E-2</v>
      </c>
      <c r="E21">
        <v>0.04</v>
      </c>
      <c r="G21" s="66">
        <v>3.9E-2</v>
      </c>
      <c r="I21">
        <v>4.1000000000000002E-2</v>
      </c>
      <c r="J21">
        <v>3.7999999999999999E-2</v>
      </c>
      <c r="K21" s="90">
        <v>3.6999999999999998E-2</v>
      </c>
      <c r="L21">
        <v>4.2999999999999997E-2</v>
      </c>
      <c r="M21">
        <v>4.2000000000000003E-2</v>
      </c>
      <c r="N21">
        <v>3.6999999999999998E-2</v>
      </c>
      <c r="O21">
        <v>3.7999999999999999E-2</v>
      </c>
    </row>
    <row r="22" spans="1:15">
      <c r="A22" t="s">
        <v>263</v>
      </c>
      <c r="B22">
        <v>0.59</v>
      </c>
      <c r="C22">
        <v>0.61</v>
      </c>
      <c r="D22">
        <v>0.61</v>
      </c>
      <c r="E22">
        <v>0.61</v>
      </c>
      <c r="G22" s="66">
        <v>0.6</v>
      </c>
      <c r="I22">
        <v>0.62</v>
      </c>
      <c r="J22">
        <v>0.56000000000000005</v>
      </c>
      <c r="K22" s="90">
        <v>0.6</v>
      </c>
      <c r="L22">
        <v>0.62</v>
      </c>
      <c r="M22">
        <v>0.61</v>
      </c>
      <c r="N22">
        <v>0.62</v>
      </c>
      <c r="O22">
        <v>0.6</v>
      </c>
    </row>
    <row r="23" spans="1:15">
      <c r="A23" t="s">
        <v>243</v>
      </c>
      <c r="C23">
        <v>0.109</v>
      </c>
      <c r="E23">
        <v>8.5999999999999993E-2</v>
      </c>
      <c r="K23" s="90"/>
      <c r="O23">
        <v>0.29599999999999999</v>
      </c>
    </row>
    <row r="24" spans="1:15">
      <c r="A24" t="s">
        <v>244</v>
      </c>
      <c r="K24" s="90"/>
    </row>
    <row r="25" spans="1:15">
      <c r="A25" t="s">
        <v>245</v>
      </c>
      <c r="B25">
        <v>7.4</v>
      </c>
      <c r="C25">
        <v>7.1</v>
      </c>
      <c r="D25">
        <v>7.2</v>
      </c>
      <c r="E25">
        <v>7.5</v>
      </c>
      <c r="G25" s="66">
        <v>7.6</v>
      </c>
      <c r="I25">
        <v>6.9</v>
      </c>
      <c r="J25">
        <v>6.9</v>
      </c>
      <c r="K25" s="90">
        <v>7</v>
      </c>
      <c r="L25">
        <v>7.4</v>
      </c>
      <c r="M25">
        <v>7.2</v>
      </c>
      <c r="N25">
        <v>7.1</v>
      </c>
      <c r="O25">
        <v>7.3</v>
      </c>
    </row>
    <row r="26" spans="1:15">
      <c r="A26" t="s">
        <v>246</v>
      </c>
      <c r="B26">
        <v>20.7</v>
      </c>
      <c r="C26">
        <v>20.7</v>
      </c>
      <c r="D26">
        <v>20.7</v>
      </c>
      <c r="E26">
        <v>20.7</v>
      </c>
      <c r="G26" s="66">
        <v>20.5</v>
      </c>
      <c r="I26">
        <v>19.8</v>
      </c>
      <c r="J26">
        <v>19.7</v>
      </c>
      <c r="K26" s="90">
        <v>21.2</v>
      </c>
      <c r="L26">
        <v>21.7</v>
      </c>
      <c r="M26">
        <v>21</v>
      </c>
      <c r="N26">
        <v>21.5</v>
      </c>
      <c r="O26">
        <v>18.600000000000001</v>
      </c>
    </row>
    <row r="27" spans="1:15">
      <c r="A27" t="s">
        <v>247</v>
      </c>
      <c r="K27" s="90"/>
    </row>
    <row r="28" spans="1:15">
      <c r="A28" t="s">
        <v>248</v>
      </c>
      <c r="K28" s="90"/>
    </row>
    <row r="29" spans="1:15">
      <c r="A29" t="s">
        <v>251</v>
      </c>
      <c r="B29">
        <v>6.22</v>
      </c>
      <c r="C29">
        <v>6.77</v>
      </c>
      <c r="D29">
        <v>6.17</v>
      </c>
      <c r="E29">
        <v>6.32</v>
      </c>
      <c r="G29">
        <v>6.44</v>
      </c>
      <c r="I29">
        <v>6.43</v>
      </c>
      <c r="J29">
        <v>5.97</v>
      </c>
      <c r="K29" s="90">
        <v>6.83</v>
      </c>
      <c r="L29">
        <v>7.08</v>
      </c>
      <c r="M29">
        <v>6.67</v>
      </c>
      <c r="N29">
        <v>6.68</v>
      </c>
      <c r="O29">
        <v>6.29</v>
      </c>
    </row>
    <row r="30" spans="1:15">
      <c r="A30" t="s">
        <v>249</v>
      </c>
      <c r="I30">
        <v>0.06</v>
      </c>
      <c r="K30" s="90"/>
      <c r="M30">
        <v>0.09</v>
      </c>
    </row>
    <row r="31" spans="1:15">
      <c r="A31" t="s">
        <v>250</v>
      </c>
      <c r="K31" s="90"/>
    </row>
    <row r="32" spans="1:15">
      <c r="A32" t="s">
        <v>252</v>
      </c>
      <c r="B32">
        <v>0.26100000000000001</v>
      </c>
      <c r="C32">
        <v>0.253</v>
      </c>
      <c r="D32">
        <v>0.251</v>
      </c>
      <c r="E32">
        <v>0.252</v>
      </c>
      <c r="G32">
        <v>0.251</v>
      </c>
      <c r="I32">
        <v>0.253</v>
      </c>
      <c r="J32">
        <v>0.23699999999999999</v>
      </c>
      <c r="K32" s="90">
        <v>0.255</v>
      </c>
      <c r="L32">
        <v>0.253</v>
      </c>
      <c r="M32">
        <v>0.247</v>
      </c>
      <c r="N32">
        <v>0.245</v>
      </c>
      <c r="O32">
        <v>0.248</v>
      </c>
    </row>
    <row r="33" spans="1:15">
      <c r="A33" t="s">
        <v>253</v>
      </c>
      <c r="B33">
        <v>8.1</v>
      </c>
      <c r="C33">
        <v>7.9</v>
      </c>
      <c r="D33">
        <v>8.1</v>
      </c>
      <c r="E33">
        <v>8.4</v>
      </c>
      <c r="G33">
        <v>8.4</v>
      </c>
      <c r="I33">
        <v>7.6</v>
      </c>
      <c r="J33">
        <v>7.7</v>
      </c>
      <c r="K33" s="90">
        <v>8</v>
      </c>
      <c r="L33">
        <v>8.1999999999999993</v>
      </c>
      <c r="M33">
        <v>8.1999999999999993</v>
      </c>
      <c r="N33">
        <v>8.1</v>
      </c>
      <c r="O33">
        <v>8.1999999999999993</v>
      </c>
    </row>
    <row r="34" spans="1:15">
      <c r="A34" t="s">
        <v>254</v>
      </c>
      <c r="B34">
        <v>5.0000000000000001E-3</v>
      </c>
      <c r="C34">
        <v>5.0000000000000001E-3</v>
      </c>
      <c r="I34">
        <v>7.0000000000000001E-3</v>
      </c>
      <c r="K34" s="90">
        <v>7.0000000000000001E-3</v>
      </c>
      <c r="L34">
        <v>8.0000000000000002E-3</v>
      </c>
      <c r="M34">
        <v>7.0000000000000001E-3</v>
      </c>
    </row>
    <row r="35" spans="1:15">
      <c r="A35" t="s">
        <v>255</v>
      </c>
      <c r="K35" s="90"/>
    </row>
    <row r="36" spans="1:15">
      <c r="A36" t="s">
        <v>256</v>
      </c>
      <c r="K36" s="90"/>
    </row>
    <row r="37" spans="1:15">
      <c r="A37" t="s">
        <v>257</v>
      </c>
      <c r="G37">
        <v>7.0000000000000007E-2</v>
      </c>
      <c r="K37" s="90"/>
    </row>
    <row r="38" spans="1:15">
      <c r="A38" t="s">
        <v>258</v>
      </c>
      <c r="B38">
        <v>8.1999999999999993</v>
      </c>
      <c r="C38">
        <v>8</v>
      </c>
      <c r="D38">
        <v>7.9</v>
      </c>
      <c r="E38">
        <v>8</v>
      </c>
      <c r="G38">
        <v>8.1</v>
      </c>
      <c r="I38">
        <v>8</v>
      </c>
      <c r="J38">
        <v>7.3</v>
      </c>
      <c r="K38" s="90">
        <v>8.1</v>
      </c>
      <c r="L38">
        <v>8</v>
      </c>
      <c r="M38">
        <v>8.1</v>
      </c>
      <c r="N38">
        <v>8</v>
      </c>
      <c r="O38">
        <v>8.1</v>
      </c>
    </row>
    <row r="39" spans="1:15">
      <c r="A39" t="s">
        <v>259</v>
      </c>
      <c r="K39" s="90"/>
    </row>
    <row r="40" spans="1:15">
      <c r="A40" t="s">
        <v>260</v>
      </c>
      <c r="B40">
        <v>364</v>
      </c>
      <c r="C40">
        <v>371</v>
      </c>
      <c r="D40">
        <v>367</v>
      </c>
      <c r="E40">
        <v>367</v>
      </c>
      <c r="G40">
        <v>377</v>
      </c>
      <c r="I40">
        <v>388</v>
      </c>
      <c r="J40">
        <v>357</v>
      </c>
      <c r="K40" s="90">
        <v>382</v>
      </c>
      <c r="L40">
        <v>394</v>
      </c>
      <c r="M40">
        <v>388</v>
      </c>
      <c r="N40">
        <v>382</v>
      </c>
      <c r="O40">
        <v>392</v>
      </c>
    </row>
    <row r="41" spans="1:15">
      <c r="A41" t="s">
        <v>261</v>
      </c>
      <c r="B41">
        <v>272</v>
      </c>
      <c r="C41">
        <v>299</v>
      </c>
      <c r="D41">
        <v>297</v>
      </c>
      <c r="E41">
        <v>301</v>
      </c>
      <c r="G41">
        <v>283</v>
      </c>
      <c r="I41">
        <v>272</v>
      </c>
      <c r="J41">
        <v>262</v>
      </c>
      <c r="K41" s="90">
        <v>289</v>
      </c>
      <c r="L41">
        <v>294</v>
      </c>
      <c r="M41">
        <v>284</v>
      </c>
      <c r="N41">
        <v>286</v>
      </c>
      <c r="O41">
        <v>275</v>
      </c>
    </row>
    <row r="42" spans="1:15">
      <c r="A42" t="s">
        <v>262</v>
      </c>
      <c r="K42" s="9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master</vt:lpstr>
      <vt:lpstr>averages by site</vt:lpstr>
      <vt:lpstr>carbon</vt:lpstr>
      <vt:lpstr>compelation</vt:lpstr>
      <vt:lpstr>Cell counts</vt:lpstr>
      <vt:lpstr> DeMMO-1</vt:lpstr>
      <vt:lpstr>DeMMO-2</vt:lpstr>
      <vt:lpstr>DeMMO-3</vt:lpstr>
      <vt:lpstr>DeMMO-4</vt:lpstr>
      <vt:lpstr>DeMMO-5</vt:lpstr>
      <vt:lpstr>DeMMO-6</vt:lpstr>
      <vt:lpstr>May 2016 wk 1-Caitlin's notes</vt:lpstr>
      <vt:lpstr>May 2016 wk2</vt:lpstr>
      <vt:lpstr>July 2016</vt:lpstr>
      <vt:lpstr>Sept 2016</vt:lpstr>
      <vt:lpstr>Dec 2016</vt:lpstr>
      <vt:lpstr>By Parameter</vt:lpstr>
      <vt:lpstr>Feb 2017</vt:lpstr>
      <vt:lpstr>May 2017</vt:lpstr>
      <vt:lpstr>Aug 2017</vt:lpstr>
      <vt:lpstr>Oct 2017</vt:lpstr>
      <vt:lpstr>Nov 2017</vt:lpstr>
      <vt:lpstr>April 2018</vt:lpstr>
      <vt:lpstr>Sept 2018</vt:lpstr>
      <vt:lpstr>DIC data</vt:lpstr>
      <vt:lpstr>water isotopes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Kruger</dc:creator>
  <cp:lastModifiedBy>Magdalena Rose Osburn</cp:lastModifiedBy>
  <cp:lastPrinted>2019-01-02T21:19:46Z</cp:lastPrinted>
  <dcterms:created xsi:type="dcterms:W3CDTF">2016-05-04T23:46:27Z</dcterms:created>
  <dcterms:modified xsi:type="dcterms:W3CDTF">2019-01-15T19:05:46Z</dcterms:modified>
</cp:coreProperties>
</file>