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Desktop/DeMMO_BiofilmPub2018/"/>
    </mc:Choice>
  </mc:AlternateContent>
  <xr:revisionPtr revIDLastSave="0" documentId="13_ncr:1_{D03CD10B-712F-154A-93F8-77F8C46D88CB}" xr6:coauthVersionLast="40" xr6:coauthVersionMax="40" xr10:uidLastSave="{00000000-0000-0000-0000-000000000000}"/>
  <bookViews>
    <workbookView xWindow="0" yWindow="0" windowWidth="25600" windowHeight="16000" xr2:uid="{75F28442-32CE-FC4A-B44E-E421732C013D}"/>
  </bookViews>
  <sheets>
    <sheet name="bal eqs" sheetId="1" r:id="rId1"/>
    <sheet name="Sheet9" sheetId="11" r:id="rId2"/>
    <sheet name="pyrolusite" sheetId="3" r:id="rId3"/>
    <sheet name="magnetite" sheetId="5" r:id="rId4"/>
    <sheet name="gypsum" sheetId="6" r:id="rId5"/>
    <sheet name="pyrite" sheetId="7" r:id="rId6"/>
    <sheet name="siderite" sheetId="8" r:id="rId7"/>
    <sheet name="hematite" sheetId="9" r:id="rId8"/>
    <sheet name="Site Activities" sheetId="4" r:id="rId9"/>
    <sheet name="half rxns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4" i="11" l="1"/>
  <c r="AK34" i="11"/>
  <c r="AB34" i="11"/>
  <c r="Z34" i="11"/>
  <c r="X34" i="11"/>
  <c r="AV33" i="11"/>
  <c r="AK33" i="11"/>
  <c r="AI33" i="11"/>
  <c r="AB33" i="11"/>
  <c r="AK31" i="11"/>
  <c r="AI31" i="11"/>
  <c r="AG31" i="11"/>
  <c r="AD31" i="11"/>
  <c r="AB31" i="11"/>
  <c r="Z31" i="11"/>
  <c r="X31" i="11"/>
  <c r="J25" i="2"/>
  <c r="AK18" i="11"/>
  <c r="AI18" i="11"/>
  <c r="Z18" i="11"/>
  <c r="X18" i="11"/>
  <c r="AG18" i="11" l="1"/>
  <c r="AO32" i="11"/>
  <c r="AP32" i="11"/>
  <c r="AQ32" i="11"/>
  <c r="AS32" i="11"/>
  <c r="AT32" i="11"/>
  <c r="AU32" i="11"/>
  <c r="AV32" i="11"/>
  <c r="AW32" i="11"/>
  <c r="Z32" i="11"/>
  <c r="AR32" i="11" s="1"/>
  <c r="AV31" i="11"/>
  <c r="AP31" i="11"/>
  <c r="AK30" i="11"/>
  <c r="AT30" i="11" s="1"/>
  <c r="AI30" i="11"/>
  <c r="AD30" i="11"/>
  <c r="Z30" i="11"/>
  <c r="AK29" i="11"/>
  <c r="AT29" i="11" s="1"/>
  <c r="AI29" i="11"/>
  <c r="AG29" i="11"/>
  <c r="AD29" i="11"/>
  <c r="Z29" i="11"/>
  <c r="AR29" i="11" s="1"/>
  <c r="X29" i="11"/>
  <c r="AP29" i="11" s="1"/>
  <c r="AK28" i="11"/>
  <c r="AI28" i="11"/>
  <c r="AG28" i="11"/>
  <c r="AD28" i="11"/>
  <c r="AV28" i="11" s="1"/>
  <c r="AB28" i="11"/>
  <c r="Z28" i="11"/>
  <c r="AR28" i="11" s="1"/>
  <c r="X28" i="11"/>
  <c r="AP28" i="11" s="1"/>
  <c r="AB27" i="11"/>
  <c r="AT27" i="11" s="1"/>
  <c r="X26" i="11"/>
  <c r="AP26" i="11" s="1"/>
  <c r="AK25" i="11"/>
  <c r="AT25" i="11" s="1"/>
  <c r="AI25" i="11"/>
  <c r="AG25" i="11"/>
  <c r="Z25" i="11"/>
  <c r="X25" i="11"/>
  <c r="AK24" i="11"/>
  <c r="AT24" i="11" s="1"/>
  <c r="AI24" i="11"/>
  <c r="AG24" i="11"/>
  <c r="Z24" i="11"/>
  <c r="X24" i="11"/>
  <c r="AB23" i="11"/>
  <c r="Z23" i="11"/>
  <c r="AO16" i="11"/>
  <c r="AQ16" i="11"/>
  <c r="AS16" i="11"/>
  <c r="AU16" i="11"/>
  <c r="AV16" i="11"/>
  <c r="AW16" i="11"/>
  <c r="AO17" i="11"/>
  <c r="AQ17" i="11"/>
  <c r="AS17" i="11"/>
  <c r="AU17" i="11"/>
  <c r="AV17" i="11"/>
  <c r="AW17" i="11"/>
  <c r="AO18" i="11"/>
  <c r="AQ18" i="11"/>
  <c r="AR18" i="11"/>
  <c r="AS18" i="11"/>
  <c r="AU18" i="11"/>
  <c r="AV18" i="11"/>
  <c r="AW18" i="11"/>
  <c r="AO19" i="11"/>
  <c r="AQ19" i="11"/>
  <c r="AS19" i="11"/>
  <c r="AU19" i="11"/>
  <c r="AV19" i="11"/>
  <c r="AW19" i="11"/>
  <c r="AO20" i="11"/>
  <c r="AQ20" i="11"/>
  <c r="AS20" i="11"/>
  <c r="AU20" i="11"/>
  <c r="AV20" i="11"/>
  <c r="AW20" i="11"/>
  <c r="AO21" i="11"/>
  <c r="AQ21" i="11"/>
  <c r="AU21" i="11"/>
  <c r="AV21" i="11"/>
  <c r="AW21" i="11"/>
  <c r="AO22" i="11"/>
  <c r="AQ22" i="11"/>
  <c r="AS22" i="11"/>
  <c r="AU22" i="11"/>
  <c r="AV22" i="11"/>
  <c r="AW22" i="11"/>
  <c r="AO23" i="11"/>
  <c r="AQ23" i="11"/>
  <c r="AS23" i="11"/>
  <c r="AU23" i="11"/>
  <c r="AV23" i="11"/>
  <c r="AW23" i="11"/>
  <c r="AO24" i="11"/>
  <c r="AP24" i="11"/>
  <c r="AQ24" i="11"/>
  <c r="AS24" i="11"/>
  <c r="AU24" i="11"/>
  <c r="AV24" i="11"/>
  <c r="AW24" i="11"/>
  <c r="AO25" i="11"/>
  <c r="AQ25" i="11"/>
  <c r="AS25" i="11"/>
  <c r="AU25" i="11"/>
  <c r="AV25" i="11"/>
  <c r="AW25" i="11"/>
  <c r="AO26" i="11"/>
  <c r="AQ26" i="11"/>
  <c r="AR26" i="11"/>
  <c r="AS26" i="11"/>
  <c r="AT26" i="11"/>
  <c r="AU26" i="11"/>
  <c r="AV26" i="11"/>
  <c r="AW26" i="11"/>
  <c r="AO27" i="11"/>
  <c r="AP27" i="11"/>
  <c r="AQ27" i="11"/>
  <c r="AR27" i="11"/>
  <c r="AS27" i="11"/>
  <c r="AU27" i="11"/>
  <c r="AV27" i="11"/>
  <c r="AW27" i="11"/>
  <c r="AO28" i="11"/>
  <c r="AQ28" i="11"/>
  <c r="AS28" i="11"/>
  <c r="AU28" i="11"/>
  <c r="AW28" i="11"/>
  <c r="AO29" i="11"/>
  <c r="AQ29" i="11"/>
  <c r="AS29" i="11"/>
  <c r="AU29" i="11"/>
  <c r="AV29" i="11"/>
  <c r="AW29" i="11"/>
  <c r="AO30" i="11"/>
  <c r="AP30" i="11"/>
  <c r="AQ30" i="11"/>
  <c r="AS30" i="11"/>
  <c r="AU30" i="11"/>
  <c r="AV30" i="11"/>
  <c r="AW30" i="11"/>
  <c r="AO31" i="11"/>
  <c r="AQ31" i="11"/>
  <c r="AR31" i="11"/>
  <c r="AS31" i="11"/>
  <c r="AT31" i="11"/>
  <c r="AU31" i="11"/>
  <c r="AW31" i="11"/>
  <c r="AK23" i="11"/>
  <c r="AT23" i="11" s="1"/>
  <c r="AI23" i="11"/>
  <c r="AR23" i="11" s="1"/>
  <c r="AG23" i="11"/>
  <c r="X23" i="11"/>
  <c r="AK22" i="11"/>
  <c r="AT22" i="11" s="1"/>
  <c r="AI22" i="11"/>
  <c r="AG22" i="11"/>
  <c r="Z22" i="11"/>
  <c r="AR22" i="11" s="1"/>
  <c r="X22" i="11"/>
  <c r="AI21" i="11"/>
  <c r="AG21" i="11"/>
  <c r="AK21" i="11"/>
  <c r="AT21" i="11" s="1"/>
  <c r="AJ21" i="11"/>
  <c r="Z21" i="11"/>
  <c r="AR21" i="11" s="1"/>
  <c r="AA21" i="11"/>
  <c r="X21" i="11"/>
  <c r="AB20" i="11"/>
  <c r="AT20" i="11" s="1"/>
  <c r="AK20" i="11"/>
  <c r="AI20" i="11"/>
  <c r="AG20" i="11"/>
  <c r="AP20" i="11" s="1"/>
  <c r="Z20" i="11"/>
  <c r="X20" i="11"/>
  <c r="AI19" i="11"/>
  <c r="AK19" i="11"/>
  <c r="AT19" i="11" s="1"/>
  <c r="AG19" i="11"/>
  <c r="Z19" i="11"/>
  <c r="X19" i="11"/>
  <c r="AP18" i="11"/>
  <c r="AT18" i="11"/>
  <c r="AG17" i="11"/>
  <c r="AB17" i="11"/>
  <c r="AT17" i="11" s="1"/>
  <c r="Z17" i="11"/>
  <c r="AR17" i="11" s="1"/>
  <c r="X17" i="11"/>
  <c r="AP17" i="11" s="1"/>
  <c r="AK16" i="11"/>
  <c r="AT16" i="11" s="1"/>
  <c r="AG16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2" i="11"/>
  <c r="AV3" i="11"/>
  <c r="AV4" i="11"/>
  <c r="AV5" i="11"/>
  <c r="AV6" i="11"/>
  <c r="AV7" i="11"/>
  <c r="AV8" i="11"/>
  <c r="AV9" i="11"/>
  <c r="AV10" i="11"/>
  <c r="AV15" i="11"/>
  <c r="Z16" i="11"/>
  <c r="AR16" i="11" s="1"/>
  <c r="X16" i="11"/>
  <c r="AK15" i="11"/>
  <c r="AB15" i="11"/>
  <c r="AK14" i="11"/>
  <c r="AI14" i="11"/>
  <c r="AG14" i="11"/>
  <c r="AB14" i="11"/>
  <c r="X14" i="11"/>
  <c r="Z14" i="11"/>
  <c r="AD14" i="11"/>
  <c r="AV14" i="11" s="1"/>
  <c r="AK13" i="11"/>
  <c r="AI13" i="11"/>
  <c r="AG13" i="11"/>
  <c r="AP13" i="11" s="1"/>
  <c r="Z13" i="11"/>
  <c r="AD13" i="11"/>
  <c r="AV13" i="11" s="1"/>
  <c r="AK12" i="11"/>
  <c r="AT12" i="11" s="1"/>
  <c r="AI12" i="11"/>
  <c r="AG12" i="11"/>
  <c r="AD12" i="11"/>
  <c r="AV12" i="11" s="1"/>
  <c r="Z12" i="11"/>
  <c r="X12" i="11"/>
  <c r="AK11" i="11"/>
  <c r="AG11" i="11"/>
  <c r="AI11" i="11"/>
  <c r="AB11" i="11"/>
  <c r="X11" i="11"/>
  <c r="Z11" i="11"/>
  <c r="AD11" i="11"/>
  <c r="AV11" i="11" s="1"/>
  <c r="AK10" i="11"/>
  <c r="AT10" i="11" s="1"/>
  <c r="X10" i="11"/>
  <c r="AP10" i="11" s="1"/>
  <c r="AK9" i="11"/>
  <c r="AT9" i="11" s="1"/>
  <c r="X9" i="11"/>
  <c r="AP9" i="11" s="1"/>
  <c r="AK8" i="11"/>
  <c r="X8" i="11"/>
  <c r="AI8" i="11"/>
  <c r="AR8" i="11" s="1"/>
  <c r="AG8" i="11"/>
  <c r="AB8" i="11"/>
  <c r="AT8" i="11" s="1"/>
  <c r="AK7" i="11"/>
  <c r="AT7" i="11" s="1"/>
  <c r="AO3" i="11"/>
  <c r="AP3" i="11"/>
  <c r="AQ3" i="11"/>
  <c r="AR3" i="11"/>
  <c r="AS3" i="11"/>
  <c r="AU3" i="11"/>
  <c r="AO4" i="11"/>
  <c r="AP4" i="11"/>
  <c r="AQ4" i="11"/>
  <c r="AR4" i="11"/>
  <c r="AS4" i="11"/>
  <c r="AU4" i="11"/>
  <c r="AO5" i="11"/>
  <c r="AP5" i="11"/>
  <c r="AQ5" i="11"/>
  <c r="AR5" i="11"/>
  <c r="AS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U7" i="11"/>
  <c r="AO8" i="11"/>
  <c r="AQ8" i="11"/>
  <c r="AS8" i="11"/>
  <c r="AU8" i="11"/>
  <c r="AO9" i="11"/>
  <c r="AQ9" i="11"/>
  <c r="AR9" i="11"/>
  <c r="AS9" i="11"/>
  <c r="AU9" i="11"/>
  <c r="AO10" i="11"/>
  <c r="AQ10" i="11"/>
  <c r="AR10" i="11"/>
  <c r="AS10" i="11"/>
  <c r="AU10" i="11"/>
  <c r="AO11" i="11"/>
  <c r="AQ11" i="11"/>
  <c r="AS11" i="11"/>
  <c r="AU11" i="11"/>
  <c r="AO12" i="11"/>
  <c r="AQ12" i="11"/>
  <c r="AS12" i="11"/>
  <c r="AU12" i="11"/>
  <c r="AO13" i="11"/>
  <c r="AQ13" i="11"/>
  <c r="AS13" i="11"/>
  <c r="AT13" i="11"/>
  <c r="AU13" i="11"/>
  <c r="AO14" i="11"/>
  <c r="AQ14" i="11"/>
  <c r="AS14" i="11"/>
  <c r="AT14" i="11"/>
  <c r="AU14" i="11"/>
  <c r="AO15" i="11"/>
  <c r="AP15" i="11"/>
  <c r="AQ15" i="11"/>
  <c r="AR15" i="11"/>
  <c r="AS15" i="11"/>
  <c r="AU15" i="11"/>
  <c r="AP2" i="11"/>
  <c r="AQ2" i="11"/>
  <c r="AR2" i="11"/>
  <c r="AS2" i="11"/>
  <c r="AT2" i="11"/>
  <c r="AU2" i="11"/>
  <c r="AV2" i="11"/>
  <c r="AO2" i="11"/>
  <c r="AK5" i="11"/>
  <c r="AT5" i="11" s="1"/>
  <c r="AK4" i="11"/>
  <c r="AB4" i="11"/>
  <c r="AB3" i="11"/>
  <c r="AT3" i="11" s="1"/>
  <c r="J5" i="9"/>
  <c r="J6" i="9"/>
  <c r="J7" i="9"/>
  <c r="J8" i="9"/>
  <c r="J9" i="9"/>
  <c r="J4" i="9"/>
  <c r="L6" i="5"/>
  <c r="M6" i="5"/>
  <c r="L7" i="5"/>
  <c r="P7" i="5" s="1"/>
  <c r="R7" i="5" s="1"/>
  <c r="M7" i="5"/>
  <c r="L8" i="5"/>
  <c r="M8" i="5" s="1"/>
  <c r="L9" i="5"/>
  <c r="P9" i="5" s="1"/>
  <c r="R9" i="5" s="1"/>
  <c r="M5" i="5"/>
  <c r="L5" i="5"/>
  <c r="P5" i="5"/>
  <c r="P6" i="5"/>
  <c r="R6" i="5" s="1"/>
  <c r="P8" i="5"/>
  <c r="R8" i="5" s="1"/>
  <c r="P4" i="5"/>
  <c r="R5" i="5"/>
  <c r="R4" i="5"/>
  <c r="M4" i="5"/>
  <c r="L4" i="5"/>
  <c r="D61" i="9"/>
  <c r="E61" i="9"/>
  <c r="F61" i="9"/>
  <c r="J61" i="9"/>
  <c r="D62" i="9"/>
  <c r="E62" i="9"/>
  <c r="F62" i="9"/>
  <c r="J62" i="9"/>
  <c r="D63" i="9"/>
  <c r="E63" i="9"/>
  <c r="F63" i="9"/>
  <c r="J63" i="9"/>
  <c r="D64" i="9"/>
  <c r="E64" i="9"/>
  <c r="F64" i="9"/>
  <c r="J64" i="9"/>
  <c r="D65" i="9"/>
  <c r="E65" i="9"/>
  <c r="F65" i="9"/>
  <c r="J65" i="9"/>
  <c r="J60" i="9"/>
  <c r="F60" i="9"/>
  <c r="E60" i="9"/>
  <c r="D60" i="9"/>
  <c r="D53" i="9"/>
  <c r="E53" i="9"/>
  <c r="F53" i="9"/>
  <c r="J53" i="9" s="1"/>
  <c r="G53" i="9"/>
  <c r="D54" i="9"/>
  <c r="E54" i="9"/>
  <c r="F54" i="9"/>
  <c r="J54" i="9" s="1"/>
  <c r="G54" i="9"/>
  <c r="D55" i="9"/>
  <c r="E55" i="9"/>
  <c r="F55" i="9"/>
  <c r="G55" i="9"/>
  <c r="J55" i="9" s="1"/>
  <c r="D56" i="9"/>
  <c r="E56" i="9"/>
  <c r="F56" i="9"/>
  <c r="G56" i="9"/>
  <c r="J56" i="9"/>
  <c r="D57" i="9"/>
  <c r="E57" i="9"/>
  <c r="F57" i="9"/>
  <c r="J57" i="9" s="1"/>
  <c r="G57" i="9"/>
  <c r="J52" i="9"/>
  <c r="G52" i="9"/>
  <c r="F52" i="9"/>
  <c r="E52" i="9"/>
  <c r="D52" i="9"/>
  <c r="D45" i="9"/>
  <c r="E45" i="9"/>
  <c r="F45" i="9"/>
  <c r="J45" i="9"/>
  <c r="D46" i="9"/>
  <c r="E46" i="9"/>
  <c r="F46" i="9"/>
  <c r="J46" i="9"/>
  <c r="D47" i="9"/>
  <c r="E47" i="9"/>
  <c r="F47" i="9"/>
  <c r="J47" i="9"/>
  <c r="D48" i="9"/>
  <c r="E48" i="9"/>
  <c r="F48" i="9"/>
  <c r="J48" i="9"/>
  <c r="D49" i="9"/>
  <c r="E49" i="9"/>
  <c r="F49" i="9"/>
  <c r="J49" i="9"/>
  <c r="F44" i="9"/>
  <c r="E44" i="9"/>
  <c r="J44" i="9" s="1"/>
  <c r="D44" i="9"/>
  <c r="D37" i="9"/>
  <c r="E37" i="9"/>
  <c r="J37" i="9" s="1"/>
  <c r="D38" i="9"/>
  <c r="E38" i="9"/>
  <c r="D39" i="9"/>
  <c r="E39" i="9"/>
  <c r="J39" i="9" s="1"/>
  <c r="D40" i="9"/>
  <c r="E40" i="9"/>
  <c r="J40" i="9" s="1"/>
  <c r="D41" i="9"/>
  <c r="E41" i="9"/>
  <c r="J41" i="9" s="1"/>
  <c r="J36" i="9"/>
  <c r="E36" i="9"/>
  <c r="D36" i="9"/>
  <c r="D29" i="9"/>
  <c r="E29" i="9"/>
  <c r="F29" i="9"/>
  <c r="G29" i="9"/>
  <c r="D30" i="9"/>
  <c r="E30" i="9"/>
  <c r="F30" i="9"/>
  <c r="G30" i="9"/>
  <c r="D31" i="9"/>
  <c r="E31" i="9"/>
  <c r="F31" i="9"/>
  <c r="G31" i="9"/>
  <c r="D32" i="9"/>
  <c r="E32" i="9"/>
  <c r="J32" i="9" s="1"/>
  <c r="F32" i="9"/>
  <c r="G32" i="9"/>
  <c r="D33" i="9"/>
  <c r="E33" i="9"/>
  <c r="F33" i="9"/>
  <c r="G33" i="9"/>
  <c r="J28" i="9"/>
  <c r="G28" i="9"/>
  <c r="F28" i="9"/>
  <c r="E28" i="9"/>
  <c r="D28" i="9"/>
  <c r="D21" i="9"/>
  <c r="E21" i="9"/>
  <c r="F21" i="9"/>
  <c r="G21" i="9"/>
  <c r="D22" i="9"/>
  <c r="E22" i="9"/>
  <c r="F22" i="9"/>
  <c r="G22" i="9"/>
  <c r="D23" i="9"/>
  <c r="E23" i="9"/>
  <c r="F23" i="9"/>
  <c r="G23" i="9"/>
  <c r="D24" i="9"/>
  <c r="E24" i="9"/>
  <c r="F24" i="9"/>
  <c r="J24" i="9" s="1"/>
  <c r="G24" i="9"/>
  <c r="D25" i="9"/>
  <c r="E25" i="9"/>
  <c r="F25" i="9"/>
  <c r="J25" i="9" s="1"/>
  <c r="G25" i="9"/>
  <c r="G20" i="9"/>
  <c r="F20" i="9"/>
  <c r="J20" i="9" s="1"/>
  <c r="E20" i="9"/>
  <c r="D20" i="9"/>
  <c r="D13" i="9"/>
  <c r="J13" i="9" s="1"/>
  <c r="E13" i="9"/>
  <c r="F13" i="9"/>
  <c r="D14" i="9"/>
  <c r="J14" i="9" s="1"/>
  <c r="E14" i="9"/>
  <c r="F14" i="9"/>
  <c r="D15" i="9"/>
  <c r="J15" i="9" s="1"/>
  <c r="E15" i="9"/>
  <c r="F15" i="9"/>
  <c r="D16" i="9"/>
  <c r="J16" i="9" s="1"/>
  <c r="E16" i="9"/>
  <c r="F16" i="9"/>
  <c r="D17" i="9"/>
  <c r="J17" i="9" s="1"/>
  <c r="E17" i="9"/>
  <c r="F17" i="9"/>
  <c r="F12" i="9"/>
  <c r="J12" i="9" s="1"/>
  <c r="E12" i="9"/>
  <c r="D12" i="9"/>
  <c r="D5" i="9"/>
  <c r="E5" i="9"/>
  <c r="F5" i="9"/>
  <c r="D6" i="9"/>
  <c r="E6" i="9"/>
  <c r="F6" i="9"/>
  <c r="D7" i="9"/>
  <c r="E7" i="9"/>
  <c r="F7" i="9"/>
  <c r="D8" i="9"/>
  <c r="E8" i="9"/>
  <c r="F8" i="9"/>
  <c r="D9" i="9"/>
  <c r="E9" i="9"/>
  <c r="F9" i="9"/>
  <c r="F4" i="9"/>
  <c r="E4" i="9"/>
  <c r="D4" i="9"/>
  <c r="D21" i="8"/>
  <c r="E21" i="8"/>
  <c r="F21" i="8"/>
  <c r="K21" i="8"/>
  <c r="D22" i="8"/>
  <c r="E22" i="8"/>
  <c r="F22" i="8"/>
  <c r="K22" i="8"/>
  <c r="D23" i="8"/>
  <c r="E23" i="8"/>
  <c r="F23" i="8"/>
  <c r="K23" i="8"/>
  <c r="D24" i="8"/>
  <c r="E24" i="8"/>
  <c r="F24" i="8"/>
  <c r="K24" i="8"/>
  <c r="D25" i="8"/>
  <c r="E25" i="8"/>
  <c r="F25" i="8"/>
  <c r="K25" i="8"/>
  <c r="K20" i="8"/>
  <c r="F20" i="8"/>
  <c r="E20" i="8"/>
  <c r="D20" i="8"/>
  <c r="D13" i="8"/>
  <c r="E13" i="8"/>
  <c r="K13" i="8" s="1"/>
  <c r="F13" i="8"/>
  <c r="G13" i="8"/>
  <c r="D14" i="8"/>
  <c r="E14" i="8"/>
  <c r="K14" i="8" s="1"/>
  <c r="F14" i="8"/>
  <c r="G14" i="8"/>
  <c r="D15" i="8"/>
  <c r="E15" i="8"/>
  <c r="K15" i="8" s="1"/>
  <c r="F15" i="8"/>
  <c r="G15" i="8"/>
  <c r="D16" i="8"/>
  <c r="E16" i="8"/>
  <c r="F16" i="8"/>
  <c r="G16" i="8"/>
  <c r="K16" i="8"/>
  <c r="D17" i="8"/>
  <c r="E17" i="8"/>
  <c r="K17" i="8" s="1"/>
  <c r="F17" i="8"/>
  <c r="G17" i="8"/>
  <c r="K12" i="8"/>
  <c r="G12" i="8"/>
  <c r="F12" i="8"/>
  <c r="E12" i="8"/>
  <c r="D12" i="8"/>
  <c r="D5" i="8"/>
  <c r="E5" i="8"/>
  <c r="F5" i="8"/>
  <c r="K5" i="8" s="1"/>
  <c r="G5" i="8"/>
  <c r="D6" i="8"/>
  <c r="E6" i="8"/>
  <c r="K6" i="8" s="1"/>
  <c r="F6" i="8"/>
  <c r="G6" i="8"/>
  <c r="D7" i="8"/>
  <c r="E7" i="8"/>
  <c r="K7" i="8" s="1"/>
  <c r="F7" i="8"/>
  <c r="G7" i="8"/>
  <c r="D8" i="8"/>
  <c r="E8" i="8"/>
  <c r="F8" i="8"/>
  <c r="G8" i="8"/>
  <c r="K8" i="8"/>
  <c r="D9" i="8"/>
  <c r="E9" i="8"/>
  <c r="F9" i="8"/>
  <c r="K9" i="8" s="1"/>
  <c r="G9" i="8"/>
  <c r="K4" i="8"/>
  <c r="G4" i="8"/>
  <c r="F4" i="8"/>
  <c r="E4" i="8"/>
  <c r="D4" i="8"/>
  <c r="D61" i="6"/>
  <c r="E61" i="6"/>
  <c r="F61" i="6"/>
  <c r="L61" i="6" s="1"/>
  <c r="G61" i="6"/>
  <c r="D62" i="6"/>
  <c r="E62" i="6"/>
  <c r="F62" i="6"/>
  <c r="L62" i="6" s="1"/>
  <c r="G62" i="6"/>
  <c r="D63" i="6"/>
  <c r="E63" i="6"/>
  <c r="F63" i="6"/>
  <c r="G63" i="6"/>
  <c r="L63" i="6" s="1"/>
  <c r="D64" i="6"/>
  <c r="E64" i="6"/>
  <c r="F64" i="6"/>
  <c r="G64" i="6"/>
  <c r="L64" i="6"/>
  <c r="D65" i="6"/>
  <c r="E65" i="6"/>
  <c r="F65" i="6"/>
  <c r="L65" i="6" s="1"/>
  <c r="G65" i="6"/>
  <c r="L60" i="6"/>
  <c r="G60" i="6"/>
  <c r="F60" i="6"/>
  <c r="E60" i="6"/>
  <c r="D60" i="6"/>
  <c r="D53" i="6"/>
  <c r="E53" i="6"/>
  <c r="F53" i="6"/>
  <c r="G53" i="6"/>
  <c r="L53" i="6" s="1"/>
  <c r="H53" i="6"/>
  <c r="D54" i="6"/>
  <c r="E54" i="6"/>
  <c r="L54" i="6" s="1"/>
  <c r="F54" i="6"/>
  <c r="G54" i="6"/>
  <c r="H54" i="6"/>
  <c r="D55" i="6"/>
  <c r="E55" i="6"/>
  <c r="F55" i="6"/>
  <c r="G55" i="6"/>
  <c r="L55" i="6" s="1"/>
  <c r="H55" i="6"/>
  <c r="D56" i="6"/>
  <c r="E56" i="6"/>
  <c r="F56" i="6"/>
  <c r="G56" i="6"/>
  <c r="H56" i="6"/>
  <c r="L56" i="6"/>
  <c r="D57" i="6"/>
  <c r="E57" i="6"/>
  <c r="F57" i="6"/>
  <c r="G57" i="6"/>
  <c r="L57" i="6" s="1"/>
  <c r="H57" i="6"/>
  <c r="L52" i="6"/>
  <c r="H52" i="6"/>
  <c r="G52" i="6"/>
  <c r="F52" i="6"/>
  <c r="E52" i="6"/>
  <c r="D52" i="6"/>
  <c r="D45" i="6"/>
  <c r="E45" i="6"/>
  <c r="L45" i="6" s="1"/>
  <c r="F45" i="6"/>
  <c r="G45" i="6"/>
  <c r="D46" i="6"/>
  <c r="E46" i="6"/>
  <c r="L46" i="6" s="1"/>
  <c r="F46" i="6"/>
  <c r="G46" i="6"/>
  <c r="D47" i="6"/>
  <c r="E47" i="6"/>
  <c r="L47" i="6" s="1"/>
  <c r="F47" i="6"/>
  <c r="G47" i="6"/>
  <c r="D48" i="6"/>
  <c r="E48" i="6"/>
  <c r="F48" i="6"/>
  <c r="G48" i="6"/>
  <c r="L48" i="6"/>
  <c r="D49" i="6"/>
  <c r="E49" i="6"/>
  <c r="L49" i="6" s="1"/>
  <c r="F49" i="6"/>
  <c r="G49" i="6"/>
  <c r="G44" i="6"/>
  <c r="F44" i="6"/>
  <c r="E44" i="6"/>
  <c r="D44" i="6"/>
  <c r="L44" i="6" s="1"/>
  <c r="D37" i="6"/>
  <c r="E37" i="6"/>
  <c r="F37" i="6"/>
  <c r="G37" i="6"/>
  <c r="D38" i="6"/>
  <c r="E38" i="6"/>
  <c r="F38" i="6"/>
  <c r="L38" i="6" s="1"/>
  <c r="G38" i="6"/>
  <c r="D39" i="6"/>
  <c r="E39" i="6"/>
  <c r="F39" i="6"/>
  <c r="G39" i="6"/>
  <c r="D40" i="6"/>
  <c r="E40" i="6"/>
  <c r="L40" i="6" s="1"/>
  <c r="F40" i="6"/>
  <c r="G40" i="6"/>
  <c r="D41" i="6"/>
  <c r="E41" i="6"/>
  <c r="L41" i="6" s="1"/>
  <c r="F41" i="6"/>
  <c r="G41" i="6"/>
  <c r="G36" i="6"/>
  <c r="L36" i="6" s="1"/>
  <c r="F36" i="6"/>
  <c r="E36" i="6"/>
  <c r="D36" i="6"/>
  <c r="D29" i="6"/>
  <c r="E29" i="6"/>
  <c r="F29" i="6"/>
  <c r="G29" i="6"/>
  <c r="D30" i="6"/>
  <c r="E30" i="6"/>
  <c r="F30" i="6"/>
  <c r="G30" i="6"/>
  <c r="D31" i="6"/>
  <c r="E31" i="6"/>
  <c r="F31" i="6"/>
  <c r="G31" i="6"/>
  <c r="D32" i="6"/>
  <c r="E32" i="6"/>
  <c r="F32" i="6"/>
  <c r="G32" i="6"/>
  <c r="L32" i="6"/>
  <c r="D33" i="6"/>
  <c r="E33" i="6"/>
  <c r="F33" i="6"/>
  <c r="G33" i="6"/>
  <c r="G28" i="6"/>
  <c r="F28" i="6"/>
  <c r="E28" i="6"/>
  <c r="L28" i="6" s="1"/>
  <c r="D28" i="6"/>
  <c r="D21" i="6"/>
  <c r="E21" i="6"/>
  <c r="F21" i="6"/>
  <c r="G21" i="6"/>
  <c r="H21" i="6"/>
  <c r="D22" i="6"/>
  <c r="E22" i="6"/>
  <c r="F22" i="6"/>
  <c r="G22" i="6"/>
  <c r="H22" i="6"/>
  <c r="L22" i="6"/>
  <c r="D23" i="6"/>
  <c r="E23" i="6"/>
  <c r="F23" i="6"/>
  <c r="G23" i="6"/>
  <c r="L23" i="6" s="1"/>
  <c r="H23" i="6"/>
  <c r="D24" i="6"/>
  <c r="E24" i="6"/>
  <c r="F24" i="6"/>
  <c r="L24" i="6" s="1"/>
  <c r="G24" i="6"/>
  <c r="H24" i="6"/>
  <c r="D25" i="6"/>
  <c r="E25" i="6"/>
  <c r="F25" i="6"/>
  <c r="G25" i="6"/>
  <c r="H25" i="6"/>
  <c r="H20" i="6"/>
  <c r="G20" i="6"/>
  <c r="F20" i="6"/>
  <c r="E20" i="6"/>
  <c r="L20" i="6" s="1"/>
  <c r="D20" i="6"/>
  <c r="D13" i="6"/>
  <c r="E13" i="6"/>
  <c r="F13" i="6"/>
  <c r="G13" i="6"/>
  <c r="D14" i="6"/>
  <c r="E14" i="6"/>
  <c r="F14" i="6"/>
  <c r="G14" i="6"/>
  <c r="D15" i="6"/>
  <c r="E15" i="6"/>
  <c r="L15" i="6" s="1"/>
  <c r="F15" i="6"/>
  <c r="G15" i="6"/>
  <c r="D16" i="6"/>
  <c r="E16" i="6"/>
  <c r="L16" i="6" s="1"/>
  <c r="F16" i="6"/>
  <c r="G16" i="6"/>
  <c r="D17" i="6"/>
  <c r="E17" i="6"/>
  <c r="F17" i="6"/>
  <c r="G17" i="6"/>
  <c r="G12" i="6"/>
  <c r="F12" i="6"/>
  <c r="E12" i="6"/>
  <c r="D12" i="6"/>
  <c r="L12" i="6" s="1"/>
  <c r="D5" i="6"/>
  <c r="E5" i="6"/>
  <c r="F5" i="6"/>
  <c r="G5" i="6"/>
  <c r="D6" i="6"/>
  <c r="E6" i="6"/>
  <c r="F6" i="6"/>
  <c r="G6" i="6"/>
  <c r="D7" i="6"/>
  <c r="E7" i="6"/>
  <c r="F7" i="6"/>
  <c r="G7" i="6"/>
  <c r="D8" i="6"/>
  <c r="E8" i="6"/>
  <c r="F8" i="6"/>
  <c r="L8" i="6" s="1"/>
  <c r="G8" i="6"/>
  <c r="D9" i="6"/>
  <c r="E9" i="6"/>
  <c r="F9" i="6"/>
  <c r="L9" i="6" s="1"/>
  <c r="G9" i="6"/>
  <c r="G4" i="6"/>
  <c r="F4" i="6"/>
  <c r="L4" i="6" s="1"/>
  <c r="E4" i="6"/>
  <c r="D4" i="6"/>
  <c r="D53" i="5"/>
  <c r="E53" i="5"/>
  <c r="F53" i="5"/>
  <c r="J53" i="5"/>
  <c r="D54" i="5"/>
  <c r="E54" i="5"/>
  <c r="F54" i="5"/>
  <c r="J54" i="5"/>
  <c r="D55" i="5"/>
  <c r="E55" i="5"/>
  <c r="F55" i="5"/>
  <c r="J55" i="5"/>
  <c r="D56" i="5"/>
  <c r="E56" i="5"/>
  <c r="F56" i="5"/>
  <c r="J56" i="5"/>
  <c r="D57" i="5"/>
  <c r="E57" i="5"/>
  <c r="F57" i="5"/>
  <c r="J57" i="5"/>
  <c r="J52" i="5"/>
  <c r="F52" i="5"/>
  <c r="E52" i="5"/>
  <c r="D52" i="5"/>
  <c r="D45" i="5"/>
  <c r="E45" i="5"/>
  <c r="F45" i="5"/>
  <c r="J45" i="5" s="1"/>
  <c r="G45" i="5"/>
  <c r="D46" i="5"/>
  <c r="J46" i="5" s="1"/>
  <c r="E46" i="5"/>
  <c r="F46" i="5"/>
  <c r="G46" i="5"/>
  <c r="D47" i="5"/>
  <c r="E47" i="5"/>
  <c r="F47" i="5"/>
  <c r="G47" i="5"/>
  <c r="J47" i="5" s="1"/>
  <c r="D48" i="5"/>
  <c r="E48" i="5"/>
  <c r="F48" i="5"/>
  <c r="J48" i="5" s="1"/>
  <c r="G48" i="5"/>
  <c r="D49" i="5"/>
  <c r="E49" i="5"/>
  <c r="F49" i="5"/>
  <c r="J49" i="5" s="1"/>
  <c r="G49" i="5"/>
  <c r="J44" i="5"/>
  <c r="G44" i="5"/>
  <c r="F44" i="5"/>
  <c r="E44" i="5"/>
  <c r="D44" i="5"/>
  <c r="D37" i="5"/>
  <c r="E37" i="5"/>
  <c r="F37" i="5"/>
  <c r="J37" i="5"/>
  <c r="D38" i="5"/>
  <c r="E38" i="5"/>
  <c r="F38" i="5"/>
  <c r="J38" i="5"/>
  <c r="D39" i="5"/>
  <c r="E39" i="5"/>
  <c r="F39" i="5"/>
  <c r="J39" i="5"/>
  <c r="D40" i="5"/>
  <c r="E40" i="5"/>
  <c r="F40" i="5"/>
  <c r="J40" i="5"/>
  <c r="D41" i="5"/>
  <c r="E41" i="5"/>
  <c r="F41" i="5"/>
  <c r="J41" i="5"/>
  <c r="J36" i="5"/>
  <c r="F36" i="5"/>
  <c r="E36" i="5"/>
  <c r="D36" i="5"/>
  <c r="D29" i="5"/>
  <c r="E29" i="5"/>
  <c r="F29" i="5"/>
  <c r="J29" i="5" s="1"/>
  <c r="G29" i="5"/>
  <c r="D30" i="5"/>
  <c r="E30" i="5"/>
  <c r="F30" i="5"/>
  <c r="J30" i="5" s="1"/>
  <c r="G30" i="5"/>
  <c r="D31" i="5"/>
  <c r="E31" i="5"/>
  <c r="F31" i="5"/>
  <c r="G31" i="5"/>
  <c r="J31" i="5" s="1"/>
  <c r="D32" i="5"/>
  <c r="E32" i="5"/>
  <c r="F32" i="5"/>
  <c r="G32" i="5"/>
  <c r="J32" i="5"/>
  <c r="D33" i="5"/>
  <c r="E33" i="5"/>
  <c r="F33" i="5"/>
  <c r="J33" i="5" s="1"/>
  <c r="G33" i="5"/>
  <c r="J28" i="5"/>
  <c r="G28" i="5"/>
  <c r="F28" i="5"/>
  <c r="E28" i="5"/>
  <c r="D28" i="5"/>
  <c r="D21" i="5"/>
  <c r="E21" i="5"/>
  <c r="F21" i="5"/>
  <c r="J21" i="5" s="1"/>
  <c r="G21" i="5"/>
  <c r="D22" i="5"/>
  <c r="E22" i="5"/>
  <c r="F22" i="5"/>
  <c r="J22" i="5" s="1"/>
  <c r="G22" i="5"/>
  <c r="D23" i="5"/>
  <c r="E23" i="5"/>
  <c r="F23" i="5"/>
  <c r="G23" i="5"/>
  <c r="J23" i="5" s="1"/>
  <c r="D24" i="5"/>
  <c r="E24" i="5"/>
  <c r="F24" i="5"/>
  <c r="G24" i="5"/>
  <c r="J24" i="5"/>
  <c r="D25" i="5"/>
  <c r="E25" i="5"/>
  <c r="F25" i="5"/>
  <c r="J25" i="5" s="1"/>
  <c r="G25" i="5"/>
  <c r="J20" i="5"/>
  <c r="G20" i="5"/>
  <c r="F20" i="5"/>
  <c r="E20" i="5"/>
  <c r="D20" i="5"/>
  <c r="D13" i="5"/>
  <c r="E13" i="5"/>
  <c r="F13" i="5"/>
  <c r="J13" i="5"/>
  <c r="D14" i="5"/>
  <c r="E14" i="5"/>
  <c r="F14" i="5"/>
  <c r="J14" i="5"/>
  <c r="D15" i="5"/>
  <c r="E15" i="5"/>
  <c r="F15" i="5"/>
  <c r="J15" i="5"/>
  <c r="D16" i="5"/>
  <c r="E16" i="5"/>
  <c r="F16" i="5"/>
  <c r="J16" i="5"/>
  <c r="D17" i="5"/>
  <c r="E17" i="5"/>
  <c r="F17" i="5"/>
  <c r="J17" i="5"/>
  <c r="J12" i="5"/>
  <c r="F12" i="5"/>
  <c r="E12" i="5"/>
  <c r="D12" i="5"/>
  <c r="D5" i="5"/>
  <c r="E5" i="5"/>
  <c r="F5" i="5"/>
  <c r="J5" i="5"/>
  <c r="D6" i="5"/>
  <c r="E6" i="5"/>
  <c r="F6" i="5"/>
  <c r="J6" i="5"/>
  <c r="D7" i="5"/>
  <c r="E7" i="5"/>
  <c r="F7" i="5"/>
  <c r="J7" i="5"/>
  <c r="D8" i="5"/>
  <c r="E8" i="5"/>
  <c r="F8" i="5"/>
  <c r="J8" i="5"/>
  <c r="D9" i="5"/>
  <c r="E9" i="5"/>
  <c r="F9" i="5"/>
  <c r="J9" i="5"/>
  <c r="J4" i="5"/>
  <c r="F4" i="5"/>
  <c r="E4" i="5"/>
  <c r="D4" i="5"/>
  <c r="C65" i="9"/>
  <c r="C64" i="9"/>
  <c r="C63" i="9"/>
  <c r="C62" i="9"/>
  <c r="C61" i="9"/>
  <c r="C60" i="9"/>
  <c r="C57" i="9"/>
  <c r="C56" i="9"/>
  <c r="C55" i="9"/>
  <c r="C54" i="9"/>
  <c r="C53" i="9"/>
  <c r="C52" i="9"/>
  <c r="C49" i="9"/>
  <c r="C48" i="9"/>
  <c r="C47" i="9"/>
  <c r="C46" i="9"/>
  <c r="C45" i="9"/>
  <c r="C44" i="9"/>
  <c r="C41" i="9"/>
  <c r="C40" i="9"/>
  <c r="C39" i="9"/>
  <c r="C38" i="9"/>
  <c r="C37" i="9"/>
  <c r="C36" i="9"/>
  <c r="C33" i="9"/>
  <c r="C32" i="9"/>
  <c r="C31" i="9"/>
  <c r="C30" i="9"/>
  <c r="C29" i="9"/>
  <c r="C28" i="9"/>
  <c r="C25" i="9"/>
  <c r="C24" i="9"/>
  <c r="C23" i="9"/>
  <c r="C22" i="9"/>
  <c r="C21" i="9"/>
  <c r="C20" i="9"/>
  <c r="C17" i="9"/>
  <c r="C16" i="9"/>
  <c r="C15" i="9"/>
  <c r="C14" i="9"/>
  <c r="C13" i="9"/>
  <c r="C12" i="9"/>
  <c r="C9" i="9"/>
  <c r="C8" i="9"/>
  <c r="C7" i="9"/>
  <c r="C6" i="9"/>
  <c r="C5" i="9"/>
  <c r="C4" i="9"/>
  <c r="C25" i="8"/>
  <c r="C24" i="8"/>
  <c r="C23" i="8"/>
  <c r="C22" i="8"/>
  <c r="C21" i="8"/>
  <c r="C20" i="8"/>
  <c r="C17" i="8"/>
  <c r="C16" i="8"/>
  <c r="C15" i="8"/>
  <c r="C14" i="8"/>
  <c r="C13" i="8"/>
  <c r="C12" i="8"/>
  <c r="C9" i="8"/>
  <c r="C8" i="8"/>
  <c r="C7" i="8"/>
  <c r="C6" i="8"/>
  <c r="C5" i="8"/>
  <c r="C4" i="8"/>
  <c r="C57" i="7"/>
  <c r="C56" i="7"/>
  <c r="C55" i="7"/>
  <c r="C54" i="7"/>
  <c r="C53" i="7"/>
  <c r="C52" i="7"/>
  <c r="C49" i="7"/>
  <c r="C48" i="7"/>
  <c r="C47" i="7"/>
  <c r="C46" i="7"/>
  <c r="C45" i="7"/>
  <c r="C44" i="7"/>
  <c r="C41" i="7"/>
  <c r="C40" i="7"/>
  <c r="C39" i="7"/>
  <c r="C38" i="7"/>
  <c r="C37" i="7"/>
  <c r="C36" i="7"/>
  <c r="C33" i="7"/>
  <c r="C32" i="7"/>
  <c r="C31" i="7"/>
  <c r="C30" i="7"/>
  <c r="C29" i="7"/>
  <c r="C28" i="7"/>
  <c r="C25" i="7"/>
  <c r="C24" i="7"/>
  <c r="C23" i="7"/>
  <c r="C22" i="7"/>
  <c r="C21" i="7"/>
  <c r="C20" i="7"/>
  <c r="C17" i="7"/>
  <c r="C16" i="7"/>
  <c r="C15" i="7"/>
  <c r="C14" i="7"/>
  <c r="C13" i="7"/>
  <c r="C12" i="7"/>
  <c r="C9" i="7"/>
  <c r="C8" i="7"/>
  <c r="C7" i="7"/>
  <c r="C6" i="7"/>
  <c r="C5" i="7"/>
  <c r="C4" i="7"/>
  <c r="C33" i="6"/>
  <c r="C32" i="6"/>
  <c r="C31" i="6"/>
  <c r="C30" i="6"/>
  <c r="C29" i="6"/>
  <c r="C28" i="6"/>
  <c r="C25" i="6"/>
  <c r="C24" i="6"/>
  <c r="C23" i="6"/>
  <c r="C22" i="6"/>
  <c r="C21" i="6"/>
  <c r="C20" i="6"/>
  <c r="C17" i="6"/>
  <c r="C16" i="6"/>
  <c r="C15" i="6"/>
  <c r="C14" i="6"/>
  <c r="C13" i="6"/>
  <c r="C12" i="6"/>
  <c r="C9" i="6"/>
  <c r="C8" i="6"/>
  <c r="C7" i="6"/>
  <c r="C6" i="6"/>
  <c r="C5" i="6"/>
  <c r="C4" i="6"/>
  <c r="C25" i="5"/>
  <c r="C24" i="5"/>
  <c r="C23" i="5"/>
  <c r="C22" i="5"/>
  <c r="C21" i="5"/>
  <c r="C20" i="5"/>
  <c r="C17" i="5"/>
  <c r="C16" i="5"/>
  <c r="C15" i="5"/>
  <c r="C14" i="5"/>
  <c r="C13" i="5"/>
  <c r="C12" i="5"/>
  <c r="C9" i="5"/>
  <c r="C8" i="5"/>
  <c r="C7" i="5"/>
  <c r="C6" i="5"/>
  <c r="C5" i="5"/>
  <c r="C4" i="5"/>
  <c r="C65" i="6"/>
  <c r="C64" i="6"/>
  <c r="C63" i="6"/>
  <c r="C62" i="6"/>
  <c r="C61" i="6"/>
  <c r="C60" i="6"/>
  <c r="C57" i="6"/>
  <c r="C56" i="6"/>
  <c r="C55" i="6"/>
  <c r="C54" i="6"/>
  <c r="C53" i="6"/>
  <c r="C52" i="6"/>
  <c r="C49" i="6"/>
  <c r="C48" i="6"/>
  <c r="C47" i="6"/>
  <c r="C46" i="6"/>
  <c r="C45" i="6"/>
  <c r="C44" i="6"/>
  <c r="C41" i="6"/>
  <c r="C40" i="6"/>
  <c r="C39" i="6"/>
  <c r="C38" i="6"/>
  <c r="C37" i="6"/>
  <c r="C36" i="6"/>
  <c r="C57" i="5"/>
  <c r="C56" i="5"/>
  <c r="C55" i="5"/>
  <c r="C54" i="5"/>
  <c r="C53" i="5"/>
  <c r="C52" i="5"/>
  <c r="C49" i="5"/>
  <c r="C48" i="5"/>
  <c r="C47" i="5"/>
  <c r="C46" i="5"/>
  <c r="C45" i="5"/>
  <c r="C44" i="5"/>
  <c r="C41" i="5"/>
  <c r="C40" i="5"/>
  <c r="C39" i="5"/>
  <c r="C38" i="5"/>
  <c r="C37" i="5"/>
  <c r="C36" i="5"/>
  <c r="C33" i="5"/>
  <c r="C32" i="5"/>
  <c r="C31" i="5"/>
  <c r="C30" i="5"/>
  <c r="C29" i="5"/>
  <c r="C28" i="5"/>
  <c r="D54" i="3"/>
  <c r="E54" i="3"/>
  <c r="F54" i="3"/>
  <c r="G54" i="3"/>
  <c r="D55" i="3"/>
  <c r="E55" i="3"/>
  <c r="F55" i="3"/>
  <c r="G55" i="3"/>
  <c r="D56" i="3"/>
  <c r="E56" i="3"/>
  <c r="F56" i="3"/>
  <c r="G56" i="3"/>
  <c r="D57" i="3"/>
  <c r="E57" i="3"/>
  <c r="F57" i="3"/>
  <c r="G57" i="3"/>
  <c r="D46" i="3"/>
  <c r="E46" i="3"/>
  <c r="F46" i="3"/>
  <c r="D47" i="3"/>
  <c r="E47" i="3"/>
  <c r="F47" i="3"/>
  <c r="D48" i="3"/>
  <c r="E48" i="3"/>
  <c r="J48" i="3" s="1"/>
  <c r="F48" i="3"/>
  <c r="D49" i="3"/>
  <c r="E49" i="3"/>
  <c r="F49" i="3"/>
  <c r="D38" i="3"/>
  <c r="E38" i="3"/>
  <c r="F38" i="3"/>
  <c r="J38" i="3" s="1"/>
  <c r="D39" i="3"/>
  <c r="E39" i="3"/>
  <c r="F39" i="3"/>
  <c r="D40" i="3"/>
  <c r="E40" i="3"/>
  <c r="F40" i="3"/>
  <c r="D41" i="3"/>
  <c r="E41" i="3"/>
  <c r="F41" i="3"/>
  <c r="J41" i="3" s="1"/>
  <c r="D30" i="3"/>
  <c r="E30" i="3"/>
  <c r="F30" i="3"/>
  <c r="G30" i="3"/>
  <c r="D31" i="3"/>
  <c r="E31" i="3"/>
  <c r="F31" i="3"/>
  <c r="G31" i="3"/>
  <c r="D32" i="3"/>
  <c r="E32" i="3"/>
  <c r="F32" i="3"/>
  <c r="G32" i="3"/>
  <c r="D33" i="3"/>
  <c r="E33" i="3"/>
  <c r="F33" i="3"/>
  <c r="G33" i="3"/>
  <c r="D22" i="3"/>
  <c r="E22" i="3"/>
  <c r="F22" i="3"/>
  <c r="G22" i="3"/>
  <c r="D23" i="3"/>
  <c r="E23" i="3"/>
  <c r="F23" i="3"/>
  <c r="J23" i="3" s="1"/>
  <c r="G23" i="3"/>
  <c r="D24" i="3"/>
  <c r="E24" i="3"/>
  <c r="F24" i="3"/>
  <c r="G24" i="3"/>
  <c r="D25" i="3"/>
  <c r="E25" i="3"/>
  <c r="F25" i="3"/>
  <c r="J25" i="3" s="1"/>
  <c r="G25" i="3"/>
  <c r="D14" i="3"/>
  <c r="E14" i="3"/>
  <c r="F14" i="3"/>
  <c r="J14" i="3" s="1"/>
  <c r="D15" i="3"/>
  <c r="E15" i="3"/>
  <c r="F15" i="3"/>
  <c r="J15" i="3" s="1"/>
  <c r="D16" i="3"/>
  <c r="E16" i="3"/>
  <c r="F16" i="3"/>
  <c r="D17" i="3"/>
  <c r="E17" i="3"/>
  <c r="F17" i="3"/>
  <c r="D6" i="3"/>
  <c r="E6" i="3"/>
  <c r="F6" i="3"/>
  <c r="J6" i="3" s="1"/>
  <c r="D7" i="3"/>
  <c r="E7" i="3"/>
  <c r="F7" i="3"/>
  <c r="J7" i="3" s="1"/>
  <c r="D8" i="3"/>
  <c r="E8" i="3"/>
  <c r="F8" i="3"/>
  <c r="D9" i="3"/>
  <c r="E9" i="3"/>
  <c r="F9" i="3"/>
  <c r="D53" i="3"/>
  <c r="E53" i="3"/>
  <c r="F53" i="3"/>
  <c r="G53" i="3"/>
  <c r="G52" i="3"/>
  <c r="F52" i="3"/>
  <c r="E52" i="3"/>
  <c r="D52" i="3"/>
  <c r="D45" i="3"/>
  <c r="E45" i="3"/>
  <c r="F45" i="3"/>
  <c r="F44" i="3"/>
  <c r="E44" i="3"/>
  <c r="D44" i="3"/>
  <c r="D37" i="3"/>
  <c r="E37" i="3"/>
  <c r="F37" i="3"/>
  <c r="F36" i="3"/>
  <c r="E36" i="3"/>
  <c r="D36" i="3"/>
  <c r="D29" i="3"/>
  <c r="E29" i="3"/>
  <c r="F29" i="3"/>
  <c r="G29" i="3"/>
  <c r="G28" i="3"/>
  <c r="F28" i="3"/>
  <c r="E28" i="3"/>
  <c r="D28" i="3"/>
  <c r="D21" i="3"/>
  <c r="E21" i="3"/>
  <c r="F21" i="3"/>
  <c r="G21" i="3"/>
  <c r="G20" i="3"/>
  <c r="F20" i="3"/>
  <c r="E20" i="3"/>
  <c r="D20" i="3"/>
  <c r="D13" i="3"/>
  <c r="E13" i="3"/>
  <c r="F13" i="3"/>
  <c r="F12" i="3"/>
  <c r="E12" i="3"/>
  <c r="D12" i="3"/>
  <c r="D5" i="3"/>
  <c r="E5" i="3"/>
  <c r="F5" i="3"/>
  <c r="F4" i="3"/>
  <c r="E4" i="3"/>
  <c r="D4" i="3"/>
  <c r="C57" i="3"/>
  <c r="C56" i="3"/>
  <c r="C55" i="3"/>
  <c r="C54" i="3"/>
  <c r="C53" i="3"/>
  <c r="C52" i="3"/>
  <c r="C49" i="3"/>
  <c r="C48" i="3"/>
  <c r="C47" i="3"/>
  <c r="C46" i="3"/>
  <c r="C45" i="3"/>
  <c r="C44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C15" i="3"/>
  <c r="C14" i="3"/>
  <c r="C13" i="3"/>
  <c r="C12" i="3"/>
  <c r="C5" i="3"/>
  <c r="C6" i="3"/>
  <c r="C7" i="3"/>
  <c r="C8" i="3"/>
  <c r="C9" i="3"/>
  <c r="C4" i="3"/>
  <c r="AP19" i="11" l="1"/>
  <c r="AS21" i="11"/>
  <c r="AR14" i="11"/>
  <c r="AP11" i="11"/>
  <c r="AR13" i="11"/>
  <c r="AR25" i="11"/>
  <c r="AR24" i="11"/>
  <c r="AR30" i="11"/>
  <c r="AR20" i="11"/>
  <c r="AP22" i="11"/>
  <c r="AP21" i="11"/>
  <c r="AP23" i="11"/>
  <c r="AP16" i="11"/>
  <c r="AR19" i="11"/>
  <c r="AT15" i="11"/>
  <c r="AT28" i="11"/>
  <c r="AT4" i="11"/>
  <c r="AP25" i="11"/>
  <c r="AP14" i="11"/>
  <c r="AT11" i="11"/>
  <c r="AP12" i="11"/>
  <c r="AP8" i="11"/>
  <c r="AR12" i="11"/>
  <c r="AR11" i="11"/>
  <c r="M9" i="5"/>
  <c r="N4" i="5"/>
  <c r="O4" i="5" s="1"/>
  <c r="S4" i="5"/>
  <c r="T4" i="5"/>
  <c r="J22" i="9"/>
  <c r="J21" i="9"/>
  <c r="J38" i="9"/>
  <c r="J23" i="9"/>
  <c r="J33" i="9"/>
  <c r="J31" i="9"/>
  <c r="J30" i="9"/>
  <c r="J29" i="9"/>
  <c r="L6" i="6"/>
  <c r="L5" i="6"/>
  <c r="L25" i="6"/>
  <c r="L39" i="6"/>
  <c r="L37" i="6"/>
  <c r="L7" i="6"/>
  <c r="L17" i="6"/>
  <c r="L33" i="6"/>
  <c r="L30" i="6"/>
  <c r="L14" i="6"/>
  <c r="L13" i="6"/>
  <c r="L21" i="6"/>
  <c r="L31" i="6"/>
  <c r="L29" i="6"/>
  <c r="J33" i="3"/>
  <c r="J31" i="3"/>
  <c r="J30" i="3"/>
  <c r="J49" i="3"/>
  <c r="J57" i="3"/>
  <c r="J8" i="3"/>
  <c r="J16" i="3"/>
  <c r="J39" i="3"/>
  <c r="J46" i="3"/>
  <c r="J9" i="3"/>
  <c r="J17" i="3"/>
  <c r="J22" i="3"/>
  <c r="J40" i="3"/>
  <c r="J47" i="3"/>
  <c r="J24" i="3"/>
  <c r="J32" i="3"/>
  <c r="J55" i="3"/>
  <c r="J54" i="3"/>
  <c r="J56" i="3"/>
  <c r="J21" i="3"/>
  <c r="J29" i="3"/>
  <c r="J37" i="3"/>
  <c r="J13" i="3"/>
  <c r="J5" i="3"/>
  <c r="J45" i="3"/>
  <c r="J53" i="3"/>
  <c r="J20" i="3"/>
  <c r="J28" i="3"/>
  <c r="J36" i="3"/>
  <c r="J12" i="3"/>
  <c r="J4" i="3"/>
  <c r="J44" i="3"/>
  <c r="J52" i="3"/>
  <c r="U4" i="5" l="1"/>
  <c r="V4" i="5" s="1"/>
</calcChain>
</file>

<file path=xl/sharedStrings.xml><?xml version="1.0" encoding="utf-8"?>
<sst xmlns="http://schemas.openxmlformats.org/spreadsheetml/2006/main" count="1858" uniqueCount="318">
  <si>
    <t xml:space="preserve">reactant a </t>
  </si>
  <si>
    <t>reactant b</t>
  </si>
  <si>
    <t>product a</t>
  </si>
  <si>
    <t>product b</t>
  </si>
  <si>
    <t>MnO2</t>
  </si>
  <si>
    <t>H2</t>
  </si>
  <si>
    <t>2H+</t>
  </si>
  <si>
    <t>Mn2+</t>
  </si>
  <si>
    <t>2H2O</t>
  </si>
  <si>
    <t>proton</t>
  </si>
  <si>
    <t>electron transfer</t>
  </si>
  <si>
    <t>2e-</t>
  </si>
  <si>
    <t>↔</t>
  </si>
  <si>
    <t>Fe3O4</t>
  </si>
  <si>
    <t>6H+</t>
  </si>
  <si>
    <t>3Fe2+</t>
  </si>
  <si>
    <t>4H2O</t>
  </si>
  <si>
    <t>HS-</t>
  </si>
  <si>
    <t>3H+</t>
  </si>
  <si>
    <t>S0</t>
  </si>
  <si>
    <t>product c</t>
  </si>
  <si>
    <t>7H+</t>
  </si>
  <si>
    <t>NH4+</t>
  </si>
  <si>
    <t>4H+</t>
  </si>
  <si>
    <t>NO2-</t>
  </si>
  <si>
    <t>CH4</t>
  </si>
  <si>
    <t>8H+</t>
  </si>
  <si>
    <t>4Mn2+</t>
  </si>
  <si>
    <t>6H2O</t>
  </si>
  <si>
    <t>8e-</t>
  </si>
  <si>
    <t>2Fe2+</t>
  </si>
  <si>
    <t>3MnO2</t>
  </si>
  <si>
    <t>3Mn2+</t>
  </si>
  <si>
    <t>SO42-</t>
  </si>
  <si>
    <t>6e-</t>
  </si>
  <si>
    <t>HCO3-</t>
  </si>
  <si>
    <t>5H2O</t>
  </si>
  <si>
    <t>9MnO2</t>
  </si>
  <si>
    <t>2CH3COO-</t>
  </si>
  <si>
    <t>18H+</t>
  </si>
  <si>
    <t>9Mn2+</t>
  </si>
  <si>
    <t>4HCO3-</t>
  </si>
  <si>
    <t>10H2O</t>
  </si>
  <si>
    <t>18e-</t>
  </si>
  <si>
    <t>NO3-</t>
  </si>
  <si>
    <t>reactant c</t>
  </si>
  <si>
    <t>product d</t>
  </si>
  <si>
    <t>15H+</t>
  </si>
  <si>
    <t>Magnetite</t>
  </si>
  <si>
    <t>Pyrolusite</t>
  </si>
  <si>
    <t>Pyrite</t>
  </si>
  <si>
    <t>3Fe3O4</t>
  </si>
  <si>
    <t>16H+</t>
  </si>
  <si>
    <t>9Fe2+</t>
  </si>
  <si>
    <t>4Fe3O4</t>
  </si>
  <si>
    <t>23H+</t>
  </si>
  <si>
    <t>12Fe2+</t>
  </si>
  <si>
    <t>13H2O</t>
  </si>
  <si>
    <t>8H2O</t>
  </si>
  <si>
    <t>Hematite</t>
  </si>
  <si>
    <t>Fe2O3</t>
  </si>
  <si>
    <t>3H2O</t>
  </si>
  <si>
    <t>4e-</t>
  </si>
  <si>
    <t>reactant a</t>
  </si>
  <si>
    <t>Fe2+</t>
  </si>
  <si>
    <t>H+</t>
  </si>
  <si>
    <t>9H+</t>
  </si>
  <si>
    <t>e-</t>
  </si>
  <si>
    <t>CH3COO-</t>
  </si>
  <si>
    <t>2HCO3-</t>
  </si>
  <si>
    <t>FeCO3</t>
  </si>
  <si>
    <t>Al2Si2O5(OH)4</t>
  </si>
  <si>
    <t>H2O</t>
  </si>
  <si>
    <t>MnOOH</t>
  </si>
  <si>
    <t>Siderite</t>
  </si>
  <si>
    <t>2FeCO3</t>
  </si>
  <si>
    <t>8FeCO3</t>
  </si>
  <si>
    <t>Gypsum</t>
  </si>
  <si>
    <t>2HS-</t>
  </si>
  <si>
    <t>2S0</t>
  </si>
  <si>
    <t>3Fe2O3</t>
  </si>
  <si>
    <t>2NH4+</t>
  </si>
  <si>
    <t>2NO2-</t>
  </si>
  <si>
    <t>6Fe2+</t>
  </si>
  <si>
    <t>12e-</t>
  </si>
  <si>
    <t>2Fe2O3</t>
  </si>
  <si>
    <t>4Fe2+</t>
  </si>
  <si>
    <t>2SO42-</t>
  </si>
  <si>
    <t>9Fe2O3</t>
  </si>
  <si>
    <t>4CH3COO-</t>
  </si>
  <si>
    <t>18Fe2+</t>
  </si>
  <si>
    <t>8HCO3-</t>
  </si>
  <si>
    <t>11H2O</t>
  </si>
  <si>
    <t>36e-</t>
  </si>
  <si>
    <t>2KFe3AlSi3O10(OH)2</t>
  </si>
  <si>
    <t>2K+</t>
  </si>
  <si>
    <t>4H4SiO4</t>
  </si>
  <si>
    <t>72e-</t>
  </si>
  <si>
    <t>product e</t>
  </si>
  <si>
    <t>FeOOH</t>
  </si>
  <si>
    <t>6FeOOH</t>
  </si>
  <si>
    <t>2FeOOH</t>
  </si>
  <si>
    <t>12H2O</t>
  </si>
  <si>
    <t>8FeOOH</t>
  </si>
  <si>
    <t>9HS-</t>
  </si>
  <si>
    <t>7HCO3-</t>
  </si>
  <si>
    <t>2Mn2+</t>
  </si>
  <si>
    <t>2MnOOH</t>
  </si>
  <si>
    <t>4MnOOH</t>
  </si>
  <si>
    <t>Ca2+</t>
  </si>
  <si>
    <t>4H2</t>
  </si>
  <si>
    <t>CaSO4*2H2O</t>
  </si>
  <si>
    <t>9CaSO4*2H2O</t>
  </si>
  <si>
    <t>8CH3COO-</t>
  </si>
  <si>
    <t>16HCO3-</t>
  </si>
  <si>
    <t>9Ca2+</t>
  </si>
  <si>
    <t>22H2O</t>
  </si>
  <si>
    <t>3HS-</t>
  </si>
  <si>
    <t>5H+</t>
  </si>
  <si>
    <t>4S0</t>
  </si>
  <si>
    <t>4NH4+</t>
  </si>
  <si>
    <t>4NO2-</t>
  </si>
  <si>
    <t>24e-</t>
  </si>
  <si>
    <t>3CaSO4*2H2O</t>
  </si>
  <si>
    <t>8Fe2+</t>
  </si>
  <si>
    <t>4SO42-</t>
  </si>
  <si>
    <t>8Mn2+</t>
  </si>
  <si>
    <t>8MnOOH</t>
  </si>
  <si>
    <t>4FeOOH</t>
  </si>
  <si>
    <t>Site</t>
  </si>
  <si>
    <t>Temp C</t>
  </si>
  <si>
    <t>Temp K</t>
  </si>
  <si>
    <t>Plotting range:</t>
  </si>
  <si>
    <t>log Q</t>
  </si>
  <si>
    <t>log K</t>
  </si>
  <si>
    <t>/8, kJ</t>
  </si>
  <si>
    <t>Avg. H+L</t>
  </si>
  <si>
    <t>+/-</t>
  </si>
  <si>
    <t>DeMMO1</t>
  </si>
  <si>
    <t>DeMMO2</t>
  </si>
  <si>
    <t>DeMMO3</t>
  </si>
  <si>
    <t>DeMMO4</t>
  </si>
  <si>
    <t>DeMMO5</t>
  </si>
  <si>
    <t>DeMMO6</t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</si>
  <si>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H</t>
    </r>
    <r>
      <rPr>
        <b/>
        <vertAlign val="subscript"/>
        <sz val="12"/>
        <color theme="1"/>
        <rFont val="Calibri (Body)"/>
      </rPr>
      <t>2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</si>
  <si>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 H</t>
    </r>
    <r>
      <rPr>
        <b/>
        <vertAlign val="superscript"/>
        <sz val="11"/>
        <color theme="1"/>
        <rFont val="Calibri"/>
        <family val="2"/>
        <scheme val="minor"/>
      </rPr>
      <t xml:space="preserve">+  </t>
    </r>
    <r>
      <rPr>
        <sz val="12"/>
        <color theme="1"/>
        <rFont val="Calibri"/>
        <family val="2"/>
        <scheme val="minor"/>
      </rPr>
      <t/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</si>
  <si>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Mn</t>
    </r>
    <r>
      <rPr>
        <b/>
        <vertAlign val="superscript"/>
        <sz val="12"/>
        <color theme="1"/>
        <rFont val="Calibri (Body)"/>
      </rPr>
      <t xml:space="preserve">2+ </t>
    </r>
  </si>
  <si>
    <r>
      <rPr>
        <b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</si>
  <si>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CH</t>
    </r>
    <r>
      <rPr>
        <b/>
        <vertAlign val="subscript"/>
        <sz val="11"/>
        <rFont val="Calibri"/>
        <family val="2"/>
        <scheme val="minor"/>
      </rPr>
      <t>4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</si>
  <si>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HS-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</si>
  <si>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NH</t>
    </r>
    <r>
      <rPr>
        <b/>
        <vertAlign val="subscript"/>
        <sz val="11"/>
        <rFont val="Calibri"/>
        <family val="2"/>
        <scheme val="minor"/>
      </rPr>
      <t>4</t>
    </r>
    <r>
      <rPr>
        <b/>
        <vertAlign val="superscript"/>
        <sz val="11"/>
        <rFont val="Calibri (Body)"/>
      </rPr>
      <t>+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</si>
  <si>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NO</t>
    </r>
    <r>
      <rPr>
        <b/>
        <vertAlign val="subscript"/>
        <sz val="12"/>
        <color theme="1"/>
        <rFont val="Calibri (Body)"/>
      </rPr>
      <t>2</t>
    </r>
    <r>
      <rPr>
        <b/>
        <vertAlign val="superscript"/>
        <sz val="12"/>
        <color theme="1"/>
        <rFont val="Calibri (Body)"/>
      </rPr>
      <t xml:space="preserve">-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</si>
  <si>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 HCO</t>
    </r>
    <r>
      <rPr>
        <b/>
        <vertAlign val="subscript"/>
        <sz val="12"/>
        <color theme="1"/>
        <rFont val="Calibri (Body)"/>
      </rPr>
      <t>3</t>
    </r>
    <r>
      <rPr>
        <b/>
        <vertAlign val="superscript"/>
        <sz val="12"/>
        <color theme="1"/>
        <rFont val="Calibri (Body)"/>
      </rPr>
      <t>-</t>
    </r>
    <r>
      <rPr>
        <b/>
        <vertAlign val="superscript"/>
        <sz val="11"/>
        <color theme="1"/>
        <rFont val="Calibri"/>
        <family val="2"/>
        <scheme val="minor"/>
      </rPr>
      <t xml:space="preserve"> 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</si>
  <si>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Fe</t>
    </r>
    <r>
      <rPr>
        <b/>
        <vertAlign val="superscript"/>
        <sz val="12"/>
        <color theme="1"/>
        <rFont val="Calibri (Body)"/>
      </rPr>
      <t>2+</t>
    </r>
    <r>
      <rPr>
        <b/>
        <sz val="12"/>
        <color theme="1"/>
        <rFont val="Calibri"/>
        <family val="2"/>
        <scheme val="minor"/>
      </rPr>
      <t xml:space="preserve">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</si>
  <si>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SO42-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</si>
  <si>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CH3COO-</t>
    </r>
  </si>
  <si>
    <t>/2, kJ</t>
  </si>
  <si>
    <t>/6, kJ</t>
  </si>
  <si>
    <t>/18, kJ</t>
  </si>
  <si>
    <t>LR = limting reactant (either ED or EA)</t>
  </si>
  <si>
    <t>/ ED</t>
  </si>
  <si>
    <t>/EA</t>
  </si>
  <si>
    <t>Lesser</t>
  </si>
  <si>
    <t>Exergonicity</t>
  </si>
  <si>
    <t>Max</t>
  </si>
  <si>
    <t>Min</t>
  </si>
  <si>
    <t>Log midpoint</t>
  </si>
  <si>
    <t>log (seawater J)</t>
  </si>
  <si>
    <r>
      <rPr>
        <b/>
        <sz val="11"/>
        <color theme="1"/>
        <rFont val="Symbol"/>
        <family val="1"/>
        <charset val="2"/>
      </rPr>
      <t>D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r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J / kg 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O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</si>
  <si>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Fe</t>
    </r>
    <r>
      <rPr>
        <b/>
        <vertAlign val="superscript"/>
        <sz val="12"/>
        <color theme="1"/>
        <rFont val="Calibri (Body)"/>
      </rPr>
      <t xml:space="preserve">2+ </t>
    </r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</si>
  <si>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Ca</t>
    </r>
    <r>
      <rPr>
        <b/>
        <vertAlign val="superscript"/>
        <sz val="12"/>
        <color theme="1"/>
        <rFont val="Calibri (Body)"/>
      </rPr>
      <t xml:space="preserve">2+ </t>
    </r>
  </si>
  <si>
    <t>3Ca2+</t>
  </si>
  <si>
    <r>
      <t xml:space="preserve">log 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2"/>
        <color theme="1"/>
        <rFont val="Calibri"/>
        <family val="2"/>
        <scheme val="minor"/>
      </rPr>
      <t xml:space="preserve"> NO</t>
    </r>
    <r>
      <rPr>
        <b/>
        <vertAlign val="subscript"/>
        <sz val="12"/>
        <color theme="1"/>
        <rFont val="Calibri (Body)"/>
      </rPr>
      <t>3</t>
    </r>
    <r>
      <rPr>
        <b/>
        <vertAlign val="superscript"/>
        <sz val="12"/>
        <color theme="1"/>
        <rFont val="Calibri (Body)"/>
      </rPr>
      <t xml:space="preserve">- </t>
    </r>
  </si>
  <si>
    <t>log a SO42-</t>
  </si>
  <si>
    <t>/24, kJ</t>
  </si>
  <si>
    <t>/72, kJ</t>
  </si>
  <si>
    <t>/4, kJ</t>
  </si>
  <si>
    <t>/12, kJ</t>
  </si>
  <si>
    <t>/36, kJ</t>
  </si>
  <si>
    <t>NA</t>
  </si>
  <si>
    <t>rebalance</t>
  </si>
  <si>
    <t xml:space="preserve"> </t>
  </si>
  <si>
    <r>
      <t>2H</t>
    </r>
    <r>
      <rPr>
        <vertAlign val="superscript"/>
        <sz val="12"/>
        <color theme="1"/>
        <rFont val="Calibri (Body)"/>
      </rPr>
      <t>+</t>
    </r>
  </si>
  <si>
    <r>
      <t>3H</t>
    </r>
    <r>
      <rPr>
        <vertAlign val="superscript"/>
        <sz val="12"/>
        <color theme="1"/>
        <rFont val="Calibri (Body)"/>
      </rPr>
      <t>+</t>
    </r>
  </si>
  <si>
    <r>
      <t>4H</t>
    </r>
    <r>
      <rPr>
        <vertAlign val="superscript"/>
        <sz val="12"/>
        <color theme="1"/>
        <rFont val="Calibri (Body)"/>
      </rPr>
      <t>+</t>
    </r>
  </si>
  <si>
    <r>
      <t>7H</t>
    </r>
    <r>
      <rPr>
        <vertAlign val="superscript"/>
        <sz val="12"/>
        <color theme="1"/>
        <rFont val="Calibri (Body)"/>
      </rPr>
      <t>+</t>
    </r>
  </si>
  <si>
    <r>
      <t>MnO</t>
    </r>
    <r>
      <rPr>
        <vertAlign val="subscript"/>
        <sz val="12"/>
        <color theme="1"/>
        <rFont val="Calibri (Body)"/>
      </rPr>
      <t>2</t>
    </r>
  </si>
  <si>
    <r>
      <t>3MnO</t>
    </r>
    <r>
      <rPr>
        <vertAlign val="subscript"/>
        <sz val="12"/>
        <color theme="1"/>
        <rFont val="Calibri (Body)"/>
      </rPr>
      <t>2</t>
    </r>
  </si>
  <si>
    <r>
      <t>4MnO</t>
    </r>
    <r>
      <rPr>
        <vertAlign val="subscript"/>
        <sz val="12"/>
        <color theme="1"/>
        <rFont val="Calibri (Body)"/>
      </rPr>
      <t>2</t>
    </r>
  </si>
  <si>
    <r>
      <t>H</t>
    </r>
    <r>
      <rPr>
        <vertAlign val="subscript"/>
        <sz val="12"/>
        <color theme="1"/>
        <rFont val="Calibri (Body)"/>
      </rPr>
      <t>2</t>
    </r>
  </si>
  <si>
    <r>
      <t>HS</t>
    </r>
    <r>
      <rPr>
        <vertAlign val="superscript"/>
        <sz val="12"/>
        <color theme="1"/>
        <rFont val="Calibri (Body)"/>
      </rPr>
      <t>-</t>
    </r>
  </si>
  <si>
    <r>
      <t>NH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+</t>
    </r>
  </si>
  <si>
    <r>
      <t>CH</t>
    </r>
    <r>
      <rPr>
        <vertAlign val="subscript"/>
        <sz val="12"/>
        <color theme="1"/>
        <rFont val="Calibri (Body)"/>
      </rPr>
      <t>4</t>
    </r>
  </si>
  <si>
    <r>
      <t>2Fe</t>
    </r>
    <r>
      <rPr>
        <vertAlign val="superscript"/>
        <sz val="12"/>
        <color theme="1"/>
        <rFont val="Calibri (Body)"/>
      </rPr>
      <t>2+</t>
    </r>
  </si>
  <si>
    <r>
      <t>S</t>
    </r>
    <r>
      <rPr>
        <vertAlign val="superscript"/>
        <sz val="12"/>
        <color theme="1"/>
        <rFont val="Calibri (Body)"/>
      </rPr>
      <t>0</t>
    </r>
  </si>
  <si>
    <r>
      <t>CH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COO</t>
    </r>
    <r>
      <rPr>
        <vertAlign val="superscript"/>
        <sz val="12"/>
        <color theme="1"/>
        <rFont val="Calibri (Body)"/>
      </rPr>
      <t>-</t>
    </r>
  </si>
  <si>
    <r>
      <t>Mn</t>
    </r>
    <r>
      <rPr>
        <vertAlign val="superscript"/>
        <sz val="12"/>
        <color theme="1"/>
        <rFont val="Calibri (Body)"/>
      </rPr>
      <t>2+</t>
    </r>
  </si>
  <si>
    <r>
      <t>3Mn</t>
    </r>
    <r>
      <rPr>
        <vertAlign val="superscript"/>
        <sz val="12"/>
        <color theme="1"/>
        <rFont val="Calibri (Body)"/>
      </rPr>
      <t>2+</t>
    </r>
  </si>
  <si>
    <r>
      <t>4Mn</t>
    </r>
    <r>
      <rPr>
        <vertAlign val="superscript"/>
        <sz val="12"/>
        <color theme="1"/>
        <rFont val="Calibri (Body)"/>
      </rPr>
      <t>2+</t>
    </r>
  </si>
  <si>
    <r>
      <t>2H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</si>
  <si>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NO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-</t>
    </r>
  </si>
  <si>
    <r>
      <t>HCO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</si>
  <si>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SO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2-</t>
    </r>
  </si>
  <si>
    <r>
      <t>2HCO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</si>
  <si>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4H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</si>
  <si>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5H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</si>
  <si>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Fe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4</t>
    </r>
  </si>
  <si>
    <r>
      <t>3Fe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4</t>
    </r>
  </si>
  <si>
    <r>
      <t>4Fe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4</t>
    </r>
  </si>
  <si>
    <r>
      <t>2Mn</t>
    </r>
    <r>
      <rPr>
        <vertAlign val="superscript"/>
        <sz val="12"/>
        <color theme="1"/>
        <rFont val="Calibri (Body)"/>
      </rPr>
      <t>2+</t>
    </r>
  </si>
  <si>
    <r>
      <t>6H</t>
    </r>
    <r>
      <rPr>
        <vertAlign val="superscript"/>
        <sz val="12"/>
        <color theme="1"/>
        <rFont val="Calibri (Body)"/>
      </rPr>
      <t>+</t>
    </r>
  </si>
  <si>
    <r>
      <t>16H</t>
    </r>
    <r>
      <rPr>
        <vertAlign val="superscript"/>
        <sz val="12"/>
        <color theme="1"/>
        <rFont val="Calibri (Body)"/>
      </rPr>
      <t>+</t>
    </r>
  </si>
  <si>
    <r>
      <t>23H</t>
    </r>
    <r>
      <rPr>
        <vertAlign val="superscript"/>
        <sz val="12"/>
        <color theme="1"/>
        <rFont val="Calibri (Body)"/>
      </rPr>
      <t>+</t>
    </r>
  </si>
  <si>
    <r>
      <t>3Fe</t>
    </r>
    <r>
      <rPr>
        <vertAlign val="superscript"/>
        <sz val="12"/>
        <color theme="1"/>
        <rFont val="Calibri (Body)"/>
      </rPr>
      <t>2+</t>
    </r>
  </si>
  <si>
    <r>
      <t>9Fe</t>
    </r>
    <r>
      <rPr>
        <vertAlign val="superscript"/>
        <sz val="12"/>
        <color theme="1"/>
        <rFont val="Calibri (Body)"/>
      </rPr>
      <t>2+</t>
    </r>
  </si>
  <si>
    <r>
      <t>12Fe</t>
    </r>
    <r>
      <rPr>
        <vertAlign val="superscript"/>
        <sz val="12"/>
        <color theme="1"/>
        <rFont val="Calibri (Body)"/>
      </rPr>
      <t>2+</t>
    </r>
  </si>
  <si>
    <r>
      <t>10H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</si>
  <si>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13H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</si>
  <si>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8H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</si>
  <si>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12H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</si>
  <si>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CaSO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*2H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</si>
  <si>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H</t>
    </r>
    <r>
      <rPr>
        <vertAlign val="superscript"/>
        <sz val="12"/>
        <color theme="1"/>
        <rFont val="Calibri (Body)"/>
      </rPr>
      <t>+</t>
    </r>
  </si>
  <si>
    <r>
      <t>Ca</t>
    </r>
    <r>
      <rPr>
        <vertAlign val="superscript"/>
        <sz val="12"/>
        <color theme="1"/>
        <rFont val="Calibri (Body)"/>
      </rPr>
      <t>2+</t>
    </r>
  </si>
  <si>
    <r>
      <t>6H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</si>
  <si>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3HS</t>
    </r>
    <r>
      <rPr>
        <vertAlign val="superscript"/>
        <sz val="12"/>
        <color theme="1"/>
        <rFont val="Calibri (Body)"/>
      </rPr>
      <t>-</t>
    </r>
  </si>
  <si>
    <r>
      <t>4NH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+</t>
    </r>
  </si>
  <si>
    <r>
      <t>4S</t>
    </r>
    <r>
      <rPr>
        <vertAlign val="superscript"/>
        <sz val="12"/>
        <color theme="1"/>
        <rFont val="Calibri (Body)"/>
      </rPr>
      <t>0</t>
    </r>
  </si>
  <si>
    <r>
      <t>5H</t>
    </r>
    <r>
      <rPr>
        <vertAlign val="superscript"/>
        <sz val="12"/>
        <color theme="1"/>
        <rFont val="Calibri (Body)"/>
      </rPr>
      <t>+</t>
    </r>
  </si>
  <si>
    <r>
      <t>4NO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-</t>
    </r>
  </si>
  <si>
    <r>
      <t>3Ca</t>
    </r>
    <r>
      <rPr>
        <vertAlign val="superscript"/>
        <sz val="12"/>
        <color theme="1"/>
        <rFont val="Calibri (Body)"/>
      </rPr>
      <t>2+</t>
    </r>
  </si>
  <si>
    <r>
      <t>8Fe</t>
    </r>
    <r>
      <rPr>
        <vertAlign val="superscript"/>
        <sz val="12"/>
        <color theme="1"/>
        <rFont val="Calibri (Body)"/>
      </rPr>
      <t>2+</t>
    </r>
  </si>
  <si>
    <r>
      <t>15H</t>
    </r>
    <r>
      <rPr>
        <vertAlign val="superscript"/>
        <sz val="12"/>
        <color theme="1"/>
        <rFont val="Calibri (Body)"/>
      </rPr>
      <t>+</t>
    </r>
  </si>
  <si>
    <r>
      <t>4SO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2-</t>
    </r>
  </si>
  <si>
    <r>
      <t>8Mn</t>
    </r>
    <r>
      <rPr>
        <vertAlign val="superscript"/>
        <sz val="12"/>
        <color theme="1"/>
        <rFont val="Calibri (Body)"/>
      </rPr>
      <t>2+</t>
    </r>
  </si>
  <si>
    <r>
      <t>2FeCO</t>
    </r>
    <r>
      <rPr>
        <vertAlign val="subscript"/>
        <sz val="12"/>
        <color theme="1"/>
        <rFont val="Calibri (Body)"/>
      </rPr>
      <t>3</t>
    </r>
  </si>
  <si>
    <r>
      <t>8FeCO</t>
    </r>
    <r>
      <rPr>
        <vertAlign val="subscript"/>
        <sz val="12"/>
        <color theme="1"/>
        <rFont val="Calibri (Body)"/>
      </rPr>
      <t>3</t>
    </r>
  </si>
  <si>
    <r>
      <t>NO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"/>
        <family val="2"/>
        <scheme val="minor"/>
      </rPr>
      <t>-</t>
    </r>
  </si>
  <si>
    <r>
      <t>3H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</si>
  <si>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8HCO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</si>
  <si>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Fe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3</t>
    </r>
  </si>
  <si>
    <r>
      <t>3Fe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3</t>
    </r>
  </si>
  <si>
    <r>
      <t>4Fe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3</t>
    </r>
  </si>
  <si>
    <r>
      <t>10H</t>
    </r>
    <r>
      <rPr>
        <vertAlign val="superscript"/>
        <sz val="12"/>
        <color theme="1"/>
        <rFont val="Calibri (Body)"/>
      </rPr>
      <t>+</t>
    </r>
  </si>
  <si>
    <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</si>
  <si>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6Fe</t>
    </r>
    <r>
      <rPr>
        <vertAlign val="superscript"/>
        <sz val="12"/>
        <color theme="1"/>
        <rFont val="Calibri (Body)"/>
      </rPr>
      <t>2+</t>
    </r>
  </si>
  <si>
    <r>
      <t>7H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</si>
  <si>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9H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</si>
  <si>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4H</t>
    </r>
    <r>
      <rPr>
        <vertAlign val="subscript"/>
        <sz val="12"/>
        <color theme="1"/>
        <rFont val="Calibri (Body)"/>
      </rPr>
      <t>2</t>
    </r>
  </si>
  <si>
    <t>Mn</t>
  </si>
  <si>
    <t>H</t>
  </si>
  <si>
    <t>O</t>
  </si>
  <si>
    <t>S</t>
  </si>
  <si>
    <t>N</t>
  </si>
  <si>
    <t>C</t>
  </si>
  <si>
    <t>Fe</t>
  </si>
  <si>
    <t>rxn.number</t>
  </si>
  <si>
    <t xml:space="preserve">reactant.a </t>
  </si>
  <si>
    <t>reactant.b</t>
  </si>
  <si>
    <t>reactant.c</t>
  </si>
  <si>
    <t>Z</t>
  </si>
  <si>
    <t>C.r</t>
  </si>
  <si>
    <t>H.r</t>
  </si>
  <si>
    <t>N.r</t>
  </si>
  <si>
    <t>O.r</t>
  </si>
  <si>
    <t>S.r</t>
  </si>
  <si>
    <t>Z.r</t>
  </si>
  <si>
    <t>Mn.r</t>
  </si>
  <si>
    <t>Fe.r</t>
  </si>
  <si>
    <t>C.p</t>
  </si>
  <si>
    <t>H.p</t>
  </si>
  <si>
    <t>N.p</t>
  </si>
  <si>
    <t>O.p</t>
  </si>
  <si>
    <t>S.p</t>
  </si>
  <si>
    <t>Z.p</t>
  </si>
  <si>
    <t>Mn.p</t>
  </si>
  <si>
    <t>Fe.p</t>
  </si>
  <si>
    <t>pyrolusite</t>
  </si>
  <si>
    <t>coeff.a</t>
  </si>
  <si>
    <t>coeff.b</t>
  </si>
  <si>
    <t>coeff.c</t>
  </si>
  <si>
    <t>product.e</t>
  </si>
  <si>
    <t>product.f</t>
  </si>
  <si>
    <t>product.g</t>
  </si>
  <si>
    <t>product.h</t>
  </si>
  <si>
    <t>e.transfer</t>
  </si>
  <si>
    <t>coeff.d</t>
  </si>
  <si>
    <t>coeff.e</t>
  </si>
  <si>
    <t>coeff.f</t>
  </si>
  <si>
    <t>coeff.g</t>
  </si>
  <si>
    <t>coeff.h</t>
  </si>
  <si>
    <t>Mn+2</t>
  </si>
  <si>
    <t>Fe+2</t>
  </si>
  <si>
    <t>acetate</t>
  </si>
  <si>
    <t>ferrihydrite</t>
  </si>
  <si>
    <t>SO4-2</t>
  </si>
  <si>
    <t>magnetite</t>
  </si>
  <si>
    <t>siderite</t>
  </si>
  <si>
    <t>gypsum</t>
  </si>
  <si>
    <t>hematite</t>
  </si>
  <si>
    <t>Ca+2</t>
  </si>
  <si>
    <t>manganite</t>
  </si>
  <si>
    <t>e.acceptor</t>
  </si>
  <si>
    <t>e.donor</t>
  </si>
  <si>
    <t>pyrite</t>
  </si>
  <si>
    <t>8NO3-</t>
  </si>
  <si>
    <t>FeS22-</t>
  </si>
  <si>
    <t>8NO2-</t>
  </si>
  <si>
    <t>16e-</t>
  </si>
  <si>
    <r>
      <t>FeS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2-</t>
    </r>
  </si>
  <si>
    <r>
      <t>Fe</t>
    </r>
    <r>
      <rPr>
        <vertAlign val="superscript"/>
        <sz val="12"/>
        <color theme="1"/>
        <rFont val="Calibri (Body)"/>
      </rPr>
      <t>2+</t>
    </r>
  </si>
  <si>
    <r>
      <t>8NO</t>
    </r>
    <r>
      <rPr>
        <vertAlign val="subscript"/>
        <sz val="12"/>
        <color theme="1"/>
        <rFont val="Calibri (Body)"/>
      </rPr>
      <t>3</t>
    </r>
    <r>
      <rPr>
        <vertAlign val="superscript"/>
        <sz val="12"/>
        <color theme="1"/>
        <rFont val="Calibri (Body)"/>
      </rPr>
      <t>-</t>
    </r>
  </si>
  <si>
    <r>
      <t>2SO</t>
    </r>
    <r>
      <rPr>
        <vertAlign val="subscript"/>
        <sz val="12"/>
        <color theme="1"/>
        <rFont val="Calibri (Body)"/>
      </rPr>
      <t>4</t>
    </r>
    <r>
      <rPr>
        <vertAlign val="superscript"/>
        <sz val="12"/>
        <color theme="1"/>
        <rFont val="Calibri (Body)"/>
      </rPr>
      <t>2-</t>
    </r>
  </si>
  <si>
    <r>
      <t>8NO</t>
    </r>
    <r>
      <rPr>
        <vertAlign val="subscript"/>
        <sz val="12"/>
        <color theme="1"/>
        <rFont val="Calibri (Body)"/>
      </rPr>
      <t>2</t>
    </r>
    <r>
      <rPr>
        <vertAlign val="superscript"/>
        <sz val="12"/>
        <color theme="1"/>
        <rFont val="Calibri (Body)"/>
      </rPr>
      <t>-</t>
    </r>
  </si>
  <si>
    <t>2CH4</t>
  </si>
  <si>
    <t>reactant.d</t>
  </si>
  <si>
    <t>product.i</t>
  </si>
  <si>
    <t>coeff.i</t>
  </si>
  <si>
    <t>reactand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</si>
</sst>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2"/>
      <color theme="1"/>
      <name val="Calibri (Body)"/>
    </font>
    <font>
      <vertAlign val="subscript"/>
      <sz val="12"/>
      <color theme="1"/>
      <name val="Calibri (Body)"/>
    </font>
    <font>
      <b/>
      <i/>
      <sz val="11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1"/>
      <color theme="1"/>
      <name val="Symbol"/>
      <family val="1"/>
      <charset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name val="Calibri (Body)"/>
    </font>
    <font>
      <vertAlign val="superscript"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0D4FF"/>
        <bgColor indexed="64"/>
      </patternFill>
    </fill>
    <fill>
      <patternFill patternType="solid">
        <fgColor rgb="FFFCD6F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CD6F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0" xfId="0" applyFill="1"/>
    <xf numFmtId="0" fontId="2" fillId="6" borderId="1" xfId="0" applyFont="1" applyFill="1" applyBorder="1"/>
    <xf numFmtId="0" fontId="2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6" borderId="0" xfId="0" applyFont="1" applyFill="1"/>
    <xf numFmtId="0" fontId="2" fillId="5" borderId="0" xfId="0" applyFont="1" applyFill="1"/>
    <xf numFmtId="0" fontId="3" fillId="7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2" fillId="7" borderId="0" xfId="0" applyFont="1" applyFill="1" applyBorder="1"/>
    <xf numFmtId="0" fontId="2" fillId="6" borderId="0" xfId="0" applyFont="1" applyFill="1" applyBorder="1"/>
    <xf numFmtId="0" fontId="3" fillId="11" borderId="0" xfId="0" applyFont="1" applyFill="1" applyAlignment="1">
      <alignment horizontal="center"/>
    </xf>
    <xf numFmtId="0" fontId="1" fillId="0" borderId="0" xfId="0" applyFont="1"/>
    <xf numFmtId="0" fontId="0" fillId="0" borderId="0" xfId="0" quotePrefix="1"/>
    <xf numFmtId="0" fontId="2" fillId="0" borderId="0" xfId="0" quotePrefix="1" applyFont="1"/>
    <xf numFmtId="164" fontId="0" fillId="0" borderId="0" xfId="0" applyNumberFormat="1"/>
    <xf numFmtId="164" fontId="2" fillId="0" borderId="0" xfId="0" applyNumberFormat="1" applyFont="1"/>
    <xf numFmtId="0" fontId="0" fillId="0" borderId="0" xfId="0" applyFont="1"/>
    <xf numFmtId="0" fontId="0" fillId="12" borderId="0" xfId="0" applyFill="1"/>
    <xf numFmtId="0" fontId="2" fillId="12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2" fillId="0" borderId="0" xfId="0" applyFont="1" applyFill="1"/>
    <xf numFmtId="0" fontId="2" fillId="2" borderId="0" xfId="0" applyFont="1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7" borderId="0" xfId="0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2" xfId="0" applyBorder="1"/>
    <xf numFmtId="0" fontId="2" fillId="2" borderId="3" xfId="0" applyFont="1" applyFill="1" applyBorder="1"/>
    <xf numFmtId="0" fontId="0" fillId="2" borderId="2" xfId="0" applyFill="1" applyBorder="1"/>
    <xf numFmtId="0" fontId="0" fillId="3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5" borderId="2" xfId="0" applyFill="1" applyBorder="1"/>
    <xf numFmtId="0" fontId="2" fillId="3" borderId="2" xfId="0" applyFont="1" applyFill="1" applyBorder="1"/>
    <xf numFmtId="0" fontId="0" fillId="0" borderId="2" xfId="0" applyFill="1" applyBorder="1"/>
    <xf numFmtId="0" fontId="2" fillId="4" borderId="2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4" borderId="2" xfId="0" applyFill="1" applyBorder="1"/>
    <xf numFmtId="0" fontId="0" fillId="6" borderId="0" xfId="0" applyFill="1" applyBorder="1"/>
    <xf numFmtId="0" fontId="0" fillId="5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F6"/>
      <color rgb="FFE0D4FF"/>
      <color rgb="FFCCA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2CC1-0A9B-6B4D-97AE-334924F19869}">
  <dimension ref="A1:U30"/>
  <sheetViews>
    <sheetView tabSelected="1" topLeftCell="E1" workbookViewId="0">
      <selection activeCell="S6" sqref="S6"/>
    </sheetView>
  </sheetViews>
  <sheetFormatPr baseColWidth="10" defaultRowHeight="16"/>
  <cols>
    <col min="4" max="4" width="10.83203125" style="2"/>
    <col min="8" max="8" width="14.83203125" bestFit="1" customWidth="1"/>
    <col min="14" max="14" width="10.83203125" style="2"/>
    <col min="18" max="19" width="14.83203125" bestFit="1" customWidth="1"/>
  </cols>
  <sheetData>
    <row r="1" spans="1:21">
      <c r="A1" s="6" t="s">
        <v>49</v>
      </c>
      <c r="B1" s="20"/>
      <c r="C1" s="20"/>
      <c r="D1" s="19"/>
      <c r="E1" s="20"/>
      <c r="F1" s="20"/>
      <c r="G1" s="20"/>
      <c r="H1" s="20"/>
      <c r="K1" s="14" t="s">
        <v>50</v>
      </c>
      <c r="L1" s="20"/>
      <c r="M1" s="20"/>
      <c r="N1" s="19"/>
      <c r="O1" s="20"/>
      <c r="P1" s="20"/>
      <c r="Q1" s="20"/>
      <c r="R1" s="20"/>
      <c r="S1" s="20"/>
      <c r="T1" s="20"/>
      <c r="U1" s="20"/>
    </row>
    <row r="2" spans="1:21" s="1" customFormat="1">
      <c r="A2" s="8" t="s">
        <v>0</v>
      </c>
      <c r="B2" s="8" t="s">
        <v>1</v>
      </c>
      <c r="C2" s="8" t="s">
        <v>45</v>
      </c>
      <c r="D2" s="9"/>
      <c r="E2" s="8" t="s">
        <v>2</v>
      </c>
      <c r="F2" s="8" t="s">
        <v>3</v>
      </c>
      <c r="G2" s="8" t="s">
        <v>20</v>
      </c>
      <c r="H2" s="8" t="s">
        <v>10</v>
      </c>
      <c r="I2" s="55"/>
      <c r="K2" s="15" t="s">
        <v>0</v>
      </c>
      <c r="L2" s="15" t="s">
        <v>1</v>
      </c>
      <c r="M2" s="15" t="s">
        <v>45</v>
      </c>
      <c r="N2" s="15" t="s">
        <v>317</v>
      </c>
      <c r="O2" s="16"/>
      <c r="P2" s="15" t="s">
        <v>2</v>
      </c>
      <c r="Q2" s="15" t="s">
        <v>3</v>
      </c>
      <c r="R2" s="15" t="s">
        <v>20</v>
      </c>
      <c r="S2" s="15" t="s">
        <v>46</v>
      </c>
      <c r="T2" s="15" t="s">
        <v>10</v>
      </c>
    </row>
    <row r="3" spans="1:21" ht="20">
      <c r="A3" s="4" t="s">
        <v>186</v>
      </c>
      <c r="B3" s="4" t="s">
        <v>189</v>
      </c>
      <c r="C3" s="4" t="s">
        <v>182</v>
      </c>
      <c r="D3" s="5" t="s">
        <v>12</v>
      </c>
      <c r="E3" s="4" t="s">
        <v>196</v>
      </c>
      <c r="F3" s="4" t="s">
        <v>199</v>
      </c>
      <c r="G3" s="4"/>
      <c r="H3" s="4" t="s">
        <v>11</v>
      </c>
      <c r="I3" s="20"/>
      <c r="K3" s="74" t="s">
        <v>308</v>
      </c>
      <c r="L3" s="74" t="s">
        <v>310</v>
      </c>
      <c r="M3" s="74"/>
      <c r="N3" s="75"/>
      <c r="O3" s="75" t="s">
        <v>12</v>
      </c>
      <c r="P3" s="74" t="s">
        <v>309</v>
      </c>
      <c r="Q3" s="74" t="s">
        <v>311</v>
      </c>
      <c r="R3" s="74" t="s">
        <v>312</v>
      </c>
      <c r="S3" s="74"/>
      <c r="T3" s="74" t="s">
        <v>307</v>
      </c>
    </row>
    <row r="4" spans="1:21" ht="20">
      <c r="A4" s="4" t="s">
        <v>186</v>
      </c>
      <c r="B4" s="4" t="s">
        <v>190</v>
      </c>
      <c r="C4" s="4" t="s">
        <v>183</v>
      </c>
      <c r="D4" s="5" t="s">
        <v>12</v>
      </c>
      <c r="E4" s="4" t="s">
        <v>196</v>
      </c>
      <c r="F4" s="4" t="s">
        <v>194</v>
      </c>
      <c r="G4" s="4" t="s">
        <v>199</v>
      </c>
      <c r="H4" s="4" t="s">
        <v>11</v>
      </c>
      <c r="I4" s="20"/>
      <c r="K4" s="74" t="s">
        <v>305</v>
      </c>
      <c r="L4" s="74" t="s">
        <v>69</v>
      </c>
      <c r="M4" s="81" t="s">
        <v>8</v>
      </c>
      <c r="N4" s="81" t="s">
        <v>6</v>
      </c>
      <c r="O4" s="75" t="s">
        <v>12</v>
      </c>
      <c r="P4" s="81" t="s">
        <v>64</v>
      </c>
      <c r="Q4" s="74" t="s">
        <v>87</v>
      </c>
      <c r="R4" s="74" t="s">
        <v>313</v>
      </c>
      <c r="S4" s="74"/>
      <c r="T4" s="74"/>
    </row>
    <row r="5" spans="1:21" ht="20">
      <c r="A5" s="4" t="s">
        <v>187</v>
      </c>
      <c r="B5" s="4" t="s">
        <v>191</v>
      </c>
      <c r="C5" s="4" t="s">
        <v>184</v>
      </c>
      <c r="D5" s="5" t="s">
        <v>12</v>
      </c>
      <c r="E5" s="4" t="s">
        <v>197</v>
      </c>
      <c r="F5" s="4" t="s">
        <v>200</v>
      </c>
      <c r="G5" s="4" t="s">
        <v>204</v>
      </c>
      <c r="H5" s="4" t="s">
        <v>34</v>
      </c>
      <c r="I5" s="20"/>
      <c r="N5" s="3"/>
    </row>
    <row r="6" spans="1:21" ht="20">
      <c r="A6" s="4" t="s">
        <v>188</v>
      </c>
      <c r="B6" s="4" t="s">
        <v>192</v>
      </c>
      <c r="C6" s="4" t="s">
        <v>185</v>
      </c>
      <c r="D6" s="5" t="s">
        <v>12</v>
      </c>
      <c r="E6" s="4" t="s">
        <v>198</v>
      </c>
      <c r="F6" s="4" t="s">
        <v>201</v>
      </c>
      <c r="G6" s="4" t="s">
        <v>205</v>
      </c>
      <c r="H6" s="4" t="s">
        <v>29</v>
      </c>
      <c r="I6" s="20"/>
      <c r="K6" s="31" t="s">
        <v>74</v>
      </c>
      <c r="N6" s="3"/>
    </row>
    <row r="7" spans="1:21" ht="20">
      <c r="A7" s="4" t="s">
        <v>186</v>
      </c>
      <c r="B7" s="4" t="s">
        <v>193</v>
      </c>
      <c r="C7" s="4" t="s">
        <v>8</v>
      </c>
      <c r="D7" s="5" t="s">
        <v>12</v>
      </c>
      <c r="E7" s="4" t="s">
        <v>196</v>
      </c>
      <c r="F7" s="4" t="s">
        <v>101</v>
      </c>
      <c r="G7" s="4" t="s">
        <v>182</v>
      </c>
      <c r="H7" s="4" t="s">
        <v>11</v>
      </c>
      <c r="I7" s="20"/>
      <c r="K7" s="22" t="s">
        <v>0</v>
      </c>
      <c r="L7" s="22" t="s">
        <v>1</v>
      </c>
      <c r="M7" s="22" t="s">
        <v>45</v>
      </c>
      <c r="N7" s="23"/>
      <c r="O7" s="22" t="s">
        <v>2</v>
      </c>
      <c r="P7" s="22" t="s">
        <v>3</v>
      </c>
      <c r="Q7" s="22" t="s">
        <v>20</v>
      </c>
      <c r="R7" s="40" t="s">
        <v>46</v>
      </c>
      <c r="S7" s="22" t="s">
        <v>10</v>
      </c>
      <c r="T7" s="42"/>
    </row>
    <row r="8" spans="1:21" ht="20">
      <c r="A8" s="4" t="s">
        <v>187</v>
      </c>
      <c r="B8" s="4" t="s">
        <v>194</v>
      </c>
      <c r="C8" s="4" t="s">
        <v>184</v>
      </c>
      <c r="D8" s="7" t="s">
        <v>12</v>
      </c>
      <c r="E8" s="4" t="s">
        <v>197</v>
      </c>
      <c r="F8" s="4" t="s">
        <v>202</v>
      </c>
      <c r="G8" s="4" t="s">
        <v>199</v>
      </c>
      <c r="H8" s="4" t="s">
        <v>34</v>
      </c>
      <c r="I8" s="20"/>
      <c r="K8" s="21" t="s">
        <v>234</v>
      </c>
      <c r="L8" s="21" t="s">
        <v>236</v>
      </c>
      <c r="M8" s="21" t="s">
        <v>237</v>
      </c>
      <c r="N8" s="25" t="s">
        <v>12</v>
      </c>
      <c r="O8" s="21" t="s">
        <v>101</v>
      </c>
      <c r="P8" s="21" t="s">
        <v>200</v>
      </c>
      <c r="Q8" s="21" t="s">
        <v>203</v>
      </c>
      <c r="R8" s="21" t="s">
        <v>182</v>
      </c>
      <c r="S8" s="21" t="s">
        <v>11</v>
      </c>
    </row>
    <row r="9" spans="1:21" ht="20">
      <c r="A9" s="4" t="s">
        <v>188</v>
      </c>
      <c r="B9" s="4" t="s">
        <v>195</v>
      </c>
      <c r="C9" s="4" t="s">
        <v>185</v>
      </c>
      <c r="D9" s="7" t="s">
        <v>12</v>
      </c>
      <c r="E9" s="4" t="s">
        <v>198</v>
      </c>
      <c r="F9" s="4" t="s">
        <v>203</v>
      </c>
      <c r="G9" s="4" t="s">
        <v>204</v>
      </c>
      <c r="H9" s="4" t="s">
        <v>29</v>
      </c>
      <c r="I9" s="20"/>
      <c r="K9" s="21" t="s">
        <v>235</v>
      </c>
      <c r="L9" s="21" t="s">
        <v>202</v>
      </c>
      <c r="M9" s="21" t="s">
        <v>219</v>
      </c>
      <c r="N9" s="24" t="s">
        <v>12</v>
      </c>
      <c r="O9" s="21" t="s">
        <v>103</v>
      </c>
      <c r="P9" s="21" t="s">
        <v>190</v>
      </c>
      <c r="Q9" s="21" t="s">
        <v>238</v>
      </c>
      <c r="R9" s="21" t="s">
        <v>185</v>
      </c>
      <c r="S9" s="21" t="s">
        <v>29</v>
      </c>
    </row>
    <row r="10" spans="1:21">
      <c r="D10" s="3"/>
      <c r="I10" s="20"/>
      <c r="N10" s="3"/>
    </row>
    <row r="11" spans="1:21">
      <c r="A11" s="10" t="s">
        <v>48</v>
      </c>
      <c r="B11" s="20"/>
      <c r="C11" s="20"/>
      <c r="D11" s="19"/>
      <c r="E11" s="20"/>
      <c r="F11" s="20"/>
      <c r="G11" s="20"/>
      <c r="H11" s="20"/>
      <c r="I11" s="20"/>
      <c r="K11" s="32" t="s">
        <v>59</v>
      </c>
    </row>
    <row r="12" spans="1:21">
      <c r="A12" s="34" t="s">
        <v>0</v>
      </c>
      <c r="B12" s="34" t="s">
        <v>1</v>
      </c>
      <c r="C12" s="34" t="s">
        <v>45</v>
      </c>
      <c r="D12" s="35"/>
      <c r="E12" s="34" t="s">
        <v>2</v>
      </c>
      <c r="F12" s="34" t="s">
        <v>3</v>
      </c>
      <c r="G12" s="34" t="s">
        <v>20</v>
      </c>
      <c r="H12" s="34" t="s">
        <v>10</v>
      </c>
      <c r="I12" s="20"/>
      <c r="K12" s="50" t="s">
        <v>0</v>
      </c>
      <c r="L12" s="50" t="s">
        <v>1</v>
      </c>
      <c r="M12" s="50" t="s">
        <v>9</v>
      </c>
      <c r="N12" s="51"/>
      <c r="O12" s="50" t="s">
        <v>2</v>
      </c>
      <c r="P12" s="50" t="s">
        <v>3</v>
      </c>
      <c r="Q12" s="50" t="s">
        <v>20</v>
      </c>
      <c r="R12" s="50" t="s">
        <v>10</v>
      </c>
    </row>
    <row r="13" spans="1:21" ht="20">
      <c r="A13" s="11" t="s">
        <v>206</v>
      </c>
      <c r="B13" s="11" t="s">
        <v>189</v>
      </c>
      <c r="C13" s="11" t="s">
        <v>210</v>
      </c>
      <c r="D13" s="12" t="s">
        <v>12</v>
      </c>
      <c r="E13" s="11" t="s">
        <v>213</v>
      </c>
      <c r="F13" s="11" t="s">
        <v>204</v>
      </c>
      <c r="G13" s="11"/>
      <c r="H13" s="11" t="s">
        <v>11</v>
      </c>
      <c r="I13" s="20"/>
      <c r="K13" s="52" t="s">
        <v>239</v>
      </c>
      <c r="L13" s="52" t="s">
        <v>189</v>
      </c>
      <c r="M13" s="52" t="s">
        <v>184</v>
      </c>
      <c r="N13" s="53" t="s">
        <v>12</v>
      </c>
      <c r="O13" s="52" t="s">
        <v>193</v>
      </c>
      <c r="P13" s="52" t="s">
        <v>237</v>
      </c>
      <c r="Q13" s="52"/>
      <c r="R13" s="52" t="s">
        <v>11</v>
      </c>
    </row>
    <row r="14" spans="1:21" ht="20">
      <c r="A14" s="11" t="s">
        <v>206</v>
      </c>
      <c r="B14" s="11" t="s">
        <v>190</v>
      </c>
      <c r="C14" s="11" t="s">
        <v>185</v>
      </c>
      <c r="D14" s="12" t="s">
        <v>12</v>
      </c>
      <c r="E14" s="11" t="s">
        <v>213</v>
      </c>
      <c r="F14" s="11" t="s">
        <v>194</v>
      </c>
      <c r="G14" s="11" t="s">
        <v>204</v>
      </c>
      <c r="H14" s="11" t="s">
        <v>11</v>
      </c>
      <c r="K14" s="52" t="s">
        <v>239</v>
      </c>
      <c r="L14" s="52" t="s">
        <v>190</v>
      </c>
      <c r="M14" s="52" t="s">
        <v>227</v>
      </c>
      <c r="N14" s="53" t="s">
        <v>12</v>
      </c>
      <c r="O14" s="52" t="s">
        <v>193</v>
      </c>
      <c r="P14" s="52" t="s">
        <v>194</v>
      </c>
      <c r="Q14" s="52" t="s">
        <v>237</v>
      </c>
      <c r="R14" s="52" t="s">
        <v>11</v>
      </c>
    </row>
    <row r="15" spans="1:21" ht="20">
      <c r="A15" s="11" t="s">
        <v>207</v>
      </c>
      <c r="B15" s="11" t="s">
        <v>191</v>
      </c>
      <c r="C15" s="11" t="s">
        <v>211</v>
      </c>
      <c r="D15" s="12" t="s">
        <v>12</v>
      </c>
      <c r="E15" s="11" t="s">
        <v>214</v>
      </c>
      <c r="F15" s="11" t="s">
        <v>200</v>
      </c>
      <c r="G15" s="11" t="s">
        <v>216</v>
      </c>
      <c r="H15" s="11" t="s">
        <v>34</v>
      </c>
      <c r="K15" s="52" t="s">
        <v>240</v>
      </c>
      <c r="L15" s="52" t="s">
        <v>191</v>
      </c>
      <c r="M15" s="52" t="s">
        <v>242</v>
      </c>
      <c r="N15" s="54" t="s">
        <v>12</v>
      </c>
      <c r="O15" s="52" t="s">
        <v>244</v>
      </c>
      <c r="P15" s="52" t="s">
        <v>200</v>
      </c>
      <c r="Q15" s="52" t="s">
        <v>245</v>
      </c>
      <c r="R15" s="52" t="s">
        <v>34</v>
      </c>
    </row>
    <row r="16" spans="1:21" ht="20">
      <c r="A16" s="11" t="s">
        <v>208</v>
      </c>
      <c r="B16" s="11" t="s">
        <v>192</v>
      </c>
      <c r="C16" s="11" t="s">
        <v>212</v>
      </c>
      <c r="D16" s="12" t="s">
        <v>12</v>
      </c>
      <c r="E16" s="11" t="s">
        <v>215</v>
      </c>
      <c r="F16" s="11" t="s">
        <v>201</v>
      </c>
      <c r="G16" s="11" t="s">
        <v>217</v>
      </c>
      <c r="H16" s="11" t="s">
        <v>29</v>
      </c>
      <c r="K16" s="52" t="s">
        <v>241</v>
      </c>
      <c r="L16" s="52" t="s">
        <v>192</v>
      </c>
      <c r="M16" s="52" t="s">
        <v>231</v>
      </c>
      <c r="N16" s="54" t="s">
        <v>12</v>
      </c>
      <c r="O16" s="52" t="s">
        <v>230</v>
      </c>
      <c r="P16" s="52" t="s">
        <v>201</v>
      </c>
      <c r="Q16" s="52" t="s">
        <v>246</v>
      </c>
      <c r="R16" s="52" t="s">
        <v>29</v>
      </c>
    </row>
    <row r="17" spans="1:18" ht="20">
      <c r="A17" s="11" t="s">
        <v>207</v>
      </c>
      <c r="B17" s="11" t="s">
        <v>194</v>
      </c>
      <c r="C17" s="11" t="s">
        <v>211</v>
      </c>
      <c r="D17" s="13" t="s">
        <v>12</v>
      </c>
      <c r="E17" s="11" t="s">
        <v>214</v>
      </c>
      <c r="F17" s="11" t="s">
        <v>202</v>
      </c>
      <c r="G17" s="11" t="s">
        <v>218</v>
      </c>
      <c r="H17" s="11" t="s">
        <v>34</v>
      </c>
      <c r="K17" s="52" t="s">
        <v>240</v>
      </c>
      <c r="L17" s="52" t="s">
        <v>194</v>
      </c>
      <c r="M17" s="52" t="s">
        <v>242</v>
      </c>
      <c r="N17" s="54" t="s">
        <v>12</v>
      </c>
      <c r="O17" s="52" t="s">
        <v>244</v>
      </c>
      <c r="P17" s="52" t="s">
        <v>202</v>
      </c>
      <c r="Q17" s="52" t="s">
        <v>205</v>
      </c>
      <c r="R17" s="52" t="s">
        <v>34</v>
      </c>
    </row>
    <row r="18" spans="1:18" ht="20">
      <c r="A18" s="11" t="s">
        <v>208</v>
      </c>
      <c r="B18" s="11" t="s">
        <v>195</v>
      </c>
      <c r="C18" s="11" t="s">
        <v>212</v>
      </c>
      <c r="D18" s="13" t="s">
        <v>12</v>
      </c>
      <c r="E18" s="11" t="s">
        <v>215</v>
      </c>
      <c r="F18" s="11" t="s">
        <v>203</v>
      </c>
      <c r="G18" s="11" t="s">
        <v>219</v>
      </c>
      <c r="H18" s="11" t="s">
        <v>29</v>
      </c>
      <c r="K18" s="52" t="s">
        <v>241</v>
      </c>
      <c r="L18" s="52" t="s">
        <v>195</v>
      </c>
      <c r="M18" s="52" t="s">
        <v>231</v>
      </c>
      <c r="N18" s="54" t="s">
        <v>12</v>
      </c>
      <c r="O18" s="52" t="s">
        <v>230</v>
      </c>
      <c r="P18" s="52" t="s">
        <v>203</v>
      </c>
      <c r="Q18" s="52" t="s">
        <v>218</v>
      </c>
      <c r="R18" s="52" t="s">
        <v>29</v>
      </c>
    </row>
    <row r="19" spans="1:18" ht="20">
      <c r="A19" s="11" t="s">
        <v>206</v>
      </c>
      <c r="B19" s="11" t="s">
        <v>209</v>
      </c>
      <c r="C19" s="11" t="s">
        <v>182</v>
      </c>
      <c r="D19" s="13" t="s">
        <v>12</v>
      </c>
      <c r="E19" s="11" t="s">
        <v>213</v>
      </c>
      <c r="F19" s="11" t="s">
        <v>107</v>
      </c>
      <c r="G19" s="11"/>
      <c r="H19" s="11" t="s">
        <v>11</v>
      </c>
      <c r="K19" s="52" t="s">
        <v>239</v>
      </c>
      <c r="L19" s="52" t="s">
        <v>209</v>
      </c>
      <c r="M19" s="52" t="s">
        <v>243</v>
      </c>
      <c r="N19" s="54" t="s">
        <v>12</v>
      </c>
      <c r="O19" s="52" t="s">
        <v>193</v>
      </c>
      <c r="P19" s="52" t="s">
        <v>107</v>
      </c>
      <c r="Q19" s="52"/>
      <c r="R19" s="52" t="s">
        <v>11</v>
      </c>
    </row>
    <row r="21" spans="1:18">
      <c r="A21" s="27" t="s">
        <v>77</v>
      </c>
    </row>
    <row r="22" spans="1:18">
      <c r="A22" s="36" t="s">
        <v>0</v>
      </c>
      <c r="B22" s="36" t="s">
        <v>1</v>
      </c>
      <c r="C22" s="36" t="s">
        <v>45</v>
      </c>
      <c r="D22" s="37"/>
      <c r="E22" s="36" t="s">
        <v>2</v>
      </c>
      <c r="F22" s="36" t="s">
        <v>3</v>
      </c>
      <c r="G22" s="36" t="s">
        <v>20</v>
      </c>
      <c r="H22" s="27" t="s">
        <v>46</v>
      </c>
      <c r="I22" s="39" t="s">
        <v>98</v>
      </c>
      <c r="J22" s="36" t="s">
        <v>10</v>
      </c>
    </row>
    <row r="23" spans="1:18" ht="20">
      <c r="A23" s="26" t="s">
        <v>220</v>
      </c>
      <c r="B23" s="26" t="s">
        <v>247</v>
      </c>
      <c r="C23" s="26" t="s">
        <v>221</v>
      </c>
      <c r="D23" s="38" t="s">
        <v>12</v>
      </c>
      <c r="E23" s="26" t="s">
        <v>190</v>
      </c>
      <c r="F23" s="26" t="s">
        <v>222</v>
      </c>
      <c r="G23" s="26" t="s">
        <v>223</v>
      </c>
      <c r="H23" s="26"/>
      <c r="I23" s="26"/>
      <c r="J23" s="26" t="s">
        <v>29</v>
      </c>
    </row>
    <row r="24" spans="1:18" ht="20">
      <c r="A24" s="26" t="s">
        <v>220</v>
      </c>
      <c r="B24" s="26" t="s">
        <v>224</v>
      </c>
      <c r="C24" s="26" t="s">
        <v>227</v>
      </c>
      <c r="D24" s="38" t="s">
        <v>12</v>
      </c>
      <c r="E24" s="26" t="s">
        <v>194</v>
      </c>
      <c r="F24" s="26" t="s">
        <v>222</v>
      </c>
      <c r="G24" s="26" t="s">
        <v>223</v>
      </c>
      <c r="H24" s="26"/>
      <c r="I24" s="26"/>
      <c r="J24" s="26" t="s">
        <v>29</v>
      </c>
    </row>
    <row r="25" spans="1:18" ht="20">
      <c r="A25" s="26" t="s">
        <v>123</v>
      </c>
      <c r="B25" s="26" t="s">
        <v>225</v>
      </c>
      <c r="C25" s="26"/>
      <c r="D25" s="38" t="s">
        <v>12</v>
      </c>
      <c r="E25" s="26" t="s">
        <v>224</v>
      </c>
      <c r="F25" s="26" t="s">
        <v>228</v>
      </c>
      <c r="G25" s="26" t="s">
        <v>229</v>
      </c>
      <c r="H25" s="26" t="s">
        <v>216</v>
      </c>
      <c r="I25" s="26" t="s">
        <v>227</v>
      </c>
      <c r="J25" s="26" t="s">
        <v>122</v>
      </c>
    </row>
    <row r="26" spans="1:18" ht="20">
      <c r="A26" s="26" t="s">
        <v>220</v>
      </c>
      <c r="B26" s="26" t="s">
        <v>192</v>
      </c>
      <c r="C26" s="26"/>
      <c r="D26" s="33" t="s">
        <v>12</v>
      </c>
      <c r="E26" s="26" t="s">
        <v>35</v>
      </c>
      <c r="F26" s="26" t="s">
        <v>190</v>
      </c>
      <c r="G26" s="26" t="s">
        <v>222</v>
      </c>
      <c r="H26" s="26" t="s">
        <v>61</v>
      </c>
      <c r="I26" s="26"/>
      <c r="J26" s="26" t="s">
        <v>29</v>
      </c>
    </row>
    <row r="27" spans="1:18" ht="20">
      <c r="A27" s="26" t="s">
        <v>220</v>
      </c>
      <c r="B27" s="26" t="s">
        <v>230</v>
      </c>
      <c r="C27" s="26" t="s">
        <v>216</v>
      </c>
      <c r="D27" s="38" t="s">
        <v>12</v>
      </c>
      <c r="E27" s="26" t="s">
        <v>190</v>
      </c>
      <c r="F27" s="26" t="s">
        <v>103</v>
      </c>
      <c r="G27" s="26" t="s">
        <v>222</v>
      </c>
      <c r="H27" s="26" t="s">
        <v>231</v>
      </c>
      <c r="I27" s="26"/>
      <c r="J27" s="26" t="s">
        <v>29</v>
      </c>
    </row>
    <row r="28" spans="1:18" ht="20">
      <c r="A28" s="26" t="s">
        <v>123</v>
      </c>
      <c r="B28" s="26" t="s">
        <v>226</v>
      </c>
      <c r="C28" s="26"/>
      <c r="D28" s="38" t="s">
        <v>12</v>
      </c>
      <c r="E28" s="26" t="s">
        <v>232</v>
      </c>
      <c r="F28" s="26" t="s">
        <v>224</v>
      </c>
      <c r="G28" s="26" t="s">
        <v>227</v>
      </c>
      <c r="H28" s="26" t="s">
        <v>229</v>
      </c>
      <c r="I28" s="26" t="s">
        <v>199</v>
      </c>
      <c r="J28" s="26" t="s">
        <v>122</v>
      </c>
    </row>
    <row r="29" spans="1:18" ht="20">
      <c r="A29" s="26" t="s">
        <v>220</v>
      </c>
      <c r="B29" s="26" t="s">
        <v>195</v>
      </c>
      <c r="C29" s="26"/>
      <c r="D29" s="38" t="s">
        <v>12</v>
      </c>
      <c r="E29" s="26" t="s">
        <v>190</v>
      </c>
      <c r="F29" s="26" t="s">
        <v>203</v>
      </c>
      <c r="G29" s="26" t="s">
        <v>222</v>
      </c>
      <c r="H29" s="26" t="s">
        <v>199</v>
      </c>
      <c r="I29" s="26"/>
      <c r="J29" s="26" t="s">
        <v>29</v>
      </c>
    </row>
    <row r="30" spans="1:18" ht="20">
      <c r="A30" s="26" t="s">
        <v>220</v>
      </c>
      <c r="B30" s="26" t="s">
        <v>233</v>
      </c>
      <c r="C30" s="26" t="s">
        <v>216</v>
      </c>
      <c r="D30" s="38" t="s">
        <v>12</v>
      </c>
      <c r="E30" s="26" t="s">
        <v>190</v>
      </c>
      <c r="F30" s="26" t="s">
        <v>127</v>
      </c>
      <c r="G30" s="26" t="s">
        <v>222</v>
      </c>
      <c r="H30" s="26" t="s">
        <v>231</v>
      </c>
      <c r="I30" s="26"/>
      <c r="J30" s="26" t="s">
        <v>29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C719-AC3C-6747-BBDD-88DF7FFC821D}">
  <dimension ref="A1:J25"/>
  <sheetViews>
    <sheetView workbookViewId="0">
      <selection activeCell="A20" sqref="A20:XFD20"/>
    </sheetView>
  </sheetViews>
  <sheetFormatPr baseColWidth="10" defaultRowHeight="16"/>
  <cols>
    <col min="1" max="1" width="17.6640625" bestFit="1" customWidth="1"/>
    <col min="4" max="4" width="10.83203125" style="19"/>
    <col min="5" max="5" width="8.83203125" bestFit="1" customWidth="1"/>
    <col min="6" max="6" width="13.5" bestFit="1" customWidth="1"/>
  </cols>
  <sheetData>
    <row r="1" spans="1:10" s="1" customFormat="1">
      <c r="A1" s="1" t="s">
        <v>63</v>
      </c>
      <c r="B1" s="1" t="s">
        <v>1</v>
      </c>
      <c r="C1" s="1" t="s">
        <v>45</v>
      </c>
      <c r="D1" s="17"/>
      <c r="E1" s="1" t="s">
        <v>2</v>
      </c>
      <c r="F1" s="1" t="s">
        <v>3</v>
      </c>
      <c r="G1" s="1" t="s">
        <v>20</v>
      </c>
      <c r="H1" s="1" t="s">
        <v>46</v>
      </c>
    </row>
    <row r="2" spans="1:10" ht="17" customHeight="1">
      <c r="A2" t="s">
        <v>4</v>
      </c>
      <c r="B2" t="s">
        <v>23</v>
      </c>
      <c r="C2" t="s">
        <v>11</v>
      </c>
      <c r="D2" s="18" t="s">
        <v>12</v>
      </c>
      <c r="E2" t="s">
        <v>7</v>
      </c>
      <c r="F2" t="s">
        <v>8</v>
      </c>
    </row>
    <row r="3" spans="1:10">
      <c r="A3" t="s">
        <v>13</v>
      </c>
      <c r="B3" t="s">
        <v>26</v>
      </c>
      <c r="C3" t="s">
        <v>11</v>
      </c>
      <c r="D3" s="18" t="s">
        <v>12</v>
      </c>
      <c r="E3" t="s">
        <v>15</v>
      </c>
      <c r="F3" t="s">
        <v>16</v>
      </c>
    </row>
    <row r="4" spans="1:10" s="20" customFormat="1" ht="17" customHeight="1">
      <c r="A4" s="20" t="s">
        <v>60</v>
      </c>
      <c r="B4" s="20" t="s">
        <v>14</v>
      </c>
      <c r="C4" s="20" t="s">
        <v>11</v>
      </c>
      <c r="D4" s="18" t="s">
        <v>12</v>
      </c>
      <c r="E4" s="20" t="s">
        <v>30</v>
      </c>
      <c r="F4" s="20" t="s">
        <v>61</v>
      </c>
    </row>
    <row r="5" spans="1:10">
      <c r="A5" t="s">
        <v>70</v>
      </c>
      <c r="B5" t="s">
        <v>8</v>
      </c>
      <c r="D5" s="18" t="s">
        <v>12</v>
      </c>
      <c r="E5" t="s">
        <v>99</v>
      </c>
      <c r="F5" t="s">
        <v>35</v>
      </c>
      <c r="G5" t="s">
        <v>6</v>
      </c>
      <c r="H5" t="s">
        <v>67</v>
      </c>
    </row>
    <row r="6" spans="1:10" s="76" customFormat="1">
      <c r="A6" s="76" t="s">
        <v>305</v>
      </c>
      <c r="B6" s="76" t="s">
        <v>58</v>
      </c>
      <c r="D6" s="77" t="s">
        <v>12</v>
      </c>
      <c r="E6" s="76" t="s">
        <v>64</v>
      </c>
      <c r="F6" s="76" t="s">
        <v>87</v>
      </c>
      <c r="G6" s="76" t="s">
        <v>52</v>
      </c>
      <c r="H6" s="76" t="s">
        <v>307</v>
      </c>
    </row>
    <row r="7" spans="1:10" s="20" customFormat="1">
      <c r="A7" s="20" t="s">
        <v>94</v>
      </c>
      <c r="B7" s="20" t="s">
        <v>57</v>
      </c>
      <c r="D7" s="18"/>
      <c r="E7" s="20" t="s">
        <v>100</v>
      </c>
      <c r="F7" s="20" t="s">
        <v>71</v>
      </c>
      <c r="G7" s="20" t="s">
        <v>95</v>
      </c>
      <c r="H7" s="20" t="s">
        <v>96</v>
      </c>
      <c r="I7" s="20" t="s">
        <v>23</v>
      </c>
      <c r="J7" s="20" t="s">
        <v>34</v>
      </c>
    </row>
    <row r="8" spans="1:10" s="20" customFormat="1">
      <c r="A8" s="20" t="s">
        <v>111</v>
      </c>
      <c r="B8" s="20" t="s">
        <v>66</v>
      </c>
      <c r="C8" s="20" t="s">
        <v>29</v>
      </c>
      <c r="D8" s="18" t="s">
        <v>12</v>
      </c>
      <c r="E8" s="20" t="s">
        <v>17</v>
      </c>
      <c r="F8" s="20" t="s">
        <v>109</v>
      </c>
      <c r="G8" s="20" t="s">
        <v>28</v>
      </c>
    </row>
    <row r="9" spans="1:10" s="20" customFormat="1">
      <c r="D9" s="18"/>
    </row>
    <row r="10" spans="1:10">
      <c r="A10" t="s">
        <v>33</v>
      </c>
      <c r="B10" t="s">
        <v>66</v>
      </c>
      <c r="C10" t="s">
        <v>29</v>
      </c>
      <c r="D10" s="18" t="s">
        <v>12</v>
      </c>
      <c r="E10" t="s">
        <v>17</v>
      </c>
      <c r="F10" t="s">
        <v>16</v>
      </c>
    </row>
    <row r="11" spans="1:10">
      <c r="A11" t="s">
        <v>17</v>
      </c>
      <c r="D11" s="18" t="s">
        <v>12</v>
      </c>
      <c r="E11" t="s">
        <v>19</v>
      </c>
      <c r="F11" t="s">
        <v>65</v>
      </c>
      <c r="G11" t="s">
        <v>11</v>
      </c>
    </row>
    <row r="12" spans="1:10">
      <c r="A12" t="s">
        <v>19</v>
      </c>
      <c r="B12" t="s">
        <v>16</v>
      </c>
      <c r="D12" s="18" t="s">
        <v>12</v>
      </c>
      <c r="E12" t="s">
        <v>33</v>
      </c>
      <c r="F12" t="s">
        <v>26</v>
      </c>
      <c r="G12" t="s">
        <v>34</v>
      </c>
    </row>
    <row r="13" spans="1:10">
      <c r="A13" t="s">
        <v>25</v>
      </c>
      <c r="B13" t="s">
        <v>61</v>
      </c>
      <c r="D13" s="18" t="s">
        <v>12</v>
      </c>
      <c r="E13" t="s">
        <v>35</v>
      </c>
      <c r="F13" t="s">
        <v>66</v>
      </c>
      <c r="G13" t="s">
        <v>29</v>
      </c>
    </row>
    <row r="14" spans="1:10" s="20" customFormat="1" ht="17" customHeight="1">
      <c r="A14" s="20" t="s">
        <v>68</v>
      </c>
      <c r="B14" s="20" t="s">
        <v>16</v>
      </c>
      <c r="D14" s="18" t="s">
        <v>12</v>
      </c>
      <c r="E14" s="20" t="s">
        <v>69</v>
      </c>
      <c r="F14" s="20" t="s">
        <v>66</v>
      </c>
      <c r="G14" s="20" t="s">
        <v>29</v>
      </c>
    </row>
    <row r="15" spans="1:10">
      <c r="A15" t="s">
        <v>22</v>
      </c>
      <c r="B15" t="s">
        <v>8</v>
      </c>
      <c r="D15" s="3" t="s">
        <v>12</v>
      </c>
      <c r="E15" t="s">
        <v>24</v>
      </c>
      <c r="F15" t="s">
        <v>26</v>
      </c>
      <c r="G15" t="s">
        <v>34</v>
      </c>
    </row>
    <row r="16" spans="1:10">
      <c r="A16" t="s">
        <v>44</v>
      </c>
      <c r="B16" t="s">
        <v>6</v>
      </c>
      <c r="C16" t="s">
        <v>11</v>
      </c>
      <c r="D16" s="3" t="s">
        <v>12</v>
      </c>
      <c r="E16" t="s">
        <v>24</v>
      </c>
      <c r="F16" t="s">
        <v>72</v>
      </c>
    </row>
    <row r="17" spans="1:10">
      <c r="A17" t="s">
        <v>64</v>
      </c>
      <c r="B17" t="s">
        <v>8</v>
      </c>
      <c r="D17" s="3" t="s">
        <v>12</v>
      </c>
      <c r="E17" t="s">
        <v>99</v>
      </c>
      <c r="F17" t="s">
        <v>18</v>
      </c>
      <c r="G17" t="s">
        <v>67</v>
      </c>
    </row>
    <row r="18" spans="1:10">
      <c r="A18" t="s">
        <v>5</v>
      </c>
      <c r="D18" s="3" t="s">
        <v>12</v>
      </c>
      <c r="E18" t="s">
        <v>6</v>
      </c>
      <c r="F18" t="s">
        <v>11</v>
      </c>
    </row>
    <row r="19" spans="1:10" s="20" customFormat="1">
      <c r="A19" s="20" t="s">
        <v>7</v>
      </c>
      <c r="B19" s="20" t="s">
        <v>8</v>
      </c>
      <c r="D19" s="18" t="s">
        <v>12</v>
      </c>
      <c r="E19" s="20" t="s">
        <v>73</v>
      </c>
      <c r="F19" s="20" t="s">
        <v>18</v>
      </c>
      <c r="G19" s="20" t="s">
        <v>67</v>
      </c>
    </row>
    <row r="20" spans="1:10">
      <c r="A20" t="s">
        <v>35</v>
      </c>
      <c r="B20" t="s">
        <v>66</v>
      </c>
      <c r="C20" t="s">
        <v>29</v>
      </c>
      <c r="D20" s="3" t="s">
        <v>12</v>
      </c>
      <c r="E20" t="s">
        <v>25</v>
      </c>
      <c r="F20" t="s">
        <v>61</v>
      </c>
    </row>
    <row r="25" spans="1:10">
      <c r="J25">
        <f>24-9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0DD7-B61F-F344-93D9-23B592B8C834}">
  <dimension ref="A1:AW35"/>
  <sheetViews>
    <sheetView zoomScale="86" zoomScaleNormal="90" workbookViewId="0">
      <pane xSplit="11" topLeftCell="L1" activePane="topRight" state="frozen"/>
      <selection pane="topRight" activeCell="H34" sqref="H34:J34"/>
    </sheetView>
  </sheetViews>
  <sheetFormatPr baseColWidth="10" defaultRowHeight="16"/>
  <cols>
    <col min="4" max="4" width="13" bestFit="1" customWidth="1"/>
    <col min="5" max="5" width="9.5" bestFit="1" customWidth="1"/>
    <col min="6" max="6" width="9.33203125" style="59" bestFit="1" customWidth="1"/>
    <col min="7" max="7" width="9.33203125" style="64" customWidth="1"/>
    <col min="8" max="8" width="8.83203125" style="59" bestFit="1" customWidth="1"/>
    <col min="9" max="9" width="10.33203125" bestFit="1" customWidth="1"/>
    <col min="10" max="10" width="8.6640625" bestFit="1" customWidth="1"/>
    <col min="11" max="12" width="8.83203125" bestFit="1" customWidth="1"/>
    <col min="13" max="13" width="9.1640625" bestFit="1" customWidth="1"/>
    <col min="14" max="15" width="6.83203125" bestFit="1" customWidth="1"/>
    <col min="16" max="16" width="6.6640625" bestFit="1" customWidth="1"/>
    <col min="17" max="22" width="6.6640625" customWidth="1"/>
    <col min="30" max="30" width="10.83203125" style="59"/>
    <col min="31" max="31" width="10.83203125" style="64"/>
    <col min="32" max="32" width="10.83203125" style="59"/>
    <col min="40" max="40" width="10.83203125" style="64"/>
  </cols>
  <sheetData>
    <row r="1" spans="1:49" s="6" customFormat="1">
      <c r="A1" s="6" t="s">
        <v>255</v>
      </c>
      <c r="B1" s="6" t="s">
        <v>301</v>
      </c>
      <c r="C1" s="6" t="s">
        <v>302</v>
      </c>
      <c r="D1" s="8" t="s">
        <v>256</v>
      </c>
      <c r="E1" s="8" t="s">
        <v>257</v>
      </c>
      <c r="F1" s="56" t="s">
        <v>258</v>
      </c>
      <c r="G1" s="65" t="s">
        <v>314</v>
      </c>
      <c r="H1" s="8" t="s">
        <v>280</v>
      </c>
      <c r="I1" s="8" t="s">
        <v>281</v>
      </c>
      <c r="J1" s="8" t="s">
        <v>282</v>
      </c>
      <c r="K1" s="6" t="s">
        <v>283</v>
      </c>
      <c r="L1" s="56" t="s">
        <v>315</v>
      </c>
      <c r="M1" s="8" t="s">
        <v>284</v>
      </c>
      <c r="N1" s="56" t="s">
        <v>277</v>
      </c>
      <c r="O1" s="56" t="s">
        <v>278</v>
      </c>
      <c r="P1" s="56" t="s">
        <v>279</v>
      </c>
      <c r="Q1" s="56" t="s">
        <v>285</v>
      </c>
      <c r="R1" s="56" t="s">
        <v>286</v>
      </c>
      <c r="S1" s="56" t="s">
        <v>287</v>
      </c>
      <c r="T1" s="56" t="s">
        <v>288</v>
      </c>
      <c r="U1" s="56" t="s">
        <v>289</v>
      </c>
      <c r="V1" s="56" t="s">
        <v>316</v>
      </c>
      <c r="W1" s="10" t="s">
        <v>260</v>
      </c>
      <c r="X1" s="10" t="s">
        <v>261</v>
      </c>
      <c r="Y1" s="63" t="s">
        <v>262</v>
      </c>
      <c r="Z1" s="63" t="s">
        <v>263</v>
      </c>
      <c r="AA1" s="63" t="s">
        <v>264</v>
      </c>
      <c r="AB1" s="63" t="s">
        <v>265</v>
      </c>
      <c r="AC1" s="63" t="s">
        <v>266</v>
      </c>
      <c r="AD1" s="63" t="s">
        <v>267</v>
      </c>
      <c r="AE1" s="71" t="s">
        <v>109</v>
      </c>
      <c r="AF1" s="62" t="s">
        <v>268</v>
      </c>
      <c r="AG1" s="14" t="s">
        <v>269</v>
      </c>
      <c r="AH1" s="62" t="s">
        <v>270</v>
      </c>
      <c r="AI1" s="62" t="s">
        <v>271</v>
      </c>
      <c r="AJ1" s="62" t="s">
        <v>272</v>
      </c>
      <c r="AK1" s="62" t="s">
        <v>273</v>
      </c>
      <c r="AL1" s="62" t="s">
        <v>274</v>
      </c>
      <c r="AM1" s="62" t="s">
        <v>275</v>
      </c>
      <c r="AN1" s="73" t="s">
        <v>109</v>
      </c>
      <c r="AO1" s="6" t="s">
        <v>253</v>
      </c>
      <c r="AP1" s="6" t="s">
        <v>249</v>
      </c>
      <c r="AQ1" s="6" t="s">
        <v>252</v>
      </c>
      <c r="AR1" s="6" t="s">
        <v>250</v>
      </c>
      <c r="AS1" s="6" t="s">
        <v>251</v>
      </c>
      <c r="AT1" s="6" t="s">
        <v>259</v>
      </c>
      <c r="AU1" s="6" t="s">
        <v>248</v>
      </c>
      <c r="AV1" s="6" t="s">
        <v>254</v>
      </c>
      <c r="AW1" s="6" t="s">
        <v>109</v>
      </c>
    </row>
    <row r="2" spans="1:49">
      <c r="A2">
        <v>1</v>
      </c>
      <c r="B2" s="6" t="s">
        <v>276</v>
      </c>
      <c r="C2" s="6" t="s">
        <v>5</v>
      </c>
      <c r="D2" s="4" t="s">
        <v>276</v>
      </c>
      <c r="E2" s="4" t="s">
        <v>5</v>
      </c>
      <c r="F2" s="58" t="s">
        <v>65</v>
      </c>
      <c r="G2" s="66"/>
      <c r="H2" s="58" t="s">
        <v>290</v>
      </c>
      <c r="I2" s="4" t="s">
        <v>72</v>
      </c>
      <c r="J2" s="4"/>
      <c r="L2" s="20"/>
      <c r="M2" s="4">
        <v>2</v>
      </c>
      <c r="N2" s="4">
        <v>-1</v>
      </c>
      <c r="O2" s="4">
        <v>-1</v>
      </c>
      <c r="P2" s="4">
        <v>-2</v>
      </c>
      <c r="R2" s="4">
        <v>1</v>
      </c>
      <c r="S2" s="4">
        <v>2</v>
      </c>
      <c r="T2" s="4"/>
      <c r="U2" s="4"/>
      <c r="V2" s="4"/>
      <c r="X2">
        <v>4</v>
      </c>
      <c r="Z2">
        <v>2</v>
      </c>
      <c r="AB2">
        <v>2</v>
      </c>
      <c r="AC2">
        <v>1</v>
      </c>
      <c r="AG2">
        <v>4</v>
      </c>
      <c r="AI2">
        <v>2</v>
      </c>
      <c r="AK2">
        <v>2</v>
      </c>
      <c r="AL2">
        <v>1</v>
      </c>
      <c r="AO2" t="str">
        <f>IF(W2=AF2,"","x")</f>
        <v/>
      </c>
      <c r="AP2" t="str">
        <f>IF(X2=AG2,"","x")</f>
        <v/>
      </c>
      <c r="AQ2" t="str">
        <f>IF(Y2=AH2,"","x")</f>
        <v/>
      </c>
      <c r="AR2" t="str">
        <f>IF(Z2=AI2,"","x")</f>
        <v/>
      </c>
      <c r="AS2" t="str">
        <f>IF(AA2=AJ2,"","x")</f>
        <v/>
      </c>
      <c r="AT2" t="str">
        <f>IF(AB2=AK2,"","x")</f>
        <v/>
      </c>
      <c r="AU2" t="str">
        <f>IF(AC2=AL2,"","x")</f>
        <v/>
      </c>
      <c r="AV2" t="str">
        <f>IF(AD2=AM2,"","x")</f>
        <v/>
      </c>
      <c r="AW2" t="str">
        <f>IF(AE2=AN2,"","x")</f>
        <v/>
      </c>
    </row>
    <row r="3" spans="1:49">
      <c r="A3">
        <v>2</v>
      </c>
      <c r="B3" s="6" t="s">
        <v>276</v>
      </c>
      <c r="C3" s="6" t="s">
        <v>17</v>
      </c>
      <c r="D3" s="4" t="s">
        <v>276</v>
      </c>
      <c r="E3" s="4" t="s">
        <v>17</v>
      </c>
      <c r="F3" s="58" t="s">
        <v>65</v>
      </c>
      <c r="G3" s="66"/>
      <c r="H3" s="58" t="s">
        <v>290</v>
      </c>
      <c r="I3" s="4" t="s">
        <v>251</v>
      </c>
      <c r="J3" s="4" t="s">
        <v>72</v>
      </c>
      <c r="L3" s="20"/>
      <c r="M3" s="4">
        <v>2</v>
      </c>
      <c r="N3" s="4">
        <v>-1</v>
      </c>
      <c r="O3" s="4">
        <v>-1</v>
      </c>
      <c r="P3" s="4">
        <v>-3</v>
      </c>
      <c r="R3" s="4">
        <v>1</v>
      </c>
      <c r="S3" s="4">
        <v>1</v>
      </c>
      <c r="T3" s="4">
        <v>2</v>
      </c>
      <c r="U3" s="4"/>
      <c r="V3" s="4"/>
      <c r="X3">
        <v>4</v>
      </c>
      <c r="Z3">
        <v>2</v>
      </c>
      <c r="AA3">
        <v>1</v>
      </c>
      <c r="AB3">
        <f>-1+3</f>
        <v>2</v>
      </c>
      <c r="AC3">
        <v>1</v>
      </c>
      <c r="AG3">
        <v>4</v>
      </c>
      <c r="AI3">
        <v>2</v>
      </c>
      <c r="AJ3">
        <v>1</v>
      </c>
      <c r="AK3">
        <v>2</v>
      </c>
      <c r="AL3">
        <v>1</v>
      </c>
      <c r="AO3" t="str">
        <f>IF(W3=AF3,"","x")</f>
        <v/>
      </c>
      <c r="AP3" t="str">
        <f>IF(X3=AG3,"","x")</f>
        <v/>
      </c>
      <c r="AQ3" t="str">
        <f>IF(Y3=AH3,"","x")</f>
        <v/>
      </c>
      <c r="AR3" t="str">
        <f>IF(Z3=AI3,"","x")</f>
        <v/>
      </c>
      <c r="AS3" t="str">
        <f>IF(AA3=AJ3,"","x")</f>
        <v/>
      </c>
      <c r="AT3" t="str">
        <f>IF(AB3=AK3,"","x")</f>
        <v/>
      </c>
      <c r="AU3" t="str">
        <f>IF(AC3=AL3,"","x")</f>
        <v/>
      </c>
      <c r="AV3" t="str">
        <f t="shared" ref="AV3:AV15" si="0">IF(AD3=AM3,"","x")</f>
        <v/>
      </c>
      <c r="AW3" t="str">
        <f t="shared" ref="AW3:AW15" si="1">IF(AE3=AN3,"","x")</f>
        <v/>
      </c>
    </row>
    <row r="4" spans="1:49">
      <c r="A4">
        <v>3</v>
      </c>
      <c r="B4" s="6" t="s">
        <v>276</v>
      </c>
      <c r="C4" s="6" t="s">
        <v>22</v>
      </c>
      <c r="D4" s="4" t="s">
        <v>276</v>
      </c>
      <c r="E4" s="4" t="s">
        <v>22</v>
      </c>
      <c r="F4" s="58" t="s">
        <v>65</v>
      </c>
      <c r="G4" s="66"/>
      <c r="H4" s="58" t="s">
        <v>290</v>
      </c>
      <c r="I4" s="4" t="s">
        <v>24</v>
      </c>
      <c r="J4" s="4" t="s">
        <v>72</v>
      </c>
      <c r="L4" s="20"/>
      <c r="M4" s="4">
        <v>6</v>
      </c>
      <c r="N4" s="4">
        <v>-3</v>
      </c>
      <c r="O4" s="4">
        <v>-1</v>
      </c>
      <c r="P4" s="4">
        <v>-4</v>
      </c>
      <c r="R4" s="4">
        <v>3</v>
      </c>
      <c r="S4" s="4">
        <v>1</v>
      </c>
      <c r="T4" s="4">
        <v>4</v>
      </c>
      <c r="U4" s="4"/>
      <c r="V4" s="4"/>
      <c r="X4">
        <v>8</v>
      </c>
      <c r="Y4">
        <v>1</v>
      </c>
      <c r="Z4">
        <v>6</v>
      </c>
      <c r="AB4">
        <f>1+4</f>
        <v>5</v>
      </c>
      <c r="AC4">
        <v>3</v>
      </c>
      <c r="AG4">
        <v>8</v>
      </c>
      <c r="AH4">
        <v>1</v>
      </c>
      <c r="AI4">
        <v>6</v>
      </c>
      <c r="AK4">
        <f>3*2-1</f>
        <v>5</v>
      </c>
      <c r="AL4">
        <v>3</v>
      </c>
      <c r="AO4" t="str">
        <f>IF(W4=AF4,"","x")</f>
        <v/>
      </c>
      <c r="AP4" t="str">
        <f>IF(X4=AG4,"","x")</f>
        <v/>
      </c>
      <c r="AQ4" t="str">
        <f>IF(Y4=AH4,"","x")</f>
        <v/>
      </c>
      <c r="AR4" t="str">
        <f>IF(Z4=AI4,"","x")</f>
        <v/>
      </c>
      <c r="AS4" t="str">
        <f>IF(AA4=AJ4,"","x")</f>
        <v/>
      </c>
      <c r="AT4" t="str">
        <f>IF(AB4=AK4,"","x")</f>
        <v/>
      </c>
      <c r="AU4" t="str">
        <f>IF(AC4=AL4,"","x")</f>
        <v/>
      </c>
      <c r="AV4" t="str">
        <f t="shared" si="0"/>
        <v/>
      </c>
      <c r="AW4" t="str">
        <f t="shared" si="1"/>
        <v/>
      </c>
    </row>
    <row r="5" spans="1:49">
      <c r="A5">
        <v>4</v>
      </c>
      <c r="B5" s="6" t="s">
        <v>276</v>
      </c>
      <c r="C5" s="6" t="s">
        <v>25</v>
      </c>
      <c r="D5" s="4" t="s">
        <v>276</v>
      </c>
      <c r="E5" s="4" t="s">
        <v>25</v>
      </c>
      <c r="F5" s="58" t="s">
        <v>65</v>
      </c>
      <c r="G5" s="66"/>
      <c r="H5" s="58" t="s">
        <v>290</v>
      </c>
      <c r="I5" s="4" t="s">
        <v>35</v>
      </c>
      <c r="J5" s="4" t="s">
        <v>72</v>
      </c>
      <c r="L5" s="20"/>
      <c r="M5" s="4">
        <v>8</v>
      </c>
      <c r="N5" s="4">
        <v>-4</v>
      </c>
      <c r="O5" s="4">
        <v>-1</v>
      </c>
      <c r="P5" s="4">
        <v>-7</v>
      </c>
      <c r="R5" s="4">
        <v>4</v>
      </c>
      <c r="S5" s="4">
        <v>1</v>
      </c>
      <c r="T5" s="4">
        <v>5</v>
      </c>
      <c r="U5" s="4"/>
      <c r="V5" s="4"/>
      <c r="W5">
        <v>1</v>
      </c>
      <c r="X5">
        <v>11</v>
      </c>
      <c r="Z5">
        <v>8</v>
      </c>
      <c r="AB5">
        <v>7</v>
      </c>
      <c r="AC5">
        <v>4</v>
      </c>
      <c r="AF5" s="59">
        <v>1</v>
      </c>
      <c r="AG5">
        <v>11</v>
      </c>
      <c r="AI5">
        <v>8</v>
      </c>
      <c r="AK5">
        <f>8-1</f>
        <v>7</v>
      </c>
      <c r="AL5">
        <v>4</v>
      </c>
      <c r="AO5" t="str">
        <f>IF(W5=AF5,"","x")</f>
        <v/>
      </c>
      <c r="AP5" t="str">
        <f>IF(X5=AG5,"","x")</f>
        <v/>
      </c>
      <c r="AQ5" t="str">
        <f>IF(Y5=AH5,"","x")</f>
        <v/>
      </c>
      <c r="AR5" t="str">
        <f>IF(Z5=AI5,"","x")</f>
        <v/>
      </c>
      <c r="AS5" t="str">
        <f>IF(AA5=AJ5,"","x")</f>
        <v/>
      </c>
      <c r="AT5" t="str">
        <f>IF(AB5=AK5,"","x")</f>
        <v/>
      </c>
      <c r="AU5" t="str">
        <f>IF(AC5=AL5,"","x")</f>
        <v/>
      </c>
      <c r="AV5" t="str">
        <f t="shared" si="0"/>
        <v/>
      </c>
      <c r="AW5" t="str">
        <f t="shared" si="1"/>
        <v/>
      </c>
    </row>
    <row r="6" spans="1:49">
      <c r="A6">
        <v>5</v>
      </c>
      <c r="B6" s="6" t="s">
        <v>276</v>
      </c>
      <c r="C6" s="6" t="s">
        <v>291</v>
      </c>
      <c r="D6" s="4" t="s">
        <v>276</v>
      </c>
      <c r="E6" s="4" t="s">
        <v>291</v>
      </c>
      <c r="F6" s="58" t="s">
        <v>8</v>
      </c>
      <c r="G6" s="66"/>
      <c r="H6" s="58" t="s">
        <v>290</v>
      </c>
      <c r="I6" s="4" t="s">
        <v>293</v>
      </c>
      <c r="J6" s="4" t="s">
        <v>65</v>
      </c>
      <c r="L6" s="20"/>
      <c r="M6" s="4">
        <v>2</v>
      </c>
      <c r="N6" s="4">
        <v>-1</v>
      </c>
      <c r="O6" s="4">
        <v>-2</v>
      </c>
      <c r="P6" s="4">
        <v>-2</v>
      </c>
      <c r="R6" s="4">
        <v>1</v>
      </c>
      <c r="S6" s="4">
        <v>2</v>
      </c>
      <c r="T6" s="4">
        <v>2</v>
      </c>
      <c r="U6" s="4"/>
      <c r="V6" s="4"/>
      <c r="X6">
        <v>4</v>
      </c>
      <c r="Z6">
        <v>4</v>
      </c>
      <c r="AB6">
        <v>4</v>
      </c>
      <c r="AC6">
        <v>1</v>
      </c>
      <c r="AD6" s="59">
        <v>2</v>
      </c>
      <c r="AG6">
        <v>4</v>
      </c>
      <c r="AI6">
        <v>4</v>
      </c>
      <c r="AK6">
        <v>4</v>
      </c>
      <c r="AL6">
        <v>1</v>
      </c>
      <c r="AM6">
        <v>2</v>
      </c>
      <c r="AO6" t="str">
        <f>IF(W6=AF6,"","x")</f>
        <v/>
      </c>
      <c r="AP6" t="str">
        <f>IF(X6=AG6,"","x")</f>
        <v/>
      </c>
      <c r="AQ6" t="str">
        <f>IF(Y6=AH6,"","x")</f>
        <v/>
      </c>
      <c r="AR6" t="str">
        <f>IF(Z6=AI6,"","x")</f>
        <v/>
      </c>
      <c r="AS6" t="str">
        <f>IF(AA6=AJ6,"","x")</f>
        <v/>
      </c>
      <c r="AT6" t="str">
        <f>IF(AB6=AK6,"","x")</f>
        <v/>
      </c>
      <c r="AU6" t="str">
        <f>IF(AC6=AL6,"","x")</f>
        <v/>
      </c>
      <c r="AV6" t="str">
        <f t="shared" si="0"/>
        <v/>
      </c>
      <c r="AW6" t="str">
        <f t="shared" si="1"/>
        <v/>
      </c>
    </row>
    <row r="7" spans="1:49">
      <c r="A7">
        <v>6</v>
      </c>
      <c r="B7" s="6" t="s">
        <v>276</v>
      </c>
      <c r="C7" s="6" t="s">
        <v>251</v>
      </c>
      <c r="D7" s="4" t="s">
        <v>276</v>
      </c>
      <c r="E7" s="4" t="s">
        <v>251</v>
      </c>
      <c r="F7" s="58" t="s">
        <v>65</v>
      </c>
      <c r="G7" s="66"/>
      <c r="H7" s="58" t="s">
        <v>290</v>
      </c>
      <c r="I7" s="4" t="s">
        <v>294</v>
      </c>
      <c r="J7" s="4" t="s">
        <v>72</v>
      </c>
      <c r="L7" s="20"/>
      <c r="M7" s="4">
        <v>6</v>
      </c>
      <c r="N7" s="4">
        <v>-3</v>
      </c>
      <c r="O7" s="4">
        <v>-1</v>
      </c>
      <c r="P7" s="4">
        <v>-4</v>
      </c>
      <c r="R7" s="4">
        <v>3</v>
      </c>
      <c r="S7" s="4">
        <v>1</v>
      </c>
      <c r="T7" s="4">
        <v>2</v>
      </c>
      <c r="U7" s="4"/>
      <c r="V7" s="4"/>
      <c r="X7">
        <v>4</v>
      </c>
      <c r="Z7">
        <v>6</v>
      </c>
      <c r="AA7">
        <v>1</v>
      </c>
      <c r="AB7">
        <v>4</v>
      </c>
      <c r="AC7">
        <v>3</v>
      </c>
      <c r="AG7">
        <v>4</v>
      </c>
      <c r="AI7">
        <v>6</v>
      </c>
      <c r="AJ7">
        <v>1</v>
      </c>
      <c r="AK7">
        <f>6-2</f>
        <v>4</v>
      </c>
      <c r="AL7">
        <v>3</v>
      </c>
      <c r="AO7" t="str">
        <f>IF(W7=AF7,"","x")</f>
        <v/>
      </c>
      <c r="AP7" t="str">
        <f>IF(X7=AG7,"","x")</f>
        <v/>
      </c>
      <c r="AQ7" t="str">
        <f>IF(Y7=AH7,"","x")</f>
        <v/>
      </c>
      <c r="AR7" t="str">
        <f>IF(Z7=AI7,"","x")</f>
        <v/>
      </c>
      <c r="AS7" t="str">
        <f>IF(AA7=AJ7,"","x")</f>
        <v/>
      </c>
      <c r="AT7" t="str">
        <f>IF(AB7=AK7,"","x")</f>
        <v/>
      </c>
      <c r="AU7" t="str">
        <f>IF(AC7=AL7,"","x")</f>
        <v/>
      </c>
      <c r="AV7" t="str">
        <f t="shared" si="0"/>
        <v/>
      </c>
      <c r="AW7" t="str">
        <f t="shared" si="1"/>
        <v/>
      </c>
    </row>
    <row r="8" spans="1:49">
      <c r="A8">
        <v>7</v>
      </c>
      <c r="B8" s="6" t="s">
        <v>276</v>
      </c>
      <c r="C8" s="6" t="s">
        <v>292</v>
      </c>
      <c r="D8" s="4" t="s">
        <v>276</v>
      </c>
      <c r="E8" s="4" t="s">
        <v>292</v>
      </c>
      <c r="F8" s="58" t="s">
        <v>65</v>
      </c>
      <c r="G8" s="66"/>
      <c r="H8" s="58" t="s">
        <v>290</v>
      </c>
      <c r="I8" s="4" t="s">
        <v>35</v>
      </c>
      <c r="J8" s="4" t="s">
        <v>72</v>
      </c>
      <c r="L8" s="20"/>
      <c r="M8" s="4">
        <v>8</v>
      </c>
      <c r="N8" s="4">
        <v>-4</v>
      </c>
      <c r="O8" s="4">
        <v>-1</v>
      </c>
      <c r="P8" s="4">
        <v>-7</v>
      </c>
      <c r="R8" s="4">
        <v>4</v>
      </c>
      <c r="S8" s="4">
        <v>2</v>
      </c>
      <c r="T8" s="4">
        <v>4</v>
      </c>
      <c r="U8" s="4"/>
      <c r="V8" s="4"/>
      <c r="W8" s="20">
        <v>2</v>
      </c>
      <c r="X8" s="20">
        <f>3+7</f>
        <v>10</v>
      </c>
      <c r="Z8">
        <v>10</v>
      </c>
      <c r="AB8">
        <f>-1+7</f>
        <v>6</v>
      </c>
      <c r="AC8">
        <v>4</v>
      </c>
      <c r="AF8" s="59">
        <v>2</v>
      </c>
      <c r="AG8">
        <f>2+8</f>
        <v>10</v>
      </c>
      <c r="AI8">
        <f>2*3+4</f>
        <v>10</v>
      </c>
      <c r="AK8">
        <f>4*2-2</f>
        <v>6</v>
      </c>
      <c r="AL8">
        <v>4</v>
      </c>
      <c r="AO8" t="str">
        <f>IF(W8=AF8,"","x")</f>
        <v/>
      </c>
      <c r="AP8" t="str">
        <f>IF(X8=AG8,"","x")</f>
        <v/>
      </c>
      <c r="AQ8" t="str">
        <f>IF(Y8=AH8,"","x")</f>
        <v/>
      </c>
      <c r="AR8" t="str">
        <f>IF(Z8=AI8,"","x")</f>
        <v/>
      </c>
      <c r="AS8" t="str">
        <f>IF(AA8=AJ8,"","x")</f>
        <v/>
      </c>
      <c r="AT8" t="str">
        <f>IF(AB8=AK8,"","x")</f>
        <v/>
      </c>
      <c r="AU8" t="str">
        <f>IF(AC8=AL8,"","x")</f>
        <v/>
      </c>
      <c r="AV8" t="str">
        <f t="shared" si="0"/>
        <v/>
      </c>
      <c r="AW8" t="str">
        <f t="shared" si="1"/>
        <v/>
      </c>
    </row>
    <row r="9" spans="1:49">
      <c r="A9">
        <v>8</v>
      </c>
      <c r="B9" s="10" t="s">
        <v>295</v>
      </c>
      <c r="C9" s="10" t="s">
        <v>5</v>
      </c>
      <c r="D9" s="11" t="s">
        <v>295</v>
      </c>
      <c r="E9" s="11" t="s">
        <v>5</v>
      </c>
      <c r="F9" s="60" t="s">
        <v>65</v>
      </c>
      <c r="G9" s="67"/>
      <c r="H9" s="60" t="s">
        <v>291</v>
      </c>
      <c r="I9" s="11" t="s">
        <v>72</v>
      </c>
      <c r="J9" s="11"/>
      <c r="L9" s="20"/>
      <c r="M9" s="11">
        <v>2</v>
      </c>
      <c r="N9" s="11">
        <v>-1</v>
      </c>
      <c r="O9" s="11">
        <v>-1</v>
      </c>
      <c r="P9" s="11">
        <v>-6</v>
      </c>
      <c r="R9" s="11">
        <v>3</v>
      </c>
      <c r="S9" s="11">
        <v>4</v>
      </c>
      <c r="T9" s="11"/>
      <c r="U9" s="11"/>
      <c r="V9" s="11"/>
      <c r="X9">
        <f>2+6</f>
        <v>8</v>
      </c>
      <c r="Z9">
        <v>4</v>
      </c>
      <c r="AB9">
        <v>6</v>
      </c>
      <c r="AD9" s="59">
        <v>3</v>
      </c>
      <c r="AG9">
        <v>8</v>
      </c>
      <c r="AI9">
        <v>4</v>
      </c>
      <c r="AK9">
        <f>3*2</f>
        <v>6</v>
      </c>
      <c r="AM9">
        <v>3</v>
      </c>
      <c r="AO9" t="str">
        <f>IF(W9=AF9,"","x")</f>
        <v/>
      </c>
      <c r="AP9" t="str">
        <f>IF(X9=AG9,"","x")</f>
        <v/>
      </c>
      <c r="AQ9" t="str">
        <f>IF(Y9=AH9,"","x")</f>
        <v/>
      </c>
      <c r="AR9" t="str">
        <f>IF(Z9=AI9,"","x")</f>
        <v/>
      </c>
      <c r="AS9" t="str">
        <f>IF(AA9=AJ9,"","x")</f>
        <v/>
      </c>
      <c r="AT9" t="str">
        <f>IF(AB9=AK9,"","x")</f>
        <v/>
      </c>
      <c r="AU9" t="str">
        <f>IF(AC9=AL9,"","x")</f>
        <v/>
      </c>
      <c r="AV9" t="str">
        <f t="shared" si="0"/>
        <v/>
      </c>
      <c r="AW9" t="str">
        <f t="shared" si="1"/>
        <v/>
      </c>
    </row>
    <row r="10" spans="1:49">
      <c r="A10">
        <v>9</v>
      </c>
      <c r="B10" s="10" t="s">
        <v>295</v>
      </c>
      <c r="C10" s="10" t="s">
        <v>17</v>
      </c>
      <c r="D10" s="11" t="s">
        <v>295</v>
      </c>
      <c r="E10" s="11" t="s">
        <v>17</v>
      </c>
      <c r="F10" s="60" t="s">
        <v>65</v>
      </c>
      <c r="G10" s="67"/>
      <c r="H10" s="60" t="s">
        <v>291</v>
      </c>
      <c r="I10" s="11" t="s">
        <v>251</v>
      </c>
      <c r="J10" s="11" t="s">
        <v>72</v>
      </c>
      <c r="L10" s="20"/>
      <c r="M10" s="11">
        <v>2</v>
      </c>
      <c r="N10" s="11">
        <v>-1</v>
      </c>
      <c r="O10" s="11">
        <v>-1</v>
      </c>
      <c r="P10" s="11">
        <v>-7</v>
      </c>
      <c r="R10" s="11">
        <v>3</v>
      </c>
      <c r="S10" s="11">
        <v>1</v>
      </c>
      <c r="T10" s="11">
        <v>4</v>
      </c>
      <c r="U10" s="11"/>
      <c r="V10" s="11"/>
      <c r="X10">
        <f>1+7</f>
        <v>8</v>
      </c>
      <c r="Z10">
        <v>4</v>
      </c>
      <c r="AA10">
        <v>1</v>
      </c>
      <c r="AB10">
        <v>6</v>
      </c>
      <c r="AD10" s="59">
        <v>3</v>
      </c>
      <c r="AG10">
        <v>8</v>
      </c>
      <c r="AI10">
        <v>4</v>
      </c>
      <c r="AJ10">
        <v>1</v>
      </c>
      <c r="AK10">
        <f>3*2</f>
        <v>6</v>
      </c>
      <c r="AM10">
        <v>3</v>
      </c>
      <c r="AO10" t="str">
        <f>IF(W10=AF10,"","x")</f>
        <v/>
      </c>
      <c r="AP10" t="str">
        <f>IF(X10=AG10,"","x")</f>
        <v/>
      </c>
      <c r="AQ10" t="str">
        <f>IF(Y10=AH10,"","x")</f>
        <v/>
      </c>
      <c r="AR10" t="str">
        <f>IF(Z10=AI10,"","x")</f>
        <v/>
      </c>
      <c r="AS10" t="str">
        <f>IF(AA10=AJ10,"","x")</f>
        <v/>
      </c>
      <c r="AT10" t="str">
        <f>IF(AB10=AK10,"","x")</f>
        <v/>
      </c>
      <c r="AU10" t="str">
        <f>IF(AC10=AL10,"","x")</f>
        <v/>
      </c>
      <c r="AV10" t="str">
        <f t="shared" si="0"/>
        <v/>
      </c>
      <c r="AW10" t="str">
        <f t="shared" si="1"/>
        <v/>
      </c>
    </row>
    <row r="11" spans="1:49">
      <c r="A11">
        <v>10</v>
      </c>
      <c r="B11" s="10" t="s">
        <v>295</v>
      </c>
      <c r="C11" s="10" t="s">
        <v>22</v>
      </c>
      <c r="D11" s="11" t="s">
        <v>295</v>
      </c>
      <c r="E11" s="11" t="s">
        <v>22</v>
      </c>
      <c r="F11" s="60" t="s">
        <v>65</v>
      </c>
      <c r="G11" s="67"/>
      <c r="H11" s="60" t="s">
        <v>291</v>
      </c>
      <c r="I11" s="11" t="s">
        <v>24</v>
      </c>
      <c r="J11" s="11" t="s">
        <v>72</v>
      </c>
      <c r="L11" s="20"/>
      <c r="M11" s="11">
        <v>6</v>
      </c>
      <c r="N11" s="11">
        <v>-3</v>
      </c>
      <c r="O11" s="11">
        <v>-1</v>
      </c>
      <c r="P11" s="11">
        <v>-16</v>
      </c>
      <c r="R11" s="11">
        <v>9</v>
      </c>
      <c r="S11" s="11">
        <v>1</v>
      </c>
      <c r="T11" s="11">
        <v>10</v>
      </c>
      <c r="U11" s="11"/>
      <c r="V11" s="11"/>
      <c r="X11">
        <f>16+4</f>
        <v>20</v>
      </c>
      <c r="Y11">
        <v>1</v>
      </c>
      <c r="Z11">
        <f>3*4</f>
        <v>12</v>
      </c>
      <c r="AB11">
        <f>1+16</f>
        <v>17</v>
      </c>
      <c r="AD11" s="59">
        <f>3*3</f>
        <v>9</v>
      </c>
      <c r="AG11">
        <f>10*2</f>
        <v>20</v>
      </c>
      <c r="AH11">
        <v>1</v>
      </c>
      <c r="AI11">
        <f>2+10</f>
        <v>12</v>
      </c>
      <c r="AK11">
        <f>9*2-1</f>
        <v>17</v>
      </c>
      <c r="AM11">
        <v>9</v>
      </c>
      <c r="AO11" t="str">
        <f>IF(W11=AF11,"","x")</f>
        <v/>
      </c>
      <c r="AP11" t="str">
        <f>IF(X11=AG11,"","x")</f>
        <v/>
      </c>
      <c r="AQ11" t="str">
        <f>IF(Y11=AH11,"","x")</f>
        <v/>
      </c>
      <c r="AR11" t="str">
        <f>IF(Z11=AI11,"","x")</f>
        <v/>
      </c>
      <c r="AS11" t="str">
        <f>IF(AA11=AJ11,"","x")</f>
        <v/>
      </c>
      <c r="AT11" t="str">
        <f>IF(AB11=AK11,"","x")</f>
        <v/>
      </c>
      <c r="AU11" t="str">
        <f>IF(AC11=AL11,"","x")</f>
        <v/>
      </c>
      <c r="AV11" t="str">
        <f t="shared" si="0"/>
        <v/>
      </c>
      <c r="AW11" t="str">
        <f t="shared" si="1"/>
        <v/>
      </c>
    </row>
    <row r="12" spans="1:49">
      <c r="A12">
        <v>11</v>
      </c>
      <c r="B12" s="10" t="s">
        <v>295</v>
      </c>
      <c r="C12" s="10" t="s">
        <v>25</v>
      </c>
      <c r="D12" s="11" t="s">
        <v>295</v>
      </c>
      <c r="E12" s="11" t="s">
        <v>25</v>
      </c>
      <c r="F12" s="60" t="s">
        <v>65</v>
      </c>
      <c r="G12" s="67"/>
      <c r="H12" s="60" t="s">
        <v>291</v>
      </c>
      <c r="I12" s="11" t="s">
        <v>35</v>
      </c>
      <c r="J12" s="11" t="s">
        <v>72</v>
      </c>
      <c r="M12" s="11">
        <v>8</v>
      </c>
      <c r="N12" s="11">
        <v>-4</v>
      </c>
      <c r="O12" s="11">
        <v>-1</v>
      </c>
      <c r="P12" s="11">
        <v>-23</v>
      </c>
      <c r="R12" s="11">
        <v>12</v>
      </c>
      <c r="S12" s="11">
        <v>1</v>
      </c>
      <c r="T12" s="11">
        <v>13</v>
      </c>
      <c r="U12" s="11"/>
      <c r="V12" s="11"/>
      <c r="W12" s="20">
        <v>1</v>
      </c>
      <c r="X12">
        <f>23+4</f>
        <v>27</v>
      </c>
      <c r="Z12">
        <f>4*4</f>
        <v>16</v>
      </c>
      <c r="AB12">
        <v>23</v>
      </c>
      <c r="AD12" s="59">
        <f>4*3</f>
        <v>12</v>
      </c>
      <c r="AF12" s="59">
        <v>1</v>
      </c>
      <c r="AG12">
        <f>13*2+1</f>
        <v>27</v>
      </c>
      <c r="AI12">
        <f>3+13</f>
        <v>16</v>
      </c>
      <c r="AK12">
        <f>2*12-1</f>
        <v>23</v>
      </c>
      <c r="AM12">
        <v>12</v>
      </c>
      <c r="AO12" t="str">
        <f>IF(W12=AF12,"","x")</f>
        <v/>
      </c>
      <c r="AP12" t="str">
        <f>IF(X12=AG12,"","x")</f>
        <v/>
      </c>
      <c r="AQ12" t="str">
        <f>IF(Y12=AH12,"","x")</f>
        <v/>
      </c>
      <c r="AR12" t="str">
        <f>IF(Z12=AI12,"","x")</f>
        <v/>
      </c>
      <c r="AS12" t="str">
        <f>IF(AA12=AJ12,"","x")</f>
        <v/>
      </c>
      <c r="AT12" t="str">
        <f>IF(AB12=AK12,"","x")</f>
        <v/>
      </c>
      <c r="AU12" t="str">
        <f>IF(AC12=AL12,"","x")</f>
        <v/>
      </c>
      <c r="AV12" t="str">
        <f t="shared" si="0"/>
        <v/>
      </c>
      <c r="AW12" t="str">
        <f t="shared" si="1"/>
        <v/>
      </c>
    </row>
    <row r="13" spans="1:49">
      <c r="A13">
        <v>12</v>
      </c>
      <c r="B13" s="10" t="s">
        <v>295</v>
      </c>
      <c r="C13" s="10" t="s">
        <v>251</v>
      </c>
      <c r="D13" s="11" t="s">
        <v>295</v>
      </c>
      <c r="E13" s="11" t="s">
        <v>251</v>
      </c>
      <c r="F13" s="60" t="s">
        <v>65</v>
      </c>
      <c r="G13" s="67"/>
      <c r="H13" s="60" t="s">
        <v>291</v>
      </c>
      <c r="I13" s="11" t="s">
        <v>294</v>
      </c>
      <c r="J13" s="11" t="s">
        <v>72</v>
      </c>
      <c r="M13" s="11">
        <v>6</v>
      </c>
      <c r="N13" s="11">
        <v>-3</v>
      </c>
      <c r="O13" s="11">
        <v>-1</v>
      </c>
      <c r="P13" s="11">
        <v>-16</v>
      </c>
      <c r="R13" s="11">
        <v>9</v>
      </c>
      <c r="S13" s="11">
        <v>1</v>
      </c>
      <c r="T13" s="11">
        <v>8</v>
      </c>
      <c r="U13" s="11"/>
      <c r="V13" s="11"/>
      <c r="X13">
        <v>16</v>
      </c>
      <c r="Z13">
        <f>3*4</f>
        <v>12</v>
      </c>
      <c r="AA13">
        <v>1</v>
      </c>
      <c r="AB13">
        <v>16</v>
      </c>
      <c r="AD13" s="59">
        <f>3*3</f>
        <v>9</v>
      </c>
      <c r="AG13">
        <f>8*2</f>
        <v>16</v>
      </c>
      <c r="AI13">
        <f>4+8</f>
        <v>12</v>
      </c>
      <c r="AJ13">
        <v>1</v>
      </c>
      <c r="AK13">
        <f>9*2-2</f>
        <v>16</v>
      </c>
      <c r="AM13">
        <v>9</v>
      </c>
      <c r="AO13" t="str">
        <f>IF(W13=AF13,"","x")</f>
        <v/>
      </c>
      <c r="AP13" t="str">
        <f>IF(X13=AG13,"","x")</f>
        <v/>
      </c>
      <c r="AQ13" t="str">
        <f>IF(Y13=AH13,"","x")</f>
        <v/>
      </c>
      <c r="AR13" t="str">
        <f>IF(Z13=AI13,"","x")</f>
        <v/>
      </c>
      <c r="AS13" t="str">
        <f>IF(AA13=AJ13,"","x")</f>
        <v/>
      </c>
      <c r="AT13" t="str">
        <f>IF(AB13=AK13,"","x")</f>
        <v/>
      </c>
      <c r="AU13" t="str">
        <f>IF(AC13=AL13,"","x")</f>
        <v/>
      </c>
      <c r="AV13" t="str">
        <f t="shared" si="0"/>
        <v/>
      </c>
      <c r="AW13" t="str">
        <f t="shared" si="1"/>
        <v/>
      </c>
    </row>
    <row r="14" spans="1:49">
      <c r="A14">
        <v>13</v>
      </c>
      <c r="B14" s="10" t="s">
        <v>295</v>
      </c>
      <c r="C14" s="10" t="s">
        <v>292</v>
      </c>
      <c r="D14" s="11" t="s">
        <v>295</v>
      </c>
      <c r="E14" s="11" t="s">
        <v>292</v>
      </c>
      <c r="F14" s="60" t="s">
        <v>65</v>
      </c>
      <c r="G14" s="67"/>
      <c r="H14" s="60" t="s">
        <v>291</v>
      </c>
      <c r="I14" s="11" t="s">
        <v>35</v>
      </c>
      <c r="J14" s="11" t="s">
        <v>72</v>
      </c>
      <c r="M14" s="11">
        <v>8</v>
      </c>
      <c r="N14" s="11">
        <v>-4</v>
      </c>
      <c r="O14" s="11">
        <v>-1</v>
      </c>
      <c r="P14" s="11">
        <v>-23</v>
      </c>
      <c r="R14" s="11">
        <v>12</v>
      </c>
      <c r="S14" s="11">
        <v>2</v>
      </c>
      <c r="T14" s="11">
        <v>12</v>
      </c>
      <c r="U14" s="11"/>
      <c r="V14" s="11"/>
      <c r="W14" s="20">
        <v>2</v>
      </c>
      <c r="X14">
        <f>23+3</f>
        <v>26</v>
      </c>
      <c r="Z14">
        <f>4*4+2</f>
        <v>18</v>
      </c>
      <c r="AB14">
        <f>23-1</f>
        <v>22</v>
      </c>
      <c r="AD14" s="59">
        <f>4*3</f>
        <v>12</v>
      </c>
      <c r="AF14" s="59">
        <v>2</v>
      </c>
      <c r="AG14">
        <f>12*2+2</f>
        <v>26</v>
      </c>
      <c r="AI14">
        <f>3*2+12</f>
        <v>18</v>
      </c>
      <c r="AK14">
        <f>2*12-2</f>
        <v>22</v>
      </c>
      <c r="AM14">
        <v>12</v>
      </c>
      <c r="AO14" t="str">
        <f>IF(W14=AF14,"","x")</f>
        <v/>
      </c>
      <c r="AP14" t="str">
        <f>IF(X14=AG14,"","x")</f>
        <v/>
      </c>
      <c r="AQ14" t="str">
        <f>IF(Y14=AH14,"","x")</f>
        <v/>
      </c>
      <c r="AR14" t="str">
        <f>IF(Z14=AI14,"","x")</f>
        <v/>
      </c>
      <c r="AS14" t="str">
        <f>IF(AA14=AJ14,"","x")</f>
        <v/>
      </c>
      <c r="AT14" t="str">
        <f>IF(AB14=AK14,"","x")</f>
        <v/>
      </c>
      <c r="AU14" t="str">
        <f>IF(AC14=AL14,"","x")</f>
        <v/>
      </c>
      <c r="AV14" t="str">
        <f t="shared" si="0"/>
        <v/>
      </c>
      <c r="AW14" t="str">
        <f t="shared" si="1"/>
        <v/>
      </c>
    </row>
    <row r="15" spans="1:49">
      <c r="A15">
        <v>14</v>
      </c>
      <c r="B15" s="10" t="s">
        <v>295</v>
      </c>
      <c r="C15" s="10" t="s">
        <v>290</v>
      </c>
      <c r="D15" s="11" t="s">
        <v>295</v>
      </c>
      <c r="E15" s="11" t="s">
        <v>290</v>
      </c>
      <c r="F15" s="60" t="s">
        <v>65</v>
      </c>
      <c r="G15" s="67"/>
      <c r="H15" s="60" t="s">
        <v>291</v>
      </c>
      <c r="I15" s="11" t="s">
        <v>300</v>
      </c>
      <c r="J15" s="11"/>
      <c r="M15" s="11">
        <v>2</v>
      </c>
      <c r="N15" s="11">
        <v>-1</v>
      </c>
      <c r="O15" s="11">
        <v>-2</v>
      </c>
      <c r="P15" s="11">
        <v>-2</v>
      </c>
      <c r="R15" s="11">
        <v>3</v>
      </c>
      <c r="S15" s="11">
        <v>2</v>
      </c>
      <c r="T15" s="11"/>
      <c r="U15" s="11"/>
      <c r="V15" s="11"/>
      <c r="X15">
        <v>2</v>
      </c>
      <c r="Z15">
        <v>4</v>
      </c>
      <c r="AB15">
        <f>2*2+2</f>
        <v>6</v>
      </c>
      <c r="AC15">
        <v>2</v>
      </c>
      <c r="AD15" s="59">
        <v>3</v>
      </c>
      <c r="AG15">
        <v>2</v>
      </c>
      <c r="AI15">
        <v>4</v>
      </c>
      <c r="AK15">
        <f>2*3</f>
        <v>6</v>
      </c>
      <c r="AL15">
        <v>2</v>
      </c>
      <c r="AM15">
        <v>3</v>
      </c>
      <c r="AO15" t="str">
        <f>IF(W15=AF15,"","x")</f>
        <v/>
      </c>
      <c r="AP15" t="str">
        <f>IF(X15=AG15,"","x")</f>
        <v/>
      </c>
      <c r="AQ15" t="str">
        <f>IF(Y15=AH15,"","x")</f>
        <v/>
      </c>
      <c r="AR15" t="str">
        <f>IF(Z15=AI15,"","x")</f>
        <v/>
      </c>
      <c r="AS15" t="str">
        <f>IF(AA15=AJ15,"","x")</f>
        <v/>
      </c>
      <c r="AT15" t="str">
        <f>IF(AB15=AK15,"","x")</f>
        <v/>
      </c>
      <c r="AU15" t="str">
        <f>IF(AC15=AL15,"","x")</f>
        <v/>
      </c>
      <c r="AV15" t="str">
        <f t="shared" si="0"/>
        <v/>
      </c>
      <c r="AW15" t="str">
        <f t="shared" si="1"/>
        <v/>
      </c>
    </row>
    <row r="16" spans="1:49">
      <c r="A16">
        <v>15</v>
      </c>
      <c r="B16" s="27" t="s">
        <v>297</v>
      </c>
      <c r="C16" s="27" t="s">
        <v>5</v>
      </c>
      <c r="D16" s="26" t="s">
        <v>297</v>
      </c>
      <c r="E16" s="26" t="s">
        <v>5</v>
      </c>
      <c r="F16" s="61" t="s">
        <v>65</v>
      </c>
      <c r="G16" s="68"/>
      <c r="H16" s="61" t="s">
        <v>17</v>
      </c>
      <c r="I16" s="26" t="s">
        <v>299</v>
      </c>
      <c r="J16" s="26" t="s">
        <v>72</v>
      </c>
      <c r="K16" s="26"/>
      <c r="L16" s="26"/>
      <c r="M16" s="26">
        <v>8</v>
      </c>
      <c r="N16" s="26">
        <v>-1</v>
      </c>
      <c r="O16" s="26">
        <v>-4</v>
      </c>
      <c r="P16" s="26">
        <v>-1</v>
      </c>
      <c r="R16" s="26">
        <v>1</v>
      </c>
      <c r="S16" s="26">
        <v>1</v>
      </c>
      <c r="T16" s="26">
        <v>6</v>
      </c>
      <c r="U16" s="26"/>
      <c r="V16" s="26"/>
      <c r="W16" s="20"/>
      <c r="X16" s="20">
        <f>2*2+(4*2)+1</f>
        <v>13</v>
      </c>
      <c r="Y16" s="20"/>
      <c r="Z16">
        <f>4+2</f>
        <v>6</v>
      </c>
      <c r="AA16">
        <v>1</v>
      </c>
      <c r="AB16">
        <v>1</v>
      </c>
      <c r="AE16" s="64">
        <v>1</v>
      </c>
      <c r="AG16">
        <f>6*2+1</f>
        <v>13</v>
      </c>
      <c r="AI16">
        <v>6</v>
      </c>
      <c r="AJ16">
        <v>1</v>
      </c>
      <c r="AK16">
        <f>2-1</f>
        <v>1</v>
      </c>
      <c r="AN16" s="64">
        <v>1</v>
      </c>
      <c r="AO16" t="str">
        <f t="shared" ref="AO16:AO31" si="2">IF(W16=AF16,"","x")</f>
        <v/>
      </c>
      <c r="AP16" t="str">
        <f t="shared" ref="AP16:AP31" si="3">IF(X16=AG16,"","x")</f>
        <v/>
      </c>
      <c r="AQ16" t="str">
        <f t="shared" ref="AQ16:AQ31" si="4">IF(Y16=AH16,"","x")</f>
        <v/>
      </c>
      <c r="AR16" t="str">
        <f t="shared" ref="AR16:AR31" si="5">IF(Z16=AI16,"","x")</f>
        <v/>
      </c>
      <c r="AS16" t="str">
        <f t="shared" ref="AS16:AS31" si="6">IF(AA16=AJ16,"","x")</f>
        <v/>
      </c>
      <c r="AT16" t="str">
        <f t="shared" ref="AT16:AT31" si="7">IF(AB16=AK16,"","x")</f>
        <v/>
      </c>
      <c r="AU16" t="str">
        <f t="shared" ref="AU16:AU31" si="8">IF(AC16=AL16,"","x")</f>
        <v/>
      </c>
      <c r="AV16" t="str">
        <f t="shared" ref="AV16:AV31" si="9">IF(AD16=AM16,"","x")</f>
        <v/>
      </c>
      <c r="AW16" t="str">
        <f t="shared" ref="AW16:AW31" si="10">IF(AE16=AN16,"","x")</f>
        <v/>
      </c>
    </row>
    <row r="17" spans="1:49">
      <c r="A17">
        <v>16</v>
      </c>
      <c r="B17" s="27" t="s">
        <v>297</v>
      </c>
      <c r="C17" s="27" t="s">
        <v>17</v>
      </c>
      <c r="D17" s="26" t="s">
        <v>297</v>
      </c>
      <c r="E17" s="26" t="s">
        <v>17</v>
      </c>
      <c r="F17" s="61" t="s">
        <v>65</v>
      </c>
      <c r="G17" s="68"/>
      <c r="H17" s="61" t="s">
        <v>251</v>
      </c>
      <c r="I17" s="26" t="s">
        <v>299</v>
      </c>
      <c r="J17" s="26" t="s">
        <v>72</v>
      </c>
      <c r="K17" s="26"/>
      <c r="L17" s="26"/>
      <c r="M17" s="26">
        <v>8</v>
      </c>
      <c r="N17" s="26">
        <v>-1</v>
      </c>
      <c r="O17" s="26">
        <v>-3</v>
      </c>
      <c r="P17" s="26">
        <v>-5</v>
      </c>
      <c r="R17" s="26">
        <v>1</v>
      </c>
      <c r="S17" s="26">
        <v>1</v>
      </c>
      <c r="T17" s="26">
        <v>6</v>
      </c>
      <c r="U17" s="26"/>
      <c r="V17" s="26"/>
      <c r="W17" s="20"/>
      <c r="X17" s="20">
        <f>2*2+3+5</f>
        <v>12</v>
      </c>
      <c r="Y17" s="20"/>
      <c r="Z17">
        <f>4+2</f>
        <v>6</v>
      </c>
      <c r="AA17">
        <v>1</v>
      </c>
      <c r="AB17">
        <f>-3+5</f>
        <v>2</v>
      </c>
      <c r="AE17" s="64">
        <v>1</v>
      </c>
      <c r="AG17">
        <f>6*2</f>
        <v>12</v>
      </c>
      <c r="AI17">
        <v>6</v>
      </c>
      <c r="AJ17">
        <v>1</v>
      </c>
      <c r="AK17">
        <v>2</v>
      </c>
      <c r="AN17" s="64">
        <v>1</v>
      </c>
      <c r="AO17" t="str">
        <f t="shared" si="2"/>
        <v/>
      </c>
      <c r="AP17" t="str">
        <f t="shared" si="3"/>
        <v/>
      </c>
      <c r="AQ17" t="str">
        <f t="shared" si="4"/>
        <v/>
      </c>
      <c r="AR17" t="str">
        <f t="shared" si="5"/>
        <v/>
      </c>
      <c r="AS17" t="str">
        <f t="shared" si="6"/>
        <v/>
      </c>
      <c r="AT17" t="str">
        <f t="shared" si="7"/>
        <v/>
      </c>
      <c r="AU17" t="str">
        <f t="shared" si="8"/>
        <v/>
      </c>
      <c r="AV17" t="str">
        <f t="shared" si="9"/>
        <v/>
      </c>
      <c r="AW17" t="str">
        <f t="shared" si="10"/>
        <v/>
      </c>
    </row>
    <row r="18" spans="1:49" s="20" customFormat="1" ht="20">
      <c r="A18" s="20">
        <v>17</v>
      </c>
      <c r="B18" s="27" t="s">
        <v>297</v>
      </c>
      <c r="C18" s="27" t="s">
        <v>22</v>
      </c>
      <c r="D18" s="26" t="s">
        <v>123</v>
      </c>
      <c r="E18" s="26" t="s">
        <v>225</v>
      </c>
      <c r="F18" s="61"/>
      <c r="G18" s="68"/>
      <c r="H18" s="26" t="s">
        <v>224</v>
      </c>
      <c r="I18" s="26" t="s">
        <v>228</v>
      </c>
      <c r="J18" s="26" t="s">
        <v>229</v>
      </c>
      <c r="K18" s="26" t="s">
        <v>216</v>
      </c>
      <c r="L18" s="26" t="s">
        <v>227</v>
      </c>
      <c r="M18" s="26">
        <v>24</v>
      </c>
      <c r="N18" s="26">
        <v>-3</v>
      </c>
      <c r="O18" s="26">
        <v>-4</v>
      </c>
      <c r="P18" s="26"/>
      <c r="R18" s="26">
        <v>3</v>
      </c>
      <c r="S18" s="26">
        <v>4</v>
      </c>
      <c r="T18" s="26">
        <v>3</v>
      </c>
      <c r="U18" s="26">
        <v>10</v>
      </c>
      <c r="V18" s="26">
        <v>5</v>
      </c>
      <c r="X18" s="20">
        <f>12+16</f>
        <v>28</v>
      </c>
      <c r="Y18" s="20">
        <v>4</v>
      </c>
      <c r="Z18" s="20">
        <f>6*3</f>
        <v>18</v>
      </c>
      <c r="AA18" s="20">
        <v>3</v>
      </c>
      <c r="AB18" s="20">
        <v>4</v>
      </c>
      <c r="AD18" s="57"/>
      <c r="AE18" s="72">
        <v>3</v>
      </c>
      <c r="AF18" s="57"/>
      <c r="AG18" s="20">
        <f>3+(10*2)+5</f>
        <v>28</v>
      </c>
      <c r="AH18" s="20">
        <v>4</v>
      </c>
      <c r="AI18" s="20">
        <f>(4*2)+10</f>
        <v>18</v>
      </c>
      <c r="AJ18" s="20">
        <v>3</v>
      </c>
      <c r="AK18" s="20">
        <f>(-1*3)+(-1*4)+(3*2)+5</f>
        <v>4</v>
      </c>
      <c r="AN18" s="72">
        <v>3</v>
      </c>
      <c r="AO18" s="20" t="str">
        <f t="shared" si="2"/>
        <v/>
      </c>
      <c r="AP18" s="20" t="str">
        <f t="shared" si="3"/>
        <v/>
      </c>
      <c r="AQ18" s="20" t="str">
        <f t="shared" si="4"/>
        <v/>
      </c>
      <c r="AR18" s="20" t="str">
        <f t="shared" si="5"/>
        <v/>
      </c>
      <c r="AS18" s="20" t="str">
        <f t="shared" si="6"/>
        <v/>
      </c>
      <c r="AT18" s="20" t="str">
        <f t="shared" si="7"/>
        <v/>
      </c>
      <c r="AU18" s="20" t="str">
        <f t="shared" si="8"/>
        <v/>
      </c>
      <c r="AV18" s="20" t="str">
        <f t="shared" si="9"/>
        <v/>
      </c>
      <c r="AW18" s="20" t="str">
        <f t="shared" si="10"/>
        <v/>
      </c>
    </row>
    <row r="19" spans="1:49" ht="19" customHeight="1">
      <c r="A19">
        <v>18</v>
      </c>
      <c r="B19" s="27" t="s">
        <v>297</v>
      </c>
      <c r="C19" s="27" t="s">
        <v>25</v>
      </c>
      <c r="D19" s="26" t="s">
        <v>297</v>
      </c>
      <c r="E19" s="26" t="s">
        <v>25</v>
      </c>
      <c r="F19" s="61"/>
      <c r="G19" s="68"/>
      <c r="H19" s="61" t="s">
        <v>35</v>
      </c>
      <c r="I19" s="26" t="s">
        <v>17</v>
      </c>
      <c r="J19" s="26" t="s">
        <v>299</v>
      </c>
      <c r="K19" s="26" t="s">
        <v>72</v>
      </c>
      <c r="L19" s="26"/>
      <c r="M19" s="26">
        <v>8</v>
      </c>
      <c r="N19" s="26">
        <v>-1</v>
      </c>
      <c r="O19" s="26">
        <v>-1</v>
      </c>
      <c r="P19" s="26"/>
      <c r="R19" s="26">
        <v>1</v>
      </c>
      <c r="S19" s="26">
        <v>1</v>
      </c>
      <c r="T19" s="26">
        <v>1</v>
      </c>
      <c r="U19" s="26">
        <v>3</v>
      </c>
      <c r="V19" s="26"/>
      <c r="W19" s="20">
        <v>1</v>
      </c>
      <c r="X19" s="20">
        <f>2*2+4</f>
        <v>8</v>
      </c>
      <c r="Y19" s="20"/>
      <c r="Z19">
        <f>4+2</f>
        <v>6</v>
      </c>
      <c r="AA19">
        <v>1</v>
      </c>
      <c r="AB19">
        <v>0</v>
      </c>
      <c r="AE19" s="72">
        <v>1</v>
      </c>
      <c r="AF19" s="59">
        <v>1</v>
      </c>
      <c r="AG19">
        <f>1+1+(2*3)</f>
        <v>8</v>
      </c>
      <c r="AI19">
        <f>3+3</f>
        <v>6</v>
      </c>
      <c r="AJ19">
        <v>1</v>
      </c>
      <c r="AK19">
        <f>-1-1+2</f>
        <v>0</v>
      </c>
      <c r="AN19" s="64">
        <v>1</v>
      </c>
      <c r="AO19" t="str">
        <f t="shared" si="2"/>
        <v/>
      </c>
      <c r="AP19" t="str">
        <f t="shared" si="3"/>
        <v/>
      </c>
      <c r="AQ19" t="str">
        <f t="shared" si="4"/>
        <v/>
      </c>
      <c r="AR19" t="str">
        <f t="shared" si="5"/>
        <v/>
      </c>
      <c r="AS19" t="str">
        <f t="shared" si="6"/>
        <v/>
      </c>
      <c r="AT19" t="str">
        <f t="shared" si="7"/>
        <v/>
      </c>
      <c r="AU19" t="str">
        <f t="shared" si="8"/>
        <v/>
      </c>
      <c r="AV19" t="str">
        <f t="shared" si="9"/>
        <v/>
      </c>
      <c r="AW19" t="str">
        <f t="shared" si="10"/>
        <v/>
      </c>
    </row>
    <row r="20" spans="1:49">
      <c r="A20">
        <v>19</v>
      </c>
      <c r="B20" s="27" t="s">
        <v>297</v>
      </c>
      <c r="C20" s="27" t="s">
        <v>291</v>
      </c>
      <c r="D20" s="26" t="s">
        <v>297</v>
      </c>
      <c r="E20" s="26" t="s">
        <v>291</v>
      </c>
      <c r="F20" s="61" t="s">
        <v>72</v>
      </c>
      <c r="G20" s="68"/>
      <c r="H20" s="26" t="s">
        <v>17</v>
      </c>
      <c r="I20" s="26" t="s">
        <v>293</v>
      </c>
      <c r="J20" s="26" t="s">
        <v>299</v>
      </c>
      <c r="K20" s="26" t="s">
        <v>65</v>
      </c>
      <c r="L20" s="26"/>
      <c r="M20" s="26">
        <v>8</v>
      </c>
      <c r="N20" s="26">
        <v>-1</v>
      </c>
      <c r="O20" s="26">
        <v>-8</v>
      </c>
      <c r="P20" s="26">
        <v>-10</v>
      </c>
      <c r="R20" s="26">
        <v>1</v>
      </c>
      <c r="S20" s="26">
        <v>8</v>
      </c>
      <c r="T20" s="26">
        <v>1</v>
      </c>
      <c r="U20" s="26">
        <v>15</v>
      </c>
      <c r="V20" s="26"/>
      <c r="W20" s="20"/>
      <c r="X20" s="20">
        <f>(2*2)+(10*2)</f>
        <v>24</v>
      </c>
      <c r="Y20" s="20"/>
      <c r="Z20">
        <f>4+2+10</f>
        <v>16</v>
      </c>
      <c r="AA20">
        <v>1</v>
      </c>
      <c r="AB20">
        <f>2*8</f>
        <v>16</v>
      </c>
      <c r="AD20" s="59">
        <v>8</v>
      </c>
      <c r="AE20" s="64">
        <v>1</v>
      </c>
      <c r="AG20">
        <f>1+8+15</f>
        <v>24</v>
      </c>
      <c r="AI20">
        <f>2*8</f>
        <v>16</v>
      </c>
      <c r="AJ20">
        <v>1</v>
      </c>
      <c r="AK20">
        <f>2+15-1</f>
        <v>16</v>
      </c>
      <c r="AM20">
        <v>8</v>
      </c>
      <c r="AN20" s="64">
        <v>1</v>
      </c>
      <c r="AO20" t="str">
        <f t="shared" si="2"/>
        <v/>
      </c>
      <c r="AP20" t="str">
        <f t="shared" si="3"/>
        <v/>
      </c>
      <c r="AQ20" t="str">
        <f t="shared" si="4"/>
        <v/>
      </c>
      <c r="AR20" t="str">
        <f t="shared" si="5"/>
        <v/>
      </c>
      <c r="AS20" t="str">
        <f t="shared" si="6"/>
        <v/>
      </c>
      <c r="AT20" t="str">
        <f t="shared" si="7"/>
        <v/>
      </c>
      <c r="AU20" t="str">
        <f t="shared" si="8"/>
        <v/>
      </c>
      <c r="AV20" t="str">
        <f t="shared" si="9"/>
        <v/>
      </c>
      <c r="AW20" t="str">
        <f t="shared" si="10"/>
        <v/>
      </c>
    </row>
    <row r="21" spans="1:49">
      <c r="A21" s="20">
        <v>20</v>
      </c>
      <c r="B21" s="27" t="s">
        <v>297</v>
      </c>
      <c r="C21" s="27" t="s">
        <v>251</v>
      </c>
      <c r="D21" s="26" t="s">
        <v>297</v>
      </c>
      <c r="E21" s="26" t="s">
        <v>251</v>
      </c>
      <c r="F21" s="61"/>
      <c r="G21" s="68"/>
      <c r="H21" s="26" t="s">
        <v>294</v>
      </c>
      <c r="I21" s="26" t="s">
        <v>17</v>
      </c>
      <c r="J21" s="26" t="s">
        <v>65</v>
      </c>
      <c r="K21" s="26" t="s">
        <v>299</v>
      </c>
      <c r="L21" s="26" t="s">
        <v>72</v>
      </c>
      <c r="M21" s="26">
        <v>24</v>
      </c>
      <c r="N21" s="26">
        <v>-3</v>
      </c>
      <c r="O21" s="26">
        <v>-4</v>
      </c>
      <c r="P21" s="26"/>
      <c r="R21" s="26">
        <v>4</v>
      </c>
      <c r="S21" s="26">
        <v>3</v>
      </c>
      <c r="T21" s="26">
        <v>5</v>
      </c>
      <c r="U21" s="26">
        <v>3</v>
      </c>
      <c r="V21" s="26">
        <v>2</v>
      </c>
      <c r="W21" s="20"/>
      <c r="X21" s="20">
        <f>(2*2)*3</f>
        <v>12</v>
      </c>
      <c r="Y21" s="20"/>
      <c r="Z21">
        <f>(4+2)*3</f>
        <v>18</v>
      </c>
      <c r="AA21">
        <f>4+3</f>
        <v>7</v>
      </c>
      <c r="AB21">
        <v>0</v>
      </c>
      <c r="AE21" s="64">
        <v>3</v>
      </c>
      <c r="AG21">
        <f>3+5+4</f>
        <v>12</v>
      </c>
      <c r="AI21">
        <f>4*4+2</f>
        <v>18</v>
      </c>
      <c r="AJ21">
        <f>4+3</f>
        <v>7</v>
      </c>
      <c r="AK21">
        <f>(-2*4)+(-3)+5+(3*2)</f>
        <v>0</v>
      </c>
      <c r="AN21" s="64">
        <v>3</v>
      </c>
      <c r="AO21" t="str">
        <f t="shared" si="2"/>
        <v/>
      </c>
      <c r="AP21" t="str">
        <f t="shared" si="3"/>
        <v/>
      </c>
      <c r="AQ21" t="str">
        <f t="shared" si="4"/>
        <v/>
      </c>
      <c r="AR21" t="str">
        <f t="shared" si="5"/>
        <v/>
      </c>
      <c r="AS21" t="str">
        <f t="shared" si="6"/>
        <v/>
      </c>
      <c r="AT21" t="str">
        <f t="shared" si="7"/>
        <v/>
      </c>
      <c r="AU21" t="str">
        <f t="shared" si="8"/>
        <v/>
      </c>
      <c r="AV21" t="str">
        <f t="shared" si="9"/>
        <v/>
      </c>
      <c r="AW21" t="str">
        <f t="shared" si="10"/>
        <v/>
      </c>
    </row>
    <row r="22" spans="1:49">
      <c r="A22">
        <v>21</v>
      </c>
      <c r="B22" s="27" t="s">
        <v>297</v>
      </c>
      <c r="C22" s="27" t="s">
        <v>292</v>
      </c>
      <c r="D22" s="26" t="s">
        <v>297</v>
      </c>
      <c r="E22" s="26" t="s">
        <v>292</v>
      </c>
      <c r="F22" s="61"/>
      <c r="G22" s="68"/>
      <c r="H22" s="26" t="s">
        <v>17</v>
      </c>
      <c r="I22" s="26" t="s">
        <v>35</v>
      </c>
      <c r="J22" s="26" t="s">
        <v>299</v>
      </c>
      <c r="K22" s="26" t="s">
        <v>72</v>
      </c>
      <c r="L22" s="26"/>
      <c r="M22" s="26">
        <v>8</v>
      </c>
      <c r="N22" s="26">
        <v>-1</v>
      </c>
      <c r="O22" s="26">
        <v>-1</v>
      </c>
      <c r="P22" s="26"/>
      <c r="R22" s="26">
        <v>1</v>
      </c>
      <c r="S22" s="26">
        <v>2</v>
      </c>
      <c r="T22" s="26">
        <v>1</v>
      </c>
      <c r="U22" s="26">
        <v>2</v>
      </c>
      <c r="V22" s="26"/>
      <c r="W22" s="20">
        <v>2</v>
      </c>
      <c r="X22">
        <f>4+3</f>
        <v>7</v>
      </c>
      <c r="Z22">
        <f>4+2+2</f>
        <v>8</v>
      </c>
      <c r="AA22">
        <v>1</v>
      </c>
      <c r="AB22">
        <v>-1</v>
      </c>
      <c r="AE22" s="64">
        <v>1</v>
      </c>
      <c r="AF22" s="57">
        <v>2</v>
      </c>
      <c r="AG22">
        <f>1+2+4</f>
        <v>7</v>
      </c>
      <c r="AI22">
        <f>(3*2)+2</f>
        <v>8</v>
      </c>
      <c r="AJ22">
        <v>1</v>
      </c>
      <c r="AK22">
        <f>(-1*2)+(-1)+2</f>
        <v>-1</v>
      </c>
      <c r="AN22" s="64">
        <v>1</v>
      </c>
      <c r="AO22" t="str">
        <f t="shared" si="2"/>
        <v/>
      </c>
      <c r="AP22" t="str">
        <f t="shared" si="3"/>
        <v/>
      </c>
      <c r="AQ22" t="str">
        <f t="shared" si="4"/>
        <v/>
      </c>
      <c r="AR22" t="str">
        <f t="shared" si="5"/>
        <v/>
      </c>
      <c r="AS22" t="str">
        <f t="shared" si="6"/>
        <v/>
      </c>
      <c r="AT22" t="str">
        <f t="shared" si="7"/>
        <v/>
      </c>
      <c r="AU22" t="str">
        <f t="shared" si="8"/>
        <v/>
      </c>
      <c r="AV22" t="str">
        <f t="shared" si="9"/>
        <v/>
      </c>
      <c r="AW22" t="str">
        <f t="shared" si="10"/>
        <v/>
      </c>
    </row>
    <row r="23" spans="1:49">
      <c r="A23">
        <v>22</v>
      </c>
      <c r="B23" s="27" t="s">
        <v>297</v>
      </c>
      <c r="C23" s="27" t="s">
        <v>290</v>
      </c>
      <c r="D23" s="26" t="s">
        <v>297</v>
      </c>
      <c r="E23" s="26" t="s">
        <v>290</v>
      </c>
      <c r="F23" s="61" t="s">
        <v>72</v>
      </c>
      <c r="G23" s="68"/>
      <c r="H23" s="26" t="s">
        <v>17</v>
      </c>
      <c r="I23" s="26" t="s">
        <v>300</v>
      </c>
      <c r="J23" s="26" t="s">
        <v>299</v>
      </c>
      <c r="K23" s="26" t="s">
        <v>65</v>
      </c>
      <c r="L23" s="26"/>
      <c r="M23" s="26">
        <v>8</v>
      </c>
      <c r="N23" s="26">
        <v>-1</v>
      </c>
      <c r="O23" s="26">
        <v>-8</v>
      </c>
      <c r="P23" s="26">
        <v>-10</v>
      </c>
      <c r="R23" s="26">
        <v>1</v>
      </c>
      <c r="S23" s="26">
        <v>8</v>
      </c>
      <c r="T23" s="26">
        <v>1</v>
      </c>
      <c r="U23" s="26">
        <v>15</v>
      </c>
      <c r="V23" s="26"/>
      <c r="X23">
        <f>(2*2)+(10*2)</f>
        <v>24</v>
      </c>
      <c r="Z23">
        <f>4+10+2</f>
        <v>16</v>
      </c>
      <c r="AA23">
        <v>1</v>
      </c>
      <c r="AB23">
        <f>2*8</f>
        <v>16</v>
      </c>
      <c r="AC23">
        <v>8</v>
      </c>
      <c r="AE23" s="64">
        <v>1</v>
      </c>
      <c r="AG23">
        <f>1+8+15</f>
        <v>24</v>
      </c>
      <c r="AI23">
        <f>2*8</f>
        <v>16</v>
      </c>
      <c r="AJ23">
        <v>1</v>
      </c>
      <c r="AK23">
        <f>-1+2+15</f>
        <v>16</v>
      </c>
      <c r="AL23">
        <v>8</v>
      </c>
      <c r="AN23" s="64">
        <v>1</v>
      </c>
      <c r="AO23" t="str">
        <f t="shared" si="2"/>
        <v/>
      </c>
      <c r="AP23" t="str">
        <f t="shared" si="3"/>
        <v/>
      </c>
      <c r="AQ23" t="str">
        <f t="shared" si="4"/>
        <v/>
      </c>
      <c r="AR23" t="str">
        <f t="shared" si="5"/>
        <v/>
      </c>
      <c r="AS23" t="str">
        <f t="shared" si="6"/>
        <v/>
      </c>
      <c r="AT23" t="str">
        <f t="shared" si="7"/>
        <v/>
      </c>
      <c r="AU23" t="str">
        <f t="shared" si="8"/>
        <v/>
      </c>
      <c r="AV23" t="str">
        <f t="shared" si="9"/>
        <v/>
      </c>
      <c r="AW23" t="str">
        <f t="shared" si="10"/>
        <v/>
      </c>
    </row>
    <row r="24" spans="1:49">
      <c r="A24">
        <v>23</v>
      </c>
      <c r="B24" s="31" t="s">
        <v>44</v>
      </c>
      <c r="C24" s="31" t="s">
        <v>296</v>
      </c>
      <c r="D24" s="21" t="s">
        <v>296</v>
      </c>
      <c r="E24" s="21" t="s">
        <v>44</v>
      </c>
      <c r="F24" s="79" t="s">
        <v>72</v>
      </c>
      <c r="G24" s="69"/>
      <c r="H24" s="21" t="s">
        <v>293</v>
      </c>
      <c r="I24" s="21" t="s">
        <v>24</v>
      </c>
      <c r="J24" s="21" t="s">
        <v>35</v>
      </c>
      <c r="K24" s="21" t="s">
        <v>65</v>
      </c>
      <c r="L24" s="21"/>
      <c r="M24" s="21">
        <v>2</v>
      </c>
      <c r="N24" s="21">
        <v>-2</v>
      </c>
      <c r="O24" s="21">
        <v>-1</v>
      </c>
      <c r="P24" s="21">
        <v>-3</v>
      </c>
      <c r="R24" s="21">
        <v>2</v>
      </c>
      <c r="S24" s="21">
        <v>1</v>
      </c>
      <c r="T24" s="21">
        <v>2</v>
      </c>
      <c r="U24" s="21">
        <v>2</v>
      </c>
      <c r="V24" s="21"/>
      <c r="W24" s="20">
        <v>2</v>
      </c>
      <c r="X24">
        <f>2*3</f>
        <v>6</v>
      </c>
      <c r="Y24">
        <v>1</v>
      </c>
      <c r="Z24">
        <f>(2*3)+3+3</f>
        <v>12</v>
      </c>
      <c r="AB24">
        <v>-1</v>
      </c>
      <c r="AC24" s="59"/>
      <c r="AD24" s="59">
        <v>2</v>
      </c>
      <c r="AF24">
        <v>2</v>
      </c>
      <c r="AG24">
        <f>2+2+2</f>
        <v>6</v>
      </c>
      <c r="AH24">
        <v>1</v>
      </c>
      <c r="AI24">
        <f>(2*2)+2+(2*3)</f>
        <v>12</v>
      </c>
      <c r="AK24">
        <f>-1-2+2</f>
        <v>-1</v>
      </c>
      <c r="AM24">
        <v>2</v>
      </c>
      <c r="AO24" t="str">
        <f t="shared" si="2"/>
        <v/>
      </c>
      <c r="AP24" t="str">
        <f t="shared" si="3"/>
        <v/>
      </c>
      <c r="AQ24" t="str">
        <f t="shared" si="4"/>
        <v/>
      </c>
      <c r="AR24" t="str">
        <f t="shared" si="5"/>
        <v/>
      </c>
      <c r="AS24" t="str">
        <f t="shared" si="6"/>
        <v/>
      </c>
      <c r="AT24" t="str">
        <f t="shared" si="7"/>
        <v/>
      </c>
      <c r="AU24" t="str">
        <f t="shared" si="8"/>
        <v/>
      </c>
      <c r="AV24" t="str">
        <f t="shared" si="9"/>
        <v/>
      </c>
      <c r="AW24" t="str">
        <f t="shared" si="10"/>
        <v/>
      </c>
    </row>
    <row r="25" spans="1:49">
      <c r="A25">
        <v>24</v>
      </c>
      <c r="B25" s="31" t="s">
        <v>294</v>
      </c>
      <c r="C25" s="31" t="s">
        <v>296</v>
      </c>
      <c r="D25" s="21" t="s">
        <v>296</v>
      </c>
      <c r="E25" s="21" t="s">
        <v>294</v>
      </c>
      <c r="F25" s="79" t="s">
        <v>72</v>
      </c>
      <c r="G25" s="69"/>
      <c r="H25" s="21" t="s">
        <v>293</v>
      </c>
      <c r="I25" s="21" t="s">
        <v>17</v>
      </c>
      <c r="J25" s="21" t="s">
        <v>35</v>
      </c>
      <c r="K25" s="21" t="s">
        <v>65</v>
      </c>
      <c r="L25" s="21"/>
      <c r="M25" s="21">
        <v>8</v>
      </c>
      <c r="N25" s="21">
        <v>-8</v>
      </c>
      <c r="O25" s="21">
        <v>-1</v>
      </c>
      <c r="P25" s="21">
        <v>-12</v>
      </c>
      <c r="R25" s="21">
        <v>8</v>
      </c>
      <c r="S25" s="21">
        <v>1</v>
      </c>
      <c r="T25" s="21">
        <v>8</v>
      </c>
      <c r="U25" s="21">
        <v>7</v>
      </c>
      <c r="V25" s="21"/>
      <c r="W25" s="21">
        <v>8</v>
      </c>
      <c r="X25">
        <f>12*2</f>
        <v>24</v>
      </c>
      <c r="Z25">
        <f>(8*3)+4+12</f>
        <v>40</v>
      </c>
      <c r="AA25">
        <v>1</v>
      </c>
      <c r="AB25" s="59">
        <v>-2</v>
      </c>
      <c r="AC25" s="59"/>
      <c r="AD25" s="59">
        <v>8</v>
      </c>
      <c r="AF25" s="57">
        <v>8</v>
      </c>
      <c r="AG25">
        <f>8+1+8+7</f>
        <v>24</v>
      </c>
      <c r="AI25">
        <f>(8*2)+(8*3)</f>
        <v>40</v>
      </c>
      <c r="AJ25">
        <v>1</v>
      </c>
      <c r="AK25">
        <f>-1-8+7</f>
        <v>-2</v>
      </c>
      <c r="AM25">
        <v>8</v>
      </c>
      <c r="AO25" t="str">
        <f t="shared" si="2"/>
        <v/>
      </c>
      <c r="AP25" t="str">
        <f t="shared" si="3"/>
        <v/>
      </c>
      <c r="AQ25" t="str">
        <f t="shared" si="4"/>
        <v/>
      </c>
      <c r="AR25" t="str">
        <f t="shared" si="5"/>
        <v/>
      </c>
      <c r="AS25" t="str">
        <f t="shared" si="6"/>
        <v/>
      </c>
      <c r="AT25" t="str">
        <f t="shared" si="7"/>
        <v/>
      </c>
      <c r="AU25" t="str">
        <f t="shared" si="8"/>
        <v/>
      </c>
      <c r="AV25" t="str">
        <f t="shared" si="9"/>
        <v/>
      </c>
      <c r="AW25" t="str">
        <f t="shared" si="10"/>
        <v/>
      </c>
    </row>
    <row r="26" spans="1:49" ht="20">
      <c r="A26">
        <v>26</v>
      </c>
      <c r="B26" s="32" t="s">
        <v>298</v>
      </c>
      <c r="C26" s="32" t="s">
        <v>5</v>
      </c>
      <c r="D26" s="52" t="s">
        <v>239</v>
      </c>
      <c r="E26" s="52" t="s">
        <v>189</v>
      </c>
      <c r="F26" s="80" t="s">
        <v>184</v>
      </c>
      <c r="G26" s="70"/>
      <c r="H26" s="52" t="s">
        <v>193</v>
      </c>
      <c r="I26" s="52" t="s">
        <v>237</v>
      </c>
      <c r="J26" s="52"/>
      <c r="K26" s="52"/>
      <c r="L26" s="52"/>
      <c r="M26" s="52">
        <v>2</v>
      </c>
      <c r="N26" s="52">
        <v>-1</v>
      </c>
      <c r="O26" s="52">
        <v>-1</v>
      </c>
      <c r="P26" s="52">
        <v>-4</v>
      </c>
      <c r="R26" s="52">
        <v>2</v>
      </c>
      <c r="S26" s="52">
        <v>3</v>
      </c>
      <c r="T26" s="52"/>
      <c r="U26" s="52"/>
      <c r="V26" s="52"/>
      <c r="X26">
        <f>2+4</f>
        <v>6</v>
      </c>
      <c r="Z26">
        <v>3</v>
      </c>
      <c r="AB26" s="57">
        <v>4</v>
      </c>
      <c r="AC26" s="59"/>
      <c r="AD26" s="59">
        <v>2</v>
      </c>
      <c r="AF26"/>
      <c r="AG26">
        <v>6</v>
      </c>
      <c r="AI26">
        <v>3</v>
      </c>
      <c r="AK26">
        <v>4</v>
      </c>
      <c r="AM26">
        <v>2</v>
      </c>
      <c r="AO26" t="str">
        <f t="shared" si="2"/>
        <v/>
      </c>
      <c r="AP26" t="str">
        <f t="shared" si="3"/>
        <v/>
      </c>
      <c r="AQ26" t="str">
        <f t="shared" si="4"/>
        <v/>
      </c>
      <c r="AR26" t="str">
        <f t="shared" si="5"/>
        <v/>
      </c>
      <c r="AS26" t="str">
        <f t="shared" si="6"/>
        <v/>
      </c>
      <c r="AT26" t="str">
        <f t="shared" si="7"/>
        <v/>
      </c>
      <c r="AU26" t="str">
        <f t="shared" si="8"/>
        <v/>
      </c>
      <c r="AV26" t="str">
        <f t="shared" si="9"/>
        <v/>
      </c>
      <c r="AW26" t="str">
        <f t="shared" si="10"/>
        <v/>
      </c>
    </row>
    <row r="27" spans="1:49" ht="20">
      <c r="A27">
        <v>27</v>
      </c>
      <c r="B27" s="32" t="s">
        <v>298</v>
      </c>
      <c r="C27" s="32" t="s">
        <v>17</v>
      </c>
      <c r="D27" s="52" t="s">
        <v>239</v>
      </c>
      <c r="E27" s="52" t="s">
        <v>190</v>
      </c>
      <c r="F27" s="80" t="s">
        <v>227</v>
      </c>
      <c r="G27" s="70"/>
      <c r="H27" s="52" t="s">
        <v>193</v>
      </c>
      <c r="I27" s="52" t="s">
        <v>194</v>
      </c>
      <c r="J27" s="52" t="s">
        <v>237</v>
      </c>
      <c r="K27" s="52"/>
      <c r="L27" s="52"/>
      <c r="M27" s="52">
        <v>2</v>
      </c>
      <c r="N27" s="52">
        <v>-1</v>
      </c>
      <c r="O27" s="52">
        <v>-1</v>
      </c>
      <c r="P27" s="52">
        <v>-5</v>
      </c>
      <c r="R27" s="52">
        <v>2</v>
      </c>
      <c r="S27" s="52">
        <v>1</v>
      </c>
      <c r="T27" s="52">
        <v>3</v>
      </c>
      <c r="U27" s="52"/>
      <c r="V27" s="52"/>
      <c r="X27">
        <v>6</v>
      </c>
      <c r="Z27">
        <v>3</v>
      </c>
      <c r="AA27">
        <v>1</v>
      </c>
      <c r="AB27" s="59">
        <f>-1+5</f>
        <v>4</v>
      </c>
      <c r="AC27" s="59"/>
      <c r="AD27" s="57">
        <v>2</v>
      </c>
      <c r="AF27"/>
      <c r="AG27">
        <v>6</v>
      </c>
      <c r="AI27">
        <v>3</v>
      </c>
      <c r="AJ27">
        <v>1</v>
      </c>
      <c r="AK27">
        <v>4</v>
      </c>
      <c r="AM27">
        <v>2</v>
      </c>
      <c r="AO27" t="str">
        <f t="shared" si="2"/>
        <v/>
      </c>
      <c r="AP27" t="str">
        <f t="shared" si="3"/>
        <v/>
      </c>
      <c r="AQ27" t="str">
        <f t="shared" si="4"/>
        <v/>
      </c>
      <c r="AR27" t="str">
        <f t="shared" si="5"/>
        <v/>
      </c>
      <c r="AS27" t="str">
        <f t="shared" si="6"/>
        <v/>
      </c>
      <c r="AT27" t="str">
        <f t="shared" si="7"/>
        <v/>
      </c>
      <c r="AU27" t="str">
        <f t="shared" si="8"/>
        <v/>
      </c>
      <c r="AV27" t="str">
        <f t="shared" si="9"/>
        <v/>
      </c>
      <c r="AW27" t="str">
        <f t="shared" si="10"/>
        <v/>
      </c>
    </row>
    <row r="28" spans="1:49" ht="20">
      <c r="A28">
        <v>28</v>
      </c>
      <c r="B28" s="32" t="s">
        <v>298</v>
      </c>
      <c r="C28" s="32" t="s">
        <v>22</v>
      </c>
      <c r="D28" s="52" t="s">
        <v>240</v>
      </c>
      <c r="E28" s="52" t="s">
        <v>191</v>
      </c>
      <c r="F28" s="80" t="s">
        <v>242</v>
      </c>
      <c r="G28" s="70"/>
      <c r="H28" s="52" t="s">
        <v>244</v>
      </c>
      <c r="I28" s="52" t="s">
        <v>200</v>
      </c>
      <c r="J28" s="52" t="s">
        <v>245</v>
      </c>
      <c r="K28" s="52"/>
      <c r="L28" s="52"/>
      <c r="M28" s="52">
        <v>6</v>
      </c>
      <c r="N28" s="52">
        <v>-3</v>
      </c>
      <c r="O28" s="52">
        <v>-1</v>
      </c>
      <c r="P28" s="52">
        <v>-10</v>
      </c>
      <c r="R28" s="52">
        <v>6</v>
      </c>
      <c r="S28" s="52">
        <v>1</v>
      </c>
      <c r="T28" s="52">
        <v>7</v>
      </c>
      <c r="U28" s="52"/>
      <c r="V28" s="52"/>
      <c r="X28">
        <f>10+4</f>
        <v>14</v>
      </c>
      <c r="Y28">
        <v>1</v>
      </c>
      <c r="Z28">
        <f>3*3</f>
        <v>9</v>
      </c>
      <c r="AB28">
        <f>10+1</f>
        <v>11</v>
      </c>
      <c r="AC28" s="59"/>
      <c r="AD28" s="59">
        <f>3*2</f>
        <v>6</v>
      </c>
      <c r="AF28"/>
      <c r="AG28">
        <f>7*2</f>
        <v>14</v>
      </c>
      <c r="AH28">
        <v>1</v>
      </c>
      <c r="AI28">
        <f>2+7</f>
        <v>9</v>
      </c>
      <c r="AK28">
        <f>-1+(6*2)</f>
        <v>11</v>
      </c>
      <c r="AM28">
        <v>6</v>
      </c>
      <c r="AO28" t="str">
        <f t="shared" si="2"/>
        <v/>
      </c>
      <c r="AP28" t="str">
        <f t="shared" si="3"/>
        <v/>
      </c>
      <c r="AQ28" t="str">
        <f t="shared" si="4"/>
        <v/>
      </c>
      <c r="AR28" t="str">
        <f t="shared" si="5"/>
        <v/>
      </c>
      <c r="AS28" t="str">
        <f t="shared" si="6"/>
        <v/>
      </c>
      <c r="AT28" t="str">
        <f t="shared" si="7"/>
        <v/>
      </c>
      <c r="AU28" t="str">
        <f t="shared" si="8"/>
        <v/>
      </c>
      <c r="AV28" t="str">
        <f t="shared" si="9"/>
        <v/>
      </c>
      <c r="AW28" t="str">
        <f t="shared" si="10"/>
        <v/>
      </c>
    </row>
    <row r="29" spans="1:49" ht="20">
      <c r="A29">
        <v>29</v>
      </c>
      <c r="B29" s="32" t="s">
        <v>298</v>
      </c>
      <c r="C29" s="32" t="s">
        <v>25</v>
      </c>
      <c r="D29" s="52" t="s">
        <v>241</v>
      </c>
      <c r="E29" s="52" t="s">
        <v>192</v>
      </c>
      <c r="F29" s="80" t="s">
        <v>231</v>
      </c>
      <c r="G29" s="70"/>
      <c r="H29" s="52" t="s">
        <v>230</v>
      </c>
      <c r="I29" s="52" t="s">
        <v>201</v>
      </c>
      <c r="J29" s="52" t="s">
        <v>246</v>
      </c>
      <c r="K29" s="52"/>
      <c r="L29" s="52"/>
      <c r="M29" s="52">
        <v>8</v>
      </c>
      <c r="N29" s="52">
        <v>-4</v>
      </c>
      <c r="O29" s="52">
        <v>-1</v>
      </c>
      <c r="P29" s="52">
        <v>-15</v>
      </c>
      <c r="R29" s="52">
        <v>8</v>
      </c>
      <c r="S29" s="52">
        <v>1</v>
      </c>
      <c r="T29" s="52">
        <v>9</v>
      </c>
      <c r="U29" s="52"/>
      <c r="V29" s="52"/>
      <c r="W29" s="52">
        <v>1</v>
      </c>
      <c r="X29">
        <f>4+15</f>
        <v>19</v>
      </c>
      <c r="Z29">
        <f>4*3</f>
        <v>12</v>
      </c>
      <c r="AB29">
        <v>15</v>
      </c>
      <c r="AC29" s="59"/>
      <c r="AD29" s="59">
        <f>4*2</f>
        <v>8</v>
      </c>
      <c r="AF29">
        <v>1</v>
      </c>
      <c r="AG29">
        <f>1+(9*2)</f>
        <v>19</v>
      </c>
      <c r="AI29">
        <f>3+9</f>
        <v>12</v>
      </c>
      <c r="AK29">
        <f>(8*2)-1</f>
        <v>15</v>
      </c>
      <c r="AM29">
        <v>8</v>
      </c>
      <c r="AO29" t="str">
        <f t="shared" si="2"/>
        <v/>
      </c>
      <c r="AP29" t="str">
        <f t="shared" si="3"/>
        <v/>
      </c>
      <c r="AQ29" t="str">
        <f t="shared" si="4"/>
        <v/>
      </c>
      <c r="AR29" t="str">
        <f t="shared" si="5"/>
        <v/>
      </c>
      <c r="AS29" t="str">
        <f t="shared" si="6"/>
        <v/>
      </c>
      <c r="AT29" t="str">
        <f t="shared" si="7"/>
        <v/>
      </c>
      <c r="AU29" t="str">
        <f t="shared" si="8"/>
        <v/>
      </c>
      <c r="AV29" t="str">
        <f t="shared" si="9"/>
        <v/>
      </c>
      <c r="AW29" t="str">
        <f t="shared" si="10"/>
        <v/>
      </c>
    </row>
    <row r="30" spans="1:49" s="20" customFormat="1" ht="20">
      <c r="A30" s="20">
        <v>30</v>
      </c>
      <c r="B30" s="32" t="s">
        <v>298</v>
      </c>
      <c r="C30" s="32" t="s">
        <v>251</v>
      </c>
      <c r="D30" s="52" t="s">
        <v>240</v>
      </c>
      <c r="E30" s="52" t="s">
        <v>194</v>
      </c>
      <c r="F30" s="80" t="s">
        <v>242</v>
      </c>
      <c r="G30" s="70"/>
      <c r="H30" s="52" t="s">
        <v>244</v>
      </c>
      <c r="I30" s="52" t="s">
        <v>202</v>
      </c>
      <c r="J30" s="52" t="s">
        <v>205</v>
      </c>
      <c r="K30" s="52"/>
      <c r="L30" s="52"/>
      <c r="M30" s="52">
        <v>6</v>
      </c>
      <c r="N30" s="52">
        <v>-3</v>
      </c>
      <c r="O30" s="52">
        <v>-1</v>
      </c>
      <c r="P30" s="52">
        <v>-10</v>
      </c>
      <c r="R30" s="52">
        <v>6</v>
      </c>
      <c r="S30" s="52">
        <v>1</v>
      </c>
      <c r="T30" s="52">
        <v>5</v>
      </c>
      <c r="U30" s="52"/>
      <c r="V30" s="52"/>
      <c r="X30" s="20">
        <v>10</v>
      </c>
      <c r="Z30" s="20">
        <f>3*3</f>
        <v>9</v>
      </c>
      <c r="AA30" s="20">
        <v>1</v>
      </c>
      <c r="AB30" s="20">
        <v>10</v>
      </c>
      <c r="AC30" s="57"/>
      <c r="AD30" s="57">
        <f>3*2</f>
        <v>6</v>
      </c>
      <c r="AE30" s="72"/>
      <c r="AG30" s="20">
        <v>10</v>
      </c>
      <c r="AI30" s="20">
        <f>4+5</f>
        <v>9</v>
      </c>
      <c r="AJ30" s="20">
        <v>1</v>
      </c>
      <c r="AK30" s="20">
        <f>(6*2)-2</f>
        <v>10</v>
      </c>
      <c r="AM30" s="20">
        <v>6</v>
      </c>
      <c r="AN30" s="72"/>
      <c r="AO30" s="20" t="str">
        <f t="shared" si="2"/>
        <v/>
      </c>
      <c r="AP30" s="20" t="str">
        <f t="shared" si="3"/>
        <v/>
      </c>
      <c r="AQ30" s="20" t="str">
        <f t="shared" si="4"/>
        <v/>
      </c>
      <c r="AR30" s="20" t="str">
        <f t="shared" si="5"/>
        <v/>
      </c>
      <c r="AS30" s="20" t="str">
        <f t="shared" si="6"/>
        <v/>
      </c>
      <c r="AT30" s="20" t="str">
        <f t="shared" si="7"/>
        <v/>
      </c>
      <c r="AU30" s="20" t="str">
        <f t="shared" si="8"/>
        <v/>
      </c>
      <c r="AV30" s="20" t="str">
        <f t="shared" si="9"/>
        <v/>
      </c>
      <c r="AW30" s="20" t="str">
        <f t="shared" si="10"/>
        <v/>
      </c>
    </row>
    <row r="31" spans="1:49" s="20" customFormat="1" ht="20">
      <c r="A31" s="20">
        <v>31</v>
      </c>
      <c r="B31" s="32" t="s">
        <v>298</v>
      </c>
      <c r="C31" s="32" t="s">
        <v>292</v>
      </c>
      <c r="D31" s="52" t="s">
        <v>241</v>
      </c>
      <c r="E31" s="52" t="s">
        <v>195</v>
      </c>
      <c r="F31" s="80" t="s">
        <v>231</v>
      </c>
      <c r="G31" s="70"/>
      <c r="H31" s="52" t="s">
        <v>230</v>
      </c>
      <c r="I31" s="52" t="s">
        <v>203</v>
      </c>
      <c r="J31" s="52" t="s">
        <v>218</v>
      </c>
      <c r="K31" s="52"/>
      <c r="L31" s="52"/>
      <c r="M31" s="52">
        <v>8</v>
      </c>
      <c r="N31" s="52">
        <v>-4</v>
      </c>
      <c r="O31" s="52">
        <v>-1</v>
      </c>
      <c r="P31" s="52">
        <v>-15</v>
      </c>
      <c r="R31" s="52">
        <v>8</v>
      </c>
      <c r="S31" s="52">
        <v>2</v>
      </c>
      <c r="T31" s="52">
        <v>8</v>
      </c>
      <c r="U31" s="52"/>
      <c r="V31" s="52"/>
      <c r="W31" s="20">
        <v>2</v>
      </c>
      <c r="X31" s="20">
        <f>15+3</f>
        <v>18</v>
      </c>
      <c r="Z31" s="20">
        <f>(4*3)+2</f>
        <v>14</v>
      </c>
      <c r="AB31" s="20">
        <f>15-1</f>
        <v>14</v>
      </c>
      <c r="AC31" s="57"/>
      <c r="AD31" s="57">
        <f>4*2</f>
        <v>8</v>
      </c>
      <c r="AE31" s="72"/>
      <c r="AF31" s="20">
        <v>2</v>
      </c>
      <c r="AG31" s="20">
        <f>2+16</f>
        <v>18</v>
      </c>
      <c r="AI31" s="20">
        <f>6+8</f>
        <v>14</v>
      </c>
      <c r="AK31" s="20">
        <f>(8*2)+(-1*2)</f>
        <v>14</v>
      </c>
      <c r="AM31" s="20">
        <v>8</v>
      </c>
      <c r="AN31" s="72"/>
      <c r="AO31" s="20" t="str">
        <f t="shared" si="2"/>
        <v/>
      </c>
      <c r="AP31" s="20" t="str">
        <f t="shared" si="3"/>
        <v/>
      </c>
      <c r="AQ31" s="20" t="str">
        <f t="shared" si="4"/>
        <v/>
      </c>
      <c r="AR31" s="20" t="str">
        <f t="shared" si="5"/>
        <v/>
      </c>
      <c r="AS31" s="20" t="str">
        <f t="shared" si="6"/>
        <v/>
      </c>
      <c r="AT31" s="20" t="str">
        <f t="shared" si="7"/>
        <v/>
      </c>
      <c r="AU31" s="20" t="str">
        <f t="shared" si="8"/>
        <v/>
      </c>
      <c r="AV31" s="20" t="str">
        <f t="shared" si="9"/>
        <v/>
      </c>
      <c r="AW31" s="20" t="str">
        <f t="shared" si="10"/>
        <v/>
      </c>
    </row>
    <row r="32" spans="1:49" ht="20">
      <c r="A32">
        <v>32</v>
      </c>
      <c r="B32" s="32" t="s">
        <v>298</v>
      </c>
      <c r="C32" s="32" t="s">
        <v>290</v>
      </c>
      <c r="D32" s="52" t="s">
        <v>239</v>
      </c>
      <c r="E32" s="52" t="s">
        <v>209</v>
      </c>
      <c r="F32" s="80" t="s">
        <v>243</v>
      </c>
      <c r="G32" s="70"/>
      <c r="H32" s="52" t="s">
        <v>193</v>
      </c>
      <c r="I32" s="52" t="s">
        <v>107</v>
      </c>
      <c r="J32" s="52"/>
      <c r="K32" s="52"/>
      <c r="L32" s="52"/>
      <c r="M32" s="52">
        <v>2</v>
      </c>
      <c r="N32" s="52">
        <v>-1</v>
      </c>
      <c r="O32" s="52">
        <v>-2</v>
      </c>
      <c r="P32" s="52">
        <v>-1</v>
      </c>
      <c r="R32" s="52">
        <v>2</v>
      </c>
      <c r="S32" s="52">
        <v>2</v>
      </c>
      <c r="T32" s="52"/>
      <c r="U32" s="52"/>
      <c r="V32" s="52"/>
      <c r="X32">
        <v>2</v>
      </c>
      <c r="Z32">
        <f>3+1</f>
        <v>4</v>
      </c>
      <c r="AB32">
        <v>4</v>
      </c>
      <c r="AC32">
        <v>2</v>
      </c>
      <c r="AD32" s="20">
        <v>2</v>
      </c>
      <c r="AG32">
        <v>2</v>
      </c>
      <c r="AI32">
        <v>4</v>
      </c>
      <c r="AK32">
        <v>4</v>
      </c>
      <c r="AL32">
        <v>2</v>
      </c>
      <c r="AM32" s="20">
        <v>2</v>
      </c>
      <c r="AO32" s="20" t="str">
        <f t="shared" ref="AO32" si="11">IF(W32=AF32,"","x")</f>
        <v/>
      </c>
      <c r="AP32" s="20" t="str">
        <f t="shared" ref="AP32" si="12">IF(X32=AG32,"","x")</f>
        <v/>
      </c>
      <c r="AQ32" s="20" t="str">
        <f t="shared" ref="AQ32" si="13">IF(Y32=AH32,"","x")</f>
        <v/>
      </c>
      <c r="AR32" s="20" t="str">
        <f t="shared" ref="AR32" si="14">IF(Z32=AI32,"","x")</f>
        <v/>
      </c>
      <c r="AS32" s="20" t="str">
        <f t="shared" ref="AS32" si="15">IF(AA32=AJ32,"","x")</f>
        <v/>
      </c>
      <c r="AT32" s="20" t="str">
        <f t="shared" ref="AT32" si="16">IF(AB32=AK32,"","x")</f>
        <v/>
      </c>
      <c r="AU32" s="20" t="str">
        <f t="shared" ref="AU32" si="17">IF(AC32=AL32,"","x")</f>
        <v/>
      </c>
      <c r="AV32" s="20" t="str">
        <f t="shared" ref="AV32:AV34" si="18">IF(AD32=AM32,"","x")</f>
        <v/>
      </c>
      <c r="AW32" s="20" t="str">
        <f t="shared" ref="AW32" si="19">IF(AE32=AN32,"","x")</f>
        <v/>
      </c>
    </row>
    <row r="33" spans="2:48">
      <c r="B33" s="14" t="s">
        <v>303</v>
      </c>
      <c r="C33" s="14" t="s">
        <v>44</v>
      </c>
      <c r="D33" s="74" t="s">
        <v>305</v>
      </c>
      <c r="E33" s="74" t="s">
        <v>304</v>
      </c>
      <c r="F33" s="81"/>
      <c r="G33" s="78"/>
      <c r="H33" s="74" t="s">
        <v>64</v>
      </c>
      <c r="I33" s="74" t="s">
        <v>87</v>
      </c>
      <c r="J33" s="74" t="s">
        <v>306</v>
      </c>
      <c r="K33" s="74"/>
      <c r="L33" s="74"/>
      <c r="M33" s="74">
        <v>16</v>
      </c>
      <c r="N33" s="74">
        <v>-1</v>
      </c>
      <c r="O33" s="74">
        <v>-8</v>
      </c>
      <c r="P33" s="74"/>
      <c r="R33" s="74">
        <v>1</v>
      </c>
      <c r="S33" s="74">
        <v>2</v>
      </c>
      <c r="T33" s="74">
        <v>8</v>
      </c>
      <c r="U33" s="74"/>
      <c r="V33" s="74"/>
      <c r="Y33">
        <v>8</v>
      </c>
      <c r="Z33">
        <v>8</v>
      </c>
      <c r="AA33">
        <v>2</v>
      </c>
      <c r="AB33">
        <f>-2-8</f>
        <v>-10</v>
      </c>
      <c r="AC33" s="59"/>
      <c r="AD33" s="57">
        <v>1</v>
      </c>
      <c r="AF33"/>
      <c r="AH33">
        <v>8</v>
      </c>
      <c r="AI33">
        <f>(4*2)+8</f>
        <v>16</v>
      </c>
      <c r="AJ33">
        <v>2</v>
      </c>
      <c r="AK33">
        <f>2+(-2*2)+(-1*8)</f>
        <v>-10</v>
      </c>
      <c r="AM33" s="20">
        <v>1</v>
      </c>
      <c r="AV33" s="20" t="str">
        <f t="shared" si="18"/>
        <v/>
      </c>
    </row>
    <row r="34" spans="2:48">
      <c r="B34" s="74"/>
      <c r="C34" s="74"/>
      <c r="D34" s="74" t="s">
        <v>305</v>
      </c>
      <c r="E34" s="74" t="s">
        <v>69</v>
      </c>
      <c r="F34" s="81" t="s">
        <v>8</v>
      </c>
      <c r="G34" s="78" t="s">
        <v>6</v>
      </c>
      <c r="H34" s="81" t="s">
        <v>64</v>
      </c>
      <c r="I34" s="74" t="s">
        <v>87</v>
      </c>
      <c r="J34" s="74" t="s">
        <v>313</v>
      </c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>
        <v>2</v>
      </c>
      <c r="X34">
        <f>2+4+2</f>
        <v>8</v>
      </c>
      <c r="Z34">
        <f>6+2</f>
        <v>8</v>
      </c>
      <c r="AA34">
        <v>2</v>
      </c>
      <c r="AB34">
        <f>2+-2+-2</f>
        <v>-2</v>
      </c>
      <c r="AD34" s="59">
        <v>1</v>
      </c>
      <c r="AF34" s="59">
        <v>2</v>
      </c>
      <c r="AG34">
        <v>8</v>
      </c>
      <c r="AI34">
        <v>8</v>
      </c>
      <c r="AJ34">
        <v>2</v>
      </c>
      <c r="AK34">
        <f>-4+2</f>
        <v>-2</v>
      </c>
      <c r="AM34" s="20">
        <v>1</v>
      </c>
      <c r="AV34" s="20" t="str">
        <f t="shared" si="18"/>
        <v/>
      </c>
    </row>
    <row r="35" spans="2:48">
      <c r="AC35" s="59"/>
      <c r="AD35" s="64"/>
      <c r="AE35" s="59"/>
      <c r="AF35"/>
      <c r="AM35" s="64"/>
      <c r="AN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D58BD-7AF6-FB4E-9A38-6D6BF6F89699}">
  <dimension ref="A1:XFC57"/>
  <sheetViews>
    <sheetView workbookViewId="0">
      <selection activeCell="F8" sqref="F8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1023 1025:2047 2049:3071 3073:4095 4097:5119 5121:6143 6145:7167 7169:8191 8193:9215 9217:10239 10241:11263 11265:12287 12289:13311 13313:14335 14337:15359 15361:16383">
      <c r="A1" s="45"/>
      <c r="B1" s="45"/>
      <c r="G1" s="43"/>
      <c r="I1" s="45"/>
      <c r="J1" s="45"/>
      <c r="O1" s="43"/>
      <c r="P1" s="45" t="s">
        <v>159</v>
      </c>
      <c r="Q1" s="45"/>
      <c r="Y1" s="45"/>
      <c r="Z1" s="45"/>
      <c r="AE1" s="43"/>
      <c r="AG1" s="45"/>
      <c r="AH1" s="45"/>
      <c r="AM1" s="43"/>
      <c r="AO1" s="45"/>
      <c r="AP1" s="45"/>
      <c r="AU1" s="43"/>
      <c r="AW1" s="45"/>
      <c r="AX1" s="45"/>
      <c r="BC1" s="43"/>
      <c r="BE1" s="45"/>
      <c r="BF1" s="45"/>
      <c r="BK1" s="43"/>
      <c r="BM1" s="45"/>
      <c r="BN1" s="45"/>
      <c r="BS1" s="43"/>
      <c r="BU1" s="45"/>
      <c r="BV1" s="45"/>
      <c r="CA1" s="43"/>
      <c r="CC1" s="45"/>
      <c r="CD1" s="45"/>
      <c r="CI1" s="43"/>
      <c r="CK1" s="45"/>
      <c r="CL1" s="45"/>
      <c r="CQ1" s="43"/>
      <c r="CS1" s="45"/>
      <c r="CT1" s="45"/>
      <c r="CY1" s="43"/>
      <c r="DA1" s="45"/>
      <c r="DB1" s="45"/>
      <c r="DG1" s="43"/>
      <c r="DI1" s="45"/>
      <c r="DJ1" s="45"/>
      <c r="DO1" s="43"/>
      <c r="DQ1" s="45"/>
      <c r="DR1" s="45"/>
      <c r="DW1" s="43"/>
      <c r="DY1" s="45"/>
      <c r="DZ1" s="45"/>
      <c r="EE1" s="43"/>
      <c r="EG1" s="45"/>
      <c r="EH1" s="45"/>
      <c r="EM1" s="43"/>
      <c r="EO1" s="45"/>
      <c r="EP1" s="45"/>
      <c r="EU1" s="43"/>
      <c r="EW1" s="45"/>
      <c r="EX1" s="45"/>
      <c r="FC1" s="43"/>
      <c r="FE1" s="45"/>
      <c r="FF1" s="45"/>
      <c r="FK1" s="43"/>
      <c r="FM1" s="45"/>
      <c r="FN1" s="45"/>
      <c r="FS1" s="43"/>
      <c r="FU1" s="45"/>
      <c r="FV1" s="45"/>
      <c r="GA1" s="43"/>
      <c r="GC1" s="45"/>
      <c r="GD1" s="45"/>
      <c r="GI1" s="43"/>
      <c r="GK1" s="45"/>
      <c r="GL1" s="45"/>
      <c r="GQ1" s="43"/>
      <c r="GS1" s="45"/>
      <c r="GT1" s="45"/>
      <c r="GY1" s="43"/>
      <c r="HA1" s="45"/>
      <c r="HB1" s="45"/>
      <c r="HG1" s="43"/>
      <c r="HI1" s="45"/>
      <c r="HJ1" s="45"/>
      <c r="HO1" s="43"/>
      <c r="HQ1" s="45"/>
      <c r="HR1" s="45"/>
      <c r="HW1" s="43"/>
      <c r="HY1" s="45"/>
      <c r="HZ1" s="45"/>
      <c r="IE1" s="43"/>
      <c r="IG1" s="45"/>
      <c r="IH1" s="45"/>
      <c r="IM1" s="43"/>
      <c r="IO1" s="45"/>
      <c r="IP1" s="45"/>
      <c r="IU1" s="43"/>
      <c r="IW1" s="45"/>
      <c r="IX1" s="45"/>
      <c r="JC1" s="43"/>
      <c r="JE1" s="45"/>
      <c r="JF1" s="45"/>
      <c r="JK1" s="43"/>
      <c r="JM1" s="45"/>
      <c r="JN1" s="45"/>
      <c r="JS1" s="43"/>
      <c r="JU1" s="45"/>
      <c r="JV1" s="45"/>
      <c r="KA1" s="43"/>
      <c r="KC1" s="45"/>
      <c r="KD1" s="45"/>
      <c r="KI1" s="43"/>
      <c r="KK1" s="45"/>
      <c r="KL1" s="45"/>
      <c r="KQ1" s="43"/>
      <c r="KS1" s="45"/>
      <c r="KT1" s="45"/>
      <c r="KY1" s="43"/>
      <c r="LA1" s="45"/>
      <c r="LB1" s="45"/>
      <c r="LG1" s="43"/>
      <c r="LI1" s="45"/>
      <c r="LJ1" s="45"/>
      <c r="LO1" s="43"/>
      <c r="LQ1" s="45"/>
      <c r="LR1" s="45"/>
      <c r="LW1" s="43"/>
      <c r="LY1" s="45"/>
      <c r="LZ1" s="45"/>
      <c r="ME1" s="43"/>
      <c r="MG1" s="45"/>
      <c r="MH1" s="45"/>
      <c r="MM1" s="43"/>
      <c r="MO1" s="45"/>
      <c r="MP1" s="45"/>
      <c r="MU1" s="43"/>
      <c r="MW1" s="45"/>
      <c r="MX1" s="45"/>
      <c r="NC1" s="43"/>
      <c r="NE1" s="45"/>
      <c r="NF1" s="45"/>
      <c r="NK1" s="43"/>
      <c r="NM1" s="45"/>
      <c r="NN1" s="45"/>
      <c r="NS1" s="43"/>
      <c r="NU1" s="45"/>
      <c r="NV1" s="45"/>
      <c r="OA1" s="43"/>
      <c r="OC1" s="45"/>
      <c r="OD1" s="45"/>
      <c r="OI1" s="43"/>
      <c r="OK1" s="45"/>
      <c r="OL1" s="45"/>
      <c r="OQ1" s="43"/>
      <c r="OS1" s="45"/>
      <c r="OT1" s="45"/>
      <c r="OY1" s="43"/>
      <c r="PA1" s="45"/>
      <c r="PB1" s="45"/>
      <c r="PG1" s="43"/>
      <c r="PI1" s="45"/>
      <c r="PJ1" s="45"/>
      <c r="PO1" s="43"/>
      <c r="PQ1" s="45"/>
      <c r="PR1" s="45"/>
      <c r="PW1" s="43"/>
      <c r="PY1" s="45"/>
      <c r="PZ1" s="45"/>
      <c r="QE1" s="43"/>
      <c r="QG1" s="45"/>
      <c r="QH1" s="45"/>
      <c r="QM1" s="43"/>
      <c r="QO1" s="45"/>
      <c r="QP1" s="45"/>
      <c r="QU1" s="43"/>
      <c r="QW1" s="45"/>
      <c r="QX1" s="45"/>
      <c r="RC1" s="43"/>
      <c r="RE1" s="45"/>
      <c r="RF1" s="45"/>
      <c r="RK1" s="43"/>
      <c r="RM1" s="45"/>
      <c r="RN1" s="45"/>
      <c r="RS1" s="43"/>
      <c r="RU1" s="45"/>
      <c r="RV1" s="45"/>
      <c r="SA1" s="43"/>
      <c r="SC1" s="45"/>
      <c r="SD1" s="45"/>
      <c r="SI1" s="43"/>
      <c r="SK1" s="45"/>
      <c r="SL1" s="45"/>
      <c r="SQ1" s="43"/>
      <c r="SS1" s="45"/>
      <c r="ST1" s="45"/>
      <c r="SY1" s="43"/>
      <c r="TA1" s="45"/>
      <c r="TB1" s="45"/>
      <c r="TG1" s="43"/>
      <c r="TI1" s="45"/>
      <c r="TJ1" s="45"/>
      <c r="TO1" s="43"/>
      <c r="TQ1" s="45"/>
      <c r="TR1" s="45"/>
      <c r="TW1" s="43"/>
      <c r="TY1" s="45"/>
      <c r="TZ1" s="45"/>
      <c r="UE1" s="43"/>
      <c r="UG1" s="45"/>
      <c r="UH1" s="45"/>
      <c r="UM1" s="43"/>
      <c r="UO1" s="45"/>
      <c r="UP1" s="45"/>
      <c r="UU1" s="43"/>
      <c r="UW1" s="45"/>
      <c r="UX1" s="45"/>
      <c r="VC1" s="43"/>
      <c r="VE1" s="45"/>
      <c r="VF1" s="45"/>
      <c r="VK1" s="43"/>
      <c r="VM1" s="45"/>
      <c r="VN1" s="45"/>
      <c r="VS1" s="43"/>
      <c r="VU1" s="45"/>
      <c r="VV1" s="45"/>
      <c r="WA1" s="43"/>
      <c r="WC1" s="45"/>
      <c r="WD1" s="45"/>
      <c r="WI1" s="43"/>
      <c r="WK1" s="45"/>
      <c r="WL1" s="45"/>
      <c r="WQ1" s="43"/>
      <c r="WS1" s="45"/>
      <c r="WT1" s="45"/>
      <c r="WY1" s="43"/>
      <c r="XA1" s="45"/>
      <c r="XB1" s="45"/>
      <c r="XG1" s="43"/>
      <c r="XI1" s="45"/>
      <c r="XJ1" s="45"/>
      <c r="XO1" s="43"/>
      <c r="XQ1" s="45"/>
      <c r="XR1" s="45"/>
      <c r="XW1" s="43"/>
      <c r="XY1" s="45"/>
      <c r="XZ1" s="45"/>
      <c r="YE1" s="43"/>
      <c r="YG1" s="45"/>
      <c r="YH1" s="45"/>
      <c r="YM1" s="43"/>
      <c r="YO1" s="45"/>
      <c r="YP1" s="45"/>
      <c r="YU1" s="43"/>
      <c r="YW1" s="45"/>
      <c r="YX1" s="45"/>
      <c r="ZC1" s="43"/>
      <c r="ZE1" s="45"/>
      <c r="ZF1" s="45"/>
      <c r="ZK1" s="43"/>
      <c r="ZM1" s="45"/>
      <c r="ZN1" s="45"/>
      <c r="ZS1" s="43"/>
      <c r="ZU1" s="45"/>
      <c r="ZV1" s="45"/>
      <c r="AAA1" s="43"/>
      <c r="AAC1" s="45"/>
      <c r="AAD1" s="45"/>
      <c r="AAI1" s="43"/>
      <c r="AAK1" s="45"/>
      <c r="AAL1" s="45"/>
      <c r="AAQ1" s="43"/>
      <c r="AAS1" s="45"/>
      <c r="AAT1" s="45"/>
      <c r="AAY1" s="43"/>
      <c r="ABA1" s="45"/>
      <c r="ABB1" s="45"/>
      <c r="ABG1" s="43"/>
      <c r="ABI1" s="45"/>
      <c r="ABJ1" s="45"/>
      <c r="ABO1" s="43"/>
      <c r="ABQ1" s="45"/>
      <c r="ABR1" s="45"/>
      <c r="ABW1" s="43"/>
      <c r="ABY1" s="45"/>
      <c r="ABZ1" s="45"/>
      <c r="ACE1" s="43"/>
      <c r="ACG1" s="45"/>
      <c r="ACH1" s="45"/>
      <c r="ACM1" s="43"/>
      <c r="ACO1" s="45"/>
      <c r="ACP1" s="45"/>
      <c r="ACU1" s="43"/>
      <c r="ACW1" s="45"/>
      <c r="ACX1" s="45"/>
      <c r="ADC1" s="43"/>
      <c r="ADE1" s="45"/>
      <c r="ADF1" s="45"/>
      <c r="ADK1" s="43"/>
      <c r="ADM1" s="45"/>
      <c r="ADN1" s="45"/>
      <c r="ADS1" s="43"/>
      <c r="ADU1" s="45"/>
      <c r="ADV1" s="45"/>
      <c r="AEA1" s="43"/>
      <c r="AEC1" s="45"/>
      <c r="AED1" s="45"/>
      <c r="AEI1" s="43"/>
      <c r="AEK1" s="45"/>
      <c r="AEL1" s="45"/>
      <c r="AEQ1" s="43"/>
      <c r="AES1" s="45"/>
      <c r="AET1" s="45"/>
      <c r="AEY1" s="43"/>
      <c r="AFA1" s="45"/>
      <c r="AFB1" s="45"/>
      <c r="AFG1" s="43"/>
      <c r="AFI1" s="45"/>
      <c r="AFJ1" s="45"/>
      <c r="AFO1" s="43"/>
      <c r="AFQ1" s="45"/>
      <c r="AFR1" s="45"/>
      <c r="AFW1" s="43"/>
      <c r="AFY1" s="45"/>
      <c r="AFZ1" s="45"/>
      <c r="AGE1" s="43"/>
      <c r="AGG1" s="45"/>
      <c r="AGH1" s="45"/>
      <c r="AGM1" s="43"/>
      <c r="AGO1" s="45"/>
      <c r="AGP1" s="45"/>
      <c r="AGU1" s="43"/>
      <c r="AGW1" s="45"/>
      <c r="AGX1" s="45"/>
      <c r="AHC1" s="43"/>
      <c r="AHE1" s="45"/>
      <c r="AHF1" s="45"/>
      <c r="AHK1" s="43"/>
      <c r="AHM1" s="45"/>
      <c r="AHN1" s="45"/>
      <c r="AHS1" s="43"/>
      <c r="AHU1" s="45"/>
      <c r="AHV1" s="45"/>
      <c r="AIA1" s="43"/>
      <c r="AIC1" s="45"/>
      <c r="AID1" s="45"/>
      <c r="AII1" s="43"/>
      <c r="AIK1" s="45"/>
      <c r="AIL1" s="45"/>
      <c r="AIQ1" s="43"/>
      <c r="AIS1" s="45"/>
      <c r="AIT1" s="45"/>
      <c r="AIY1" s="43"/>
      <c r="AJA1" s="45"/>
      <c r="AJB1" s="45"/>
      <c r="AJG1" s="43"/>
      <c r="AJI1" s="45"/>
      <c r="AJJ1" s="45"/>
      <c r="AJO1" s="43"/>
      <c r="AJQ1" s="45"/>
      <c r="AJR1" s="45"/>
      <c r="AJW1" s="43"/>
      <c r="AJY1" s="45"/>
      <c r="AJZ1" s="45"/>
      <c r="AKE1" s="43"/>
      <c r="AKG1" s="45"/>
      <c r="AKH1" s="45"/>
      <c r="AKM1" s="43"/>
      <c r="AKO1" s="45"/>
      <c r="AKP1" s="45"/>
      <c r="AKU1" s="43"/>
      <c r="AKW1" s="45"/>
      <c r="AKX1" s="45"/>
      <c r="ALC1" s="43"/>
      <c r="ALE1" s="45"/>
      <c r="ALF1" s="45"/>
      <c r="ALK1" s="43"/>
      <c r="ALM1" s="45"/>
      <c r="ALN1" s="45"/>
      <c r="ALS1" s="43"/>
      <c r="ALU1" s="45"/>
      <c r="ALV1" s="45"/>
      <c r="AMA1" s="43"/>
      <c r="AMC1" s="45"/>
      <c r="AMD1" s="45"/>
      <c r="AMI1" s="43"/>
      <c r="AMK1" s="45"/>
      <c r="AML1" s="45"/>
      <c r="AMQ1" s="43"/>
      <c r="AMS1" s="45"/>
      <c r="AMT1" s="45"/>
      <c r="AMY1" s="43"/>
      <c r="ANA1" s="45"/>
      <c r="ANB1" s="45"/>
      <c r="ANG1" s="43"/>
      <c r="ANI1" s="45"/>
      <c r="ANJ1" s="45"/>
      <c r="ANO1" s="43"/>
      <c r="ANQ1" s="45"/>
      <c r="ANR1" s="45"/>
      <c r="ANW1" s="43"/>
      <c r="ANY1" s="45"/>
      <c r="ANZ1" s="45"/>
      <c r="AOE1" s="43"/>
      <c r="AOG1" s="45"/>
      <c r="AOH1" s="45"/>
      <c r="AOM1" s="43"/>
      <c r="AOO1" s="45"/>
      <c r="AOP1" s="45"/>
      <c r="AOU1" s="43"/>
      <c r="AOW1" s="45"/>
      <c r="AOX1" s="45"/>
      <c r="APC1" s="43"/>
      <c r="APE1" s="45"/>
      <c r="APF1" s="45"/>
      <c r="APK1" s="43"/>
      <c r="APM1" s="45"/>
      <c r="APN1" s="45"/>
      <c r="APS1" s="43"/>
      <c r="APU1" s="45"/>
      <c r="APV1" s="45"/>
      <c r="AQA1" s="43"/>
      <c r="AQC1" s="45"/>
      <c r="AQD1" s="45"/>
      <c r="AQI1" s="43"/>
      <c r="AQK1" s="45"/>
      <c r="AQL1" s="45"/>
      <c r="AQQ1" s="43"/>
      <c r="AQS1" s="45"/>
      <c r="AQT1" s="45"/>
      <c r="AQY1" s="43"/>
      <c r="ARA1" s="45"/>
      <c r="ARB1" s="45"/>
      <c r="ARG1" s="43"/>
      <c r="ARI1" s="45"/>
      <c r="ARJ1" s="45"/>
      <c r="ARO1" s="43"/>
      <c r="ARQ1" s="45"/>
      <c r="ARR1" s="45"/>
      <c r="ARW1" s="43"/>
      <c r="ARY1" s="45"/>
      <c r="ARZ1" s="45"/>
      <c r="ASE1" s="43"/>
      <c r="ASG1" s="45"/>
      <c r="ASH1" s="45"/>
      <c r="ASM1" s="43"/>
      <c r="ASO1" s="45"/>
      <c r="ASP1" s="45"/>
      <c r="ASU1" s="43"/>
      <c r="ASW1" s="45"/>
      <c r="ASX1" s="45"/>
      <c r="ATC1" s="43"/>
      <c r="ATE1" s="45"/>
      <c r="ATF1" s="45"/>
      <c r="ATK1" s="43"/>
      <c r="ATM1" s="45"/>
      <c r="ATN1" s="45"/>
      <c r="ATS1" s="43"/>
      <c r="ATU1" s="45"/>
      <c r="ATV1" s="45"/>
      <c r="AUA1" s="43"/>
      <c r="AUC1" s="45"/>
      <c r="AUD1" s="45"/>
      <c r="AUI1" s="43"/>
      <c r="AUK1" s="45"/>
      <c r="AUL1" s="45"/>
      <c r="AUQ1" s="43"/>
      <c r="AUS1" s="45"/>
      <c r="AUT1" s="45"/>
      <c r="AUY1" s="43"/>
      <c r="AVA1" s="45"/>
      <c r="AVB1" s="45"/>
      <c r="AVG1" s="43"/>
      <c r="AVI1" s="45"/>
      <c r="AVJ1" s="45"/>
      <c r="AVO1" s="43"/>
      <c r="AVQ1" s="45"/>
      <c r="AVR1" s="45"/>
      <c r="AVW1" s="43"/>
      <c r="AVY1" s="45"/>
      <c r="AVZ1" s="45"/>
      <c r="AWE1" s="43"/>
      <c r="AWG1" s="45"/>
      <c r="AWH1" s="45"/>
      <c r="AWM1" s="43"/>
      <c r="AWO1" s="45"/>
      <c r="AWP1" s="45"/>
      <c r="AWU1" s="43"/>
      <c r="AWW1" s="45"/>
      <c r="AWX1" s="45"/>
      <c r="AXC1" s="43"/>
      <c r="AXE1" s="45"/>
      <c r="AXF1" s="45"/>
      <c r="AXK1" s="43"/>
      <c r="AXM1" s="45"/>
      <c r="AXN1" s="45"/>
      <c r="AXS1" s="43"/>
      <c r="AXU1" s="45"/>
      <c r="AXV1" s="45"/>
      <c r="AYA1" s="43"/>
      <c r="AYC1" s="45"/>
      <c r="AYD1" s="45"/>
      <c r="AYI1" s="43"/>
      <c r="AYK1" s="45"/>
      <c r="AYL1" s="45"/>
      <c r="AYQ1" s="43"/>
      <c r="AYS1" s="45"/>
      <c r="AYT1" s="45"/>
      <c r="AYY1" s="43"/>
      <c r="AZA1" s="45"/>
      <c r="AZB1" s="45"/>
      <c r="AZG1" s="43"/>
      <c r="AZI1" s="45"/>
      <c r="AZJ1" s="45"/>
      <c r="AZO1" s="43"/>
      <c r="AZQ1" s="45"/>
      <c r="AZR1" s="45"/>
      <c r="AZW1" s="43"/>
      <c r="AZY1" s="45"/>
      <c r="AZZ1" s="45"/>
      <c r="BAE1" s="43"/>
      <c r="BAG1" s="45"/>
      <c r="BAH1" s="45"/>
      <c r="BAM1" s="43"/>
      <c r="BAO1" s="45"/>
      <c r="BAP1" s="45"/>
      <c r="BAU1" s="43"/>
      <c r="BAW1" s="45"/>
      <c r="BAX1" s="45"/>
      <c r="BBC1" s="43"/>
      <c r="BBE1" s="45"/>
      <c r="BBF1" s="45"/>
      <c r="BBK1" s="43"/>
      <c r="BBM1" s="45"/>
      <c r="BBN1" s="45"/>
      <c r="BBS1" s="43"/>
      <c r="BBU1" s="45"/>
      <c r="BBV1" s="45"/>
      <c r="BCA1" s="43"/>
      <c r="BCC1" s="45"/>
      <c r="BCD1" s="45"/>
      <c r="BCI1" s="43"/>
      <c r="BCK1" s="45"/>
      <c r="BCL1" s="45"/>
      <c r="BCQ1" s="43"/>
      <c r="BCS1" s="45"/>
      <c r="BCT1" s="45"/>
      <c r="BCY1" s="43"/>
      <c r="BDA1" s="45"/>
      <c r="BDB1" s="45"/>
      <c r="BDG1" s="43"/>
      <c r="BDI1" s="45"/>
      <c r="BDJ1" s="45"/>
      <c r="BDO1" s="43"/>
      <c r="BDQ1" s="45"/>
      <c r="BDR1" s="45"/>
      <c r="BDW1" s="43"/>
      <c r="BDY1" s="45"/>
      <c r="BDZ1" s="45"/>
      <c r="BEE1" s="43"/>
      <c r="BEG1" s="45"/>
      <c r="BEH1" s="45"/>
      <c r="BEM1" s="43"/>
      <c r="BEO1" s="45"/>
      <c r="BEP1" s="45"/>
      <c r="BEU1" s="43"/>
      <c r="BEW1" s="45"/>
      <c r="BEX1" s="45"/>
      <c r="BFC1" s="43"/>
      <c r="BFE1" s="45"/>
      <c r="BFF1" s="45"/>
      <c r="BFK1" s="43"/>
      <c r="BFM1" s="45"/>
      <c r="BFN1" s="45"/>
      <c r="BFS1" s="43"/>
      <c r="BFU1" s="45"/>
      <c r="BFV1" s="45"/>
      <c r="BGA1" s="43"/>
      <c r="BGC1" s="45"/>
      <c r="BGD1" s="45"/>
      <c r="BGI1" s="43"/>
      <c r="BGK1" s="45"/>
      <c r="BGL1" s="45"/>
      <c r="BGQ1" s="43"/>
      <c r="BGS1" s="45"/>
      <c r="BGT1" s="45"/>
      <c r="BGY1" s="43"/>
      <c r="BHA1" s="45"/>
      <c r="BHB1" s="45"/>
      <c r="BHG1" s="43"/>
      <c r="BHI1" s="45"/>
      <c r="BHJ1" s="45"/>
      <c r="BHO1" s="43"/>
      <c r="BHQ1" s="45"/>
      <c r="BHR1" s="45"/>
      <c r="BHW1" s="43"/>
      <c r="BHY1" s="45"/>
      <c r="BHZ1" s="45"/>
      <c r="BIE1" s="43"/>
      <c r="BIG1" s="45"/>
      <c r="BIH1" s="45"/>
      <c r="BIM1" s="43"/>
      <c r="BIO1" s="45"/>
      <c r="BIP1" s="45"/>
      <c r="BIU1" s="43"/>
      <c r="BIW1" s="45"/>
      <c r="BIX1" s="45"/>
      <c r="BJC1" s="43"/>
      <c r="BJE1" s="45"/>
      <c r="BJF1" s="45"/>
      <c r="BJK1" s="43"/>
      <c r="BJM1" s="45"/>
      <c r="BJN1" s="45"/>
      <c r="BJS1" s="43"/>
      <c r="BJU1" s="45"/>
      <c r="BJV1" s="45"/>
      <c r="BKA1" s="43"/>
      <c r="BKC1" s="45"/>
      <c r="BKD1" s="45"/>
      <c r="BKI1" s="43"/>
      <c r="BKK1" s="45"/>
      <c r="BKL1" s="45"/>
      <c r="BKQ1" s="43"/>
      <c r="BKS1" s="45"/>
      <c r="BKT1" s="45"/>
      <c r="BKY1" s="43"/>
      <c r="BLA1" s="45"/>
      <c r="BLB1" s="45"/>
      <c r="BLG1" s="43"/>
      <c r="BLI1" s="45"/>
      <c r="BLJ1" s="45"/>
      <c r="BLO1" s="43"/>
      <c r="BLQ1" s="45"/>
      <c r="BLR1" s="45"/>
      <c r="BLW1" s="43"/>
      <c r="BLY1" s="45"/>
      <c r="BLZ1" s="45"/>
      <c r="BME1" s="43"/>
      <c r="BMG1" s="45"/>
      <c r="BMH1" s="45"/>
      <c r="BMM1" s="43"/>
      <c r="BMO1" s="45"/>
      <c r="BMP1" s="45"/>
      <c r="BMU1" s="43"/>
      <c r="BMW1" s="45"/>
      <c r="BMX1" s="45"/>
      <c r="BNC1" s="43"/>
      <c r="BNE1" s="45"/>
      <c r="BNF1" s="45"/>
      <c r="BNK1" s="43"/>
      <c r="BNM1" s="45"/>
      <c r="BNN1" s="45"/>
      <c r="BNS1" s="43"/>
      <c r="BNU1" s="45"/>
      <c r="BNV1" s="45"/>
      <c r="BOA1" s="43"/>
      <c r="BOC1" s="45"/>
      <c r="BOD1" s="45"/>
      <c r="BOI1" s="43"/>
      <c r="BOK1" s="45"/>
      <c r="BOL1" s="45"/>
      <c r="BOQ1" s="43"/>
      <c r="BOS1" s="45"/>
      <c r="BOT1" s="45"/>
      <c r="BOY1" s="43"/>
      <c r="BPA1" s="45"/>
      <c r="BPB1" s="45"/>
      <c r="BPG1" s="43"/>
      <c r="BPI1" s="45"/>
      <c r="BPJ1" s="45"/>
      <c r="BPO1" s="43"/>
      <c r="BPQ1" s="45"/>
      <c r="BPR1" s="45"/>
      <c r="BPW1" s="43"/>
      <c r="BPY1" s="45"/>
      <c r="BPZ1" s="45"/>
      <c r="BQE1" s="43"/>
      <c r="BQG1" s="45"/>
      <c r="BQH1" s="45"/>
      <c r="BQM1" s="43"/>
      <c r="BQO1" s="45"/>
      <c r="BQP1" s="45"/>
      <c r="BQU1" s="43"/>
      <c r="BQW1" s="45"/>
      <c r="BQX1" s="45"/>
      <c r="BRC1" s="43"/>
      <c r="BRE1" s="45"/>
      <c r="BRF1" s="45"/>
      <c r="BRK1" s="43"/>
      <c r="BRM1" s="45"/>
      <c r="BRN1" s="45"/>
      <c r="BRS1" s="43"/>
      <c r="BRU1" s="45"/>
      <c r="BRV1" s="45"/>
      <c r="BSA1" s="43"/>
      <c r="BSC1" s="45"/>
      <c r="BSD1" s="45"/>
      <c r="BSI1" s="43"/>
      <c r="BSK1" s="45"/>
      <c r="BSL1" s="45"/>
      <c r="BSQ1" s="43"/>
      <c r="BSS1" s="45"/>
      <c r="BST1" s="45"/>
      <c r="BSY1" s="43"/>
      <c r="BTA1" s="45"/>
      <c r="BTB1" s="45"/>
      <c r="BTG1" s="43"/>
      <c r="BTI1" s="45"/>
      <c r="BTJ1" s="45"/>
      <c r="BTO1" s="43"/>
      <c r="BTQ1" s="45"/>
      <c r="BTR1" s="45"/>
      <c r="BTW1" s="43"/>
      <c r="BTY1" s="45"/>
      <c r="BTZ1" s="45"/>
      <c r="BUE1" s="43"/>
      <c r="BUG1" s="45"/>
      <c r="BUH1" s="45"/>
      <c r="BUM1" s="43"/>
      <c r="BUO1" s="45"/>
      <c r="BUP1" s="45"/>
      <c r="BUU1" s="43"/>
      <c r="BUW1" s="45"/>
      <c r="BUX1" s="45"/>
      <c r="BVC1" s="43"/>
      <c r="BVE1" s="45"/>
      <c r="BVF1" s="45"/>
      <c r="BVK1" s="43"/>
      <c r="BVM1" s="45"/>
      <c r="BVN1" s="45"/>
      <c r="BVS1" s="43"/>
      <c r="BVU1" s="45"/>
      <c r="BVV1" s="45"/>
      <c r="BWA1" s="43"/>
      <c r="BWC1" s="45"/>
      <c r="BWD1" s="45"/>
      <c r="BWI1" s="43"/>
      <c r="BWK1" s="45"/>
      <c r="BWL1" s="45"/>
      <c r="BWQ1" s="43"/>
      <c r="BWS1" s="45"/>
      <c r="BWT1" s="45"/>
      <c r="BWY1" s="43"/>
      <c r="BXA1" s="45"/>
      <c r="BXB1" s="45"/>
      <c r="BXG1" s="43"/>
      <c r="BXI1" s="45"/>
      <c r="BXJ1" s="45"/>
      <c r="BXO1" s="43"/>
      <c r="BXQ1" s="45"/>
      <c r="BXR1" s="45"/>
      <c r="BXW1" s="43"/>
      <c r="BXY1" s="45"/>
      <c r="BXZ1" s="45"/>
      <c r="BYE1" s="43"/>
      <c r="BYG1" s="45"/>
      <c r="BYH1" s="45"/>
      <c r="BYM1" s="43"/>
      <c r="BYO1" s="45"/>
      <c r="BYP1" s="45"/>
      <c r="BYU1" s="43"/>
      <c r="BYW1" s="45"/>
      <c r="BYX1" s="45"/>
      <c r="BZC1" s="43"/>
      <c r="BZE1" s="45"/>
      <c r="BZF1" s="45"/>
      <c r="BZK1" s="43"/>
      <c r="BZM1" s="45"/>
      <c r="BZN1" s="45"/>
      <c r="BZS1" s="43"/>
      <c r="BZU1" s="45"/>
      <c r="BZV1" s="45"/>
      <c r="CAA1" s="43"/>
      <c r="CAC1" s="45"/>
      <c r="CAD1" s="45"/>
      <c r="CAI1" s="43"/>
      <c r="CAK1" s="45"/>
      <c r="CAL1" s="45"/>
      <c r="CAQ1" s="43"/>
      <c r="CAS1" s="45"/>
      <c r="CAT1" s="45"/>
      <c r="CAY1" s="43"/>
      <c r="CBA1" s="45"/>
      <c r="CBB1" s="45"/>
      <c r="CBG1" s="43"/>
      <c r="CBI1" s="45"/>
      <c r="CBJ1" s="45"/>
      <c r="CBO1" s="43"/>
      <c r="CBQ1" s="45"/>
      <c r="CBR1" s="45"/>
      <c r="CBW1" s="43"/>
      <c r="CBY1" s="45"/>
      <c r="CBZ1" s="45"/>
      <c r="CCE1" s="43"/>
      <c r="CCG1" s="45"/>
      <c r="CCH1" s="45"/>
      <c r="CCM1" s="43"/>
      <c r="CCO1" s="45"/>
      <c r="CCP1" s="45"/>
      <c r="CCU1" s="43"/>
      <c r="CCW1" s="45"/>
      <c r="CCX1" s="45"/>
      <c r="CDC1" s="43"/>
      <c r="CDE1" s="45"/>
      <c r="CDF1" s="45"/>
      <c r="CDK1" s="43"/>
      <c r="CDM1" s="45"/>
      <c r="CDN1" s="45"/>
      <c r="CDS1" s="43"/>
      <c r="CDU1" s="45"/>
      <c r="CDV1" s="45"/>
      <c r="CEA1" s="43"/>
      <c r="CEC1" s="45"/>
      <c r="CED1" s="45"/>
      <c r="CEI1" s="43"/>
      <c r="CEK1" s="45"/>
      <c r="CEL1" s="45"/>
      <c r="CEQ1" s="43"/>
      <c r="CES1" s="45"/>
      <c r="CET1" s="45"/>
      <c r="CEY1" s="43"/>
      <c r="CFA1" s="45"/>
      <c r="CFB1" s="45"/>
      <c r="CFG1" s="43"/>
      <c r="CFI1" s="45"/>
      <c r="CFJ1" s="45"/>
      <c r="CFO1" s="43"/>
      <c r="CFQ1" s="45"/>
      <c r="CFR1" s="45"/>
      <c r="CFW1" s="43"/>
      <c r="CFY1" s="45"/>
      <c r="CFZ1" s="45"/>
      <c r="CGE1" s="43"/>
      <c r="CGG1" s="45"/>
      <c r="CGH1" s="45"/>
      <c r="CGM1" s="43"/>
      <c r="CGO1" s="45"/>
      <c r="CGP1" s="45"/>
      <c r="CGU1" s="43"/>
      <c r="CGW1" s="45"/>
      <c r="CGX1" s="45"/>
      <c r="CHC1" s="43"/>
      <c r="CHE1" s="45"/>
      <c r="CHF1" s="45"/>
      <c r="CHK1" s="43"/>
      <c r="CHM1" s="45"/>
      <c r="CHN1" s="45"/>
      <c r="CHS1" s="43"/>
      <c r="CHU1" s="45"/>
      <c r="CHV1" s="45"/>
      <c r="CIA1" s="43"/>
      <c r="CIC1" s="45"/>
      <c r="CID1" s="45"/>
      <c r="CII1" s="43"/>
      <c r="CIK1" s="45"/>
      <c r="CIL1" s="45"/>
      <c r="CIQ1" s="43"/>
      <c r="CIS1" s="45"/>
      <c r="CIT1" s="45"/>
      <c r="CIY1" s="43"/>
      <c r="CJA1" s="45"/>
      <c r="CJB1" s="45"/>
      <c r="CJG1" s="43"/>
      <c r="CJI1" s="45"/>
      <c r="CJJ1" s="45"/>
      <c r="CJO1" s="43"/>
      <c r="CJQ1" s="45"/>
      <c r="CJR1" s="45"/>
      <c r="CJW1" s="43"/>
      <c r="CJY1" s="45"/>
      <c r="CJZ1" s="45"/>
      <c r="CKE1" s="43"/>
      <c r="CKG1" s="45"/>
      <c r="CKH1" s="45"/>
      <c r="CKM1" s="43"/>
      <c r="CKO1" s="45"/>
      <c r="CKP1" s="45"/>
      <c r="CKU1" s="43"/>
      <c r="CKW1" s="45"/>
      <c r="CKX1" s="45"/>
      <c r="CLC1" s="43"/>
      <c r="CLE1" s="45"/>
      <c r="CLF1" s="45"/>
      <c r="CLK1" s="43"/>
      <c r="CLM1" s="45"/>
      <c r="CLN1" s="45"/>
      <c r="CLS1" s="43"/>
      <c r="CLU1" s="45"/>
      <c r="CLV1" s="45"/>
      <c r="CMA1" s="43"/>
      <c r="CMC1" s="45"/>
      <c r="CMD1" s="45"/>
      <c r="CMI1" s="43"/>
      <c r="CMK1" s="45"/>
      <c r="CML1" s="45"/>
      <c r="CMQ1" s="43"/>
      <c r="CMS1" s="45"/>
      <c r="CMT1" s="45"/>
      <c r="CMY1" s="43"/>
      <c r="CNA1" s="45"/>
      <c r="CNB1" s="45"/>
      <c r="CNG1" s="43"/>
      <c r="CNI1" s="45"/>
      <c r="CNJ1" s="45"/>
      <c r="CNO1" s="43"/>
      <c r="CNQ1" s="45"/>
      <c r="CNR1" s="45"/>
      <c r="CNW1" s="43"/>
      <c r="CNY1" s="45"/>
      <c r="CNZ1" s="45"/>
      <c r="COE1" s="43"/>
      <c r="COG1" s="45"/>
      <c r="COH1" s="45"/>
      <c r="COM1" s="43"/>
      <c r="COO1" s="45"/>
      <c r="COP1" s="45"/>
      <c r="COU1" s="43"/>
      <c r="COW1" s="45"/>
      <c r="COX1" s="45"/>
      <c r="CPC1" s="43"/>
      <c r="CPE1" s="45"/>
      <c r="CPF1" s="45"/>
      <c r="CPK1" s="43"/>
      <c r="CPM1" s="45"/>
      <c r="CPN1" s="45"/>
      <c r="CPS1" s="43"/>
      <c r="CPU1" s="45"/>
      <c r="CPV1" s="45"/>
      <c r="CQA1" s="43"/>
      <c r="CQC1" s="45"/>
      <c r="CQD1" s="45"/>
      <c r="CQI1" s="43"/>
      <c r="CQK1" s="45"/>
      <c r="CQL1" s="45"/>
      <c r="CQQ1" s="43"/>
      <c r="CQS1" s="45"/>
      <c r="CQT1" s="45"/>
      <c r="CQY1" s="43"/>
      <c r="CRA1" s="45"/>
      <c r="CRB1" s="45"/>
      <c r="CRG1" s="43"/>
      <c r="CRI1" s="45"/>
      <c r="CRJ1" s="45"/>
      <c r="CRO1" s="43"/>
      <c r="CRQ1" s="45"/>
      <c r="CRR1" s="45"/>
      <c r="CRW1" s="43"/>
      <c r="CRY1" s="45"/>
      <c r="CRZ1" s="45"/>
      <c r="CSE1" s="43"/>
      <c r="CSG1" s="45"/>
      <c r="CSH1" s="45"/>
      <c r="CSM1" s="43"/>
      <c r="CSO1" s="45"/>
      <c r="CSP1" s="45"/>
      <c r="CSU1" s="43"/>
      <c r="CSW1" s="45"/>
      <c r="CSX1" s="45"/>
      <c r="CTC1" s="43"/>
      <c r="CTE1" s="45"/>
      <c r="CTF1" s="45"/>
      <c r="CTK1" s="43"/>
      <c r="CTM1" s="45"/>
      <c r="CTN1" s="45"/>
      <c r="CTS1" s="43"/>
      <c r="CTU1" s="45"/>
      <c r="CTV1" s="45"/>
      <c r="CUA1" s="43"/>
      <c r="CUC1" s="45"/>
      <c r="CUD1" s="45"/>
      <c r="CUI1" s="43"/>
      <c r="CUK1" s="45"/>
      <c r="CUL1" s="45"/>
      <c r="CUQ1" s="43"/>
      <c r="CUS1" s="45"/>
      <c r="CUT1" s="45"/>
      <c r="CUY1" s="43"/>
      <c r="CVA1" s="45"/>
      <c r="CVB1" s="45"/>
      <c r="CVG1" s="43"/>
      <c r="CVI1" s="45"/>
      <c r="CVJ1" s="45"/>
      <c r="CVO1" s="43"/>
      <c r="CVQ1" s="45"/>
      <c r="CVR1" s="45"/>
      <c r="CVW1" s="43"/>
      <c r="CVY1" s="45"/>
      <c r="CVZ1" s="45"/>
      <c r="CWE1" s="43"/>
      <c r="CWG1" s="45"/>
      <c r="CWH1" s="45"/>
      <c r="CWM1" s="43"/>
      <c r="CWO1" s="45"/>
      <c r="CWP1" s="45"/>
      <c r="CWU1" s="43"/>
      <c r="CWW1" s="45"/>
      <c r="CWX1" s="45"/>
      <c r="CXC1" s="43"/>
      <c r="CXE1" s="45"/>
      <c r="CXF1" s="45"/>
      <c r="CXK1" s="43"/>
      <c r="CXM1" s="45"/>
      <c r="CXN1" s="45"/>
      <c r="CXS1" s="43"/>
      <c r="CXU1" s="45"/>
      <c r="CXV1" s="45"/>
      <c r="CYA1" s="43"/>
      <c r="CYC1" s="45"/>
      <c r="CYD1" s="45"/>
      <c r="CYI1" s="43"/>
      <c r="CYK1" s="45"/>
      <c r="CYL1" s="45"/>
      <c r="CYQ1" s="43"/>
      <c r="CYS1" s="45"/>
      <c r="CYT1" s="45"/>
      <c r="CYY1" s="43"/>
      <c r="CZA1" s="45"/>
      <c r="CZB1" s="45"/>
      <c r="CZG1" s="43"/>
      <c r="CZI1" s="45"/>
      <c r="CZJ1" s="45"/>
      <c r="CZO1" s="43"/>
      <c r="CZQ1" s="45"/>
      <c r="CZR1" s="45"/>
      <c r="CZW1" s="43"/>
      <c r="CZY1" s="45"/>
      <c r="CZZ1" s="45"/>
      <c r="DAE1" s="43"/>
      <c r="DAG1" s="45"/>
      <c r="DAH1" s="45"/>
      <c r="DAM1" s="43"/>
      <c r="DAO1" s="45"/>
      <c r="DAP1" s="45"/>
      <c r="DAU1" s="43"/>
      <c r="DAW1" s="45"/>
      <c r="DAX1" s="45"/>
      <c r="DBC1" s="43"/>
      <c r="DBE1" s="45"/>
      <c r="DBF1" s="45"/>
      <c r="DBK1" s="43"/>
      <c r="DBM1" s="45"/>
      <c r="DBN1" s="45"/>
      <c r="DBS1" s="43"/>
      <c r="DBU1" s="45"/>
      <c r="DBV1" s="45"/>
      <c r="DCA1" s="43"/>
      <c r="DCC1" s="45"/>
      <c r="DCD1" s="45"/>
      <c r="DCI1" s="43"/>
      <c r="DCK1" s="45"/>
      <c r="DCL1" s="45"/>
      <c r="DCQ1" s="43"/>
      <c r="DCS1" s="45"/>
      <c r="DCT1" s="45"/>
      <c r="DCY1" s="43"/>
      <c r="DDA1" s="45"/>
      <c r="DDB1" s="45"/>
      <c r="DDG1" s="43"/>
      <c r="DDI1" s="45"/>
      <c r="DDJ1" s="45"/>
      <c r="DDO1" s="43"/>
      <c r="DDQ1" s="45"/>
      <c r="DDR1" s="45"/>
      <c r="DDW1" s="43"/>
      <c r="DDY1" s="45"/>
      <c r="DDZ1" s="45"/>
      <c r="DEE1" s="43"/>
      <c r="DEG1" s="45"/>
      <c r="DEH1" s="45"/>
      <c r="DEM1" s="43"/>
      <c r="DEO1" s="45"/>
      <c r="DEP1" s="45"/>
      <c r="DEU1" s="43"/>
      <c r="DEW1" s="45"/>
      <c r="DEX1" s="45"/>
      <c r="DFC1" s="43"/>
      <c r="DFE1" s="45"/>
      <c r="DFF1" s="45"/>
      <c r="DFK1" s="43"/>
      <c r="DFM1" s="45"/>
      <c r="DFN1" s="45"/>
      <c r="DFS1" s="43"/>
      <c r="DFU1" s="45"/>
      <c r="DFV1" s="45"/>
      <c r="DGA1" s="43"/>
      <c r="DGC1" s="45"/>
      <c r="DGD1" s="45"/>
      <c r="DGI1" s="43"/>
      <c r="DGK1" s="45"/>
      <c r="DGL1" s="45"/>
      <c r="DGQ1" s="43"/>
      <c r="DGS1" s="45"/>
      <c r="DGT1" s="45"/>
      <c r="DGY1" s="43"/>
      <c r="DHA1" s="45"/>
      <c r="DHB1" s="45"/>
      <c r="DHG1" s="43"/>
      <c r="DHI1" s="45"/>
      <c r="DHJ1" s="45"/>
      <c r="DHO1" s="43"/>
      <c r="DHQ1" s="45"/>
      <c r="DHR1" s="45"/>
      <c r="DHW1" s="43"/>
      <c r="DHY1" s="45"/>
      <c r="DHZ1" s="45"/>
      <c r="DIE1" s="43"/>
      <c r="DIG1" s="45"/>
      <c r="DIH1" s="45"/>
      <c r="DIM1" s="43"/>
      <c r="DIO1" s="45"/>
      <c r="DIP1" s="45"/>
      <c r="DIU1" s="43"/>
      <c r="DIW1" s="45"/>
      <c r="DIX1" s="45"/>
      <c r="DJC1" s="43"/>
      <c r="DJE1" s="45"/>
      <c r="DJF1" s="45"/>
      <c r="DJK1" s="43"/>
      <c r="DJM1" s="45"/>
      <c r="DJN1" s="45"/>
      <c r="DJS1" s="43"/>
      <c r="DJU1" s="45"/>
      <c r="DJV1" s="45"/>
      <c r="DKA1" s="43"/>
      <c r="DKC1" s="45"/>
      <c r="DKD1" s="45"/>
      <c r="DKI1" s="43"/>
      <c r="DKK1" s="45"/>
      <c r="DKL1" s="45"/>
      <c r="DKQ1" s="43"/>
      <c r="DKS1" s="45"/>
      <c r="DKT1" s="45"/>
      <c r="DKY1" s="43"/>
      <c r="DLA1" s="45"/>
      <c r="DLB1" s="45"/>
      <c r="DLG1" s="43"/>
      <c r="DLI1" s="45"/>
      <c r="DLJ1" s="45"/>
      <c r="DLO1" s="43"/>
      <c r="DLQ1" s="45"/>
      <c r="DLR1" s="45"/>
      <c r="DLW1" s="43"/>
      <c r="DLY1" s="45"/>
      <c r="DLZ1" s="45"/>
      <c r="DME1" s="43"/>
      <c r="DMG1" s="45"/>
      <c r="DMH1" s="45"/>
      <c r="DMM1" s="43"/>
      <c r="DMO1" s="45"/>
      <c r="DMP1" s="45"/>
      <c r="DMU1" s="43"/>
      <c r="DMW1" s="45"/>
      <c r="DMX1" s="45"/>
      <c r="DNC1" s="43"/>
      <c r="DNE1" s="45"/>
      <c r="DNF1" s="45"/>
      <c r="DNK1" s="43"/>
      <c r="DNM1" s="45"/>
      <c r="DNN1" s="45"/>
      <c r="DNS1" s="43"/>
      <c r="DNU1" s="45"/>
      <c r="DNV1" s="45"/>
      <c r="DOA1" s="43"/>
      <c r="DOC1" s="45"/>
      <c r="DOD1" s="45"/>
      <c r="DOI1" s="43"/>
      <c r="DOK1" s="45"/>
      <c r="DOL1" s="45"/>
      <c r="DOQ1" s="43"/>
      <c r="DOS1" s="45"/>
      <c r="DOT1" s="45"/>
      <c r="DOY1" s="43"/>
      <c r="DPA1" s="45"/>
      <c r="DPB1" s="45"/>
      <c r="DPG1" s="43"/>
      <c r="DPI1" s="45"/>
      <c r="DPJ1" s="45"/>
      <c r="DPO1" s="43"/>
      <c r="DPQ1" s="45"/>
      <c r="DPR1" s="45"/>
      <c r="DPW1" s="43"/>
      <c r="DPY1" s="45"/>
      <c r="DPZ1" s="45"/>
      <c r="DQE1" s="43"/>
      <c r="DQG1" s="45"/>
      <c r="DQH1" s="45"/>
      <c r="DQM1" s="43"/>
      <c r="DQO1" s="45"/>
      <c r="DQP1" s="45"/>
      <c r="DQU1" s="43"/>
      <c r="DQW1" s="45"/>
      <c r="DQX1" s="45"/>
      <c r="DRC1" s="43"/>
      <c r="DRE1" s="45"/>
      <c r="DRF1" s="45"/>
      <c r="DRK1" s="43"/>
      <c r="DRM1" s="45"/>
      <c r="DRN1" s="45"/>
      <c r="DRS1" s="43"/>
      <c r="DRU1" s="45"/>
      <c r="DRV1" s="45"/>
      <c r="DSA1" s="43"/>
      <c r="DSC1" s="45"/>
      <c r="DSD1" s="45"/>
      <c r="DSI1" s="43"/>
      <c r="DSK1" s="45"/>
      <c r="DSL1" s="45"/>
      <c r="DSQ1" s="43"/>
      <c r="DSS1" s="45"/>
      <c r="DST1" s="45"/>
      <c r="DSY1" s="43"/>
      <c r="DTA1" s="45"/>
      <c r="DTB1" s="45"/>
      <c r="DTG1" s="43"/>
      <c r="DTI1" s="45"/>
      <c r="DTJ1" s="45"/>
      <c r="DTO1" s="43"/>
      <c r="DTQ1" s="45"/>
      <c r="DTR1" s="45"/>
      <c r="DTW1" s="43"/>
      <c r="DTY1" s="45"/>
      <c r="DTZ1" s="45"/>
      <c r="DUE1" s="43"/>
      <c r="DUG1" s="45"/>
      <c r="DUH1" s="45"/>
      <c r="DUM1" s="43"/>
      <c r="DUO1" s="45"/>
      <c r="DUP1" s="45"/>
      <c r="DUU1" s="43"/>
      <c r="DUW1" s="45"/>
      <c r="DUX1" s="45"/>
      <c r="DVC1" s="43"/>
      <c r="DVE1" s="45"/>
      <c r="DVF1" s="45"/>
      <c r="DVK1" s="43"/>
      <c r="DVM1" s="45"/>
      <c r="DVN1" s="45"/>
      <c r="DVS1" s="43"/>
      <c r="DVU1" s="45"/>
      <c r="DVV1" s="45"/>
      <c r="DWA1" s="43"/>
      <c r="DWC1" s="45"/>
      <c r="DWD1" s="45"/>
      <c r="DWI1" s="43"/>
      <c r="DWK1" s="45"/>
      <c r="DWL1" s="45"/>
      <c r="DWQ1" s="43"/>
      <c r="DWS1" s="45"/>
      <c r="DWT1" s="45"/>
      <c r="DWY1" s="43"/>
      <c r="DXA1" s="45"/>
      <c r="DXB1" s="45"/>
      <c r="DXG1" s="43"/>
      <c r="DXI1" s="45"/>
      <c r="DXJ1" s="45"/>
      <c r="DXO1" s="43"/>
      <c r="DXQ1" s="45"/>
      <c r="DXR1" s="45"/>
      <c r="DXW1" s="43"/>
      <c r="DXY1" s="45"/>
      <c r="DXZ1" s="45"/>
      <c r="DYE1" s="43"/>
      <c r="DYG1" s="45"/>
      <c r="DYH1" s="45"/>
      <c r="DYM1" s="43"/>
      <c r="DYO1" s="45"/>
      <c r="DYP1" s="45"/>
      <c r="DYU1" s="43"/>
      <c r="DYW1" s="45"/>
      <c r="DYX1" s="45"/>
      <c r="DZC1" s="43"/>
      <c r="DZE1" s="45"/>
      <c r="DZF1" s="45"/>
      <c r="DZK1" s="43"/>
      <c r="DZM1" s="45"/>
      <c r="DZN1" s="45"/>
      <c r="DZS1" s="43"/>
      <c r="DZU1" s="45"/>
      <c r="DZV1" s="45"/>
      <c r="EAA1" s="43"/>
      <c r="EAC1" s="45"/>
      <c r="EAD1" s="45"/>
      <c r="EAI1" s="43"/>
      <c r="EAK1" s="45"/>
      <c r="EAL1" s="45"/>
      <c r="EAQ1" s="43"/>
      <c r="EAS1" s="45"/>
      <c r="EAT1" s="45"/>
      <c r="EAY1" s="43"/>
      <c r="EBA1" s="45"/>
      <c r="EBB1" s="45"/>
      <c r="EBG1" s="43"/>
      <c r="EBI1" s="45"/>
      <c r="EBJ1" s="45"/>
      <c r="EBO1" s="43"/>
      <c r="EBQ1" s="45"/>
      <c r="EBR1" s="45"/>
      <c r="EBW1" s="43"/>
      <c r="EBY1" s="45"/>
      <c r="EBZ1" s="45"/>
      <c r="ECE1" s="43"/>
      <c r="ECG1" s="45"/>
      <c r="ECH1" s="45"/>
      <c r="ECM1" s="43"/>
      <c r="ECO1" s="45"/>
      <c r="ECP1" s="45"/>
      <c r="ECU1" s="43"/>
      <c r="ECW1" s="45"/>
      <c r="ECX1" s="45"/>
      <c r="EDC1" s="43"/>
      <c r="EDE1" s="45"/>
      <c r="EDF1" s="45"/>
      <c r="EDK1" s="43"/>
      <c r="EDM1" s="45"/>
      <c r="EDN1" s="45"/>
      <c r="EDS1" s="43"/>
      <c r="EDU1" s="45"/>
      <c r="EDV1" s="45"/>
      <c r="EEA1" s="43"/>
      <c r="EEC1" s="45"/>
      <c r="EED1" s="45"/>
      <c r="EEI1" s="43"/>
      <c r="EEK1" s="45"/>
      <c r="EEL1" s="45"/>
      <c r="EEQ1" s="43"/>
      <c r="EES1" s="45"/>
      <c r="EET1" s="45"/>
      <c r="EEY1" s="43"/>
      <c r="EFA1" s="45"/>
      <c r="EFB1" s="45"/>
      <c r="EFG1" s="43"/>
      <c r="EFI1" s="45"/>
      <c r="EFJ1" s="45"/>
      <c r="EFO1" s="43"/>
      <c r="EFQ1" s="45"/>
      <c r="EFR1" s="45"/>
      <c r="EFW1" s="43"/>
      <c r="EFY1" s="45"/>
      <c r="EFZ1" s="45"/>
      <c r="EGE1" s="43"/>
      <c r="EGG1" s="45"/>
      <c r="EGH1" s="45"/>
      <c r="EGM1" s="43"/>
      <c r="EGO1" s="45"/>
      <c r="EGP1" s="45"/>
      <c r="EGU1" s="43"/>
      <c r="EGW1" s="45"/>
      <c r="EGX1" s="45"/>
      <c r="EHC1" s="43"/>
      <c r="EHE1" s="45"/>
      <c r="EHF1" s="45"/>
      <c r="EHK1" s="43"/>
      <c r="EHM1" s="45"/>
      <c r="EHN1" s="45"/>
      <c r="EHS1" s="43"/>
      <c r="EHU1" s="45"/>
      <c r="EHV1" s="45"/>
      <c r="EIA1" s="43"/>
      <c r="EIC1" s="45"/>
      <c r="EID1" s="45"/>
      <c r="EII1" s="43"/>
      <c r="EIK1" s="45"/>
      <c r="EIL1" s="45"/>
      <c r="EIQ1" s="43"/>
      <c r="EIS1" s="45"/>
      <c r="EIT1" s="45"/>
      <c r="EIY1" s="43"/>
      <c r="EJA1" s="45"/>
      <c r="EJB1" s="45"/>
      <c r="EJG1" s="43"/>
      <c r="EJI1" s="45"/>
      <c r="EJJ1" s="45"/>
      <c r="EJO1" s="43"/>
      <c r="EJQ1" s="45"/>
      <c r="EJR1" s="45"/>
      <c r="EJW1" s="43"/>
      <c r="EJY1" s="45"/>
      <c r="EJZ1" s="45"/>
      <c r="EKE1" s="43"/>
      <c r="EKG1" s="45"/>
      <c r="EKH1" s="45"/>
      <c r="EKM1" s="43"/>
      <c r="EKO1" s="45"/>
      <c r="EKP1" s="45"/>
      <c r="EKU1" s="43"/>
      <c r="EKW1" s="45"/>
      <c r="EKX1" s="45"/>
      <c r="ELC1" s="43"/>
      <c r="ELE1" s="45"/>
      <c r="ELF1" s="45"/>
      <c r="ELK1" s="43"/>
      <c r="ELM1" s="45"/>
      <c r="ELN1" s="45"/>
      <c r="ELS1" s="43"/>
      <c r="ELU1" s="45"/>
      <c r="ELV1" s="45"/>
      <c r="EMA1" s="43"/>
      <c r="EMC1" s="45"/>
      <c r="EMD1" s="45"/>
      <c r="EMI1" s="43"/>
      <c r="EMK1" s="45"/>
      <c r="EML1" s="45"/>
      <c r="EMQ1" s="43"/>
      <c r="EMS1" s="45"/>
      <c r="EMT1" s="45"/>
      <c r="EMY1" s="43"/>
      <c r="ENA1" s="45"/>
      <c r="ENB1" s="45"/>
      <c r="ENG1" s="43"/>
      <c r="ENI1" s="45"/>
      <c r="ENJ1" s="45"/>
      <c r="ENO1" s="43"/>
      <c r="ENQ1" s="45"/>
      <c r="ENR1" s="45"/>
      <c r="ENW1" s="43"/>
      <c r="ENY1" s="45"/>
      <c r="ENZ1" s="45"/>
      <c r="EOE1" s="43"/>
      <c r="EOG1" s="45"/>
      <c r="EOH1" s="45"/>
      <c r="EOM1" s="43"/>
      <c r="EOO1" s="45"/>
      <c r="EOP1" s="45"/>
      <c r="EOU1" s="43"/>
      <c r="EOW1" s="45"/>
      <c r="EOX1" s="45"/>
      <c r="EPC1" s="43"/>
      <c r="EPE1" s="45"/>
      <c r="EPF1" s="45"/>
      <c r="EPK1" s="43"/>
      <c r="EPM1" s="45"/>
      <c r="EPN1" s="45"/>
      <c r="EPS1" s="43"/>
      <c r="EPU1" s="45"/>
      <c r="EPV1" s="45"/>
      <c r="EQA1" s="43"/>
      <c r="EQC1" s="45"/>
      <c r="EQD1" s="45"/>
      <c r="EQI1" s="43"/>
      <c r="EQK1" s="45"/>
      <c r="EQL1" s="45"/>
      <c r="EQQ1" s="43"/>
      <c r="EQS1" s="45"/>
      <c r="EQT1" s="45"/>
      <c r="EQY1" s="43"/>
      <c r="ERA1" s="45"/>
      <c r="ERB1" s="45"/>
      <c r="ERG1" s="43"/>
      <c r="ERI1" s="45"/>
      <c r="ERJ1" s="45"/>
      <c r="ERO1" s="43"/>
      <c r="ERQ1" s="45"/>
      <c r="ERR1" s="45"/>
      <c r="ERW1" s="43"/>
      <c r="ERY1" s="45"/>
      <c r="ERZ1" s="45"/>
      <c r="ESE1" s="43"/>
      <c r="ESG1" s="45"/>
      <c r="ESH1" s="45"/>
      <c r="ESM1" s="43"/>
      <c r="ESO1" s="45"/>
      <c r="ESP1" s="45"/>
      <c r="ESU1" s="43"/>
      <c r="ESW1" s="45"/>
      <c r="ESX1" s="45"/>
      <c r="ETC1" s="43"/>
      <c r="ETE1" s="45"/>
      <c r="ETF1" s="45"/>
      <c r="ETK1" s="43"/>
      <c r="ETM1" s="45"/>
      <c r="ETN1" s="45"/>
      <c r="ETS1" s="43"/>
      <c r="ETU1" s="45"/>
      <c r="ETV1" s="45"/>
      <c r="EUA1" s="43"/>
      <c r="EUC1" s="45"/>
      <c r="EUD1" s="45"/>
      <c r="EUI1" s="43"/>
      <c r="EUK1" s="45"/>
      <c r="EUL1" s="45"/>
      <c r="EUQ1" s="43"/>
      <c r="EUS1" s="45"/>
      <c r="EUT1" s="45"/>
      <c r="EUY1" s="43"/>
      <c r="EVA1" s="45"/>
      <c r="EVB1" s="45"/>
      <c r="EVG1" s="43"/>
      <c r="EVI1" s="45"/>
      <c r="EVJ1" s="45"/>
      <c r="EVO1" s="43"/>
      <c r="EVQ1" s="45"/>
      <c r="EVR1" s="45"/>
      <c r="EVW1" s="43"/>
      <c r="EVY1" s="45"/>
      <c r="EVZ1" s="45"/>
      <c r="EWE1" s="43"/>
      <c r="EWG1" s="45"/>
      <c r="EWH1" s="45"/>
      <c r="EWM1" s="43"/>
      <c r="EWO1" s="45"/>
      <c r="EWP1" s="45"/>
      <c r="EWU1" s="43"/>
      <c r="EWW1" s="45"/>
      <c r="EWX1" s="45"/>
      <c r="EXC1" s="43"/>
      <c r="EXE1" s="45"/>
      <c r="EXF1" s="45"/>
      <c r="EXK1" s="43"/>
      <c r="EXM1" s="45"/>
      <c r="EXN1" s="45"/>
      <c r="EXS1" s="43"/>
      <c r="EXU1" s="45"/>
      <c r="EXV1" s="45"/>
      <c r="EYA1" s="43"/>
      <c r="EYC1" s="45"/>
      <c r="EYD1" s="45"/>
      <c r="EYI1" s="43"/>
      <c r="EYK1" s="45"/>
      <c r="EYL1" s="45"/>
      <c r="EYQ1" s="43"/>
      <c r="EYS1" s="45"/>
      <c r="EYT1" s="45"/>
      <c r="EYY1" s="43"/>
      <c r="EZA1" s="45"/>
      <c r="EZB1" s="45"/>
      <c r="EZG1" s="43"/>
      <c r="EZI1" s="45"/>
      <c r="EZJ1" s="45"/>
      <c r="EZO1" s="43"/>
      <c r="EZQ1" s="45"/>
      <c r="EZR1" s="45"/>
      <c r="EZW1" s="43"/>
      <c r="EZY1" s="45"/>
      <c r="EZZ1" s="45"/>
      <c r="FAE1" s="43"/>
      <c r="FAG1" s="45"/>
      <c r="FAH1" s="45"/>
      <c r="FAM1" s="43"/>
      <c r="FAO1" s="45"/>
      <c r="FAP1" s="45"/>
      <c r="FAU1" s="43"/>
      <c r="FAW1" s="45"/>
      <c r="FAX1" s="45"/>
      <c r="FBC1" s="43"/>
      <c r="FBE1" s="45"/>
      <c r="FBF1" s="45"/>
      <c r="FBK1" s="43"/>
      <c r="FBM1" s="45"/>
      <c r="FBN1" s="45"/>
      <c r="FBS1" s="43"/>
      <c r="FBU1" s="45"/>
      <c r="FBV1" s="45"/>
      <c r="FCA1" s="43"/>
      <c r="FCC1" s="45"/>
      <c r="FCD1" s="45"/>
      <c r="FCI1" s="43"/>
      <c r="FCK1" s="45"/>
      <c r="FCL1" s="45"/>
      <c r="FCQ1" s="43"/>
      <c r="FCS1" s="45"/>
      <c r="FCT1" s="45"/>
      <c r="FCY1" s="43"/>
      <c r="FDA1" s="45"/>
      <c r="FDB1" s="45"/>
      <c r="FDG1" s="43"/>
      <c r="FDI1" s="45"/>
      <c r="FDJ1" s="45"/>
      <c r="FDO1" s="43"/>
      <c r="FDQ1" s="45"/>
      <c r="FDR1" s="45"/>
      <c r="FDW1" s="43"/>
      <c r="FDY1" s="45"/>
      <c r="FDZ1" s="45"/>
      <c r="FEE1" s="43"/>
      <c r="FEG1" s="45"/>
      <c r="FEH1" s="45"/>
      <c r="FEM1" s="43"/>
      <c r="FEO1" s="45"/>
      <c r="FEP1" s="45"/>
      <c r="FEU1" s="43"/>
      <c r="FEW1" s="45"/>
      <c r="FEX1" s="45"/>
      <c r="FFC1" s="43"/>
      <c r="FFE1" s="45"/>
      <c r="FFF1" s="45"/>
      <c r="FFK1" s="43"/>
      <c r="FFM1" s="45"/>
      <c r="FFN1" s="45"/>
      <c r="FFS1" s="43"/>
      <c r="FFU1" s="45"/>
      <c r="FFV1" s="45"/>
      <c r="FGA1" s="43"/>
      <c r="FGC1" s="45"/>
      <c r="FGD1" s="45"/>
      <c r="FGI1" s="43"/>
      <c r="FGK1" s="45"/>
      <c r="FGL1" s="45"/>
      <c r="FGQ1" s="43"/>
      <c r="FGS1" s="45"/>
      <c r="FGT1" s="45"/>
      <c r="FGY1" s="43"/>
      <c r="FHA1" s="45"/>
      <c r="FHB1" s="45"/>
      <c r="FHG1" s="43"/>
      <c r="FHI1" s="45"/>
      <c r="FHJ1" s="45"/>
      <c r="FHO1" s="43"/>
      <c r="FHQ1" s="45"/>
      <c r="FHR1" s="45"/>
      <c r="FHW1" s="43"/>
      <c r="FHY1" s="45"/>
      <c r="FHZ1" s="45"/>
      <c r="FIE1" s="43"/>
      <c r="FIG1" s="45"/>
      <c r="FIH1" s="45"/>
      <c r="FIM1" s="43"/>
      <c r="FIO1" s="45"/>
      <c r="FIP1" s="45"/>
      <c r="FIU1" s="43"/>
      <c r="FIW1" s="45"/>
      <c r="FIX1" s="45"/>
      <c r="FJC1" s="43"/>
      <c r="FJE1" s="45"/>
      <c r="FJF1" s="45"/>
      <c r="FJK1" s="43"/>
      <c r="FJM1" s="45"/>
      <c r="FJN1" s="45"/>
      <c r="FJS1" s="43"/>
      <c r="FJU1" s="45"/>
      <c r="FJV1" s="45"/>
      <c r="FKA1" s="43"/>
      <c r="FKC1" s="45"/>
      <c r="FKD1" s="45"/>
      <c r="FKI1" s="43"/>
      <c r="FKK1" s="45"/>
      <c r="FKL1" s="45"/>
      <c r="FKQ1" s="43"/>
      <c r="FKS1" s="45"/>
      <c r="FKT1" s="45"/>
      <c r="FKY1" s="43"/>
      <c r="FLA1" s="45"/>
      <c r="FLB1" s="45"/>
      <c r="FLG1" s="43"/>
      <c r="FLI1" s="45"/>
      <c r="FLJ1" s="45"/>
      <c r="FLO1" s="43"/>
      <c r="FLQ1" s="45"/>
      <c r="FLR1" s="45"/>
      <c r="FLW1" s="43"/>
      <c r="FLY1" s="45"/>
      <c r="FLZ1" s="45"/>
      <c r="FME1" s="43"/>
      <c r="FMG1" s="45"/>
      <c r="FMH1" s="45"/>
      <c r="FMM1" s="43"/>
      <c r="FMO1" s="45"/>
      <c r="FMP1" s="45"/>
      <c r="FMU1" s="43"/>
      <c r="FMW1" s="45"/>
      <c r="FMX1" s="45"/>
      <c r="FNC1" s="43"/>
      <c r="FNE1" s="45"/>
      <c r="FNF1" s="45"/>
      <c r="FNK1" s="43"/>
      <c r="FNM1" s="45"/>
      <c r="FNN1" s="45"/>
      <c r="FNS1" s="43"/>
      <c r="FNU1" s="45"/>
      <c r="FNV1" s="45"/>
      <c r="FOA1" s="43"/>
      <c r="FOC1" s="45"/>
      <c r="FOD1" s="45"/>
      <c r="FOI1" s="43"/>
      <c r="FOK1" s="45"/>
      <c r="FOL1" s="45"/>
      <c r="FOQ1" s="43"/>
      <c r="FOS1" s="45"/>
      <c r="FOT1" s="45"/>
      <c r="FOY1" s="43"/>
      <c r="FPA1" s="45"/>
      <c r="FPB1" s="45"/>
      <c r="FPG1" s="43"/>
      <c r="FPI1" s="45"/>
      <c r="FPJ1" s="45"/>
      <c r="FPO1" s="43"/>
      <c r="FPQ1" s="45"/>
      <c r="FPR1" s="45"/>
      <c r="FPW1" s="43"/>
      <c r="FPY1" s="45"/>
      <c r="FPZ1" s="45"/>
      <c r="FQE1" s="43"/>
      <c r="FQG1" s="45"/>
      <c r="FQH1" s="45"/>
      <c r="FQM1" s="43"/>
      <c r="FQO1" s="45"/>
      <c r="FQP1" s="45"/>
      <c r="FQU1" s="43"/>
      <c r="FQW1" s="45"/>
      <c r="FQX1" s="45"/>
      <c r="FRC1" s="43"/>
      <c r="FRE1" s="45"/>
      <c r="FRF1" s="45"/>
      <c r="FRK1" s="43"/>
      <c r="FRM1" s="45"/>
      <c r="FRN1" s="45"/>
      <c r="FRS1" s="43"/>
      <c r="FRU1" s="45"/>
      <c r="FRV1" s="45"/>
      <c r="FSA1" s="43"/>
      <c r="FSC1" s="45"/>
      <c r="FSD1" s="45"/>
      <c r="FSI1" s="43"/>
      <c r="FSK1" s="45"/>
      <c r="FSL1" s="45"/>
      <c r="FSQ1" s="43"/>
      <c r="FSS1" s="45"/>
      <c r="FST1" s="45"/>
      <c r="FSY1" s="43"/>
      <c r="FTA1" s="45"/>
      <c r="FTB1" s="45"/>
      <c r="FTG1" s="43"/>
      <c r="FTI1" s="45"/>
      <c r="FTJ1" s="45"/>
      <c r="FTO1" s="43"/>
      <c r="FTQ1" s="45"/>
      <c r="FTR1" s="45"/>
      <c r="FTW1" s="43"/>
      <c r="FTY1" s="45"/>
      <c r="FTZ1" s="45"/>
      <c r="FUE1" s="43"/>
      <c r="FUG1" s="45"/>
      <c r="FUH1" s="45"/>
      <c r="FUM1" s="43"/>
      <c r="FUO1" s="45"/>
      <c r="FUP1" s="45"/>
      <c r="FUU1" s="43"/>
      <c r="FUW1" s="45"/>
      <c r="FUX1" s="45"/>
      <c r="FVC1" s="43"/>
      <c r="FVE1" s="45"/>
      <c r="FVF1" s="45"/>
      <c r="FVK1" s="43"/>
      <c r="FVM1" s="45"/>
      <c r="FVN1" s="45"/>
      <c r="FVS1" s="43"/>
      <c r="FVU1" s="45"/>
      <c r="FVV1" s="45"/>
      <c r="FWA1" s="43"/>
      <c r="FWC1" s="45"/>
      <c r="FWD1" s="45"/>
      <c r="FWI1" s="43"/>
      <c r="FWK1" s="45"/>
      <c r="FWL1" s="45"/>
      <c r="FWQ1" s="43"/>
      <c r="FWS1" s="45"/>
      <c r="FWT1" s="45"/>
      <c r="FWY1" s="43"/>
      <c r="FXA1" s="45"/>
      <c r="FXB1" s="45"/>
      <c r="FXG1" s="43"/>
      <c r="FXI1" s="45"/>
      <c r="FXJ1" s="45"/>
      <c r="FXO1" s="43"/>
      <c r="FXQ1" s="45"/>
      <c r="FXR1" s="45"/>
      <c r="FXW1" s="43"/>
      <c r="FXY1" s="45"/>
      <c r="FXZ1" s="45"/>
      <c r="FYE1" s="43"/>
      <c r="FYG1" s="45"/>
      <c r="FYH1" s="45"/>
      <c r="FYM1" s="43"/>
      <c r="FYO1" s="45"/>
      <c r="FYP1" s="45"/>
      <c r="FYU1" s="43"/>
      <c r="FYW1" s="45"/>
      <c r="FYX1" s="45"/>
      <c r="FZC1" s="43"/>
      <c r="FZE1" s="45"/>
      <c r="FZF1" s="45"/>
      <c r="FZK1" s="43"/>
      <c r="FZM1" s="45"/>
      <c r="FZN1" s="45"/>
      <c r="FZS1" s="43"/>
      <c r="FZU1" s="45"/>
      <c r="FZV1" s="45"/>
      <c r="GAA1" s="43"/>
      <c r="GAC1" s="45"/>
      <c r="GAD1" s="45"/>
      <c r="GAI1" s="43"/>
      <c r="GAK1" s="45"/>
      <c r="GAL1" s="45"/>
      <c r="GAQ1" s="43"/>
      <c r="GAS1" s="45"/>
      <c r="GAT1" s="45"/>
      <c r="GAY1" s="43"/>
      <c r="GBA1" s="45"/>
      <c r="GBB1" s="45"/>
      <c r="GBG1" s="43"/>
      <c r="GBI1" s="45"/>
      <c r="GBJ1" s="45"/>
      <c r="GBO1" s="43"/>
      <c r="GBQ1" s="45"/>
      <c r="GBR1" s="45"/>
      <c r="GBW1" s="43"/>
      <c r="GBY1" s="45"/>
      <c r="GBZ1" s="45"/>
      <c r="GCE1" s="43"/>
      <c r="GCG1" s="45"/>
      <c r="GCH1" s="45"/>
      <c r="GCM1" s="43"/>
      <c r="GCO1" s="45"/>
      <c r="GCP1" s="45"/>
      <c r="GCU1" s="43"/>
      <c r="GCW1" s="45"/>
      <c r="GCX1" s="45"/>
      <c r="GDC1" s="43"/>
      <c r="GDE1" s="45"/>
      <c r="GDF1" s="45"/>
      <c r="GDK1" s="43"/>
      <c r="GDM1" s="45"/>
      <c r="GDN1" s="45"/>
      <c r="GDS1" s="43"/>
      <c r="GDU1" s="45"/>
      <c r="GDV1" s="45"/>
      <c r="GEA1" s="43"/>
      <c r="GEC1" s="45"/>
      <c r="GED1" s="45"/>
      <c r="GEI1" s="43"/>
      <c r="GEK1" s="45"/>
      <c r="GEL1" s="45"/>
      <c r="GEQ1" s="43"/>
      <c r="GES1" s="45"/>
      <c r="GET1" s="45"/>
      <c r="GEY1" s="43"/>
      <c r="GFA1" s="45"/>
      <c r="GFB1" s="45"/>
      <c r="GFG1" s="43"/>
      <c r="GFI1" s="45"/>
      <c r="GFJ1" s="45"/>
      <c r="GFO1" s="43"/>
      <c r="GFQ1" s="45"/>
      <c r="GFR1" s="45"/>
      <c r="GFW1" s="43"/>
      <c r="GFY1" s="45"/>
      <c r="GFZ1" s="45"/>
      <c r="GGE1" s="43"/>
      <c r="GGG1" s="45"/>
      <c r="GGH1" s="45"/>
      <c r="GGM1" s="43"/>
      <c r="GGO1" s="45"/>
      <c r="GGP1" s="45"/>
      <c r="GGU1" s="43"/>
      <c r="GGW1" s="45"/>
      <c r="GGX1" s="45"/>
      <c r="GHC1" s="43"/>
      <c r="GHE1" s="45"/>
      <c r="GHF1" s="45"/>
      <c r="GHK1" s="43"/>
      <c r="GHM1" s="45"/>
      <c r="GHN1" s="45"/>
      <c r="GHS1" s="43"/>
      <c r="GHU1" s="45"/>
      <c r="GHV1" s="45"/>
      <c r="GIA1" s="43"/>
      <c r="GIC1" s="45"/>
      <c r="GID1" s="45"/>
      <c r="GII1" s="43"/>
      <c r="GIK1" s="45"/>
      <c r="GIL1" s="45"/>
      <c r="GIQ1" s="43"/>
      <c r="GIS1" s="45"/>
      <c r="GIT1" s="45"/>
      <c r="GIY1" s="43"/>
      <c r="GJA1" s="45"/>
      <c r="GJB1" s="45"/>
      <c r="GJG1" s="43"/>
      <c r="GJI1" s="45"/>
      <c r="GJJ1" s="45"/>
      <c r="GJO1" s="43"/>
      <c r="GJQ1" s="45"/>
      <c r="GJR1" s="45"/>
      <c r="GJW1" s="43"/>
      <c r="GJY1" s="45"/>
      <c r="GJZ1" s="45"/>
      <c r="GKE1" s="43"/>
      <c r="GKG1" s="45"/>
      <c r="GKH1" s="45"/>
      <c r="GKM1" s="43"/>
      <c r="GKO1" s="45"/>
      <c r="GKP1" s="45"/>
      <c r="GKU1" s="43"/>
      <c r="GKW1" s="45"/>
      <c r="GKX1" s="45"/>
      <c r="GLC1" s="43"/>
      <c r="GLE1" s="45"/>
      <c r="GLF1" s="45"/>
      <c r="GLK1" s="43"/>
      <c r="GLM1" s="45"/>
      <c r="GLN1" s="45"/>
      <c r="GLS1" s="43"/>
      <c r="GLU1" s="45"/>
      <c r="GLV1" s="45"/>
      <c r="GMA1" s="43"/>
      <c r="GMC1" s="45"/>
      <c r="GMD1" s="45"/>
      <c r="GMI1" s="43"/>
      <c r="GMK1" s="45"/>
      <c r="GML1" s="45"/>
      <c r="GMQ1" s="43"/>
      <c r="GMS1" s="45"/>
      <c r="GMT1" s="45"/>
      <c r="GMY1" s="43"/>
      <c r="GNA1" s="45"/>
      <c r="GNB1" s="45"/>
      <c r="GNG1" s="43"/>
      <c r="GNI1" s="45"/>
      <c r="GNJ1" s="45"/>
      <c r="GNO1" s="43"/>
      <c r="GNQ1" s="45"/>
      <c r="GNR1" s="45"/>
      <c r="GNW1" s="43"/>
      <c r="GNY1" s="45"/>
      <c r="GNZ1" s="45"/>
      <c r="GOE1" s="43"/>
      <c r="GOG1" s="45"/>
      <c r="GOH1" s="45"/>
      <c r="GOM1" s="43"/>
      <c r="GOO1" s="45"/>
      <c r="GOP1" s="45"/>
      <c r="GOU1" s="43"/>
      <c r="GOW1" s="45"/>
      <c r="GOX1" s="45"/>
      <c r="GPC1" s="43"/>
      <c r="GPE1" s="45"/>
      <c r="GPF1" s="45"/>
      <c r="GPK1" s="43"/>
      <c r="GPM1" s="45"/>
      <c r="GPN1" s="45"/>
      <c r="GPS1" s="43"/>
      <c r="GPU1" s="45"/>
      <c r="GPV1" s="45"/>
      <c r="GQA1" s="43"/>
      <c r="GQC1" s="45"/>
      <c r="GQD1" s="45"/>
      <c r="GQI1" s="43"/>
      <c r="GQK1" s="45"/>
      <c r="GQL1" s="45"/>
      <c r="GQQ1" s="43"/>
      <c r="GQS1" s="45"/>
      <c r="GQT1" s="45"/>
      <c r="GQY1" s="43"/>
      <c r="GRA1" s="45"/>
      <c r="GRB1" s="45"/>
      <c r="GRG1" s="43"/>
      <c r="GRI1" s="45"/>
      <c r="GRJ1" s="45"/>
      <c r="GRO1" s="43"/>
      <c r="GRQ1" s="45"/>
      <c r="GRR1" s="45"/>
      <c r="GRW1" s="43"/>
      <c r="GRY1" s="45"/>
      <c r="GRZ1" s="45"/>
      <c r="GSE1" s="43"/>
      <c r="GSG1" s="45"/>
      <c r="GSH1" s="45"/>
      <c r="GSM1" s="43"/>
      <c r="GSO1" s="45"/>
      <c r="GSP1" s="45"/>
      <c r="GSU1" s="43"/>
      <c r="GSW1" s="45"/>
      <c r="GSX1" s="45"/>
      <c r="GTC1" s="43"/>
      <c r="GTE1" s="45"/>
      <c r="GTF1" s="45"/>
      <c r="GTK1" s="43"/>
      <c r="GTM1" s="45"/>
      <c r="GTN1" s="45"/>
      <c r="GTS1" s="43"/>
      <c r="GTU1" s="45"/>
      <c r="GTV1" s="45"/>
      <c r="GUA1" s="43"/>
      <c r="GUC1" s="45"/>
      <c r="GUD1" s="45"/>
      <c r="GUI1" s="43"/>
      <c r="GUK1" s="45"/>
      <c r="GUL1" s="45"/>
      <c r="GUQ1" s="43"/>
      <c r="GUS1" s="45"/>
      <c r="GUT1" s="45"/>
      <c r="GUY1" s="43"/>
      <c r="GVA1" s="45"/>
      <c r="GVB1" s="45"/>
      <c r="GVG1" s="43"/>
      <c r="GVI1" s="45"/>
      <c r="GVJ1" s="45"/>
      <c r="GVO1" s="43"/>
      <c r="GVQ1" s="45"/>
      <c r="GVR1" s="45"/>
      <c r="GVW1" s="43"/>
      <c r="GVY1" s="45"/>
      <c r="GVZ1" s="45"/>
      <c r="GWE1" s="43"/>
      <c r="GWG1" s="45"/>
      <c r="GWH1" s="45"/>
      <c r="GWM1" s="43"/>
      <c r="GWO1" s="45"/>
      <c r="GWP1" s="45"/>
      <c r="GWU1" s="43"/>
      <c r="GWW1" s="45"/>
      <c r="GWX1" s="45"/>
      <c r="GXC1" s="43"/>
      <c r="GXE1" s="45"/>
      <c r="GXF1" s="45"/>
      <c r="GXK1" s="43"/>
      <c r="GXM1" s="45"/>
      <c r="GXN1" s="45"/>
      <c r="GXS1" s="43"/>
      <c r="GXU1" s="45"/>
      <c r="GXV1" s="45"/>
      <c r="GYA1" s="43"/>
      <c r="GYC1" s="45"/>
      <c r="GYD1" s="45"/>
      <c r="GYI1" s="43"/>
      <c r="GYK1" s="45"/>
      <c r="GYL1" s="45"/>
      <c r="GYQ1" s="43"/>
      <c r="GYS1" s="45"/>
      <c r="GYT1" s="45"/>
      <c r="GYY1" s="43"/>
      <c r="GZA1" s="45"/>
      <c r="GZB1" s="45"/>
      <c r="GZG1" s="43"/>
      <c r="GZI1" s="45"/>
      <c r="GZJ1" s="45"/>
      <c r="GZO1" s="43"/>
      <c r="GZQ1" s="45"/>
      <c r="GZR1" s="45"/>
      <c r="GZW1" s="43"/>
      <c r="GZY1" s="45"/>
      <c r="GZZ1" s="45"/>
      <c r="HAE1" s="43"/>
      <c r="HAG1" s="45"/>
      <c r="HAH1" s="45"/>
      <c r="HAM1" s="43"/>
      <c r="HAO1" s="45"/>
      <c r="HAP1" s="45"/>
      <c r="HAU1" s="43"/>
      <c r="HAW1" s="45"/>
      <c r="HAX1" s="45"/>
      <c r="HBC1" s="43"/>
      <c r="HBE1" s="45"/>
      <c r="HBF1" s="45"/>
      <c r="HBK1" s="43"/>
      <c r="HBM1" s="45"/>
      <c r="HBN1" s="45"/>
      <c r="HBS1" s="43"/>
      <c r="HBU1" s="45"/>
      <c r="HBV1" s="45"/>
      <c r="HCA1" s="43"/>
      <c r="HCC1" s="45"/>
      <c r="HCD1" s="45"/>
      <c r="HCI1" s="43"/>
      <c r="HCK1" s="45"/>
      <c r="HCL1" s="45"/>
      <c r="HCQ1" s="43"/>
      <c r="HCS1" s="45"/>
      <c r="HCT1" s="45"/>
      <c r="HCY1" s="43"/>
      <c r="HDA1" s="45"/>
      <c r="HDB1" s="45"/>
      <c r="HDG1" s="43"/>
      <c r="HDI1" s="45"/>
      <c r="HDJ1" s="45"/>
      <c r="HDO1" s="43"/>
      <c r="HDQ1" s="45"/>
      <c r="HDR1" s="45"/>
      <c r="HDW1" s="43"/>
      <c r="HDY1" s="45"/>
      <c r="HDZ1" s="45"/>
      <c r="HEE1" s="43"/>
      <c r="HEG1" s="45"/>
      <c r="HEH1" s="45"/>
      <c r="HEM1" s="43"/>
      <c r="HEO1" s="45"/>
      <c r="HEP1" s="45"/>
      <c r="HEU1" s="43"/>
      <c r="HEW1" s="45"/>
      <c r="HEX1" s="45"/>
      <c r="HFC1" s="43"/>
      <c r="HFE1" s="45"/>
      <c r="HFF1" s="45"/>
      <c r="HFK1" s="43"/>
      <c r="HFM1" s="45"/>
      <c r="HFN1" s="45"/>
      <c r="HFS1" s="43"/>
      <c r="HFU1" s="45"/>
      <c r="HFV1" s="45"/>
      <c r="HGA1" s="43"/>
      <c r="HGC1" s="45"/>
      <c r="HGD1" s="45"/>
      <c r="HGI1" s="43"/>
      <c r="HGK1" s="45"/>
      <c r="HGL1" s="45"/>
      <c r="HGQ1" s="43"/>
      <c r="HGS1" s="45"/>
      <c r="HGT1" s="45"/>
      <c r="HGY1" s="43"/>
      <c r="HHA1" s="45"/>
      <c r="HHB1" s="45"/>
      <c r="HHG1" s="43"/>
      <c r="HHI1" s="45"/>
      <c r="HHJ1" s="45"/>
      <c r="HHO1" s="43"/>
      <c r="HHQ1" s="45"/>
      <c r="HHR1" s="45"/>
      <c r="HHW1" s="43"/>
      <c r="HHY1" s="45"/>
      <c r="HHZ1" s="45"/>
      <c r="HIE1" s="43"/>
      <c r="HIG1" s="45"/>
      <c r="HIH1" s="45"/>
      <c r="HIM1" s="43"/>
      <c r="HIO1" s="45"/>
      <c r="HIP1" s="45"/>
      <c r="HIU1" s="43"/>
      <c r="HIW1" s="45"/>
      <c r="HIX1" s="45"/>
      <c r="HJC1" s="43"/>
      <c r="HJE1" s="45"/>
      <c r="HJF1" s="45"/>
      <c r="HJK1" s="43"/>
      <c r="HJM1" s="45"/>
      <c r="HJN1" s="45"/>
      <c r="HJS1" s="43"/>
      <c r="HJU1" s="45"/>
      <c r="HJV1" s="45"/>
      <c r="HKA1" s="43"/>
      <c r="HKC1" s="45"/>
      <c r="HKD1" s="45"/>
      <c r="HKI1" s="43"/>
      <c r="HKK1" s="45"/>
      <c r="HKL1" s="45"/>
      <c r="HKQ1" s="43"/>
      <c r="HKS1" s="45"/>
      <c r="HKT1" s="45"/>
      <c r="HKY1" s="43"/>
      <c r="HLA1" s="45"/>
      <c r="HLB1" s="45"/>
      <c r="HLG1" s="43"/>
      <c r="HLI1" s="45"/>
      <c r="HLJ1" s="45"/>
      <c r="HLO1" s="43"/>
      <c r="HLQ1" s="45"/>
      <c r="HLR1" s="45"/>
      <c r="HLW1" s="43"/>
      <c r="HLY1" s="45"/>
      <c r="HLZ1" s="45"/>
      <c r="HME1" s="43"/>
      <c r="HMG1" s="45"/>
      <c r="HMH1" s="45"/>
      <c r="HMM1" s="43"/>
      <c r="HMO1" s="45"/>
      <c r="HMP1" s="45"/>
      <c r="HMU1" s="43"/>
      <c r="HMW1" s="45"/>
      <c r="HMX1" s="45"/>
      <c r="HNC1" s="43"/>
      <c r="HNE1" s="45"/>
      <c r="HNF1" s="45"/>
      <c r="HNK1" s="43"/>
      <c r="HNM1" s="45"/>
      <c r="HNN1" s="45"/>
      <c r="HNS1" s="43"/>
      <c r="HNU1" s="45"/>
      <c r="HNV1" s="45"/>
      <c r="HOA1" s="43"/>
      <c r="HOC1" s="45"/>
      <c r="HOD1" s="45"/>
      <c r="HOI1" s="43"/>
      <c r="HOK1" s="45"/>
      <c r="HOL1" s="45"/>
      <c r="HOQ1" s="43"/>
      <c r="HOS1" s="45"/>
      <c r="HOT1" s="45"/>
      <c r="HOY1" s="43"/>
      <c r="HPA1" s="45"/>
      <c r="HPB1" s="45"/>
      <c r="HPG1" s="43"/>
      <c r="HPI1" s="45"/>
      <c r="HPJ1" s="45"/>
      <c r="HPO1" s="43"/>
      <c r="HPQ1" s="45"/>
      <c r="HPR1" s="45"/>
      <c r="HPW1" s="43"/>
      <c r="HPY1" s="45"/>
      <c r="HPZ1" s="45"/>
      <c r="HQE1" s="43"/>
      <c r="HQG1" s="45"/>
      <c r="HQH1" s="45"/>
      <c r="HQM1" s="43"/>
      <c r="HQO1" s="45"/>
      <c r="HQP1" s="45"/>
      <c r="HQU1" s="43"/>
      <c r="HQW1" s="45"/>
      <c r="HQX1" s="45"/>
      <c r="HRC1" s="43"/>
      <c r="HRE1" s="45"/>
      <c r="HRF1" s="45"/>
      <c r="HRK1" s="43"/>
      <c r="HRM1" s="45"/>
      <c r="HRN1" s="45"/>
      <c r="HRS1" s="43"/>
      <c r="HRU1" s="45"/>
      <c r="HRV1" s="45"/>
      <c r="HSA1" s="43"/>
      <c r="HSC1" s="45"/>
      <c r="HSD1" s="45"/>
      <c r="HSI1" s="43"/>
      <c r="HSK1" s="45"/>
      <c r="HSL1" s="45"/>
      <c r="HSQ1" s="43"/>
      <c r="HSS1" s="45"/>
      <c r="HST1" s="45"/>
      <c r="HSY1" s="43"/>
      <c r="HTA1" s="45"/>
      <c r="HTB1" s="45"/>
      <c r="HTG1" s="43"/>
      <c r="HTI1" s="45"/>
      <c r="HTJ1" s="45"/>
      <c r="HTO1" s="43"/>
      <c r="HTQ1" s="45"/>
      <c r="HTR1" s="45"/>
      <c r="HTW1" s="43"/>
      <c r="HTY1" s="45"/>
      <c r="HTZ1" s="45"/>
      <c r="HUE1" s="43"/>
      <c r="HUG1" s="45"/>
      <c r="HUH1" s="45"/>
      <c r="HUM1" s="43"/>
      <c r="HUO1" s="45"/>
      <c r="HUP1" s="45"/>
      <c r="HUU1" s="43"/>
      <c r="HUW1" s="45"/>
      <c r="HUX1" s="45"/>
      <c r="HVC1" s="43"/>
      <c r="HVE1" s="45"/>
      <c r="HVF1" s="45"/>
      <c r="HVK1" s="43"/>
      <c r="HVM1" s="45"/>
      <c r="HVN1" s="45"/>
      <c r="HVS1" s="43"/>
      <c r="HVU1" s="45"/>
      <c r="HVV1" s="45"/>
      <c r="HWA1" s="43"/>
      <c r="HWC1" s="45"/>
      <c r="HWD1" s="45"/>
      <c r="HWI1" s="43"/>
      <c r="HWK1" s="45"/>
      <c r="HWL1" s="45"/>
      <c r="HWQ1" s="43"/>
      <c r="HWS1" s="45"/>
      <c r="HWT1" s="45"/>
      <c r="HWY1" s="43"/>
      <c r="HXA1" s="45"/>
      <c r="HXB1" s="45"/>
      <c r="HXG1" s="43"/>
      <c r="HXI1" s="45"/>
      <c r="HXJ1" s="45"/>
      <c r="HXO1" s="43"/>
      <c r="HXQ1" s="45"/>
      <c r="HXR1" s="45"/>
      <c r="HXW1" s="43"/>
      <c r="HXY1" s="45"/>
      <c r="HXZ1" s="45"/>
      <c r="HYE1" s="43"/>
      <c r="HYG1" s="45"/>
      <c r="HYH1" s="45"/>
      <c r="HYM1" s="43"/>
      <c r="HYO1" s="45"/>
      <c r="HYP1" s="45"/>
      <c r="HYU1" s="43"/>
      <c r="HYW1" s="45"/>
      <c r="HYX1" s="45"/>
      <c r="HZC1" s="43"/>
      <c r="HZE1" s="45"/>
      <c r="HZF1" s="45"/>
      <c r="HZK1" s="43"/>
      <c r="HZM1" s="45"/>
      <c r="HZN1" s="45"/>
      <c r="HZS1" s="43"/>
      <c r="HZU1" s="45"/>
      <c r="HZV1" s="45"/>
      <c r="IAA1" s="43"/>
      <c r="IAC1" s="45"/>
      <c r="IAD1" s="45"/>
      <c r="IAI1" s="43"/>
      <c r="IAK1" s="45"/>
      <c r="IAL1" s="45"/>
      <c r="IAQ1" s="43"/>
      <c r="IAS1" s="45"/>
      <c r="IAT1" s="45"/>
      <c r="IAY1" s="43"/>
      <c r="IBA1" s="45"/>
      <c r="IBB1" s="45"/>
      <c r="IBG1" s="43"/>
      <c r="IBI1" s="45"/>
      <c r="IBJ1" s="45"/>
      <c r="IBO1" s="43"/>
      <c r="IBQ1" s="45"/>
      <c r="IBR1" s="45"/>
      <c r="IBW1" s="43"/>
      <c r="IBY1" s="45"/>
      <c r="IBZ1" s="45"/>
      <c r="ICE1" s="43"/>
      <c r="ICG1" s="45"/>
      <c r="ICH1" s="45"/>
      <c r="ICM1" s="43"/>
      <c r="ICO1" s="45"/>
      <c r="ICP1" s="45"/>
      <c r="ICU1" s="43"/>
      <c r="ICW1" s="45"/>
      <c r="ICX1" s="45"/>
      <c r="IDC1" s="43"/>
      <c r="IDE1" s="45"/>
      <c r="IDF1" s="45"/>
      <c r="IDK1" s="43"/>
      <c r="IDM1" s="45"/>
      <c r="IDN1" s="45"/>
      <c r="IDS1" s="43"/>
      <c r="IDU1" s="45"/>
      <c r="IDV1" s="45"/>
      <c r="IEA1" s="43"/>
      <c r="IEC1" s="45"/>
      <c r="IED1" s="45"/>
      <c r="IEI1" s="43"/>
      <c r="IEK1" s="45"/>
      <c r="IEL1" s="45"/>
      <c r="IEQ1" s="43"/>
      <c r="IES1" s="45"/>
      <c r="IET1" s="45"/>
      <c r="IEY1" s="43"/>
      <c r="IFA1" s="45"/>
      <c r="IFB1" s="45"/>
      <c r="IFG1" s="43"/>
      <c r="IFI1" s="45"/>
      <c r="IFJ1" s="45"/>
      <c r="IFO1" s="43"/>
      <c r="IFQ1" s="45"/>
      <c r="IFR1" s="45"/>
      <c r="IFW1" s="43"/>
      <c r="IFY1" s="45"/>
      <c r="IFZ1" s="45"/>
      <c r="IGE1" s="43"/>
      <c r="IGG1" s="45"/>
      <c r="IGH1" s="45"/>
      <c r="IGM1" s="43"/>
      <c r="IGO1" s="45"/>
      <c r="IGP1" s="45"/>
      <c r="IGU1" s="43"/>
      <c r="IGW1" s="45"/>
      <c r="IGX1" s="45"/>
      <c r="IHC1" s="43"/>
      <c r="IHE1" s="45"/>
      <c r="IHF1" s="45"/>
      <c r="IHK1" s="43"/>
      <c r="IHM1" s="45"/>
      <c r="IHN1" s="45"/>
      <c r="IHS1" s="43"/>
      <c r="IHU1" s="45"/>
      <c r="IHV1" s="45"/>
      <c r="IIA1" s="43"/>
      <c r="IIC1" s="45"/>
      <c r="IID1" s="45"/>
      <c r="III1" s="43"/>
      <c r="IIK1" s="45"/>
      <c r="IIL1" s="45"/>
      <c r="IIQ1" s="43"/>
      <c r="IIS1" s="45"/>
      <c r="IIT1" s="45"/>
      <c r="IIY1" s="43"/>
      <c r="IJA1" s="45"/>
      <c r="IJB1" s="45"/>
      <c r="IJG1" s="43"/>
      <c r="IJI1" s="45"/>
      <c r="IJJ1" s="45"/>
      <c r="IJO1" s="43"/>
      <c r="IJQ1" s="45"/>
      <c r="IJR1" s="45"/>
      <c r="IJW1" s="43"/>
      <c r="IJY1" s="45"/>
      <c r="IJZ1" s="45"/>
      <c r="IKE1" s="43"/>
      <c r="IKG1" s="45"/>
      <c r="IKH1" s="45"/>
      <c r="IKM1" s="43"/>
      <c r="IKO1" s="45"/>
      <c r="IKP1" s="45"/>
      <c r="IKU1" s="43"/>
      <c r="IKW1" s="45"/>
      <c r="IKX1" s="45"/>
      <c r="ILC1" s="43"/>
      <c r="ILE1" s="45"/>
      <c r="ILF1" s="45"/>
      <c r="ILK1" s="43"/>
      <c r="ILM1" s="45"/>
      <c r="ILN1" s="45"/>
      <c r="ILS1" s="43"/>
      <c r="ILU1" s="45"/>
      <c r="ILV1" s="45"/>
      <c r="IMA1" s="43"/>
      <c r="IMC1" s="45"/>
      <c r="IMD1" s="45"/>
      <c r="IMI1" s="43"/>
      <c r="IMK1" s="45"/>
      <c r="IML1" s="45"/>
      <c r="IMQ1" s="43"/>
      <c r="IMS1" s="45"/>
      <c r="IMT1" s="45"/>
      <c r="IMY1" s="43"/>
      <c r="INA1" s="45"/>
      <c r="INB1" s="45"/>
      <c r="ING1" s="43"/>
      <c r="INI1" s="45"/>
      <c r="INJ1" s="45"/>
      <c r="INO1" s="43"/>
      <c r="INQ1" s="45"/>
      <c r="INR1" s="45"/>
      <c r="INW1" s="43"/>
      <c r="INY1" s="45"/>
      <c r="INZ1" s="45"/>
      <c r="IOE1" s="43"/>
      <c r="IOG1" s="45"/>
      <c r="IOH1" s="45"/>
      <c r="IOM1" s="43"/>
      <c r="IOO1" s="45"/>
      <c r="IOP1" s="45"/>
      <c r="IOU1" s="43"/>
      <c r="IOW1" s="45"/>
      <c r="IOX1" s="45"/>
      <c r="IPC1" s="43"/>
      <c r="IPE1" s="45"/>
      <c r="IPF1" s="45"/>
      <c r="IPK1" s="43"/>
      <c r="IPM1" s="45"/>
      <c r="IPN1" s="45"/>
      <c r="IPS1" s="43"/>
      <c r="IPU1" s="45"/>
      <c r="IPV1" s="45"/>
      <c r="IQA1" s="43"/>
      <c r="IQC1" s="45"/>
      <c r="IQD1" s="45"/>
      <c r="IQI1" s="43"/>
      <c r="IQK1" s="45"/>
      <c r="IQL1" s="45"/>
      <c r="IQQ1" s="43"/>
      <c r="IQS1" s="45"/>
      <c r="IQT1" s="45"/>
      <c r="IQY1" s="43"/>
      <c r="IRA1" s="45"/>
      <c r="IRB1" s="45"/>
      <c r="IRG1" s="43"/>
      <c r="IRI1" s="45"/>
      <c r="IRJ1" s="45"/>
      <c r="IRO1" s="43"/>
      <c r="IRQ1" s="45"/>
      <c r="IRR1" s="45"/>
      <c r="IRW1" s="43"/>
      <c r="IRY1" s="45"/>
      <c r="IRZ1" s="45"/>
      <c r="ISE1" s="43"/>
      <c r="ISG1" s="45"/>
      <c r="ISH1" s="45"/>
      <c r="ISM1" s="43"/>
      <c r="ISO1" s="45"/>
      <c r="ISP1" s="45"/>
      <c r="ISU1" s="43"/>
      <c r="ISW1" s="45"/>
      <c r="ISX1" s="45"/>
      <c r="ITC1" s="43"/>
      <c r="ITE1" s="45"/>
      <c r="ITF1" s="45"/>
      <c r="ITK1" s="43"/>
      <c r="ITM1" s="45"/>
      <c r="ITN1" s="45"/>
      <c r="ITS1" s="43"/>
      <c r="ITU1" s="45"/>
      <c r="ITV1" s="45"/>
      <c r="IUA1" s="43"/>
      <c r="IUC1" s="45"/>
      <c r="IUD1" s="45"/>
      <c r="IUI1" s="43"/>
      <c r="IUK1" s="45"/>
      <c r="IUL1" s="45"/>
      <c r="IUQ1" s="43"/>
      <c r="IUS1" s="45"/>
      <c r="IUT1" s="45"/>
      <c r="IUY1" s="43"/>
      <c r="IVA1" s="45"/>
      <c r="IVB1" s="45"/>
      <c r="IVG1" s="43"/>
      <c r="IVI1" s="45"/>
      <c r="IVJ1" s="45"/>
      <c r="IVO1" s="43"/>
      <c r="IVQ1" s="45"/>
      <c r="IVR1" s="45"/>
      <c r="IVW1" s="43"/>
      <c r="IVY1" s="45"/>
      <c r="IVZ1" s="45"/>
      <c r="IWE1" s="43"/>
      <c r="IWG1" s="45"/>
      <c r="IWH1" s="45"/>
      <c r="IWM1" s="43"/>
      <c r="IWO1" s="45"/>
      <c r="IWP1" s="45"/>
      <c r="IWU1" s="43"/>
      <c r="IWW1" s="45"/>
      <c r="IWX1" s="45"/>
      <c r="IXC1" s="43"/>
      <c r="IXE1" s="45"/>
      <c r="IXF1" s="45"/>
      <c r="IXK1" s="43"/>
      <c r="IXM1" s="45"/>
      <c r="IXN1" s="45"/>
      <c r="IXS1" s="43"/>
      <c r="IXU1" s="45"/>
      <c r="IXV1" s="45"/>
      <c r="IYA1" s="43"/>
      <c r="IYC1" s="45"/>
      <c r="IYD1" s="45"/>
      <c r="IYI1" s="43"/>
      <c r="IYK1" s="45"/>
      <c r="IYL1" s="45"/>
      <c r="IYQ1" s="43"/>
      <c r="IYS1" s="45"/>
      <c r="IYT1" s="45"/>
      <c r="IYY1" s="43"/>
      <c r="IZA1" s="45"/>
      <c r="IZB1" s="45"/>
      <c r="IZG1" s="43"/>
      <c r="IZI1" s="45"/>
      <c r="IZJ1" s="45"/>
      <c r="IZO1" s="43"/>
      <c r="IZQ1" s="45"/>
      <c r="IZR1" s="45"/>
      <c r="IZW1" s="43"/>
      <c r="IZY1" s="45"/>
      <c r="IZZ1" s="45"/>
      <c r="JAE1" s="43"/>
      <c r="JAG1" s="45"/>
      <c r="JAH1" s="45"/>
      <c r="JAM1" s="43"/>
      <c r="JAO1" s="45"/>
      <c r="JAP1" s="45"/>
      <c r="JAU1" s="43"/>
      <c r="JAW1" s="45"/>
      <c r="JAX1" s="45"/>
      <c r="JBC1" s="43"/>
      <c r="JBE1" s="45"/>
      <c r="JBF1" s="45"/>
      <c r="JBK1" s="43"/>
      <c r="JBM1" s="45"/>
      <c r="JBN1" s="45"/>
      <c r="JBS1" s="43"/>
      <c r="JBU1" s="45"/>
      <c r="JBV1" s="45"/>
      <c r="JCA1" s="43"/>
      <c r="JCC1" s="45"/>
      <c r="JCD1" s="45"/>
      <c r="JCI1" s="43"/>
      <c r="JCK1" s="45"/>
      <c r="JCL1" s="45"/>
      <c r="JCQ1" s="43"/>
      <c r="JCS1" s="45"/>
      <c r="JCT1" s="45"/>
      <c r="JCY1" s="43"/>
      <c r="JDA1" s="45"/>
      <c r="JDB1" s="45"/>
      <c r="JDG1" s="43"/>
      <c r="JDI1" s="45"/>
      <c r="JDJ1" s="45"/>
      <c r="JDO1" s="43"/>
      <c r="JDQ1" s="45"/>
      <c r="JDR1" s="45"/>
      <c r="JDW1" s="43"/>
      <c r="JDY1" s="45"/>
      <c r="JDZ1" s="45"/>
      <c r="JEE1" s="43"/>
      <c r="JEG1" s="45"/>
      <c r="JEH1" s="45"/>
      <c r="JEM1" s="43"/>
      <c r="JEO1" s="45"/>
      <c r="JEP1" s="45"/>
      <c r="JEU1" s="43"/>
      <c r="JEW1" s="45"/>
      <c r="JEX1" s="45"/>
      <c r="JFC1" s="43"/>
      <c r="JFE1" s="45"/>
      <c r="JFF1" s="45"/>
      <c r="JFK1" s="43"/>
      <c r="JFM1" s="45"/>
      <c r="JFN1" s="45"/>
      <c r="JFS1" s="43"/>
      <c r="JFU1" s="45"/>
      <c r="JFV1" s="45"/>
      <c r="JGA1" s="43"/>
      <c r="JGC1" s="45"/>
      <c r="JGD1" s="45"/>
      <c r="JGI1" s="43"/>
      <c r="JGK1" s="45"/>
      <c r="JGL1" s="45"/>
      <c r="JGQ1" s="43"/>
      <c r="JGS1" s="45"/>
      <c r="JGT1" s="45"/>
      <c r="JGY1" s="43"/>
      <c r="JHA1" s="45"/>
      <c r="JHB1" s="45"/>
      <c r="JHG1" s="43"/>
      <c r="JHI1" s="45"/>
      <c r="JHJ1" s="45"/>
      <c r="JHO1" s="43"/>
      <c r="JHQ1" s="45"/>
      <c r="JHR1" s="45"/>
      <c r="JHW1" s="43"/>
      <c r="JHY1" s="45"/>
      <c r="JHZ1" s="45"/>
      <c r="JIE1" s="43"/>
      <c r="JIG1" s="45"/>
      <c r="JIH1" s="45"/>
      <c r="JIM1" s="43"/>
      <c r="JIO1" s="45"/>
      <c r="JIP1" s="45"/>
      <c r="JIU1" s="43"/>
      <c r="JIW1" s="45"/>
      <c r="JIX1" s="45"/>
      <c r="JJC1" s="43"/>
      <c r="JJE1" s="45"/>
      <c r="JJF1" s="45"/>
      <c r="JJK1" s="43"/>
      <c r="JJM1" s="45"/>
      <c r="JJN1" s="45"/>
      <c r="JJS1" s="43"/>
      <c r="JJU1" s="45"/>
      <c r="JJV1" s="45"/>
      <c r="JKA1" s="43"/>
      <c r="JKC1" s="45"/>
      <c r="JKD1" s="45"/>
      <c r="JKI1" s="43"/>
      <c r="JKK1" s="45"/>
      <c r="JKL1" s="45"/>
      <c r="JKQ1" s="43"/>
      <c r="JKS1" s="45"/>
      <c r="JKT1" s="45"/>
      <c r="JKY1" s="43"/>
      <c r="JLA1" s="45"/>
      <c r="JLB1" s="45"/>
      <c r="JLG1" s="43"/>
      <c r="JLI1" s="45"/>
      <c r="JLJ1" s="45"/>
      <c r="JLO1" s="43"/>
      <c r="JLQ1" s="45"/>
      <c r="JLR1" s="45"/>
      <c r="JLW1" s="43"/>
      <c r="JLY1" s="45"/>
      <c r="JLZ1" s="45"/>
      <c r="JME1" s="43"/>
      <c r="JMG1" s="45"/>
      <c r="JMH1" s="45"/>
      <c r="JMM1" s="43"/>
      <c r="JMO1" s="45"/>
      <c r="JMP1" s="45"/>
      <c r="JMU1" s="43"/>
      <c r="JMW1" s="45"/>
      <c r="JMX1" s="45"/>
      <c r="JNC1" s="43"/>
      <c r="JNE1" s="45"/>
      <c r="JNF1" s="45"/>
      <c r="JNK1" s="43"/>
      <c r="JNM1" s="45"/>
      <c r="JNN1" s="45"/>
      <c r="JNS1" s="43"/>
      <c r="JNU1" s="45"/>
      <c r="JNV1" s="45"/>
      <c r="JOA1" s="43"/>
      <c r="JOC1" s="45"/>
      <c r="JOD1" s="45"/>
      <c r="JOI1" s="43"/>
      <c r="JOK1" s="45"/>
      <c r="JOL1" s="45"/>
      <c r="JOQ1" s="43"/>
      <c r="JOS1" s="45"/>
      <c r="JOT1" s="45"/>
      <c r="JOY1" s="43"/>
      <c r="JPA1" s="45"/>
      <c r="JPB1" s="45"/>
      <c r="JPG1" s="43"/>
      <c r="JPI1" s="45"/>
      <c r="JPJ1" s="45"/>
      <c r="JPO1" s="43"/>
      <c r="JPQ1" s="45"/>
      <c r="JPR1" s="45"/>
      <c r="JPW1" s="43"/>
      <c r="JPY1" s="45"/>
      <c r="JPZ1" s="45"/>
      <c r="JQE1" s="43"/>
      <c r="JQG1" s="45"/>
      <c r="JQH1" s="45"/>
      <c r="JQM1" s="43"/>
      <c r="JQO1" s="45"/>
      <c r="JQP1" s="45"/>
      <c r="JQU1" s="43"/>
      <c r="JQW1" s="45"/>
      <c r="JQX1" s="45"/>
      <c r="JRC1" s="43"/>
      <c r="JRE1" s="45"/>
      <c r="JRF1" s="45"/>
      <c r="JRK1" s="43"/>
      <c r="JRM1" s="45"/>
      <c r="JRN1" s="45"/>
      <c r="JRS1" s="43"/>
      <c r="JRU1" s="45"/>
      <c r="JRV1" s="45"/>
      <c r="JSA1" s="43"/>
      <c r="JSC1" s="45"/>
      <c r="JSD1" s="45"/>
      <c r="JSI1" s="43"/>
      <c r="JSK1" s="45"/>
      <c r="JSL1" s="45"/>
      <c r="JSQ1" s="43"/>
      <c r="JSS1" s="45"/>
      <c r="JST1" s="45"/>
      <c r="JSY1" s="43"/>
      <c r="JTA1" s="45"/>
      <c r="JTB1" s="45"/>
      <c r="JTG1" s="43"/>
      <c r="JTI1" s="45"/>
      <c r="JTJ1" s="45"/>
      <c r="JTO1" s="43"/>
      <c r="JTQ1" s="45"/>
      <c r="JTR1" s="45"/>
      <c r="JTW1" s="43"/>
      <c r="JTY1" s="45"/>
      <c r="JTZ1" s="45"/>
      <c r="JUE1" s="43"/>
      <c r="JUG1" s="45"/>
      <c r="JUH1" s="45"/>
      <c r="JUM1" s="43"/>
      <c r="JUO1" s="45"/>
      <c r="JUP1" s="45"/>
      <c r="JUU1" s="43"/>
      <c r="JUW1" s="45"/>
      <c r="JUX1" s="45"/>
      <c r="JVC1" s="43"/>
      <c r="JVE1" s="45"/>
      <c r="JVF1" s="45"/>
      <c r="JVK1" s="43"/>
      <c r="JVM1" s="45"/>
      <c r="JVN1" s="45"/>
      <c r="JVS1" s="43"/>
      <c r="JVU1" s="45"/>
      <c r="JVV1" s="45"/>
      <c r="JWA1" s="43"/>
      <c r="JWC1" s="45"/>
      <c r="JWD1" s="45"/>
      <c r="JWI1" s="43"/>
      <c r="JWK1" s="45"/>
      <c r="JWL1" s="45"/>
      <c r="JWQ1" s="43"/>
      <c r="JWS1" s="45"/>
      <c r="JWT1" s="45"/>
      <c r="JWY1" s="43"/>
      <c r="JXA1" s="45"/>
      <c r="JXB1" s="45"/>
      <c r="JXG1" s="43"/>
      <c r="JXI1" s="45"/>
      <c r="JXJ1" s="45"/>
      <c r="JXO1" s="43"/>
      <c r="JXQ1" s="45"/>
      <c r="JXR1" s="45"/>
      <c r="JXW1" s="43"/>
      <c r="JXY1" s="45"/>
      <c r="JXZ1" s="45"/>
      <c r="JYE1" s="43"/>
      <c r="JYG1" s="45"/>
      <c r="JYH1" s="45"/>
      <c r="JYM1" s="43"/>
      <c r="JYO1" s="45"/>
      <c r="JYP1" s="45"/>
      <c r="JYU1" s="43"/>
      <c r="JYW1" s="45"/>
      <c r="JYX1" s="45"/>
      <c r="JZC1" s="43"/>
      <c r="JZE1" s="45"/>
      <c r="JZF1" s="45"/>
      <c r="JZK1" s="43"/>
      <c r="JZM1" s="45"/>
      <c r="JZN1" s="45"/>
      <c r="JZS1" s="43"/>
      <c r="JZU1" s="45"/>
      <c r="JZV1" s="45"/>
      <c r="KAA1" s="43"/>
      <c r="KAC1" s="45"/>
      <c r="KAD1" s="45"/>
      <c r="KAI1" s="43"/>
      <c r="KAK1" s="45"/>
      <c r="KAL1" s="45"/>
      <c r="KAQ1" s="43"/>
      <c r="KAS1" s="45"/>
      <c r="KAT1" s="45"/>
      <c r="KAY1" s="43"/>
      <c r="KBA1" s="45"/>
      <c r="KBB1" s="45"/>
      <c r="KBG1" s="43"/>
      <c r="KBI1" s="45"/>
      <c r="KBJ1" s="45"/>
      <c r="KBO1" s="43"/>
      <c r="KBQ1" s="45"/>
      <c r="KBR1" s="45"/>
      <c r="KBW1" s="43"/>
      <c r="KBY1" s="45"/>
      <c r="KBZ1" s="45"/>
      <c r="KCE1" s="43"/>
      <c r="KCG1" s="45"/>
      <c r="KCH1" s="45"/>
      <c r="KCM1" s="43"/>
      <c r="KCO1" s="45"/>
      <c r="KCP1" s="45"/>
      <c r="KCU1" s="43"/>
      <c r="KCW1" s="45"/>
      <c r="KCX1" s="45"/>
      <c r="KDC1" s="43"/>
      <c r="KDE1" s="45"/>
      <c r="KDF1" s="45"/>
      <c r="KDK1" s="43"/>
      <c r="KDM1" s="45"/>
      <c r="KDN1" s="45"/>
      <c r="KDS1" s="43"/>
      <c r="KDU1" s="45"/>
      <c r="KDV1" s="45"/>
      <c r="KEA1" s="43"/>
      <c r="KEC1" s="45"/>
      <c r="KED1" s="45"/>
      <c r="KEI1" s="43"/>
      <c r="KEK1" s="45"/>
      <c r="KEL1" s="45"/>
      <c r="KEQ1" s="43"/>
      <c r="KES1" s="45"/>
      <c r="KET1" s="45"/>
      <c r="KEY1" s="43"/>
      <c r="KFA1" s="45"/>
      <c r="KFB1" s="45"/>
      <c r="KFG1" s="43"/>
      <c r="KFI1" s="45"/>
      <c r="KFJ1" s="45"/>
      <c r="KFO1" s="43"/>
      <c r="KFQ1" s="45"/>
      <c r="KFR1" s="45"/>
      <c r="KFW1" s="43"/>
      <c r="KFY1" s="45"/>
      <c r="KFZ1" s="45"/>
      <c r="KGE1" s="43"/>
      <c r="KGG1" s="45"/>
      <c r="KGH1" s="45"/>
      <c r="KGM1" s="43"/>
      <c r="KGO1" s="45"/>
      <c r="KGP1" s="45"/>
      <c r="KGU1" s="43"/>
      <c r="KGW1" s="45"/>
      <c r="KGX1" s="45"/>
      <c r="KHC1" s="43"/>
      <c r="KHE1" s="45"/>
      <c r="KHF1" s="45"/>
      <c r="KHK1" s="43"/>
      <c r="KHM1" s="45"/>
      <c r="KHN1" s="45"/>
      <c r="KHS1" s="43"/>
      <c r="KHU1" s="45"/>
      <c r="KHV1" s="45"/>
      <c r="KIA1" s="43"/>
      <c r="KIC1" s="45"/>
      <c r="KID1" s="45"/>
      <c r="KII1" s="43"/>
      <c r="KIK1" s="45"/>
      <c r="KIL1" s="45"/>
      <c r="KIQ1" s="43"/>
      <c r="KIS1" s="45"/>
      <c r="KIT1" s="45"/>
      <c r="KIY1" s="43"/>
      <c r="KJA1" s="45"/>
      <c r="KJB1" s="45"/>
      <c r="KJG1" s="43"/>
      <c r="KJI1" s="45"/>
      <c r="KJJ1" s="45"/>
      <c r="KJO1" s="43"/>
      <c r="KJQ1" s="45"/>
      <c r="KJR1" s="45"/>
      <c r="KJW1" s="43"/>
      <c r="KJY1" s="45"/>
      <c r="KJZ1" s="45"/>
      <c r="KKE1" s="43"/>
      <c r="KKG1" s="45"/>
      <c r="KKH1" s="45"/>
      <c r="KKM1" s="43"/>
      <c r="KKO1" s="45"/>
      <c r="KKP1" s="45"/>
      <c r="KKU1" s="43"/>
      <c r="KKW1" s="45"/>
      <c r="KKX1" s="45"/>
      <c r="KLC1" s="43"/>
      <c r="KLE1" s="45"/>
      <c r="KLF1" s="45"/>
      <c r="KLK1" s="43"/>
      <c r="KLM1" s="45"/>
      <c r="KLN1" s="45"/>
      <c r="KLS1" s="43"/>
      <c r="KLU1" s="45"/>
      <c r="KLV1" s="45"/>
      <c r="KMA1" s="43"/>
      <c r="KMC1" s="45"/>
      <c r="KMD1" s="45"/>
      <c r="KMI1" s="43"/>
      <c r="KMK1" s="45"/>
      <c r="KML1" s="45"/>
      <c r="KMQ1" s="43"/>
      <c r="KMS1" s="45"/>
      <c r="KMT1" s="45"/>
      <c r="KMY1" s="43"/>
      <c r="KNA1" s="45"/>
      <c r="KNB1" s="45"/>
      <c r="KNG1" s="43"/>
      <c r="KNI1" s="45"/>
      <c r="KNJ1" s="45"/>
      <c r="KNO1" s="43"/>
      <c r="KNQ1" s="45"/>
      <c r="KNR1" s="45"/>
      <c r="KNW1" s="43"/>
      <c r="KNY1" s="45"/>
      <c r="KNZ1" s="45"/>
      <c r="KOE1" s="43"/>
      <c r="KOG1" s="45"/>
      <c r="KOH1" s="45"/>
      <c r="KOM1" s="43"/>
      <c r="KOO1" s="45"/>
      <c r="KOP1" s="45"/>
      <c r="KOU1" s="43"/>
      <c r="KOW1" s="45"/>
      <c r="KOX1" s="45"/>
      <c r="KPC1" s="43"/>
      <c r="KPE1" s="45"/>
      <c r="KPF1" s="45"/>
      <c r="KPK1" s="43"/>
      <c r="KPM1" s="45"/>
      <c r="KPN1" s="45"/>
      <c r="KPS1" s="43"/>
      <c r="KPU1" s="45"/>
      <c r="KPV1" s="45"/>
      <c r="KQA1" s="43"/>
      <c r="KQC1" s="45"/>
      <c r="KQD1" s="45"/>
      <c r="KQI1" s="43"/>
      <c r="KQK1" s="45"/>
      <c r="KQL1" s="45"/>
      <c r="KQQ1" s="43"/>
      <c r="KQS1" s="45"/>
      <c r="KQT1" s="45"/>
      <c r="KQY1" s="43"/>
      <c r="KRA1" s="45"/>
      <c r="KRB1" s="45"/>
      <c r="KRG1" s="43"/>
      <c r="KRI1" s="45"/>
      <c r="KRJ1" s="45"/>
      <c r="KRO1" s="43"/>
      <c r="KRQ1" s="45"/>
      <c r="KRR1" s="45"/>
      <c r="KRW1" s="43"/>
      <c r="KRY1" s="45"/>
      <c r="KRZ1" s="45"/>
      <c r="KSE1" s="43"/>
      <c r="KSG1" s="45"/>
      <c r="KSH1" s="45"/>
      <c r="KSM1" s="43"/>
      <c r="KSO1" s="45"/>
      <c r="KSP1" s="45"/>
      <c r="KSU1" s="43"/>
      <c r="KSW1" s="45"/>
      <c r="KSX1" s="45"/>
      <c r="KTC1" s="43"/>
      <c r="KTE1" s="45"/>
      <c r="KTF1" s="45"/>
      <c r="KTK1" s="43"/>
      <c r="KTM1" s="45"/>
      <c r="KTN1" s="45"/>
      <c r="KTS1" s="43"/>
      <c r="KTU1" s="45"/>
      <c r="KTV1" s="45"/>
      <c r="KUA1" s="43"/>
      <c r="KUC1" s="45"/>
      <c r="KUD1" s="45"/>
      <c r="KUI1" s="43"/>
      <c r="KUK1" s="45"/>
      <c r="KUL1" s="45"/>
      <c r="KUQ1" s="43"/>
      <c r="KUS1" s="45"/>
      <c r="KUT1" s="45"/>
      <c r="KUY1" s="43"/>
      <c r="KVA1" s="45"/>
      <c r="KVB1" s="45"/>
      <c r="KVG1" s="43"/>
      <c r="KVI1" s="45"/>
      <c r="KVJ1" s="45"/>
      <c r="KVO1" s="43"/>
      <c r="KVQ1" s="45"/>
      <c r="KVR1" s="45"/>
      <c r="KVW1" s="43"/>
      <c r="KVY1" s="45"/>
      <c r="KVZ1" s="45"/>
      <c r="KWE1" s="43"/>
      <c r="KWG1" s="45"/>
      <c r="KWH1" s="45"/>
      <c r="KWM1" s="43"/>
      <c r="KWO1" s="45"/>
      <c r="KWP1" s="45"/>
      <c r="KWU1" s="43"/>
      <c r="KWW1" s="45"/>
      <c r="KWX1" s="45"/>
      <c r="KXC1" s="43"/>
      <c r="KXE1" s="45"/>
      <c r="KXF1" s="45"/>
      <c r="KXK1" s="43"/>
      <c r="KXM1" s="45"/>
      <c r="KXN1" s="45"/>
      <c r="KXS1" s="43"/>
      <c r="KXU1" s="45"/>
      <c r="KXV1" s="45"/>
      <c r="KYA1" s="43"/>
      <c r="KYC1" s="45"/>
      <c r="KYD1" s="45"/>
      <c r="KYI1" s="43"/>
      <c r="KYK1" s="45"/>
      <c r="KYL1" s="45"/>
      <c r="KYQ1" s="43"/>
      <c r="KYS1" s="45"/>
      <c r="KYT1" s="45"/>
      <c r="KYY1" s="43"/>
      <c r="KZA1" s="45"/>
      <c r="KZB1" s="45"/>
      <c r="KZG1" s="43"/>
      <c r="KZI1" s="45"/>
      <c r="KZJ1" s="45"/>
      <c r="KZO1" s="43"/>
      <c r="KZQ1" s="45"/>
      <c r="KZR1" s="45"/>
      <c r="KZW1" s="43"/>
      <c r="KZY1" s="45"/>
      <c r="KZZ1" s="45"/>
      <c r="LAE1" s="43"/>
      <c r="LAG1" s="45"/>
      <c r="LAH1" s="45"/>
      <c r="LAM1" s="43"/>
      <c r="LAO1" s="45"/>
      <c r="LAP1" s="45"/>
      <c r="LAU1" s="43"/>
      <c r="LAW1" s="45"/>
      <c r="LAX1" s="45"/>
      <c r="LBC1" s="43"/>
      <c r="LBE1" s="45"/>
      <c r="LBF1" s="45"/>
      <c r="LBK1" s="43"/>
      <c r="LBM1" s="45"/>
      <c r="LBN1" s="45"/>
      <c r="LBS1" s="43"/>
      <c r="LBU1" s="45"/>
      <c r="LBV1" s="45"/>
      <c r="LCA1" s="43"/>
      <c r="LCC1" s="45"/>
      <c r="LCD1" s="45"/>
      <c r="LCI1" s="43"/>
      <c r="LCK1" s="45"/>
      <c r="LCL1" s="45"/>
      <c r="LCQ1" s="43"/>
      <c r="LCS1" s="45"/>
      <c r="LCT1" s="45"/>
      <c r="LCY1" s="43"/>
      <c r="LDA1" s="45"/>
      <c r="LDB1" s="45"/>
      <c r="LDG1" s="43"/>
      <c r="LDI1" s="45"/>
      <c r="LDJ1" s="45"/>
      <c r="LDO1" s="43"/>
      <c r="LDQ1" s="45"/>
      <c r="LDR1" s="45"/>
      <c r="LDW1" s="43"/>
      <c r="LDY1" s="45"/>
      <c r="LDZ1" s="45"/>
      <c r="LEE1" s="43"/>
      <c r="LEG1" s="45"/>
      <c r="LEH1" s="45"/>
      <c r="LEM1" s="43"/>
      <c r="LEO1" s="45"/>
      <c r="LEP1" s="45"/>
      <c r="LEU1" s="43"/>
      <c r="LEW1" s="45"/>
      <c r="LEX1" s="45"/>
      <c r="LFC1" s="43"/>
      <c r="LFE1" s="45"/>
      <c r="LFF1" s="45"/>
      <c r="LFK1" s="43"/>
      <c r="LFM1" s="45"/>
      <c r="LFN1" s="45"/>
      <c r="LFS1" s="43"/>
      <c r="LFU1" s="45"/>
      <c r="LFV1" s="45"/>
      <c r="LGA1" s="43"/>
      <c r="LGC1" s="45"/>
      <c r="LGD1" s="45"/>
      <c r="LGI1" s="43"/>
      <c r="LGK1" s="45"/>
      <c r="LGL1" s="45"/>
      <c r="LGQ1" s="43"/>
      <c r="LGS1" s="45"/>
      <c r="LGT1" s="45"/>
      <c r="LGY1" s="43"/>
      <c r="LHA1" s="45"/>
      <c r="LHB1" s="45"/>
      <c r="LHG1" s="43"/>
      <c r="LHI1" s="45"/>
      <c r="LHJ1" s="45"/>
      <c r="LHO1" s="43"/>
      <c r="LHQ1" s="45"/>
      <c r="LHR1" s="45"/>
      <c r="LHW1" s="43"/>
      <c r="LHY1" s="45"/>
      <c r="LHZ1" s="45"/>
      <c r="LIE1" s="43"/>
      <c r="LIG1" s="45"/>
      <c r="LIH1" s="45"/>
      <c r="LIM1" s="43"/>
      <c r="LIO1" s="45"/>
      <c r="LIP1" s="45"/>
      <c r="LIU1" s="43"/>
      <c r="LIW1" s="45"/>
      <c r="LIX1" s="45"/>
      <c r="LJC1" s="43"/>
      <c r="LJE1" s="45"/>
      <c r="LJF1" s="45"/>
      <c r="LJK1" s="43"/>
      <c r="LJM1" s="45"/>
      <c r="LJN1" s="45"/>
      <c r="LJS1" s="43"/>
      <c r="LJU1" s="45"/>
      <c r="LJV1" s="45"/>
      <c r="LKA1" s="43"/>
      <c r="LKC1" s="45"/>
      <c r="LKD1" s="45"/>
      <c r="LKI1" s="43"/>
      <c r="LKK1" s="45"/>
      <c r="LKL1" s="45"/>
      <c r="LKQ1" s="43"/>
      <c r="LKS1" s="45"/>
      <c r="LKT1" s="45"/>
      <c r="LKY1" s="43"/>
      <c r="LLA1" s="45"/>
      <c r="LLB1" s="45"/>
      <c r="LLG1" s="43"/>
      <c r="LLI1" s="45"/>
      <c r="LLJ1" s="45"/>
      <c r="LLO1" s="43"/>
      <c r="LLQ1" s="45"/>
      <c r="LLR1" s="45"/>
      <c r="LLW1" s="43"/>
      <c r="LLY1" s="45"/>
      <c r="LLZ1" s="45"/>
      <c r="LME1" s="43"/>
      <c r="LMG1" s="45"/>
      <c r="LMH1" s="45"/>
      <c r="LMM1" s="43"/>
      <c r="LMO1" s="45"/>
      <c r="LMP1" s="45"/>
      <c r="LMU1" s="43"/>
      <c r="LMW1" s="45"/>
      <c r="LMX1" s="45"/>
      <c r="LNC1" s="43"/>
      <c r="LNE1" s="45"/>
      <c r="LNF1" s="45"/>
      <c r="LNK1" s="43"/>
      <c r="LNM1" s="45"/>
      <c r="LNN1" s="45"/>
      <c r="LNS1" s="43"/>
      <c r="LNU1" s="45"/>
      <c r="LNV1" s="45"/>
      <c r="LOA1" s="43"/>
      <c r="LOC1" s="45"/>
      <c r="LOD1" s="45"/>
      <c r="LOI1" s="43"/>
      <c r="LOK1" s="45"/>
      <c r="LOL1" s="45"/>
      <c r="LOQ1" s="43"/>
      <c r="LOS1" s="45"/>
      <c r="LOT1" s="45"/>
      <c r="LOY1" s="43"/>
      <c r="LPA1" s="45"/>
      <c r="LPB1" s="45"/>
      <c r="LPG1" s="43"/>
      <c r="LPI1" s="45"/>
      <c r="LPJ1" s="45"/>
      <c r="LPO1" s="43"/>
      <c r="LPQ1" s="45"/>
      <c r="LPR1" s="45"/>
      <c r="LPW1" s="43"/>
      <c r="LPY1" s="45"/>
      <c r="LPZ1" s="45"/>
      <c r="LQE1" s="43"/>
      <c r="LQG1" s="45"/>
      <c r="LQH1" s="45"/>
      <c r="LQM1" s="43"/>
      <c r="LQO1" s="45"/>
      <c r="LQP1" s="45"/>
      <c r="LQU1" s="43"/>
      <c r="LQW1" s="45"/>
      <c r="LQX1" s="45"/>
      <c r="LRC1" s="43"/>
      <c r="LRE1" s="45"/>
      <c r="LRF1" s="45"/>
      <c r="LRK1" s="43"/>
      <c r="LRM1" s="45"/>
      <c r="LRN1" s="45"/>
      <c r="LRS1" s="43"/>
      <c r="LRU1" s="45"/>
      <c r="LRV1" s="45"/>
      <c r="LSA1" s="43"/>
      <c r="LSC1" s="45"/>
      <c r="LSD1" s="45"/>
      <c r="LSI1" s="43"/>
      <c r="LSK1" s="45"/>
      <c r="LSL1" s="45"/>
      <c r="LSQ1" s="43"/>
      <c r="LSS1" s="45"/>
      <c r="LST1" s="45"/>
      <c r="LSY1" s="43"/>
      <c r="LTA1" s="45"/>
      <c r="LTB1" s="45"/>
      <c r="LTG1" s="43"/>
      <c r="LTI1" s="45"/>
      <c r="LTJ1" s="45"/>
      <c r="LTO1" s="43"/>
      <c r="LTQ1" s="45"/>
      <c r="LTR1" s="45"/>
      <c r="LTW1" s="43"/>
      <c r="LTY1" s="45"/>
      <c r="LTZ1" s="45"/>
      <c r="LUE1" s="43"/>
      <c r="LUG1" s="45"/>
      <c r="LUH1" s="45"/>
      <c r="LUM1" s="43"/>
      <c r="LUO1" s="45"/>
      <c r="LUP1" s="45"/>
      <c r="LUU1" s="43"/>
      <c r="LUW1" s="45"/>
      <c r="LUX1" s="45"/>
      <c r="LVC1" s="43"/>
      <c r="LVE1" s="45"/>
      <c r="LVF1" s="45"/>
      <c r="LVK1" s="43"/>
      <c r="LVM1" s="45"/>
      <c r="LVN1" s="45"/>
      <c r="LVS1" s="43"/>
      <c r="LVU1" s="45"/>
      <c r="LVV1" s="45"/>
      <c r="LWA1" s="43"/>
      <c r="LWC1" s="45"/>
      <c r="LWD1" s="45"/>
      <c r="LWI1" s="43"/>
      <c r="LWK1" s="45"/>
      <c r="LWL1" s="45"/>
      <c r="LWQ1" s="43"/>
      <c r="LWS1" s="45"/>
      <c r="LWT1" s="45"/>
      <c r="LWY1" s="43"/>
      <c r="LXA1" s="45"/>
      <c r="LXB1" s="45"/>
      <c r="LXG1" s="43"/>
      <c r="LXI1" s="45"/>
      <c r="LXJ1" s="45"/>
      <c r="LXO1" s="43"/>
      <c r="LXQ1" s="45"/>
      <c r="LXR1" s="45"/>
      <c r="LXW1" s="43"/>
      <c r="LXY1" s="45"/>
      <c r="LXZ1" s="45"/>
      <c r="LYE1" s="43"/>
      <c r="LYG1" s="45"/>
      <c r="LYH1" s="45"/>
      <c r="LYM1" s="43"/>
      <c r="LYO1" s="45"/>
      <c r="LYP1" s="45"/>
      <c r="LYU1" s="43"/>
      <c r="LYW1" s="45"/>
      <c r="LYX1" s="45"/>
      <c r="LZC1" s="43"/>
      <c r="LZE1" s="45"/>
      <c r="LZF1" s="45"/>
      <c r="LZK1" s="43"/>
      <c r="LZM1" s="45"/>
      <c r="LZN1" s="45"/>
      <c r="LZS1" s="43"/>
      <c r="LZU1" s="45"/>
      <c r="LZV1" s="45"/>
      <c r="MAA1" s="43"/>
      <c r="MAC1" s="45"/>
      <c r="MAD1" s="45"/>
      <c r="MAI1" s="43"/>
      <c r="MAK1" s="45"/>
      <c r="MAL1" s="45"/>
      <c r="MAQ1" s="43"/>
      <c r="MAS1" s="45"/>
      <c r="MAT1" s="45"/>
      <c r="MAY1" s="43"/>
      <c r="MBA1" s="45"/>
      <c r="MBB1" s="45"/>
      <c r="MBG1" s="43"/>
      <c r="MBI1" s="45"/>
      <c r="MBJ1" s="45"/>
      <c r="MBO1" s="43"/>
      <c r="MBQ1" s="45"/>
      <c r="MBR1" s="45"/>
      <c r="MBW1" s="43"/>
      <c r="MBY1" s="45"/>
      <c r="MBZ1" s="45"/>
      <c r="MCE1" s="43"/>
      <c r="MCG1" s="45"/>
      <c r="MCH1" s="45"/>
      <c r="MCM1" s="43"/>
      <c r="MCO1" s="45"/>
      <c r="MCP1" s="45"/>
      <c r="MCU1" s="43"/>
      <c r="MCW1" s="45"/>
      <c r="MCX1" s="45"/>
      <c r="MDC1" s="43"/>
      <c r="MDE1" s="45"/>
      <c r="MDF1" s="45"/>
      <c r="MDK1" s="43"/>
      <c r="MDM1" s="45"/>
      <c r="MDN1" s="45"/>
      <c r="MDS1" s="43"/>
      <c r="MDU1" s="45"/>
      <c r="MDV1" s="45"/>
      <c r="MEA1" s="43"/>
      <c r="MEC1" s="45"/>
      <c r="MED1" s="45"/>
      <c r="MEI1" s="43"/>
      <c r="MEK1" s="45"/>
      <c r="MEL1" s="45"/>
      <c r="MEQ1" s="43"/>
      <c r="MES1" s="45"/>
      <c r="MET1" s="45"/>
      <c r="MEY1" s="43"/>
      <c r="MFA1" s="45"/>
      <c r="MFB1" s="45"/>
      <c r="MFG1" s="43"/>
      <c r="MFI1" s="45"/>
      <c r="MFJ1" s="45"/>
      <c r="MFO1" s="43"/>
      <c r="MFQ1" s="45"/>
      <c r="MFR1" s="45"/>
      <c r="MFW1" s="43"/>
      <c r="MFY1" s="45"/>
      <c r="MFZ1" s="45"/>
      <c r="MGE1" s="43"/>
      <c r="MGG1" s="45"/>
      <c r="MGH1" s="45"/>
      <c r="MGM1" s="43"/>
      <c r="MGO1" s="45"/>
      <c r="MGP1" s="45"/>
      <c r="MGU1" s="43"/>
      <c r="MGW1" s="45"/>
      <c r="MGX1" s="45"/>
      <c r="MHC1" s="43"/>
      <c r="MHE1" s="45"/>
      <c r="MHF1" s="45"/>
      <c r="MHK1" s="43"/>
      <c r="MHM1" s="45"/>
      <c r="MHN1" s="45"/>
      <c r="MHS1" s="43"/>
      <c r="MHU1" s="45"/>
      <c r="MHV1" s="45"/>
      <c r="MIA1" s="43"/>
      <c r="MIC1" s="45"/>
      <c r="MID1" s="45"/>
      <c r="MII1" s="43"/>
      <c r="MIK1" s="45"/>
      <c r="MIL1" s="45"/>
      <c r="MIQ1" s="43"/>
      <c r="MIS1" s="45"/>
      <c r="MIT1" s="45"/>
      <c r="MIY1" s="43"/>
      <c r="MJA1" s="45"/>
      <c r="MJB1" s="45"/>
      <c r="MJG1" s="43"/>
      <c r="MJI1" s="45"/>
      <c r="MJJ1" s="45"/>
      <c r="MJO1" s="43"/>
      <c r="MJQ1" s="45"/>
      <c r="MJR1" s="45"/>
      <c r="MJW1" s="43"/>
      <c r="MJY1" s="45"/>
      <c r="MJZ1" s="45"/>
      <c r="MKE1" s="43"/>
      <c r="MKG1" s="45"/>
      <c r="MKH1" s="45"/>
      <c r="MKM1" s="43"/>
      <c r="MKO1" s="45"/>
      <c r="MKP1" s="45"/>
      <c r="MKU1" s="43"/>
      <c r="MKW1" s="45"/>
      <c r="MKX1" s="45"/>
      <c r="MLC1" s="43"/>
      <c r="MLE1" s="45"/>
      <c r="MLF1" s="45"/>
      <c r="MLK1" s="43"/>
      <c r="MLM1" s="45"/>
      <c r="MLN1" s="45"/>
      <c r="MLS1" s="43"/>
      <c r="MLU1" s="45"/>
      <c r="MLV1" s="45"/>
      <c r="MMA1" s="43"/>
      <c r="MMC1" s="45"/>
      <c r="MMD1" s="45"/>
      <c r="MMI1" s="43"/>
      <c r="MMK1" s="45"/>
      <c r="MML1" s="45"/>
      <c r="MMQ1" s="43"/>
      <c r="MMS1" s="45"/>
      <c r="MMT1" s="45"/>
      <c r="MMY1" s="43"/>
      <c r="MNA1" s="45"/>
      <c r="MNB1" s="45"/>
      <c r="MNG1" s="43"/>
      <c r="MNI1" s="45"/>
      <c r="MNJ1" s="45"/>
      <c r="MNO1" s="43"/>
      <c r="MNQ1" s="45"/>
      <c r="MNR1" s="45"/>
      <c r="MNW1" s="43"/>
      <c r="MNY1" s="45"/>
      <c r="MNZ1" s="45"/>
      <c r="MOE1" s="43"/>
      <c r="MOG1" s="45"/>
      <c r="MOH1" s="45"/>
      <c r="MOM1" s="43"/>
      <c r="MOO1" s="45"/>
      <c r="MOP1" s="45"/>
      <c r="MOU1" s="43"/>
      <c r="MOW1" s="45"/>
      <c r="MOX1" s="45"/>
      <c r="MPC1" s="43"/>
      <c r="MPE1" s="45"/>
      <c r="MPF1" s="45"/>
      <c r="MPK1" s="43"/>
      <c r="MPM1" s="45"/>
      <c r="MPN1" s="45"/>
      <c r="MPS1" s="43"/>
      <c r="MPU1" s="45"/>
      <c r="MPV1" s="45"/>
      <c r="MQA1" s="43"/>
      <c r="MQC1" s="45"/>
      <c r="MQD1" s="45"/>
      <c r="MQI1" s="43"/>
      <c r="MQK1" s="45"/>
      <c r="MQL1" s="45"/>
      <c r="MQQ1" s="43"/>
      <c r="MQS1" s="45"/>
      <c r="MQT1" s="45"/>
      <c r="MQY1" s="43"/>
      <c r="MRA1" s="45"/>
      <c r="MRB1" s="45"/>
      <c r="MRG1" s="43"/>
      <c r="MRI1" s="45"/>
      <c r="MRJ1" s="45"/>
      <c r="MRO1" s="43"/>
      <c r="MRQ1" s="45"/>
      <c r="MRR1" s="45"/>
      <c r="MRW1" s="43"/>
      <c r="MRY1" s="45"/>
      <c r="MRZ1" s="45"/>
      <c r="MSE1" s="43"/>
      <c r="MSG1" s="45"/>
      <c r="MSH1" s="45"/>
      <c r="MSM1" s="43"/>
      <c r="MSO1" s="45"/>
      <c r="MSP1" s="45"/>
      <c r="MSU1" s="43"/>
      <c r="MSW1" s="45"/>
      <c r="MSX1" s="45"/>
      <c r="MTC1" s="43"/>
      <c r="MTE1" s="45"/>
      <c r="MTF1" s="45"/>
      <c r="MTK1" s="43"/>
      <c r="MTM1" s="45"/>
      <c r="MTN1" s="45"/>
      <c r="MTS1" s="43"/>
      <c r="MTU1" s="45"/>
      <c r="MTV1" s="45"/>
      <c r="MUA1" s="43"/>
      <c r="MUC1" s="45"/>
      <c r="MUD1" s="45"/>
      <c r="MUI1" s="43"/>
      <c r="MUK1" s="45"/>
      <c r="MUL1" s="45"/>
      <c r="MUQ1" s="43"/>
      <c r="MUS1" s="45"/>
      <c r="MUT1" s="45"/>
      <c r="MUY1" s="43"/>
      <c r="MVA1" s="45"/>
      <c r="MVB1" s="45"/>
      <c r="MVG1" s="43"/>
      <c r="MVI1" s="45"/>
      <c r="MVJ1" s="45"/>
      <c r="MVO1" s="43"/>
      <c r="MVQ1" s="45"/>
      <c r="MVR1" s="45"/>
      <c r="MVW1" s="43"/>
      <c r="MVY1" s="45"/>
      <c r="MVZ1" s="45"/>
      <c r="MWE1" s="43"/>
      <c r="MWG1" s="45"/>
      <c r="MWH1" s="45"/>
      <c r="MWM1" s="43"/>
      <c r="MWO1" s="45"/>
      <c r="MWP1" s="45"/>
      <c r="MWU1" s="43"/>
      <c r="MWW1" s="45"/>
      <c r="MWX1" s="45"/>
      <c r="MXC1" s="43"/>
      <c r="MXE1" s="45"/>
      <c r="MXF1" s="45"/>
      <c r="MXK1" s="43"/>
      <c r="MXM1" s="45"/>
      <c r="MXN1" s="45"/>
      <c r="MXS1" s="43"/>
      <c r="MXU1" s="45"/>
      <c r="MXV1" s="45"/>
      <c r="MYA1" s="43"/>
      <c r="MYC1" s="45"/>
      <c r="MYD1" s="45"/>
      <c r="MYI1" s="43"/>
      <c r="MYK1" s="45"/>
      <c r="MYL1" s="45"/>
      <c r="MYQ1" s="43"/>
      <c r="MYS1" s="45"/>
      <c r="MYT1" s="45"/>
      <c r="MYY1" s="43"/>
      <c r="MZA1" s="45"/>
      <c r="MZB1" s="45"/>
      <c r="MZG1" s="43"/>
      <c r="MZI1" s="45"/>
      <c r="MZJ1" s="45"/>
      <c r="MZO1" s="43"/>
      <c r="MZQ1" s="45"/>
      <c r="MZR1" s="45"/>
      <c r="MZW1" s="43"/>
      <c r="MZY1" s="45"/>
      <c r="MZZ1" s="45"/>
      <c r="NAE1" s="43"/>
      <c r="NAG1" s="45"/>
      <c r="NAH1" s="45"/>
      <c r="NAM1" s="43"/>
      <c r="NAO1" s="45"/>
      <c r="NAP1" s="45"/>
      <c r="NAU1" s="43"/>
      <c r="NAW1" s="45"/>
      <c r="NAX1" s="45"/>
      <c r="NBC1" s="43"/>
      <c r="NBE1" s="45"/>
      <c r="NBF1" s="45"/>
      <c r="NBK1" s="43"/>
      <c r="NBM1" s="45"/>
      <c r="NBN1" s="45"/>
      <c r="NBS1" s="43"/>
      <c r="NBU1" s="45"/>
      <c r="NBV1" s="45"/>
      <c r="NCA1" s="43"/>
      <c r="NCC1" s="45"/>
      <c r="NCD1" s="45"/>
      <c r="NCI1" s="43"/>
      <c r="NCK1" s="45"/>
      <c r="NCL1" s="45"/>
      <c r="NCQ1" s="43"/>
      <c r="NCS1" s="45"/>
      <c r="NCT1" s="45"/>
      <c r="NCY1" s="43"/>
      <c r="NDA1" s="45"/>
      <c r="NDB1" s="45"/>
      <c r="NDG1" s="43"/>
      <c r="NDI1" s="45"/>
      <c r="NDJ1" s="45"/>
      <c r="NDO1" s="43"/>
      <c r="NDQ1" s="45"/>
      <c r="NDR1" s="45"/>
      <c r="NDW1" s="43"/>
      <c r="NDY1" s="45"/>
      <c r="NDZ1" s="45"/>
      <c r="NEE1" s="43"/>
      <c r="NEG1" s="45"/>
      <c r="NEH1" s="45"/>
      <c r="NEM1" s="43"/>
      <c r="NEO1" s="45"/>
      <c r="NEP1" s="45"/>
      <c r="NEU1" s="43"/>
      <c r="NEW1" s="45"/>
      <c r="NEX1" s="45"/>
      <c r="NFC1" s="43"/>
      <c r="NFE1" s="45"/>
      <c r="NFF1" s="45"/>
      <c r="NFK1" s="43"/>
      <c r="NFM1" s="45"/>
      <c r="NFN1" s="45"/>
      <c r="NFS1" s="43"/>
      <c r="NFU1" s="45"/>
      <c r="NFV1" s="45"/>
      <c r="NGA1" s="43"/>
      <c r="NGC1" s="45"/>
      <c r="NGD1" s="45"/>
      <c r="NGI1" s="43"/>
      <c r="NGK1" s="45"/>
      <c r="NGL1" s="45"/>
      <c r="NGQ1" s="43"/>
      <c r="NGS1" s="45"/>
      <c r="NGT1" s="45"/>
      <c r="NGY1" s="43"/>
      <c r="NHA1" s="45"/>
      <c r="NHB1" s="45"/>
      <c r="NHG1" s="43"/>
      <c r="NHI1" s="45"/>
      <c r="NHJ1" s="45"/>
      <c r="NHO1" s="43"/>
      <c r="NHQ1" s="45"/>
      <c r="NHR1" s="45"/>
      <c r="NHW1" s="43"/>
      <c r="NHY1" s="45"/>
      <c r="NHZ1" s="45"/>
      <c r="NIE1" s="43"/>
      <c r="NIG1" s="45"/>
      <c r="NIH1" s="45"/>
      <c r="NIM1" s="43"/>
      <c r="NIO1" s="45"/>
      <c r="NIP1" s="45"/>
      <c r="NIU1" s="43"/>
      <c r="NIW1" s="45"/>
      <c r="NIX1" s="45"/>
      <c r="NJC1" s="43"/>
      <c r="NJE1" s="45"/>
      <c r="NJF1" s="45"/>
      <c r="NJK1" s="43"/>
      <c r="NJM1" s="45"/>
      <c r="NJN1" s="45"/>
      <c r="NJS1" s="43"/>
      <c r="NJU1" s="45"/>
      <c r="NJV1" s="45"/>
      <c r="NKA1" s="43"/>
      <c r="NKC1" s="45"/>
      <c r="NKD1" s="45"/>
      <c r="NKI1" s="43"/>
      <c r="NKK1" s="45"/>
      <c r="NKL1" s="45"/>
      <c r="NKQ1" s="43"/>
      <c r="NKS1" s="45"/>
      <c r="NKT1" s="45"/>
      <c r="NKY1" s="43"/>
      <c r="NLA1" s="45"/>
      <c r="NLB1" s="45"/>
      <c r="NLG1" s="43"/>
      <c r="NLI1" s="45"/>
      <c r="NLJ1" s="45"/>
      <c r="NLO1" s="43"/>
      <c r="NLQ1" s="45"/>
      <c r="NLR1" s="45"/>
      <c r="NLW1" s="43"/>
      <c r="NLY1" s="45"/>
      <c r="NLZ1" s="45"/>
      <c r="NME1" s="43"/>
      <c r="NMG1" s="45"/>
      <c r="NMH1" s="45"/>
      <c r="NMM1" s="43"/>
      <c r="NMO1" s="45"/>
      <c r="NMP1" s="45"/>
      <c r="NMU1" s="43"/>
      <c r="NMW1" s="45"/>
      <c r="NMX1" s="45"/>
      <c r="NNC1" s="43"/>
      <c r="NNE1" s="45"/>
      <c r="NNF1" s="45"/>
      <c r="NNK1" s="43"/>
      <c r="NNM1" s="45"/>
      <c r="NNN1" s="45"/>
      <c r="NNS1" s="43"/>
      <c r="NNU1" s="45"/>
      <c r="NNV1" s="45"/>
      <c r="NOA1" s="43"/>
      <c r="NOC1" s="45"/>
      <c r="NOD1" s="45"/>
      <c r="NOI1" s="43"/>
      <c r="NOK1" s="45"/>
      <c r="NOL1" s="45"/>
      <c r="NOQ1" s="43"/>
      <c r="NOS1" s="45"/>
      <c r="NOT1" s="45"/>
      <c r="NOY1" s="43"/>
      <c r="NPA1" s="45"/>
      <c r="NPB1" s="45"/>
      <c r="NPG1" s="43"/>
      <c r="NPI1" s="45"/>
      <c r="NPJ1" s="45"/>
      <c r="NPO1" s="43"/>
      <c r="NPQ1" s="45"/>
      <c r="NPR1" s="45"/>
      <c r="NPW1" s="43"/>
      <c r="NPY1" s="45"/>
      <c r="NPZ1" s="45"/>
      <c r="NQE1" s="43"/>
      <c r="NQG1" s="45"/>
      <c r="NQH1" s="45"/>
      <c r="NQM1" s="43"/>
      <c r="NQO1" s="45"/>
      <c r="NQP1" s="45"/>
      <c r="NQU1" s="43"/>
      <c r="NQW1" s="45"/>
      <c r="NQX1" s="45"/>
      <c r="NRC1" s="43"/>
      <c r="NRE1" s="45"/>
      <c r="NRF1" s="45"/>
      <c r="NRK1" s="43"/>
      <c r="NRM1" s="45"/>
      <c r="NRN1" s="45"/>
      <c r="NRS1" s="43"/>
      <c r="NRU1" s="45"/>
      <c r="NRV1" s="45"/>
      <c r="NSA1" s="43"/>
      <c r="NSC1" s="45"/>
      <c r="NSD1" s="45"/>
      <c r="NSI1" s="43"/>
      <c r="NSK1" s="45"/>
      <c r="NSL1" s="45"/>
      <c r="NSQ1" s="43"/>
      <c r="NSS1" s="45"/>
      <c r="NST1" s="45"/>
      <c r="NSY1" s="43"/>
      <c r="NTA1" s="45"/>
      <c r="NTB1" s="45"/>
      <c r="NTG1" s="43"/>
      <c r="NTI1" s="45"/>
      <c r="NTJ1" s="45"/>
      <c r="NTO1" s="43"/>
      <c r="NTQ1" s="45"/>
      <c r="NTR1" s="45"/>
      <c r="NTW1" s="43"/>
      <c r="NTY1" s="45"/>
      <c r="NTZ1" s="45"/>
      <c r="NUE1" s="43"/>
      <c r="NUG1" s="45"/>
      <c r="NUH1" s="45"/>
      <c r="NUM1" s="43"/>
      <c r="NUO1" s="45"/>
      <c r="NUP1" s="45"/>
      <c r="NUU1" s="43"/>
      <c r="NUW1" s="45"/>
      <c r="NUX1" s="45"/>
      <c r="NVC1" s="43"/>
      <c r="NVE1" s="45"/>
      <c r="NVF1" s="45"/>
      <c r="NVK1" s="43"/>
      <c r="NVM1" s="45"/>
      <c r="NVN1" s="45"/>
      <c r="NVS1" s="43"/>
      <c r="NVU1" s="45"/>
      <c r="NVV1" s="45"/>
      <c r="NWA1" s="43"/>
      <c r="NWC1" s="45"/>
      <c r="NWD1" s="45"/>
      <c r="NWI1" s="43"/>
      <c r="NWK1" s="45"/>
      <c r="NWL1" s="45"/>
      <c r="NWQ1" s="43"/>
      <c r="NWS1" s="45"/>
      <c r="NWT1" s="45"/>
      <c r="NWY1" s="43"/>
      <c r="NXA1" s="45"/>
      <c r="NXB1" s="45"/>
      <c r="NXG1" s="43"/>
      <c r="NXI1" s="45"/>
      <c r="NXJ1" s="45"/>
      <c r="NXO1" s="43"/>
      <c r="NXQ1" s="45"/>
      <c r="NXR1" s="45"/>
      <c r="NXW1" s="43"/>
      <c r="NXY1" s="45"/>
      <c r="NXZ1" s="45"/>
      <c r="NYE1" s="43"/>
      <c r="NYG1" s="45"/>
      <c r="NYH1" s="45"/>
      <c r="NYM1" s="43"/>
      <c r="NYO1" s="45"/>
      <c r="NYP1" s="45"/>
      <c r="NYU1" s="43"/>
      <c r="NYW1" s="45"/>
      <c r="NYX1" s="45"/>
      <c r="NZC1" s="43"/>
      <c r="NZE1" s="45"/>
      <c r="NZF1" s="45"/>
      <c r="NZK1" s="43"/>
      <c r="NZM1" s="45"/>
      <c r="NZN1" s="45"/>
      <c r="NZS1" s="43"/>
      <c r="NZU1" s="45"/>
      <c r="NZV1" s="45"/>
      <c r="OAA1" s="43"/>
      <c r="OAC1" s="45"/>
      <c r="OAD1" s="45"/>
      <c r="OAI1" s="43"/>
      <c r="OAK1" s="45"/>
      <c r="OAL1" s="45"/>
      <c r="OAQ1" s="43"/>
      <c r="OAS1" s="45"/>
      <c r="OAT1" s="45"/>
      <c r="OAY1" s="43"/>
      <c r="OBA1" s="45"/>
      <c r="OBB1" s="45"/>
      <c r="OBG1" s="43"/>
      <c r="OBI1" s="45"/>
      <c r="OBJ1" s="45"/>
      <c r="OBO1" s="43"/>
      <c r="OBQ1" s="45"/>
      <c r="OBR1" s="45"/>
      <c r="OBW1" s="43"/>
      <c r="OBY1" s="45"/>
      <c r="OBZ1" s="45"/>
      <c r="OCE1" s="43"/>
      <c r="OCG1" s="45"/>
      <c r="OCH1" s="45"/>
      <c r="OCM1" s="43"/>
      <c r="OCO1" s="45"/>
      <c r="OCP1" s="45"/>
      <c r="OCU1" s="43"/>
      <c r="OCW1" s="45"/>
      <c r="OCX1" s="45"/>
      <c r="ODC1" s="43"/>
      <c r="ODE1" s="45"/>
      <c r="ODF1" s="45"/>
      <c r="ODK1" s="43"/>
      <c r="ODM1" s="45"/>
      <c r="ODN1" s="45"/>
      <c r="ODS1" s="43"/>
      <c r="ODU1" s="45"/>
      <c r="ODV1" s="45"/>
      <c r="OEA1" s="43"/>
      <c r="OEC1" s="45"/>
      <c r="OED1" s="45"/>
      <c r="OEI1" s="43"/>
      <c r="OEK1" s="45"/>
      <c r="OEL1" s="45"/>
      <c r="OEQ1" s="43"/>
      <c r="OES1" s="45"/>
      <c r="OET1" s="45"/>
      <c r="OEY1" s="43"/>
      <c r="OFA1" s="45"/>
      <c r="OFB1" s="45"/>
      <c r="OFG1" s="43"/>
      <c r="OFI1" s="45"/>
      <c r="OFJ1" s="45"/>
      <c r="OFO1" s="43"/>
      <c r="OFQ1" s="45"/>
      <c r="OFR1" s="45"/>
      <c r="OFW1" s="43"/>
      <c r="OFY1" s="45"/>
      <c r="OFZ1" s="45"/>
      <c r="OGE1" s="43"/>
      <c r="OGG1" s="45"/>
      <c r="OGH1" s="45"/>
      <c r="OGM1" s="43"/>
      <c r="OGO1" s="45"/>
      <c r="OGP1" s="45"/>
      <c r="OGU1" s="43"/>
      <c r="OGW1" s="45"/>
      <c r="OGX1" s="45"/>
      <c r="OHC1" s="43"/>
      <c r="OHE1" s="45"/>
      <c r="OHF1" s="45"/>
      <c r="OHK1" s="43"/>
      <c r="OHM1" s="45"/>
      <c r="OHN1" s="45"/>
      <c r="OHS1" s="43"/>
      <c r="OHU1" s="45"/>
      <c r="OHV1" s="45"/>
      <c r="OIA1" s="43"/>
      <c r="OIC1" s="45"/>
      <c r="OID1" s="45"/>
      <c r="OII1" s="43"/>
      <c r="OIK1" s="45"/>
      <c r="OIL1" s="45"/>
      <c r="OIQ1" s="43"/>
      <c r="OIS1" s="45"/>
      <c r="OIT1" s="45"/>
      <c r="OIY1" s="43"/>
      <c r="OJA1" s="45"/>
      <c r="OJB1" s="45"/>
      <c r="OJG1" s="43"/>
      <c r="OJI1" s="45"/>
      <c r="OJJ1" s="45"/>
      <c r="OJO1" s="43"/>
      <c r="OJQ1" s="45"/>
      <c r="OJR1" s="45"/>
      <c r="OJW1" s="43"/>
      <c r="OJY1" s="45"/>
      <c r="OJZ1" s="45"/>
      <c r="OKE1" s="43"/>
      <c r="OKG1" s="45"/>
      <c r="OKH1" s="45"/>
      <c r="OKM1" s="43"/>
      <c r="OKO1" s="45"/>
      <c r="OKP1" s="45"/>
      <c r="OKU1" s="43"/>
      <c r="OKW1" s="45"/>
      <c r="OKX1" s="45"/>
      <c r="OLC1" s="43"/>
      <c r="OLE1" s="45"/>
      <c r="OLF1" s="45"/>
      <c r="OLK1" s="43"/>
      <c r="OLM1" s="45"/>
      <c r="OLN1" s="45"/>
      <c r="OLS1" s="43"/>
      <c r="OLU1" s="45"/>
      <c r="OLV1" s="45"/>
      <c r="OMA1" s="43"/>
      <c r="OMC1" s="45"/>
      <c r="OMD1" s="45"/>
      <c r="OMI1" s="43"/>
      <c r="OMK1" s="45"/>
      <c r="OML1" s="45"/>
      <c r="OMQ1" s="43"/>
      <c r="OMS1" s="45"/>
      <c r="OMT1" s="45"/>
      <c r="OMY1" s="43"/>
      <c r="ONA1" s="45"/>
      <c r="ONB1" s="45"/>
      <c r="ONG1" s="43"/>
      <c r="ONI1" s="45"/>
      <c r="ONJ1" s="45"/>
      <c r="ONO1" s="43"/>
      <c r="ONQ1" s="45"/>
      <c r="ONR1" s="45"/>
      <c r="ONW1" s="43"/>
      <c r="ONY1" s="45"/>
      <c r="ONZ1" s="45"/>
      <c r="OOE1" s="43"/>
      <c r="OOG1" s="45"/>
      <c r="OOH1" s="45"/>
      <c r="OOM1" s="43"/>
      <c r="OOO1" s="45"/>
      <c r="OOP1" s="45"/>
      <c r="OOU1" s="43"/>
      <c r="OOW1" s="45"/>
      <c r="OOX1" s="45"/>
      <c r="OPC1" s="43"/>
      <c r="OPE1" s="45"/>
      <c r="OPF1" s="45"/>
      <c r="OPK1" s="43"/>
      <c r="OPM1" s="45"/>
      <c r="OPN1" s="45"/>
      <c r="OPS1" s="43"/>
      <c r="OPU1" s="45"/>
      <c r="OPV1" s="45"/>
      <c r="OQA1" s="43"/>
      <c r="OQC1" s="45"/>
      <c r="OQD1" s="45"/>
      <c r="OQI1" s="43"/>
      <c r="OQK1" s="45"/>
      <c r="OQL1" s="45"/>
      <c r="OQQ1" s="43"/>
      <c r="OQS1" s="45"/>
      <c r="OQT1" s="45"/>
      <c r="OQY1" s="43"/>
      <c r="ORA1" s="45"/>
      <c r="ORB1" s="45"/>
      <c r="ORG1" s="43"/>
      <c r="ORI1" s="45"/>
      <c r="ORJ1" s="45"/>
      <c r="ORO1" s="43"/>
      <c r="ORQ1" s="45"/>
      <c r="ORR1" s="45"/>
      <c r="ORW1" s="43"/>
      <c r="ORY1" s="45"/>
      <c r="ORZ1" s="45"/>
      <c r="OSE1" s="43"/>
      <c r="OSG1" s="45"/>
      <c r="OSH1" s="45"/>
      <c r="OSM1" s="43"/>
      <c r="OSO1" s="45"/>
      <c r="OSP1" s="45"/>
      <c r="OSU1" s="43"/>
      <c r="OSW1" s="45"/>
      <c r="OSX1" s="45"/>
      <c r="OTC1" s="43"/>
      <c r="OTE1" s="45"/>
      <c r="OTF1" s="45"/>
      <c r="OTK1" s="43"/>
      <c r="OTM1" s="45"/>
      <c r="OTN1" s="45"/>
      <c r="OTS1" s="43"/>
      <c r="OTU1" s="45"/>
      <c r="OTV1" s="45"/>
      <c r="OUA1" s="43"/>
      <c r="OUC1" s="45"/>
      <c r="OUD1" s="45"/>
      <c r="OUI1" s="43"/>
      <c r="OUK1" s="45"/>
      <c r="OUL1" s="45"/>
      <c r="OUQ1" s="43"/>
      <c r="OUS1" s="45"/>
      <c r="OUT1" s="45"/>
      <c r="OUY1" s="43"/>
      <c r="OVA1" s="45"/>
      <c r="OVB1" s="45"/>
      <c r="OVG1" s="43"/>
      <c r="OVI1" s="45"/>
      <c r="OVJ1" s="45"/>
      <c r="OVO1" s="43"/>
      <c r="OVQ1" s="45"/>
      <c r="OVR1" s="45"/>
      <c r="OVW1" s="43"/>
      <c r="OVY1" s="45"/>
      <c r="OVZ1" s="45"/>
      <c r="OWE1" s="43"/>
      <c r="OWG1" s="45"/>
      <c r="OWH1" s="45"/>
      <c r="OWM1" s="43"/>
      <c r="OWO1" s="45"/>
      <c r="OWP1" s="45"/>
      <c r="OWU1" s="43"/>
      <c r="OWW1" s="45"/>
      <c r="OWX1" s="45"/>
      <c r="OXC1" s="43"/>
      <c r="OXE1" s="45"/>
      <c r="OXF1" s="45"/>
      <c r="OXK1" s="43"/>
      <c r="OXM1" s="45"/>
      <c r="OXN1" s="45"/>
      <c r="OXS1" s="43"/>
      <c r="OXU1" s="45"/>
      <c r="OXV1" s="45"/>
      <c r="OYA1" s="43"/>
      <c r="OYC1" s="45"/>
      <c r="OYD1" s="45"/>
      <c r="OYI1" s="43"/>
      <c r="OYK1" s="45"/>
      <c r="OYL1" s="45"/>
      <c r="OYQ1" s="43"/>
      <c r="OYS1" s="45"/>
      <c r="OYT1" s="45"/>
      <c r="OYY1" s="43"/>
      <c r="OZA1" s="45"/>
      <c r="OZB1" s="45"/>
      <c r="OZG1" s="43"/>
      <c r="OZI1" s="45"/>
      <c r="OZJ1" s="45"/>
      <c r="OZO1" s="43"/>
      <c r="OZQ1" s="45"/>
      <c r="OZR1" s="45"/>
      <c r="OZW1" s="43"/>
      <c r="OZY1" s="45"/>
      <c r="OZZ1" s="45"/>
      <c r="PAE1" s="43"/>
      <c r="PAG1" s="45"/>
      <c r="PAH1" s="45"/>
      <c r="PAM1" s="43"/>
      <c r="PAO1" s="45"/>
      <c r="PAP1" s="45"/>
      <c r="PAU1" s="43"/>
      <c r="PAW1" s="45"/>
      <c r="PAX1" s="45"/>
      <c r="PBC1" s="43"/>
      <c r="PBE1" s="45"/>
      <c r="PBF1" s="45"/>
      <c r="PBK1" s="43"/>
      <c r="PBM1" s="45"/>
      <c r="PBN1" s="45"/>
      <c r="PBS1" s="43"/>
      <c r="PBU1" s="45"/>
      <c r="PBV1" s="45"/>
      <c r="PCA1" s="43"/>
      <c r="PCC1" s="45"/>
      <c r="PCD1" s="45"/>
      <c r="PCI1" s="43"/>
      <c r="PCK1" s="45"/>
      <c r="PCL1" s="45"/>
      <c r="PCQ1" s="43"/>
      <c r="PCS1" s="45"/>
      <c r="PCT1" s="45"/>
      <c r="PCY1" s="43"/>
      <c r="PDA1" s="45"/>
      <c r="PDB1" s="45"/>
      <c r="PDG1" s="43"/>
      <c r="PDI1" s="45"/>
      <c r="PDJ1" s="45"/>
      <c r="PDO1" s="43"/>
      <c r="PDQ1" s="45"/>
      <c r="PDR1" s="45"/>
      <c r="PDW1" s="43"/>
      <c r="PDY1" s="45"/>
      <c r="PDZ1" s="45"/>
      <c r="PEE1" s="43"/>
      <c r="PEG1" s="45"/>
      <c r="PEH1" s="45"/>
      <c r="PEM1" s="43"/>
      <c r="PEO1" s="45"/>
      <c r="PEP1" s="45"/>
      <c r="PEU1" s="43"/>
      <c r="PEW1" s="45"/>
      <c r="PEX1" s="45"/>
      <c r="PFC1" s="43"/>
      <c r="PFE1" s="45"/>
      <c r="PFF1" s="45"/>
      <c r="PFK1" s="43"/>
      <c r="PFM1" s="45"/>
      <c r="PFN1" s="45"/>
      <c r="PFS1" s="43"/>
      <c r="PFU1" s="45"/>
      <c r="PFV1" s="45"/>
      <c r="PGA1" s="43"/>
      <c r="PGC1" s="45"/>
      <c r="PGD1" s="45"/>
      <c r="PGI1" s="43"/>
      <c r="PGK1" s="45"/>
      <c r="PGL1" s="45"/>
      <c r="PGQ1" s="43"/>
      <c r="PGS1" s="45"/>
      <c r="PGT1" s="45"/>
      <c r="PGY1" s="43"/>
      <c r="PHA1" s="45"/>
      <c r="PHB1" s="45"/>
      <c r="PHG1" s="43"/>
      <c r="PHI1" s="45"/>
      <c r="PHJ1" s="45"/>
      <c r="PHO1" s="43"/>
      <c r="PHQ1" s="45"/>
      <c r="PHR1" s="45"/>
      <c r="PHW1" s="43"/>
      <c r="PHY1" s="45"/>
      <c r="PHZ1" s="45"/>
      <c r="PIE1" s="43"/>
      <c r="PIG1" s="45"/>
      <c r="PIH1" s="45"/>
      <c r="PIM1" s="43"/>
      <c r="PIO1" s="45"/>
      <c r="PIP1" s="45"/>
      <c r="PIU1" s="43"/>
      <c r="PIW1" s="45"/>
      <c r="PIX1" s="45"/>
      <c r="PJC1" s="43"/>
      <c r="PJE1" s="45"/>
      <c r="PJF1" s="45"/>
      <c r="PJK1" s="43"/>
      <c r="PJM1" s="45"/>
      <c r="PJN1" s="45"/>
      <c r="PJS1" s="43"/>
      <c r="PJU1" s="45"/>
      <c r="PJV1" s="45"/>
      <c r="PKA1" s="43"/>
      <c r="PKC1" s="45"/>
      <c r="PKD1" s="45"/>
      <c r="PKI1" s="43"/>
      <c r="PKK1" s="45"/>
      <c r="PKL1" s="45"/>
      <c r="PKQ1" s="43"/>
      <c r="PKS1" s="45"/>
      <c r="PKT1" s="45"/>
      <c r="PKY1" s="43"/>
      <c r="PLA1" s="45"/>
      <c r="PLB1" s="45"/>
      <c r="PLG1" s="43"/>
      <c r="PLI1" s="45"/>
      <c r="PLJ1" s="45"/>
      <c r="PLO1" s="43"/>
      <c r="PLQ1" s="45"/>
      <c r="PLR1" s="45"/>
      <c r="PLW1" s="43"/>
      <c r="PLY1" s="45"/>
      <c r="PLZ1" s="45"/>
      <c r="PME1" s="43"/>
      <c r="PMG1" s="45"/>
      <c r="PMH1" s="45"/>
      <c r="PMM1" s="43"/>
      <c r="PMO1" s="45"/>
      <c r="PMP1" s="45"/>
      <c r="PMU1" s="43"/>
      <c r="PMW1" s="45"/>
      <c r="PMX1" s="45"/>
      <c r="PNC1" s="43"/>
      <c r="PNE1" s="45"/>
      <c r="PNF1" s="45"/>
      <c r="PNK1" s="43"/>
      <c r="PNM1" s="45"/>
      <c r="PNN1" s="45"/>
      <c r="PNS1" s="43"/>
      <c r="PNU1" s="45"/>
      <c r="PNV1" s="45"/>
      <c r="POA1" s="43"/>
      <c r="POC1" s="45"/>
      <c r="POD1" s="45"/>
      <c r="POI1" s="43"/>
      <c r="POK1" s="45"/>
      <c r="POL1" s="45"/>
      <c r="POQ1" s="43"/>
      <c r="POS1" s="45"/>
      <c r="POT1" s="45"/>
      <c r="POY1" s="43"/>
      <c r="PPA1" s="45"/>
      <c r="PPB1" s="45"/>
      <c r="PPG1" s="43"/>
      <c r="PPI1" s="45"/>
      <c r="PPJ1" s="45"/>
      <c r="PPO1" s="43"/>
      <c r="PPQ1" s="45"/>
      <c r="PPR1" s="45"/>
      <c r="PPW1" s="43"/>
      <c r="PPY1" s="45"/>
      <c r="PPZ1" s="45"/>
      <c r="PQE1" s="43"/>
      <c r="PQG1" s="45"/>
      <c r="PQH1" s="45"/>
      <c r="PQM1" s="43"/>
      <c r="PQO1" s="45"/>
      <c r="PQP1" s="45"/>
      <c r="PQU1" s="43"/>
      <c r="PQW1" s="45"/>
      <c r="PQX1" s="45"/>
      <c r="PRC1" s="43"/>
      <c r="PRE1" s="45"/>
      <c r="PRF1" s="45"/>
      <c r="PRK1" s="43"/>
      <c r="PRM1" s="45"/>
      <c r="PRN1" s="45"/>
      <c r="PRS1" s="43"/>
      <c r="PRU1" s="45"/>
      <c r="PRV1" s="45"/>
      <c r="PSA1" s="43"/>
      <c r="PSC1" s="45"/>
      <c r="PSD1" s="45"/>
      <c r="PSI1" s="43"/>
      <c r="PSK1" s="45"/>
      <c r="PSL1" s="45"/>
      <c r="PSQ1" s="43"/>
      <c r="PSS1" s="45"/>
      <c r="PST1" s="45"/>
      <c r="PSY1" s="43"/>
      <c r="PTA1" s="45"/>
      <c r="PTB1" s="45"/>
      <c r="PTG1" s="43"/>
      <c r="PTI1" s="45"/>
      <c r="PTJ1" s="45"/>
      <c r="PTO1" s="43"/>
      <c r="PTQ1" s="45"/>
      <c r="PTR1" s="45"/>
      <c r="PTW1" s="43"/>
      <c r="PTY1" s="45"/>
      <c r="PTZ1" s="45"/>
      <c r="PUE1" s="43"/>
      <c r="PUG1" s="45"/>
      <c r="PUH1" s="45"/>
      <c r="PUM1" s="43"/>
      <c r="PUO1" s="45"/>
      <c r="PUP1" s="45"/>
      <c r="PUU1" s="43"/>
      <c r="PUW1" s="45"/>
      <c r="PUX1" s="45"/>
      <c r="PVC1" s="43"/>
      <c r="PVE1" s="45"/>
      <c r="PVF1" s="45"/>
      <c r="PVK1" s="43"/>
      <c r="PVM1" s="45"/>
      <c r="PVN1" s="45"/>
      <c r="PVS1" s="43"/>
      <c r="PVU1" s="45"/>
      <c r="PVV1" s="45"/>
      <c r="PWA1" s="43"/>
      <c r="PWC1" s="45"/>
      <c r="PWD1" s="45"/>
      <c r="PWI1" s="43"/>
      <c r="PWK1" s="45"/>
      <c r="PWL1" s="45"/>
      <c r="PWQ1" s="43"/>
      <c r="PWS1" s="45"/>
      <c r="PWT1" s="45"/>
      <c r="PWY1" s="43"/>
      <c r="PXA1" s="45"/>
      <c r="PXB1" s="45"/>
      <c r="PXG1" s="43"/>
      <c r="PXI1" s="45"/>
      <c r="PXJ1" s="45"/>
      <c r="PXO1" s="43"/>
      <c r="PXQ1" s="45"/>
      <c r="PXR1" s="45"/>
      <c r="PXW1" s="43"/>
      <c r="PXY1" s="45"/>
      <c r="PXZ1" s="45"/>
      <c r="PYE1" s="43"/>
      <c r="PYG1" s="45"/>
      <c r="PYH1" s="45"/>
      <c r="PYM1" s="43"/>
      <c r="PYO1" s="45"/>
      <c r="PYP1" s="45"/>
      <c r="PYU1" s="43"/>
      <c r="PYW1" s="45"/>
      <c r="PYX1" s="45"/>
      <c r="PZC1" s="43"/>
      <c r="PZE1" s="45"/>
      <c r="PZF1" s="45"/>
      <c r="PZK1" s="43"/>
      <c r="PZM1" s="45"/>
      <c r="PZN1" s="45"/>
      <c r="PZS1" s="43"/>
      <c r="PZU1" s="45"/>
      <c r="PZV1" s="45"/>
      <c r="QAA1" s="43"/>
      <c r="QAC1" s="45"/>
      <c r="QAD1" s="45"/>
      <c r="QAI1" s="43"/>
      <c r="QAK1" s="45"/>
      <c r="QAL1" s="45"/>
      <c r="QAQ1" s="43"/>
      <c r="QAS1" s="45"/>
      <c r="QAT1" s="45"/>
      <c r="QAY1" s="43"/>
      <c r="QBA1" s="45"/>
      <c r="QBB1" s="45"/>
      <c r="QBG1" s="43"/>
      <c r="QBI1" s="45"/>
      <c r="QBJ1" s="45"/>
      <c r="QBO1" s="43"/>
      <c r="QBQ1" s="45"/>
      <c r="QBR1" s="45"/>
      <c r="QBW1" s="43"/>
      <c r="QBY1" s="45"/>
      <c r="QBZ1" s="45"/>
      <c r="QCE1" s="43"/>
      <c r="QCG1" s="45"/>
      <c r="QCH1" s="45"/>
      <c r="QCM1" s="43"/>
      <c r="QCO1" s="45"/>
      <c r="QCP1" s="45"/>
      <c r="QCU1" s="43"/>
      <c r="QCW1" s="45"/>
      <c r="QCX1" s="45"/>
      <c r="QDC1" s="43"/>
      <c r="QDE1" s="45"/>
      <c r="QDF1" s="45"/>
      <c r="QDK1" s="43"/>
      <c r="QDM1" s="45"/>
      <c r="QDN1" s="45"/>
      <c r="QDS1" s="43"/>
      <c r="QDU1" s="45"/>
      <c r="QDV1" s="45"/>
      <c r="QEA1" s="43"/>
      <c r="QEC1" s="45"/>
      <c r="QED1" s="45"/>
      <c r="QEI1" s="43"/>
      <c r="QEK1" s="45"/>
      <c r="QEL1" s="45"/>
      <c r="QEQ1" s="43"/>
      <c r="QES1" s="45"/>
      <c r="QET1" s="45"/>
      <c r="QEY1" s="43"/>
      <c r="QFA1" s="45"/>
      <c r="QFB1" s="45"/>
      <c r="QFG1" s="43"/>
      <c r="QFI1" s="45"/>
      <c r="QFJ1" s="45"/>
      <c r="QFO1" s="43"/>
      <c r="QFQ1" s="45"/>
      <c r="QFR1" s="45"/>
      <c r="QFW1" s="43"/>
      <c r="QFY1" s="45"/>
      <c r="QFZ1" s="45"/>
      <c r="QGE1" s="43"/>
      <c r="QGG1" s="45"/>
      <c r="QGH1" s="45"/>
      <c r="QGM1" s="43"/>
      <c r="QGO1" s="45"/>
      <c r="QGP1" s="45"/>
      <c r="QGU1" s="43"/>
      <c r="QGW1" s="45"/>
      <c r="QGX1" s="45"/>
      <c r="QHC1" s="43"/>
      <c r="QHE1" s="45"/>
      <c r="QHF1" s="45"/>
      <c r="QHK1" s="43"/>
      <c r="QHM1" s="45"/>
      <c r="QHN1" s="45"/>
      <c r="QHS1" s="43"/>
      <c r="QHU1" s="45"/>
      <c r="QHV1" s="45"/>
      <c r="QIA1" s="43"/>
      <c r="QIC1" s="45"/>
      <c r="QID1" s="45"/>
      <c r="QII1" s="43"/>
      <c r="QIK1" s="45"/>
      <c r="QIL1" s="45"/>
      <c r="QIQ1" s="43"/>
      <c r="QIS1" s="45"/>
      <c r="QIT1" s="45"/>
      <c r="QIY1" s="43"/>
      <c r="QJA1" s="45"/>
      <c r="QJB1" s="45"/>
      <c r="QJG1" s="43"/>
      <c r="QJI1" s="45"/>
      <c r="QJJ1" s="45"/>
      <c r="QJO1" s="43"/>
      <c r="QJQ1" s="45"/>
      <c r="QJR1" s="45"/>
      <c r="QJW1" s="43"/>
      <c r="QJY1" s="45"/>
      <c r="QJZ1" s="45"/>
      <c r="QKE1" s="43"/>
      <c r="QKG1" s="45"/>
      <c r="QKH1" s="45"/>
      <c r="QKM1" s="43"/>
      <c r="QKO1" s="45"/>
      <c r="QKP1" s="45"/>
      <c r="QKU1" s="43"/>
      <c r="QKW1" s="45"/>
      <c r="QKX1" s="45"/>
      <c r="QLC1" s="43"/>
      <c r="QLE1" s="45"/>
      <c r="QLF1" s="45"/>
      <c r="QLK1" s="43"/>
      <c r="QLM1" s="45"/>
      <c r="QLN1" s="45"/>
      <c r="QLS1" s="43"/>
      <c r="QLU1" s="45"/>
      <c r="QLV1" s="45"/>
      <c r="QMA1" s="43"/>
      <c r="QMC1" s="45"/>
      <c r="QMD1" s="45"/>
      <c r="QMI1" s="43"/>
      <c r="QMK1" s="45"/>
      <c r="QML1" s="45"/>
      <c r="QMQ1" s="43"/>
      <c r="QMS1" s="45"/>
      <c r="QMT1" s="45"/>
      <c r="QMY1" s="43"/>
      <c r="QNA1" s="45"/>
      <c r="QNB1" s="45"/>
      <c r="QNG1" s="43"/>
      <c r="QNI1" s="45"/>
      <c r="QNJ1" s="45"/>
      <c r="QNO1" s="43"/>
      <c r="QNQ1" s="45"/>
      <c r="QNR1" s="45"/>
      <c r="QNW1" s="43"/>
      <c r="QNY1" s="45"/>
      <c r="QNZ1" s="45"/>
      <c r="QOE1" s="43"/>
      <c r="QOG1" s="45"/>
      <c r="QOH1" s="45"/>
      <c r="QOM1" s="43"/>
      <c r="QOO1" s="45"/>
      <c r="QOP1" s="45"/>
      <c r="QOU1" s="43"/>
      <c r="QOW1" s="45"/>
      <c r="QOX1" s="45"/>
      <c r="QPC1" s="43"/>
      <c r="QPE1" s="45"/>
      <c r="QPF1" s="45"/>
      <c r="QPK1" s="43"/>
      <c r="QPM1" s="45"/>
      <c r="QPN1" s="45"/>
      <c r="QPS1" s="43"/>
      <c r="QPU1" s="45"/>
      <c r="QPV1" s="45"/>
      <c r="QQA1" s="43"/>
      <c r="QQC1" s="45"/>
      <c r="QQD1" s="45"/>
      <c r="QQI1" s="43"/>
      <c r="QQK1" s="45"/>
      <c r="QQL1" s="45"/>
      <c r="QQQ1" s="43"/>
      <c r="QQS1" s="45"/>
      <c r="QQT1" s="45"/>
      <c r="QQY1" s="43"/>
      <c r="QRA1" s="45"/>
      <c r="QRB1" s="45"/>
      <c r="QRG1" s="43"/>
      <c r="QRI1" s="45"/>
      <c r="QRJ1" s="45"/>
      <c r="QRO1" s="43"/>
      <c r="QRQ1" s="45"/>
      <c r="QRR1" s="45"/>
      <c r="QRW1" s="43"/>
      <c r="QRY1" s="45"/>
      <c r="QRZ1" s="45"/>
      <c r="QSE1" s="43"/>
      <c r="QSG1" s="45"/>
      <c r="QSH1" s="45"/>
      <c r="QSM1" s="43"/>
      <c r="QSO1" s="45"/>
      <c r="QSP1" s="45"/>
      <c r="QSU1" s="43"/>
      <c r="QSW1" s="45"/>
      <c r="QSX1" s="45"/>
      <c r="QTC1" s="43"/>
      <c r="QTE1" s="45"/>
      <c r="QTF1" s="45"/>
      <c r="QTK1" s="43"/>
      <c r="QTM1" s="45"/>
      <c r="QTN1" s="45"/>
      <c r="QTS1" s="43"/>
      <c r="QTU1" s="45"/>
      <c r="QTV1" s="45"/>
      <c r="QUA1" s="43"/>
      <c r="QUC1" s="45"/>
      <c r="QUD1" s="45"/>
      <c r="QUI1" s="43"/>
      <c r="QUK1" s="45"/>
      <c r="QUL1" s="45"/>
      <c r="QUQ1" s="43"/>
      <c r="QUS1" s="45"/>
      <c r="QUT1" s="45"/>
      <c r="QUY1" s="43"/>
      <c r="QVA1" s="45"/>
      <c r="QVB1" s="45"/>
      <c r="QVG1" s="43"/>
      <c r="QVI1" s="45"/>
      <c r="QVJ1" s="45"/>
      <c r="QVO1" s="43"/>
      <c r="QVQ1" s="45"/>
      <c r="QVR1" s="45"/>
      <c r="QVW1" s="43"/>
      <c r="QVY1" s="45"/>
      <c r="QVZ1" s="45"/>
      <c r="QWE1" s="43"/>
      <c r="QWG1" s="45"/>
      <c r="QWH1" s="45"/>
      <c r="QWM1" s="43"/>
      <c r="QWO1" s="45"/>
      <c r="QWP1" s="45"/>
      <c r="QWU1" s="43"/>
      <c r="QWW1" s="45"/>
      <c r="QWX1" s="45"/>
      <c r="QXC1" s="43"/>
      <c r="QXE1" s="45"/>
      <c r="QXF1" s="45"/>
      <c r="QXK1" s="43"/>
      <c r="QXM1" s="45"/>
      <c r="QXN1" s="45"/>
      <c r="QXS1" s="43"/>
      <c r="QXU1" s="45"/>
      <c r="QXV1" s="45"/>
      <c r="QYA1" s="43"/>
      <c r="QYC1" s="45"/>
      <c r="QYD1" s="45"/>
      <c r="QYI1" s="43"/>
      <c r="QYK1" s="45"/>
      <c r="QYL1" s="45"/>
      <c r="QYQ1" s="43"/>
      <c r="QYS1" s="45"/>
      <c r="QYT1" s="45"/>
      <c r="QYY1" s="43"/>
      <c r="QZA1" s="45"/>
      <c r="QZB1" s="45"/>
      <c r="QZG1" s="43"/>
      <c r="QZI1" s="45"/>
      <c r="QZJ1" s="45"/>
      <c r="QZO1" s="43"/>
      <c r="QZQ1" s="45"/>
      <c r="QZR1" s="45"/>
      <c r="QZW1" s="43"/>
      <c r="QZY1" s="45"/>
      <c r="QZZ1" s="45"/>
      <c r="RAE1" s="43"/>
      <c r="RAG1" s="45"/>
      <c r="RAH1" s="45"/>
      <c r="RAM1" s="43"/>
      <c r="RAO1" s="45"/>
      <c r="RAP1" s="45"/>
      <c r="RAU1" s="43"/>
      <c r="RAW1" s="45"/>
      <c r="RAX1" s="45"/>
      <c r="RBC1" s="43"/>
      <c r="RBE1" s="45"/>
      <c r="RBF1" s="45"/>
      <c r="RBK1" s="43"/>
      <c r="RBM1" s="45"/>
      <c r="RBN1" s="45"/>
      <c r="RBS1" s="43"/>
      <c r="RBU1" s="45"/>
      <c r="RBV1" s="45"/>
      <c r="RCA1" s="43"/>
      <c r="RCC1" s="45"/>
      <c r="RCD1" s="45"/>
      <c r="RCI1" s="43"/>
      <c r="RCK1" s="45"/>
      <c r="RCL1" s="45"/>
      <c r="RCQ1" s="43"/>
      <c r="RCS1" s="45"/>
      <c r="RCT1" s="45"/>
      <c r="RCY1" s="43"/>
      <c r="RDA1" s="45"/>
      <c r="RDB1" s="45"/>
      <c r="RDG1" s="43"/>
      <c r="RDI1" s="45"/>
      <c r="RDJ1" s="45"/>
      <c r="RDO1" s="43"/>
      <c r="RDQ1" s="45"/>
      <c r="RDR1" s="45"/>
      <c r="RDW1" s="43"/>
      <c r="RDY1" s="45"/>
      <c r="RDZ1" s="45"/>
      <c r="REE1" s="43"/>
      <c r="REG1" s="45"/>
      <c r="REH1" s="45"/>
      <c r="REM1" s="43"/>
      <c r="REO1" s="45"/>
      <c r="REP1" s="45"/>
      <c r="REU1" s="43"/>
      <c r="REW1" s="45"/>
      <c r="REX1" s="45"/>
      <c r="RFC1" s="43"/>
      <c r="RFE1" s="45"/>
      <c r="RFF1" s="45"/>
      <c r="RFK1" s="43"/>
      <c r="RFM1" s="45"/>
      <c r="RFN1" s="45"/>
      <c r="RFS1" s="43"/>
      <c r="RFU1" s="45"/>
      <c r="RFV1" s="45"/>
      <c r="RGA1" s="43"/>
      <c r="RGC1" s="45"/>
      <c r="RGD1" s="45"/>
      <c r="RGI1" s="43"/>
      <c r="RGK1" s="45"/>
      <c r="RGL1" s="45"/>
      <c r="RGQ1" s="43"/>
      <c r="RGS1" s="45"/>
      <c r="RGT1" s="45"/>
      <c r="RGY1" s="43"/>
      <c r="RHA1" s="45"/>
      <c r="RHB1" s="45"/>
      <c r="RHG1" s="43"/>
      <c r="RHI1" s="45"/>
      <c r="RHJ1" s="45"/>
      <c r="RHO1" s="43"/>
      <c r="RHQ1" s="45"/>
      <c r="RHR1" s="45"/>
      <c r="RHW1" s="43"/>
      <c r="RHY1" s="45"/>
      <c r="RHZ1" s="45"/>
      <c r="RIE1" s="43"/>
      <c r="RIG1" s="45"/>
      <c r="RIH1" s="45"/>
      <c r="RIM1" s="43"/>
      <c r="RIO1" s="45"/>
      <c r="RIP1" s="45"/>
      <c r="RIU1" s="43"/>
      <c r="RIW1" s="45"/>
      <c r="RIX1" s="45"/>
      <c r="RJC1" s="43"/>
      <c r="RJE1" s="45"/>
      <c r="RJF1" s="45"/>
      <c r="RJK1" s="43"/>
      <c r="RJM1" s="45"/>
      <c r="RJN1" s="45"/>
      <c r="RJS1" s="43"/>
      <c r="RJU1" s="45"/>
      <c r="RJV1" s="45"/>
      <c r="RKA1" s="43"/>
      <c r="RKC1" s="45"/>
      <c r="RKD1" s="45"/>
      <c r="RKI1" s="43"/>
      <c r="RKK1" s="45"/>
      <c r="RKL1" s="45"/>
      <c r="RKQ1" s="43"/>
      <c r="RKS1" s="45"/>
      <c r="RKT1" s="45"/>
      <c r="RKY1" s="43"/>
      <c r="RLA1" s="45"/>
      <c r="RLB1" s="45"/>
      <c r="RLG1" s="43"/>
      <c r="RLI1" s="45"/>
      <c r="RLJ1" s="45"/>
      <c r="RLO1" s="43"/>
      <c r="RLQ1" s="45"/>
      <c r="RLR1" s="45"/>
      <c r="RLW1" s="43"/>
      <c r="RLY1" s="45"/>
      <c r="RLZ1" s="45"/>
      <c r="RME1" s="43"/>
      <c r="RMG1" s="45"/>
      <c r="RMH1" s="45"/>
      <c r="RMM1" s="43"/>
      <c r="RMO1" s="45"/>
      <c r="RMP1" s="45"/>
      <c r="RMU1" s="43"/>
      <c r="RMW1" s="45"/>
      <c r="RMX1" s="45"/>
      <c r="RNC1" s="43"/>
      <c r="RNE1" s="45"/>
      <c r="RNF1" s="45"/>
      <c r="RNK1" s="43"/>
      <c r="RNM1" s="45"/>
      <c r="RNN1" s="45"/>
      <c r="RNS1" s="43"/>
      <c r="RNU1" s="45"/>
      <c r="RNV1" s="45"/>
      <c r="ROA1" s="43"/>
      <c r="ROC1" s="45"/>
      <c r="ROD1" s="45"/>
      <c r="ROI1" s="43"/>
      <c r="ROK1" s="45"/>
      <c r="ROL1" s="45"/>
      <c r="ROQ1" s="43"/>
      <c r="ROS1" s="45"/>
      <c r="ROT1" s="45"/>
      <c r="ROY1" s="43"/>
      <c r="RPA1" s="45"/>
      <c r="RPB1" s="45"/>
      <c r="RPG1" s="43"/>
      <c r="RPI1" s="45"/>
      <c r="RPJ1" s="45"/>
      <c r="RPO1" s="43"/>
      <c r="RPQ1" s="45"/>
      <c r="RPR1" s="45"/>
      <c r="RPW1" s="43"/>
      <c r="RPY1" s="45"/>
      <c r="RPZ1" s="45"/>
      <c r="RQE1" s="43"/>
      <c r="RQG1" s="45"/>
      <c r="RQH1" s="45"/>
      <c r="RQM1" s="43"/>
      <c r="RQO1" s="45"/>
      <c r="RQP1" s="45"/>
      <c r="RQU1" s="43"/>
      <c r="RQW1" s="45"/>
      <c r="RQX1" s="45"/>
      <c r="RRC1" s="43"/>
      <c r="RRE1" s="45"/>
      <c r="RRF1" s="45"/>
      <c r="RRK1" s="43"/>
      <c r="RRM1" s="45"/>
      <c r="RRN1" s="45"/>
      <c r="RRS1" s="43"/>
      <c r="RRU1" s="45"/>
      <c r="RRV1" s="45"/>
      <c r="RSA1" s="43"/>
      <c r="RSC1" s="45"/>
      <c r="RSD1" s="45"/>
      <c r="RSI1" s="43"/>
      <c r="RSK1" s="45"/>
      <c r="RSL1" s="45"/>
      <c r="RSQ1" s="43"/>
      <c r="RSS1" s="45"/>
      <c r="RST1" s="45"/>
      <c r="RSY1" s="43"/>
      <c r="RTA1" s="45"/>
      <c r="RTB1" s="45"/>
      <c r="RTG1" s="43"/>
      <c r="RTI1" s="45"/>
      <c r="RTJ1" s="45"/>
      <c r="RTO1" s="43"/>
      <c r="RTQ1" s="45"/>
      <c r="RTR1" s="45"/>
      <c r="RTW1" s="43"/>
      <c r="RTY1" s="45"/>
      <c r="RTZ1" s="45"/>
      <c r="RUE1" s="43"/>
      <c r="RUG1" s="45"/>
      <c r="RUH1" s="45"/>
      <c r="RUM1" s="43"/>
      <c r="RUO1" s="45"/>
      <c r="RUP1" s="45"/>
      <c r="RUU1" s="43"/>
      <c r="RUW1" s="45"/>
      <c r="RUX1" s="45"/>
      <c r="RVC1" s="43"/>
      <c r="RVE1" s="45"/>
      <c r="RVF1" s="45"/>
      <c r="RVK1" s="43"/>
      <c r="RVM1" s="45"/>
      <c r="RVN1" s="45"/>
      <c r="RVS1" s="43"/>
      <c r="RVU1" s="45"/>
      <c r="RVV1" s="45"/>
      <c r="RWA1" s="43"/>
      <c r="RWC1" s="45"/>
      <c r="RWD1" s="45"/>
      <c r="RWI1" s="43"/>
      <c r="RWK1" s="45"/>
      <c r="RWL1" s="45"/>
      <c r="RWQ1" s="43"/>
      <c r="RWS1" s="45"/>
      <c r="RWT1" s="45"/>
      <c r="RWY1" s="43"/>
      <c r="RXA1" s="45"/>
      <c r="RXB1" s="45"/>
      <c r="RXG1" s="43"/>
      <c r="RXI1" s="45"/>
      <c r="RXJ1" s="45"/>
      <c r="RXO1" s="43"/>
      <c r="RXQ1" s="45"/>
      <c r="RXR1" s="45"/>
      <c r="RXW1" s="43"/>
      <c r="RXY1" s="45"/>
      <c r="RXZ1" s="45"/>
      <c r="RYE1" s="43"/>
      <c r="RYG1" s="45"/>
      <c r="RYH1" s="45"/>
      <c r="RYM1" s="43"/>
      <c r="RYO1" s="45"/>
      <c r="RYP1" s="45"/>
      <c r="RYU1" s="43"/>
      <c r="RYW1" s="45"/>
      <c r="RYX1" s="45"/>
      <c r="RZC1" s="43"/>
      <c r="RZE1" s="45"/>
      <c r="RZF1" s="45"/>
      <c r="RZK1" s="43"/>
      <c r="RZM1" s="45"/>
      <c r="RZN1" s="45"/>
      <c r="RZS1" s="43"/>
      <c r="RZU1" s="45"/>
      <c r="RZV1" s="45"/>
      <c r="SAA1" s="43"/>
      <c r="SAC1" s="45"/>
      <c r="SAD1" s="45"/>
      <c r="SAI1" s="43"/>
      <c r="SAK1" s="45"/>
      <c r="SAL1" s="45"/>
      <c r="SAQ1" s="43"/>
      <c r="SAS1" s="45"/>
      <c r="SAT1" s="45"/>
      <c r="SAY1" s="43"/>
      <c r="SBA1" s="45"/>
      <c r="SBB1" s="45"/>
      <c r="SBG1" s="43"/>
      <c r="SBI1" s="45"/>
      <c r="SBJ1" s="45"/>
      <c r="SBO1" s="43"/>
      <c r="SBQ1" s="45"/>
      <c r="SBR1" s="45"/>
      <c r="SBW1" s="43"/>
      <c r="SBY1" s="45"/>
      <c r="SBZ1" s="45"/>
      <c r="SCE1" s="43"/>
      <c r="SCG1" s="45"/>
      <c r="SCH1" s="45"/>
      <c r="SCM1" s="43"/>
      <c r="SCO1" s="45"/>
      <c r="SCP1" s="45"/>
      <c r="SCU1" s="43"/>
      <c r="SCW1" s="45"/>
      <c r="SCX1" s="45"/>
      <c r="SDC1" s="43"/>
      <c r="SDE1" s="45"/>
      <c r="SDF1" s="45"/>
      <c r="SDK1" s="43"/>
      <c r="SDM1" s="45"/>
      <c r="SDN1" s="45"/>
      <c r="SDS1" s="43"/>
      <c r="SDU1" s="45"/>
      <c r="SDV1" s="45"/>
      <c r="SEA1" s="43"/>
      <c r="SEC1" s="45"/>
      <c r="SED1" s="45"/>
      <c r="SEI1" s="43"/>
      <c r="SEK1" s="45"/>
      <c r="SEL1" s="45"/>
      <c r="SEQ1" s="43"/>
      <c r="SES1" s="45"/>
      <c r="SET1" s="45"/>
      <c r="SEY1" s="43"/>
      <c r="SFA1" s="45"/>
      <c r="SFB1" s="45"/>
      <c r="SFG1" s="43"/>
      <c r="SFI1" s="45"/>
      <c r="SFJ1" s="45"/>
      <c r="SFO1" s="43"/>
      <c r="SFQ1" s="45"/>
      <c r="SFR1" s="45"/>
      <c r="SFW1" s="43"/>
      <c r="SFY1" s="45"/>
      <c r="SFZ1" s="45"/>
      <c r="SGE1" s="43"/>
      <c r="SGG1" s="45"/>
      <c r="SGH1" s="45"/>
      <c r="SGM1" s="43"/>
      <c r="SGO1" s="45"/>
      <c r="SGP1" s="45"/>
      <c r="SGU1" s="43"/>
      <c r="SGW1" s="45"/>
      <c r="SGX1" s="45"/>
      <c r="SHC1" s="43"/>
      <c r="SHE1" s="45"/>
      <c r="SHF1" s="45"/>
      <c r="SHK1" s="43"/>
      <c r="SHM1" s="45"/>
      <c r="SHN1" s="45"/>
      <c r="SHS1" s="43"/>
      <c r="SHU1" s="45"/>
      <c r="SHV1" s="45"/>
      <c r="SIA1" s="43"/>
      <c r="SIC1" s="45"/>
      <c r="SID1" s="45"/>
      <c r="SII1" s="43"/>
      <c r="SIK1" s="45"/>
      <c r="SIL1" s="45"/>
      <c r="SIQ1" s="43"/>
      <c r="SIS1" s="45"/>
      <c r="SIT1" s="45"/>
      <c r="SIY1" s="43"/>
      <c r="SJA1" s="45"/>
      <c r="SJB1" s="45"/>
      <c r="SJG1" s="43"/>
      <c r="SJI1" s="45"/>
      <c r="SJJ1" s="45"/>
      <c r="SJO1" s="43"/>
      <c r="SJQ1" s="45"/>
      <c r="SJR1" s="45"/>
      <c r="SJW1" s="43"/>
      <c r="SJY1" s="45"/>
      <c r="SJZ1" s="45"/>
      <c r="SKE1" s="43"/>
      <c r="SKG1" s="45"/>
      <c r="SKH1" s="45"/>
      <c r="SKM1" s="43"/>
      <c r="SKO1" s="45"/>
      <c r="SKP1" s="45"/>
      <c r="SKU1" s="43"/>
      <c r="SKW1" s="45"/>
      <c r="SKX1" s="45"/>
      <c r="SLC1" s="43"/>
      <c r="SLE1" s="45"/>
      <c r="SLF1" s="45"/>
      <c r="SLK1" s="43"/>
      <c r="SLM1" s="45"/>
      <c r="SLN1" s="45"/>
      <c r="SLS1" s="43"/>
      <c r="SLU1" s="45"/>
      <c r="SLV1" s="45"/>
      <c r="SMA1" s="43"/>
      <c r="SMC1" s="45"/>
      <c r="SMD1" s="45"/>
      <c r="SMI1" s="43"/>
      <c r="SMK1" s="45"/>
      <c r="SML1" s="45"/>
      <c r="SMQ1" s="43"/>
      <c r="SMS1" s="45"/>
      <c r="SMT1" s="45"/>
      <c r="SMY1" s="43"/>
      <c r="SNA1" s="45"/>
      <c r="SNB1" s="45"/>
      <c r="SNG1" s="43"/>
      <c r="SNI1" s="45"/>
      <c r="SNJ1" s="45"/>
      <c r="SNO1" s="43"/>
      <c r="SNQ1" s="45"/>
      <c r="SNR1" s="45"/>
      <c r="SNW1" s="43"/>
      <c r="SNY1" s="45"/>
      <c r="SNZ1" s="45"/>
      <c r="SOE1" s="43"/>
      <c r="SOG1" s="45"/>
      <c r="SOH1" s="45"/>
      <c r="SOM1" s="43"/>
      <c r="SOO1" s="45"/>
      <c r="SOP1" s="45"/>
      <c r="SOU1" s="43"/>
      <c r="SOW1" s="45"/>
      <c r="SOX1" s="45"/>
      <c r="SPC1" s="43"/>
      <c r="SPE1" s="45"/>
      <c r="SPF1" s="45"/>
      <c r="SPK1" s="43"/>
      <c r="SPM1" s="45"/>
      <c r="SPN1" s="45"/>
      <c r="SPS1" s="43"/>
      <c r="SPU1" s="45"/>
      <c r="SPV1" s="45"/>
      <c r="SQA1" s="43"/>
      <c r="SQC1" s="45"/>
      <c r="SQD1" s="45"/>
      <c r="SQI1" s="43"/>
      <c r="SQK1" s="45"/>
      <c r="SQL1" s="45"/>
      <c r="SQQ1" s="43"/>
      <c r="SQS1" s="45"/>
      <c r="SQT1" s="45"/>
      <c r="SQY1" s="43"/>
      <c r="SRA1" s="45"/>
      <c r="SRB1" s="45"/>
      <c r="SRG1" s="43"/>
      <c r="SRI1" s="45"/>
      <c r="SRJ1" s="45"/>
      <c r="SRO1" s="43"/>
      <c r="SRQ1" s="45"/>
      <c r="SRR1" s="45"/>
      <c r="SRW1" s="43"/>
      <c r="SRY1" s="45"/>
      <c r="SRZ1" s="45"/>
      <c r="SSE1" s="43"/>
      <c r="SSG1" s="45"/>
      <c r="SSH1" s="45"/>
      <c r="SSM1" s="43"/>
      <c r="SSO1" s="45"/>
      <c r="SSP1" s="45"/>
      <c r="SSU1" s="43"/>
      <c r="SSW1" s="45"/>
      <c r="SSX1" s="45"/>
      <c r="STC1" s="43"/>
      <c r="STE1" s="45"/>
      <c r="STF1" s="45"/>
      <c r="STK1" s="43"/>
      <c r="STM1" s="45"/>
      <c r="STN1" s="45"/>
      <c r="STS1" s="43"/>
      <c r="STU1" s="45"/>
      <c r="STV1" s="45"/>
      <c r="SUA1" s="43"/>
      <c r="SUC1" s="45"/>
      <c r="SUD1" s="45"/>
      <c r="SUI1" s="43"/>
      <c r="SUK1" s="45"/>
      <c r="SUL1" s="45"/>
      <c r="SUQ1" s="43"/>
      <c r="SUS1" s="45"/>
      <c r="SUT1" s="45"/>
      <c r="SUY1" s="43"/>
      <c r="SVA1" s="45"/>
      <c r="SVB1" s="45"/>
      <c r="SVG1" s="43"/>
      <c r="SVI1" s="45"/>
      <c r="SVJ1" s="45"/>
      <c r="SVO1" s="43"/>
      <c r="SVQ1" s="45"/>
      <c r="SVR1" s="45"/>
      <c r="SVW1" s="43"/>
      <c r="SVY1" s="45"/>
      <c r="SVZ1" s="45"/>
      <c r="SWE1" s="43"/>
      <c r="SWG1" s="45"/>
      <c r="SWH1" s="45"/>
      <c r="SWM1" s="43"/>
      <c r="SWO1" s="45"/>
      <c r="SWP1" s="45"/>
      <c r="SWU1" s="43"/>
      <c r="SWW1" s="45"/>
      <c r="SWX1" s="45"/>
      <c r="SXC1" s="43"/>
      <c r="SXE1" s="45"/>
      <c r="SXF1" s="45"/>
      <c r="SXK1" s="43"/>
      <c r="SXM1" s="45"/>
      <c r="SXN1" s="45"/>
      <c r="SXS1" s="43"/>
      <c r="SXU1" s="45"/>
      <c r="SXV1" s="45"/>
      <c r="SYA1" s="43"/>
      <c r="SYC1" s="45"/>
      <c r="SYD1" s="45"/>
      <c r="SYI1" s="43"/>
      <c r="SYK1" s="45"/>
      <c r="SYL1" s="45"/>
      <c r="SYQ1" s="43"/>
      <c r="SYS1" s="45"/>
      <c r="SYT1" s="45"/>
      <c r="SYY1" s="43"/>
      <c r="SZA1" s="45"/>
      <c r="SZB1" s="45"/>
      <c r="SZG1" s="43"/>
      <c r="SZI1" s="45"/>
      <c r="SZJ1" s="45"/>
      <c r="SZO1" s="43"/>
      <c r="SZQ1" s="45"/>
      <c r="SZR1" s="45"/>
      <c r="SZW1" s="43"/>
      <c r="SZY1" s="45"/>
      <c r="SZZ1" s="45"/>
      <c r="TAE1" s="43"/>
      <c r="TAG1" s="45"/>
      <c r="TAH1" s="45"/>
      <c r="TAM1" s="43"/>
      <c r="TAO1" s="45"/>
      <c r="TAP1" s="45"/>
      <c r="TAU1" s="43"/>
      <c r="TAW1" s="45"/>
      <c r="TAX1" s="45"/>
      <c r="TBC1" s="43"/>
      <c r="TBE1" s="45"/>
      <c r="TBF1" s="45"/>
      <c r="TBK1" s="43"/>
      <c r="TBM1" s="45"/>
      <c r="TBN1" s="45"/>
      <c r="TBS1" s="43"/>
      <c r="TBU1" s="45"/>
      <c r="TBV1" s="45"/>
      <c r="TCA1" s="43"/>
      <c r="TCC1" s="45"/>
      <c r="TCD1" s="45"/>
      <c r="TCI1" s="43"/>
      <c r="TCK1" s="45"/>
      <c r="TCL1" s="45"/>
      <c r="TCQ1" s="43"/>
      <c r="TCS1" s="45"/>
      <c r="TCT1" s="45"/>
      <c r="TCY1" s="43"/>
      <c r="TDA1" s="45"/>
      <c r="TDB1" s="45"/>
      <c r="TDG1" s="43"/>
      <c r="TDI1" s="45"/>
      <c r="TDJ1" s="45"/>
      <c r="TDO1" s="43"/>
      <c r="TDQ1" s="45"/>
      <c r="TDR1" s="45"/>
      <c r="TDW1" s="43"/>
      <c r="TDY1" s="45"/>
      <c r="TDZ1" s="45"/>
      <c r="TEE1" s="43"/>
      <c r="TEG1" s="45"/>
      <c r="TEH1" s="45"/>
      <c r="TEM1" s="43"/>
      <c r="TEO1" s="45"/>
      <c r="TEP1" s="45"/>
      <c r="TEU1" s="43"/>
      <c r="TEW1" s="45"/>
      <c r="TEX1" s="45"/>
      <c r="TFC1" s="43"/>
      <c r="TFE1" s="45"/>
      <c r="TFF1" s="45"/>
      <c r="TFK1" s="43"/>
      <c r="TFM1" s="45"/>
      <c r="TFN1" s="45"/>
      <c r="TFS1" s="43"/>
      <c r="TFU1" s="45"/>
      <c r="TFV1" s="45"/>
      <c r="TGA1" s="43"/>
      <c r="TGC1" s="45"/>
      <c r="TGD1" s="45"/>
      <c r="TGI1" s="43"/>
      <c r="TGK1" s="45"/>
      <c r="TGL1" s="45"/>
      <c r="TGQ1" s="43"/>
      <c r="TGS1" s="45"/>
      <c r="TGT1" s="45"/>
      <c r="TGY1" s="43"/>
      <c r="THA1" s="45"/>
      <c r="THB1" s="45"/>
      <c r="THG1" s="43"/>
      <c r="THI1" s="45"/>
      <c r="THJ1" s="45"/>
      <c r="THO1" s="43"/>
      <c r="THQ1" s="45"/>
      <c r="THR1" s="45"/>
      <c r="THW1" s="43"/>
      <c r="THY1" s="45"/>
      <c r="THZ1" s="45"/>
      <c r="TIE1" s="43"/>
      <c r="TIG1" s="45"/>
      <c r="TIH1" s="45"/>
      <c r="TIM1" s="43"/>
      <c r="TIO1" s="45"/>
      <c r="TIP1" s="45"/>
      <c r="TIU1" s="43"/>
      <c r="TIW1" s="45"/>
      <c r="TIX1" s="45"/>
      <c r="TJC1" s="43"/>
      <c r="TJE1" s="45"/>
      <c r="TJF1" s="45"/>
      <c r="TJK1" s="43"/>
      <c r="TJM1" s="45"/>
      <c r="TJN1" s="45"/>
      <c r="TJS1" s="43"/>
      <c r="TJU1" s="45"/>
      <c r="TJV1" s="45"/>
      <c r="TKA1" s="43"/>
      <c r="TKC1" s="45"/>
      <c r="TKD1" s="45"/>
      <c r="TKI1" s="43"/>
      <c r="TKK1" s="45"/>
      <c r="TKL1" s="45"/>
      <c r="TKQ1" s="43"/>
      <c r="TKS1" s="45"/>
      <c r="TKT1" s="45"/>
      <c r="TKY1" s="43"/>
      <c r="TLA1" s="45"/>
      <c r="TLB1" s="45"/>
      <c r="TLG1" s="43"/>
      <c r="TLI1" s="45"/>
      <c r="TLJ1" s="45"/>
      <c r="TLO1" s="43"/>
      <c r="TLQ1" s="45"/>
      <c r="TLR1" s="45"/>
      <c r="TLW1" s="43"/>
      <c r="TLY1" s="45"/>
      <c r="TLZ1" s="45"/>
      <c r="TME1" s="43"/>
      <c r="TMG1" s="45"/>
      <c r="TMH1" s="45"/>
      <c r="TMM1" s="43"/>
      <c r="TMO1" s="45"/>
      <c r="TMP1" s="45"/>
      <c r="TMU1" s="43"/>
      <c r="TMW1" s="45"/>
      <c r="TMX1" s="45"/>
      <c r="TNC1" s="43"/>
      <c r="TNE1" s="45"/>
      <c r="TNF1" s="45"/>
      <c r="TNK1" s="43"/>
      <c r="TNM1" s="45"/>
      <c r="TNN1" s="45"/>
      <c r="TNS1" s="43"/>
      <c r="TNU1" s="45"/>
      <c r="TNV1" s="45"/>
      <c r="TOA1" s="43"/>
      <c r="TOC1" s="45"/>
      <c r="TOD1" s="45"/>
      <c r="TOI1" s="43"/>
      <c r="TOK1" s="45"/>
      <c r="TOL1" s="45"/>
      <c r="TOQ1" s="43"/>
      <c r="TOS1" s="45"/>
      <c r="TOT1" s="45"/>
      <c r="TOY1" s="43"/>
      <c r="TPA1" s="45"/>
      <c r="TPB1" s="45"/>
      <c r="TPG1" s="43"/>
      <c r="TPI1" s="45"/>
      <c r="TPJ1" s="45"/>
      <c r="TPO1" s="43"/>
      <c r="TPQ1" s="45"/>
      <c r="TPR1" s="45"/>
      <c r="TPW1" s="43"/>
      <c r="TPY1" s="45"/>
      <c r="TPZ1" s="45"/>
      <c r="TQE1" s="43"/>
      <c r="TQG1" s="45"/>
      <c r="TQH1" s="45"/>
      <c r="TQM1" s="43"/>
      <c r="TQO1" s="45"/>
      <c r="TQP1" s="45"/>
      <c r="TQU1" s="43"/>
      <c r="TQW1" s="45"/>
      <c r="TQX1" s="45"/>
      <c r="TRC1" s="43"/>
      <c r="TRE1" s="45"/>
      <c r="TRF1" s="45"/>
      <c r="TRK1" s="43"/>
      <c r="TRM1" s="45"/>
      <c r="TRN1" s="45"/>
      <c r="TRS1" s="43"/>
      <c r="TRU1" s="45"/>
      <c r="TRV1" s="45"/>
      <c r="TSA1" s="43"/>
      <c r="TSC1" s="45"/>
      <c r="TSD1" s="45"/>
      <c r="TSI1" s="43"/>
      <c r="TSK1" s="45"/>
      <c r="TSL1" s="45"/>
      <c r="TSQ1" s="43"/>
      <c r="TSS1" s="45"/>
      <c r="TST1" s="45"/>
      <c r="TSY1" s="43"/>
      <c r="TTA1" s="45"/>
      <c r="TTB1" s="45"/>
      <c r="TTG1" s="43"/>
      <c r="TTI1" s="45"/>
      <c r="TTJ1" s="45"/>
      <c r="TTO1" s="43"/>
      <c r="TTQ1" s="45"/>
      <c r="TTR1" s="45"/>
      <c r="TTW1" s="43"/>
      <c r="TTY1" s="45"/>
      <c r="TTZ1" s="45"/>
      <c r="TUE1" s="43"/>
      <c r="TUG1" s="45"/>
      <c r="TUH1" s="45"/>
      <c r="TUM1" s="43"/>
      <c r="TUO1" s="45"/>
      <c r="TUP1" s="45"/>
      <c r="TUU1" s="43"/>
      <c r="TUW1" s="45"/>
      <c r="TUX1" s="45"/>
      <c r="TVC1" s="43"/>
      <c r="TVE1" s="45"/>
      <c r="TVF1" s="45"/>
      <c r="TVK1" s="43"/>
      <c r="TVM1" s="45"/>
      <c r="TVN1" s="45"/>
      <c r="TVS1" s="43"/>
      <c r="TVU1" s="45"/>
      <c r="TVV1" s="45"/>
      <c r="TWA1" s="43"/>
      <c r="TWC1" s="45"/>
      <c r="TWD1" s="45"/>
      <c r="TWI1" s="43"/>
      <c r="TWK1" s="45"/>
      <c r="TWL1" s="45"/>
      <c r="TWQ1" s="43"/>
      <c r="TWS1" s="45"/>
      <c r="TWT1" s="45"/>
      <c r="TWY1" s="43"/>
      <c r="TXA1" s="45"/>
      <c r="TXB1" s="45"/>
      <c r="TXG1" s="43"/>
      <c r="TXI1" s="45"/>
      <c r="TXJ1" s="45"/>
      <c r="TXO1" s="43"/>
      <c r="TXQ1" s="45"/>
      <c r="TXR1" s="45"/>
      <c r="TXW1" s="43"/>
      <c r="TXY1" s="45"/>
      <c r="TXZ1" s="45"/>
      <c r="TYE1" s="43"/>
      <c r="TYG1" s="45"/>
      <c r="TYH1" s="45"/>
      <c r="TYM1" s="43"/>
      <c r="TYO1" s="45"/>
      <c r="TYP1" s="45"/>
      <c r="TYU1" s="43"/>
      <c r="TYW1" s="45"/>
      <c r="TYX1" s="45"/>
      <c r="TZC1" s="43"/>
      <c r="TZE1" s="45"/>
      <c r="TZF1" s="45"/>
      <c r="TZK1" s="43"/>
      <c r="TZM1" s="45"/>
      <c r="TZN1" s="45"/>
      <c r="TZS1" s="43"/>
      <c r="TZU1" s="45"/>
      <c r="TZV1" s="45"/>
      <c r="UAA1" s="43"/>
      <c r="UAC1" s="45"/>
      <c r="UAD1" s="45"/>
      <c r="UAI1" s="43"/>
      <c r="UAK1" s="45"/>
      <c r="UAL1" s="45"/>
      <c r="UAQ1" s="43"/>
      <c r="UAS1" s="45"/>
      <c r="UAT1" s="45"/>
      <c r="UAY1" s="43"/>
      <c r="UBA1" s="45"/>
      <c r="UBB1" s="45"/>
      <c r="UBG1" s="43"/>
      <c r="UBI1" s="45"/>
      <c r="UBJ1" s="45"/>
      <c r="UBO1" s="43"/>
      <c r="UBQ1" s="45"/>
      <c r="UBR1" s="45"/>
      <c r="UBW1" s="43"/>
      <c r="UBY1" s="45"/>
      <c r="UBZ1" s="45"/>
      <c r="UCE1" s="43"/>
      <c r="UCG1" s="45"/>
      <c r="UCH1" s="45"/>
      <c r="UCM1" s="43"/>
      <c r="UCO1" s="45"/>
      <c r="UCP1" s="45"/>
      <c r="UCU1" s="43"/>
      <c r="UCW1" s="45"/>
      <c r="UCX1" s="45"/>
      <c r="UDC1" s="43"/>
      <c r="UDE1" s="45"/>
      <c r="UDF1" s="45"/>
      <c r="UDK1" s="43"/>
      <c r="UDM1" s="45"/>
      <c r="UDN1" s="45"/>
      <c r="UDS1" s="43"/>
      <c r="UDU1" s="45"/>
      <c r="UDV1" s="45"/>
      <c r="UEA1" s="43"/>
      <c r="UEC1" s="45"/>
      <c r="UED1" s="45"/>
      <c r="UEI1" s="43"/>
      <c r="UEK1" s="45"/>
      <c r="UEL1" s="45"/>
      <c r="UEQ1" s="43"/>
      <c r="UES1" s="45"/>
      <c r="UET1" s="45"/>
      <c r="UEY1" s="43"/>
      <c r="UFA1" s="45"/>
      <c r="UFB1" s="45"/>
      <c r="UFG1" s="43"/>
      <c r="UFI1" s="45"/>
      <c r="UFJ1" s="45"/>
      <c r="UFO1" s="43"/>
      <c r="UFQ1" s="45"/>
      <c r="UFR1" s="45"/>
      <c r="UFW1" s="43"/>
      <c r="UFY1" s="45"/>
      <c r="UFZ1" s="45"/>
      <c r="UGE1" s="43"/>
      <c r="UGG1" s="45"/>
      <c r="UGH1" s="45"/>
      <c r="UGM1" s="43"/>
      <c r="UGO1" s="45"/>
      <c r="UGP1" s="45"/>
      <c r="UGU1" s="43"/>
      <c r="UGW1" s="45"/>
      <c r="UGX1" s="45"/>
      <c r="UHC1" s="43"/>
      <c r="UHE1" s="45"/>
      <c r="UHF1" s="45"/>
      <c r="UHK1" s="43"/>
      <c r="UHM1" s="45"/>
      <c r="UHN1" s="45"/>
      <c r="UHS1" s="43"/>
      <c r="UHU1" s="45"/>
      <c r="UHV1" s="45"/>
      <c r="UIA1" s="43"/>
      <c r="UIC1" s="45"/>
      <c r="UID1" s="45"/>
      <c r="UII1" s="43"/>
      <c r="UIK1" s="45"/>
      <c r="UIL1" s="45"/>
      <c r="UIQ1" s="43"/>
      <c r="UIS1" s="45"/>
      <c r="UIT1" s="45"/>
      <c r="UIY1" s="43"/>
      <c r="UJA1" s="45"/>
      <c r="UJB1" s="45"/>
      <c r="UJG1" s="43"/>
      <c r="UJI1" s="45"/>
      <c r="UJJ1" s="45"/>
      <c r="UJO1" s="43"/>
      <c r="UJQ1" s="45"/>
      <c r="UJR1" s="45"/>
      <c r="UJW1" s="43"/>
      <c r="UJY1" s="45"/>
      <c r="UJZ1" s="45"/>
      <c r="UKE1" s="43"/>
      <c r="UKG1" s="45"/>
      <c r="UKH1" s="45"/>
      <c r="UKM1" s="43"/>
      <c r="UKO1" s="45"/>
      <c r="UKP1" s="45"/>
      <c r="UKU1" s="43"/>
      <c r="UKW1" s="45"/>
      <c r="UKX1" s="45"/>
      <c r="ULC1" s="43"/>
      <c r="ULE1" s="45"/>
      <c r="ULF1" s="45"/>
      <c r="ULK1" s="43"/>
      <c r="ULM1" s="45"/>
      <c r="ULN1" s="45"/>
      <c r="ULS1" s="43"/>
      <c r="ULU1" s="45"/>
      <c r="ULV1" s="45"/>
      <c r="UMA1" s="43"/>
      <c r="UMC1" s="45"/>
      <c r="UMD1" s="45"/>
      <c r="UMI1" s="43"/>
      <c r="UMK1" s="45"/>
      <c r="UML1" s="45"/>
      <c r="UMQ1" s="43"/>
      <c r="UMS1" s="45"/>
      <c r="UMT1" s="45"/>
      <c r="UMY1" s="43"/>
      <c r="UNA1" s="45"/>
      <c r="UNB1" s="45"/>
      <c r="UNG1" s="43"/>
      <c r="UNI1" s="45"/>
      <c r="UNJ1" s="45"/>
      <c r="UNO1" s="43"/>
      <c r="UNQ1" s="45"/>
      <c r="UNR1" s="45"/>
      <c r="UNW1" s="43"/>
      <c r="UNY1" s="45"/>
      <c r="UNZ1" s="45"/>
      <c r="UOE1" s="43"/>
      <c r="UOG1" s="45"/>
      <c r="UOH1" s="45"/>
      <c r="UOM1" s="43"/>
      <c r="UOO1" s="45"/>
      <c r="UOP1" s="45"/>
      <c r="UOU1" s="43"/>
      <c r="UOW1" s="45"/>
      <c r="UOX1" s="45"/>
      <c r="UPC1" s="43"/>
      <c r="UPE1" s="45"/>
      <c r="UPF1" s="45"/>
      <c r="UPK1" s="43"/>
      <c r="UPM1" s="45"/>
      <c r="UPN1" s="45"/>
      <c r="UPS1" s="43"/>
      <c r="UPU1" s="45"/>
      <c r="UPV1" s="45"/>
      <c r="UQA1" s="43"/>
      <c r="UQC1" s="45"/>
      <c r="UQD1" s="45"/>
      <c r="UQI1" s="43"/>
      <c r="UQK1" s="45"/>
      <c r="UQL1" s="45"/>
      <c r="UQQ1" s="43"/>
      <c r="UQS1" s="45"/>
      <c r="UQT1" s="45"/>
      <c r="UQY1" s="43"/>
      <c r="URA1" s="45"/>
      <c r="URB1" s="45"/>
      <c r="URG1" s="43"/>
      <c r="URI1" s="45"/>
      <c r="URJ1" s="45"/>
      <c r="URO1" s="43"/>
      <c r="URQ1" s="45"/>
      <c r="URR1" s="45"/>
      <c r="URW1" s="43"/>
      <c r="URY1" s="45"/>
      <c r="URZ1" s="45"/>
      <c r="USE1" s="43"/>
      <c r="USG1" s="45"/>
      <c r="USH1" s="45"/>
      <c r="USM1" s="43"/>
      <c r="USO1" s="45"/>
      <c r="USP1" s="45"/>
      <c r="USU1" s="43"/>
      <c r="USW1" s="45"/>
      <c r="USX1" s="45"/>
      <c r="UTC1" s="43"/>
      <c r="UTE1" s="45"/>
      <c r="UTF1" s="45"/>
      <c r="UTK1" s="43"/>
      <c r="UTM1" s="45"/>
      <c r="UTN1" s="45"/>
      <c r="UTS1" s="43"/>
      <c r="UTU1" s="45"/>
      <c r="UTV1" s="45"/>
      <c r="UUA1" s="43"/>
      <c r="UUC1" s="45"/>
      <c r="UUD1" s="45"/>
      <c r="UUI1" s="43"/>
      <c r="UUK1" s="45"/>
      <c r="UUL1" s="45"/>
      <c r="UUQ1" s="43"/>
      <c r="UUS1" s="45"/>
      <c r="UUT1" s="45"/>
      <c r="UUY1" s="43"/>
      <c r="UVA1" s="45"/>
      <c r="UVB1" s="45"/>
      <c r="UVG1" s="43"/>
      <c r="UVI1" s="45"/>
      <c r="UVJ1" s="45"/>
      <c r="UVO1" s="43"/>
      <c r="UVQ1" s="45"/>
      <c r="UVR1" s="45"/>
      <c r="UVW1" s="43"/>
      <c r="UVY1" s="45"/>
      <c r="UVZ1" s="45"/>
      <c r="UWE1" s="43"/>
      <c r="UWG1" s="45"/>
      <c r="UWH1" s="45"/>
      <c r="UWM1" s="43"/>
      <c r="UWO1" s="45"/>
      <c r="UWP1" s="45"/>
      <c r="UWU1" s="43"/>
      <c r="UWW1" s="45"/>
      <c r="UWX1" s="45"/>
      <c r="UXC1" s="43"/>
      <c r="UXE1" s="45"/>
      <c r="UXF1" s="45"/>
      <c r="UXK1" s="43"/>
      <c r="UXM1" s="45"/>
      <c r="UXN1" s="45"/>
      <c r="UXS1" s="43"/>
      <c r="UXU1" s="45"/>
      <c r="UXV1" s="45"/>
      <c r="UYA1" s="43"/>
      <c r="UYC1" s="45"/>
      <c r="UYD1" s="45"/>
      <c r="UYI1" s="43"/>
      <c r="UYK1" s="45"/>
      <c r="UYL1" s="45"/>
      <c r="UYQ1" s="43"/>
      <c r="UYS1" s="45"/>
      <c r="UYT1" s="45"/>
      <c r="UYY1" s="43"/>
      <c r="UZA1" s="45"/>
      <c r="UZB1" s="45"/>
      <c r="UZG1" s="43"/>
      <c r="UZI1" s="45"/>
      <c r="UZJ1" s="45"/>
      <c r="UZO1" s="43"/>
      <c r="UZQ1" s="45"/>
      <c r="UZR1" s="45"/>
      <c r="UZW1" s="43"/>
      <c r="UZY1" s="45"/>
      <c r="UZZ1" s="45"/>
      <c r="VAE1" s="43"/>
      <c r="VAG1" s="45"/>
      <c r="VAH1" s="45"/>
      <c r="VAM1" s="43"/>
      <c r="VAO1" s="45"/>
      <c r="VAP1" s="45"/>
      <c r="VAU1" s="43"/>
      <c r="VAW1" s="45"/>
      <c r="VAX1" s="45"/>
      <c r="VBC1" s="43"/>
      <c r="VBE1" s="45"/>
      <c r="VBF1" s="45"/>
      <c r="VBK1" s="43"/>
      <c r="VBM1" s="45"/>
      <c r="VBN1" s="45"/>
      <c r="VBS1" s="43"/>
      <c r="VBU1" s="45"/>
      <c r="VBV1" s="45"/>
      <c r="VCA1" s="43"/>
      <c r="VCC1" s="45"/>
      <c r="VCD1" s="45"/>
      <c r="VCI1" s="43"/>
      <c r="VCK1" s="45"/>
      <c r="VCL1" s="45"/>
      <c r="VCQ1" s="43"/>
      <c r="VCS1" s="45"/>
      <c r="VCT1" s="45"/>
      <c r="VCY1" s="43"/>
      <c r="VDA1" s="45"/>
      <c r="VDB1" s="45"/>
      <c r="VDG1" s="43"/>
      <c r="VDI1" s="45"/>
      <c r="VDJ1" s="45"/>
      <c r="VDO1" s="43"/>
      <c r="VDQ1" s="45"/>
      <c r="VDR1" s="45"/>
      <c r="VDW1" s="43"/>
      <c r="VDY1" s="45"/>
      <c r="VDZ1" s="45"/>
      <c r="VEE1" s="43"/>
      <c r="VEG1" s="45"/>
      <c r="VEH1" s="45"/>
      <c r="VEM1" s="43"/>
      <c r="VEO1" s="45"/>
      <c r="VEP1" s="45"/>
      <c r="VEU1" s="43"/>
      <c r="VEW1" s="45"/>
      <c r="VEX1" s="45"/>
      <c r="VFC1" s="43"/>
      <c r="VFE1" s="45"/>
      <c r="VFF1" s="45"/>
      <c r="VFK1" s="43"/>
      <c r="VFM1" s="45"/>
      <c r="VFN1" s="45"/>
      <c r="VFS1" s="43"/>
      <c r="VFU1" s="45"/>
      <c r="VFV1" s="45"/>
      <c r="VGA1" s="43"/>
      <c r="VGC1" s="45"/>
      <c r="VGD1" s="45"/>
      <c r="VGI1" s="43"/>
      <c r="VGK1" s="45"/>
      <c r="VGL1" s="45"/>
      <c r="VGQ1" s="43"/>
      <c r="VGS1" s="45"/>
      <c r="VGT1" s="45"/>
      <c r="VGY1" s="43"/>
      <c r="VHA1" s="45"/>
      <c r="VHB1" s="45"/>
      <c r="VHG1" s="43"/>
      <c r="VHI1" s="45"/>
      <c r="VHJ1" s="45"/>
      <c r="VHO1" s="43"/>
      <c r="VHQ1" s="45"/>
      <c r="VHR1" s="45"/>
      <c r="VHW1" s="43"/>
      <c r="VHY1" s="45"/>
      <c r="VHZ1" s="45"/>
      <c r="VIE1" s="43"/>
      <c r="VIG1" s="45"/>
      <c r="VIH1" s="45"/>
      <c r="VIM1" s="43"/>
      <c r="VIO1" s="45"/>
      <c r="VIP1" s="45"/>
      <c r="VIU1" s="43"/>
      <c r="VIW1" s="45"/>
      <c r="VIX1" s="45"/>
      <c r="VJC1" s="43"/>
      <c r="VJE1" s="45"/>
      <c r="VJF1" s="45"/>
      <c r="VJK1" s="43"/>
      <c r="VJM1" s="45"/>
      <c r="VJN1" s="45"/>
      <c r="VJS1" s="43"/>
      <c r="VJU1" s="45"/>
      <c r="VJV1" s="45"/>
      <c r="VKA1" s="43"/>
      <c r="VKC1" s="45"/>
      <c r="VKD1" s="45"/>
      <c r="VKI1" s="43"/>
      <c r="VKK1" s="45"/>
      <c r="VKL1" s="45"/>
      <c r="VKQ1" s="43"/>
      <c r="VKS1" s="45"/>
      <c r="VKT1" s="45"/>
      <c r="VKY1" s="43"/>
      <c r="VLA1" s="45"/>
      <c r="VLB1" s="45"/>
      <c r="VLG1" s="43"/>
      <c r="VLI1" s="45"/>
      <c r="VLJ1" s="45"/>
      <c r="VLO1" s="43"/>
      <c r="VLQ1" s="45"/>
      <c r="VLR1" s="45"/>
      <c r="VLW1" s="43"/>
      <c r="VLY1" s="45"/>
      <c r="VLZ1" s="45"/>
      <c r="VME1" s="43"/>
      <c r="VMG1" s="45"/>
      <c r="VMH1" s="45"/>
      <c r="VMM1" s="43"/>
      <c r="VMO1" s="45"/>
      <c r="VMP1" s="45"/>
      <c r="VMU1" s="43"/>
      <c r="VMW1" s="45"/>
      <c r="VMX1" s="45"/>
      <c r="VNC1" s="43"/>
      <c r="VNE1" s="45"/>
      <c r="VNF1" s="45"/>
      <c r="VNK1" s="43"/>
      <c r="VNM1" s="45"/>
      <c r="VNN1" s="45"/>
      <c r="VNS1" s="43"/>
      <c r="VNU1" s="45"/>
      <c r="VNV1" s="45"/>
      <c r="VOA1" s="43"/>
      <c r="VOC1" s="45"/>
      <c r="VOD1" s="45"/>
      <c r="VOI1" s="43"/>
      <c r="VOK1" s="45"/>
      <c r="VOL1" s="45"/>
      <c r="VOQ1" s="43"/>
      <c r="VOS1" s="45"/>
      <c r="VOT1" s="45"/>
      <c r="VOY1" s="43"/>
      <c r="VPA1" s="45"/>
      <c r="VPB1" s="45"/>
      <c r="VPG1" s="43"/>
      <c r="VPI1" s="45"/>
      <c r="VPJ1" s="45"/>
      <c r="VPO1" s="43"/>
      <c r="VPQ1" s="45"/>
      <c r="VPR1" s="45"/>
      <c r="VPW1" s="43"/>
      <c r="VPY1" s="45"/>
      <c r="VPZ1" s="45"/>
      <c r="VQE1" s="43"/>
      <c r="VQG1" s="45"/>
      <c r="VQH1" s="45"/>
      <c r="VQM1" s="43"/>
      <c r="VQO1" s="45"/>
      <c r="VQP1" s="45"/>
      <c r="VQU1" s="43"/>
      <c r="VQW1" s="45"/>
      <c r="VQX1" s="45"/>
      <c r="VRC1" s="43"/>
      <c r="VRE1" s="45"/>
      <c r="VRF1" s="45"/>
      <c r="VRK1" s="43"/>
      <c r="VRM1" s="45"/>
      <c r="VRN1" s="45"/>
      <c r="VRS1" s="43"/>
      <c r="VRU1" s="45"/>
      <c r="VRV1" s="45"/>
      <c r="VSA1" s="43"/>
      <c r="VSC1" s="45"/>
      <c r="VSD1" s="45"/>
      <c r="VSI1" s="43"/>
      <c r="VSK1" s="45"/>
      <c r="VSL1" s="45"/>
      <c r="VSQ1" s="43"/>
      <c r="VSS1" s="45"/>
      <c r="VST1" s="45"/>
      <c r="VSY1" s="43"/>
      <c r="VTA1" s="45"/>
      <c r="VTB1" s="45"/>
      <c r="VTG1" s="43"/>
      <c r="VTI1" s="45"/>
      <c r="VTJ1" s="45"/>
      <c r="VTO1" s="43"/>
      <c r="VTQ1" s="45"/>
      <c r="VTR1" s="45"/>
      <c r="VTW1" s="43"/>
      <c r="VTY1" s="45"/>
      <c r="VTZ1" s="45"/>
      <c r="VUE1" s="43"/>
      <c r="VUG1" s="45"/>
      <c r="VUH1" s="45"/>
      <c r="VUM1" s="43"/>
      <c r="VUO1" s="45"/>
      <c r="VUP1" s="45"/>
      <c r="VUU1" s="43"/>
      <c r="VUW1" s="45"/>
      <c r="VUX1" s="45"/>
      <c r="VVC1" s="43"/>
      <c r="VVE1" s="45"/>
      <c r="VVF1" s="45"/>
      <c r="VVK1" s="43"/>
      <c r="VVM1" s="45"/>
      <c r="VVN1" s="45"/>
      <c r="VVS1" s="43"/>
      <c r="VVU1" s="45"/>
      <c r="VVV1" s="45"/>
      <c r="VWA1" s="43"/>
      <c r="VWC1" s="45"/>
      <c r="VWD1" s="45"/>
      <c r="VWI1" s="43"/>
      <c r="VWK1" s="45"/>
      <c r="VWL1" s="45"/>
      <c r="VWQ1" s="43"/>
      <c r="VWS1" s="45"/>
      <c r="VWT1" s="45"/>
      <c r="VWY1" s="43"/>
      <c r="VXA1" s="45"/>
      <c r="VXB1" s="45"/>
      <c r="VXG1" s="43"/>
      <c r="VXI1" s="45"/>
      <c r="VXJ1" s="45"/>
      <c r="VXO1" s="43"/>
      <c r="VXQ1" s="45"/>
      <c r="VXR1" s="45"/>
      <c r="VXW1" s="43"/>
      <c r="VXY1" s="45"/>
      <c r="VXZ1" s="45"/>
      <c r="VYE1" s="43"/>
      <c r="VYG1" s="45"/>
      <c r="VYH1" s="45"/>
      <c r="VYM1" s="43"/>
      <c r="VYO1" s="45"/>
      <c r="VYP1" s="45"/>
      <c r="VYU1" s="43"/>
      <c r="VYW1" s="45"/>
      <c r="VYX1" s="45"/>
      <c r="VZC1" s="43"/>
      <c r="VZE1" s="45"/>
      <c r="VZF1" s="45"/>
      <c r="VZK1" s="43"/>
      <c r="VZM1" s="45"/>
      <c r="VZN1" s="45"/>
      <c r="VZS1" s="43"/>
      <c r="VZU1" s="45"/>
      <c r="VZV1" s="45"/>
      <c r="WAA1" s="43"/>
      <c r="WAC1" s="45"/>
      <c r="WAD1" s="45"/>
      <c r="WAI1" s="43"/>
      <c r="WAK1" s="45"/>
      <c r="WAL1" s="45"/>
      <c r="WAQ1" s="43"/>
      <c r="WAS1" s="45"/>
      <c r="WAT1" s="45"/>
      <c r="WAY1" s="43"/>
      <c r="WBA1" s="45"/>
      <c r="WBB1" s="45"/>
      <c r="WBG1" s="43"/>
      <c r="WBI1" s="45"/>
      <c r="WBJ1" s="45"/>
      <c r="WBO1" s="43"/>
      <c r="WBQ1" s="45"/>
      <c r="WBR1" s="45"/>
      <c r="WBW1" s="43"/>
      <c r="WBY1" s="45"/>
      <c r="WBZ1" s="45"/>
      <c r="WCE1" s="43"/>
      <c r="WCG1" s="45"/>
      <c r="WCH1" s="45"/>
      <c r="WCM1" s="43"/>
      <c r="WCO1" s="45"/>
      <c r="WCP1" s="45"/>
      <c r="WCU1" s="43"/>
      <c r="WCW1" s="45"/>
      <c r="WCX1" s="45"/>
      <c r="WDC1" s="43"/>
      <c r="WDE1" s="45"/>
      <c r="WDF1" s="45"/>
      <c r="WDK1" s="43"/>
      <c r="WDM1" s="45"/>
      <c r="WDN1" s="45"/>
      <c r="WDS1" s="43"/>
      <c r="WDU1" s="45"/>
      <c r="WDV1" s="45"/>
      <c r="WEA1" s="43"/>
      <c r="WEC1" s="45"/>
      <c r="WED1" s="45"/>
      <c r="WEI1" s="43"/>
      <c r="WEK1" s="45"/>
      <c r="WEL1" s="45"/>
      <c r="WEQ1" s="43"/>
      <c r="WES1" s="45"/>
      <c r="WET1" s="45"/>
      <c r="WEY1" s="43"/>
      <c r="WFA1" s="45"/>
      <c r="WFB1" s="45"/>
      <c r="WFG1" s="43"/>
      <c r="WFI1" s="45"/>
      <c r="WFJ1" s="45"/>
      <c r="WFO1" s="43"/>
      <c r="WFQ1" s="45"/>
      <c r="WFR1" s="45"/>
      <c r="WFW1" s="43"/>
      <c r="WFY1" s="45"/>
      <c r="WFZ1" s="45"/>
      <c r="WGE1" s="43"/>
      <c r="WGG1" s="45"/>
      <c r="WGH1" s="45"/>
      <c r="WGM1" s="43"/>
      <c r="WGO1" s="45"/>
      <c r="WGP1" s="45"/>
      <c r="WGU1" s="43"/>
      <c r="WGW1" s="45"/>
      <c r="WGX1" s="45"/>
      <c r="WHC1" s="43"/>
      <c r="WHE1" s="45"/>
      <c r="WHF1" s="45"/>
      <c r="WHK1" s="43"/>
      <c r="WHM1" s="45"/>
      <c r="WHN1" s="45"/>
      <c r="WHS1" s="43"/>
      <c r="WHU1" s="45"/>
      <c r="WHV1" s="45"/>
      <c r="WIA1" s="43"/>
      <c r="WIC1" s="45"/>
      <c r="WID1" s="45"/>
      <c r="WII1" s="43"/>
      <c r="WIK1" s="45"/>
      <c r="WIL1" s="45"/>
      <c r="WIQ1" s="43"/>
      <c r="WIS1" s="45"/>
      <c r="WIT1" s="45"/>
      <c r="WIY1" s="43"/>
      <c r="WJA1" s="45"/>
      <c r="WJB1" s="45"/>
      <c r="WJG1" s="43"/>
      <c r="WJI1" s="45"/>
      <c r="WJJ1" s="45"/>
      <c r="WJO1" s="43"/>
      <c r="WJQ1" s="45"/>
      <c r="WJR1" s="45"/>
      <c r="WJW1" s="43"/>
      <c r="WJY1" s="45"/>
      <c r="WJZ1" s="45"/>
      <c r="WKE1" s="43"/>
      <c r="WKG1" s="45"/>
      <c r="WKH1" s="45"/>
      <c r="WKM1" s="43"/>
      <c r="WKO1" s="45"/>
      <c r="WKP1" s="45"/>
      <c r="WKU1" s="43"/>
      <c r="WKW1" s="45"/>
      <c r="WKX1" s="45"/>
      <c r="WLC1" s="43"/>
      <c r="WLE1" s="45"/>
      <c r="WLF1" s="45"/>
      <c r="WLK1" s="43"/>
      <c r="WLM1" s="45"/>
      <c r="WLN1" s="45"/>
      <c r="WLS1" s="43"/>
      <c r="WLU1" s="45"/>
      <c r="WLV1" s="45"/>
      <c r="WMA1" s="43"/>
      <c r="WMC1" s="45"/>
      <c r="WMD1" s="45"/>
      <c r="WMI1" s="43"/>
      <c r="WMK1" s="45"/>
      <c r="WML1" s="45"/>
      <c r="WMQ1" s="43"/>
      <c r="WMS1" s="45"/>
      <c r="WMT1" s="45"/>
      <c r="WMY1" s="43"/>
      <c r="WNA1" s="45"/>
      <c r="WNB1" s="45"/>
      <c r="WNG1" s="43"/>
      <c r="WNI1" s="45"/>
      <c r="WNJ1" s="45"/>
      <c r="WNO1" s="43"/>
      <c r="WNQ1" s="45"/>
      <c r="WNR1" s="45"/>
      <c r="WNW1" s="43"/>
      <c r="WNY1" s="45"/>
      <c r="WNZ1" s="45"/>
      <c r="WOE1" s="43"/>
      <c r="WOG1" s="45"/>
      <c r="WOH1" s="45"/>
      <c r="WOM1" s="43"/>
      <c r="WOO1" s="45"/>
      <c r="WOP1" s="45"/>
      <c r="WOU1" s="43"/>
      <c r="WOW1" s="45"/>
      <c r="WOX1" s="45"/>
      <c r="WPC1" s="43"/>
      <c r="WPE1" s="45"/>
      <c r="WPF1" s="45"/>
      <c r="WPK1" s="43"/>
      <c r="WPM1" s="45"/>
      <c r="WPN1" s="45"/>
      <c r="WPS1" s="43"/>
      <c r="WPU1" s="45"/>
      <c r="WPV1" s="45"/>
      <c r="WQA1" s="43"/>
      <c r="WQC1" s="45"/>
      <c r="WQD1" s="45"/>
      <c r="WQI1" s="43"/>
      <c r="WQK1" s="45"/>
      <c r="WQL1" s="45"/>
      <c r="WQQ1" s="43"/>
      <c r="WQS1" s="45"/>
      <c r="WQT1" s="45"/>
      <c r="WQY1" s="43"/>
      <c r="WRA1" s="45"/>
      <c r="WRB1" s="45"/>
      <c r="WRG1" s="43"/>
      <c r="WRI1" s="45"/>
      <c r="WRJ1" s="45"/>
      <c r="WRO1" s="43"/>
      <c r="WRQ1" s="45"/>
      <c r="WRR1" s="45"/>
      <c r="WRW1" s="43"/>
      <c r="WRY1" s="45"/>
      <c r="WRZ1" s="45"/>
      <c r="WSE1" s="43"/>
      <c r="WSG1" s="45"/>
      <c r="WSH1" s="45"/>
      <c r="WSM1" s="43"/>
      <c r="WSO1" s="45"/>
      <c r="WSP1" s="45"/>
      <c r="WSU1" s="43"/>
      <c r="WSW1" s="45"/>
      <c r="WSX1" s="45"/>
      <c r="WTC1" s="43"/>
      <c r="WTE1" s="45"/>
      <c r="WTF1" s="45"/>
      <c r="WTK1" s="43"/>
      <c r="WTM1" s="45"/>
      <c r="WTN1" s="45"/>
      <c r="WTS1" s="43"/>
      <c r="WTU1" s="45"/>
      <c r="WTV1" s="45"/>
      <c r="WUA1" s="43"/>
      <c r="WUC1" s="45"/>
      <c r="WUD1" s="45"/>
      <c r="WUI1" s="43"/>
      <c r="WUK1" s="45"/>
      <c r="WUL1" s="45"/>
      <c r="WUQ1" s="43"/>
      <c r="WUS1" s="45"/>
      <c r="WUT1" s="45"/>
      <c r="WUY1" s="43"/>
      <c r="WVA1" s="45"/>
      <c r="WVB1" s="45"/>
      <c r="WVG1" s="43"/>
      <c r="WVI1" s="45"/>
      <c r="WVJ1" s="45"/>
      <c r="WVO1" s="43"/>
      <c r="WVQ1" s="45"/>
      <c r="WVR1" s="45"/>
      <c r="WVW1" s="43"/>
      <c r="WVY1" s="45"/>
      <c r="WVZ1" s="45"/>
      <c r="WWE1" s="43"/>
      <c r="WWG1" s="45"/>
      <c r="WWH1" s="45"/>
      <c r="WWM1" s="43"/>
      <c r="WWO1" s="45"/>
      <c r="WWP1" s="45"/>
      <c r="WWU1" s="43"/>
      <c r="WWW1" s="45"/>
      <c r="WWX1" s="45"/>
      <c r="WXC1" s="43"/>
      <c r="WXE1" s="45"/>
      <c r="WXF1" s="45"/>
      <c r="WXK1" s="43"/>
      <c r="WXM1" s="45"/>
      <c r="WXN1" s="45"/>
      <c r="WXS1" s="43"/>
      <c r="WXU1" s="45"/>
      <c r="WXV1" s="45"/>
      <c r="WYA1" s="43"/>
      <c r="WYC1" s="45"/>
      <c r="WYD1" s="45"/>
      <c r="WYI1" s="43"/>
      <c r="WYK1" s="45"/>
      <c r="WYL1" s="45"/>
      <c r="WYQ1" s="43"/>
      <c r="WYS1" s="45"/>
      <c r="WYT1" s="45"/>
      <c r="WYY1" s="43"/>
      <c r="WZA1" s="45"/>
      <c r="WZB1" s="45"/>
      <c r="WZG1" s="43"/>
      <c r="WZI1" s="45"/>
      <c r="WZJ1" s="45"/>
      <c r="WZO1" s="43"/>
      <c r="WZQ1" s="45"/>
      <c r="WZR1" s="45"/>
      <c r="WZW1" s="43"/>
      <c r="WZY1" s="45"/>
      <c r="WZZ1" s="45"/>
      <c r="XAE1" s="43"/>
      <c r="XAG1" s="45"/>
      <c r="XAH1" s="45"/>
      <c r="XAM1" s="43"/>
      <c r="XAO1" s="45"/>
      <c r="XAP1" s="45"/>
      <c r="XAU1" s="43"/>
      <c r="XAW1" s="45"/>
      <c r="XAX1" s="45"/>
      <c r="XBC1" s="43"/>
      <c r="XBE1" s="45"/>
      <c r="XBF1" s="45"/>
      <c r="XBK1" s="43"/>
      <c r="XBM1" s="45"/>
      <c r="XBN1" s="45"/>
      <c r="XBS1" s="43"/>
      <c r="XBU1" s="45"/>
      <c r="XBV1" s="45"/>
      <c r="XCA1" s="43"/>
      <c r="XCC1" s="45"/>
      <c r="XCD1" s="45"/>
      <c r="XCI1" s="43"/>
      <c r="XCK1" s="45"/>
      <c r="XCL1" s="45"/>
      <c r="XCQ1" s="43"/>
      <c r="XCS1" s="45"/>
      <c r="XCT1" s="45"/>
      <c r="XCY1" s="43"/>
      <c r="XDA1" s="45"/>
      <c r="XDB1" s="45"/>
      <c r="XDG1" s="43"/>
      <c r="XDI1" s="45"/>
      <c r="XDJ1" s="45"/>
      <c r="XDO1" s="43"/>
      <c r="XDQ1" s="45"/>
      <c r="XDR1" s="45"/>
      <c r="XDW1" s="43"/>
      <c r="XDY1" s="45"/>
      <c r="XDZ1" s="45"/>
      <c r="XEE1" s="43"/>
      <c r="XEG1" s="45"/>
      <c r="XEH1" s="45"/>
      <c r="XEM1" s="43"/>
      <c r="XEO1" s="45"/>
      <c r="XEP1" s="45"/>
      <c r="XEU1" s="43"/>
      <c r="XEW1" s="45"/>
      <c r="XEX1" s="45"/>
      <c r="XFC1" s="43"/>
    </row>
    <row r="2" spans="1:1023 1025:2047 2049:3071 3073:4095 4097:5119 5121:6143 6145:7167 7169:8191 8193:9215 9217:10239 10241:11263 11265:12287 12289:13311 13313:14335 14337:15359 15361:16383">
      <c r="B2" s="4" t="s">
        <v>4</v>
      </c>
      <c r="C2" s="4" t="s">
        <v>5</v>
      </c>
      <c r="D2" s="4" t="s">
        <v>6</v>
      </c>
      <c r="E2" s="5" t="s">
        <v>12</v>
      </c>
      <c r="F2" s="4" t="s">
        <v>7</v>
      </c>
      <c r="G2" s="4" t="s">
        <v>8</v>
      </c>
      <c r="H2" s="4"/>
      <c r="I2" s="4" t="s">
        <v>11</v>
      </c>
      <c r="N2" t="s">
        <v>132</v>
      </c>
      <c r="P2" s="45" t="s">
        <v>160</v>
      </c>
      <c r="Q2" s="45" t="s">
        <v>161</v>
      </c>
      <c r="R2" t="s">
        <v>162</v>
      </c>
    </row>
    <row r="3" spans="1:1023 1025:2047 2049:3071 3073:4095 4097:5119 5121:6143 6145:7167 7169:8191 8193:9215 9217:10239 10241:11263 11265:12287 12289:13311 13313:14335 14337:15359 15361:16383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146</v>
      </c>
      <c r="J3" s="1" t="s">
        <v>133</v>
      </c>
      <c r="K3" s="1" t="s">
        <v>134</v>
      </c>
      <c r="L3" s="1" t="s">
        <v>147</v>
      </c>
      <c r="M3" s="1" t="s">
        <v>156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  <c r="W3" s="1" t="s">
        <v>167</v>
      </c>
    </row>
    <row r="4" spans="1:1023 1025:2047 2049:3071 3073:4095 4097:5119 5121:6143 6145:7167 7169:8191 8193:9215 9217:10239 10241:11263 11265:12287 12289:13311 13313:14335 14337:15359 15361:16383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Activities'!J2</f>
        <v>-5.7184999999999997</v>
      </c>
      <c r="J4">
        <f>F4-D4-2*E4</f>
        <v>15.5352</v>
      </c>
    </row>
    <row r="5" spans="1:1023 1025:2047 2049:3071 3073:4095 4097:5119 5121:6143 6145:7167 7169:8191 8193:9215 9217:10239 10241:11263 11265:12287 12289:13311 13313:14335 14337:15359 15361:16383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Activities'!J3</f>
        <v>-8.9510000000000005</v>
      </c>
      <c r="J5">
        <f>F5-D5-2*E5</f>
        <v>13.030299999999999</v>
      </c>
    </row>
    <row r="6" spans="1:1023 1025:2047 2049:3071 3073:4095 4097:5119 5121:6143 6145:7167 7169:8191 8193:9215 9217:10239 10241:11263 11265:12287 12289:13311 13313:14335 14337:15359 15361:16383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Activities'!J4</f>
        <v>-5.7531999999999996</v>
      </c>
      <c r="J6">
        <f t="shared" ref="J6:J9" si="1">F6-D6-2*E6</f>
        <v>14.927299999999999</v>
      </c>
    </row>
    <row r="7" spans="1:1023 1025:2047 2049:3071 3073:4095 4097:5119 5121:6143 6145:7167 7169:8191 8193:9215 9217:10239 10241:11263 11265:12287 12289:13311 13313:14335 14337:15359 15361:16383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Activities'!J5</f>
        <v>-9.1513000000000009</v>
      </c>
      <c r="J7">
        <f t="shared" si="1"/>
        <v>14.027000000000001</v>
      </c>
    </row>
    <row r="8" spans="1:1023 1025:2047 2049:3071 3073:4095 4097:5119 5121:6143 6145:7167 7169:8191 8193:9215 9217:10239 10241:11263 11265:12287 12289:13311 13313:14335 14337:15359 15361:16383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Activities'!J6</f>
        <v>-9.0762</v>
      </c>
      <c r="J8">
        <f t="shared" si="1"/>
        <v>14.706</v>
      </c>
    </row>
    <row r="9" spans="1:1023 1025:2047 2049:3071 3073:4095 4097:5119 5121:6143 6145:7167 7169:8191 8193:9215 9217:10239 10241:11263 11265:12287 12289:13311 13313:14335 14337:15359 15361:16383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Activities'!J7</f>
        <v>-5.9417999999999997</v>
      </c>
      <c r="J9">
        <f t="shared" si="1"/>
        <v>16.672899999999998</v>
      </c>
    </row>
    <row r="10" spans="1:1023 1025:2047 2049:3071 3073:4095 4097:5119 5121:6143 6145:7167 7169:8191 8193:9215 9217:10239 10241:11263 11265:12287 12289:13311 13313:14335 14337:15359 15361:16383">
      <c r="B10" s="4" t="s">
        <v>4</v>
      </c>
      <c r="C10" s="4" t="s">
        <v>17</v>
      </c>
      <c r="D10" s="4" t="s">
        <v>18</v>
      </c>
      <c r="E10" s="5" t="s">
        <v>12</v>
      </c>
      <c r="F10" s="4" t="s">
        <v>7</v>
      </c>
      <c r="G10" s="4" t="s">
        <v>19</v>
      </c>
      <c r="H10" s="4" t="s">
        <v>8</v>
      </c>
      <c r="I10" s="4" t="s">
        <v>11</v>
      </c>
    </row>
    <row r="11" spans="1:1023 1025:2047 2049:3071 3073:4095 4097:5119 5121:6143 6145:7167 7169:8191 8193:9215 9217:10239 10241:11263 11265:12287 12289:13311 13313:14335 14337:15359 15361:16383" s="1" customFormat="1" ht="20">
      <c r="A11" s="1" t="s">
        <v>129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146</v>
      </c>
      <c r="J11" s="1" t="s">
        <v>133</v>
      </c>
      <c r="K11" s="1" t="s">
        <v>134</v>
      </c>
      <c r="L11" s="1" t="s">
        <v>147</v>
      </c>
      <c r="M11" s="1" t="s">
        <v>156</v>
      </c>
      <c r="N11" s="1" t="s">
        <v>136</v>
      </c>
      <c r="O11" s="44" t="s">
        <v>137</v>
      </c>
    </row>
    <row r="12" spans="1:1023 1025:2047 2049:3071 3073:4095 4097:5119 5121:6143 6145:7167 7169:8191 8193:9215 9217:10239 10241:11263 11265:12287 12289:13311 13313:14335 14337:15359 15361:16383">
      <c r="A12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Activities'!J2</f>
        <v>-5.7184999999999997</v>
      </c>
      <c r="J12">
        <f>F12-D12-3*E12</f>
        <v>23.569300000000002</v>
      </c>
    </row>
    <row r="13" spans="1:1023 1025:2047 2049:3071 3073:4095 4097:5119 5121:6143 6145:7167 7169:8191 8193:9215 9217:10239 10241:11263 11265:12287 12289:13311 13313:14335 14337:15359 15361:16383">
      <c r="A13" t="s">
        <v>139</v>
      </c>
      <c r="B13">
        <v>12.4</v>
      </c>
      <c r="C13">
        <f t="shared" ref="C13:C17" si="2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Activities'!J3</f>
        <v>-8.9510000000000005</v>
      </c>
      <c r="J13">
        <f>F13-D13-3*E13</f>
        <v>20.277799999999996</v>
      </c>
    </row>
    <row r="14" spans="1:1023 1025:2047 2049:3071 3073:4095 4097:5119 5121:6143 6145:7167 7169:8191 8193:9215 9217:10239 10241:11263 11265:12287 12289:13311 13313:14335 14337:15359 15361:16383">
      <c r="A14" t="s">
        <v>140</v>
      </c>
      <c r="B14">
        <v>16.2</v>
      </c>
      <c r="C14">
        <f t="shared" si="2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Activities'!J4</f>
        <v>-5.7531999999999996</v>
      </c>
      <c r="J14">
        <f t="shared" ref="J14:J17" si="3">F14-D14-3*E14</f>
        <v>22.460199999999997</v>
      </c>
    </row>
    <row r="15" spans="1:1023 1025:2047 2049:3071 3073:4095 4097:5119 5121:6143 6145:7167 7169:8191 8193:9215 9217:10239 10241:11263 11265:12287 12289:13311 13313:14335 14337:15359 15361:16383">
      <c r="A15" t="s">
        <v>141</v>
      </c>
      <c r="B15">
        <v>22.5</v>
      </c>
      <c r="C15">
        <f t="shared" si="2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Activities'!J5</f>
        <v>-9.1513000000000009</v>
      </c>
      <c r="J15">
        <f t="shared" si="3"/>
        <v>20.426500000000001</v>
      </c>
    </row>
    <row r="16" spans="1:1023 1025:2047 2049:3071 3073:4095 4097:5119 5121:6143 6145:7167 7169:8191 8193:9215 9217:10239 10241:11263 11265:12287 12289:13311 13313:14335 14337:15359 15361:16383">
      <c r="A16" t="s">
        <v>142</v>
      </c>
      <c r="B16">
        <v>31.7</v>
      </c>
      <c r="C16">
        <f t="shared" si="2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Activities'!J6</f>
        <v>-9.0762</v>
      </c>
      <c r="J16">
        <f t="shared" si="3"/>
        <v>21.815199999999997</v>
      </c>
    </row>
    <row r="17" spans="1:15">
      <c r="A17" t="s">
        <v>143</v>
      </c>
      <c r="B17">
        <v>21.5</v>
      </c>
      <c r="C17">
        <f t="shared" si="2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Activities'!J7</f>
        <v>-5.9417999999999997</v>
      </c>
      <c r="J17">
        <f t="shared" si="3"/>
        <v>24.209099999999999</v>
      </c>
    </row>
    <row r="18" spans="1:15">
      <c r="B18" s="4" t="s">
        <v>31</v>
      </c>
      <c r="C18" s="4" t="s">
        <v>22</v>
      </c>
      <c r="D18" s="4" t="s">
        <v>23</v>
      </c>
      <c r="E18" s="5" t="s">
        <v>12</v>
      </c>
      <c r="F18" s="4" t="s">
        <v>32</v>
      </c>
      <c r="G18" s="4" t="s">
        <v>24</v>
      </c>
      <c r="H18" s="4" t="s">
        <v>16</v>
      </c>
      <c r="I18" s="4" t="s">
        <v>34</v>
      </c>
    </row>
    <row r="19" spans="1:15" s="1" customFormat="1" ht="20">
      <c r="A19" s="1" t="s">
        <v>129</v>
      </c>
      <c r="B19" s="1" t="s">
        <v>130</v>
      </c>
      <c r="C19" s="1" t="s">
        <v>131</v>
      </c>
      <c r="D19" s="1" t="s">
        <v>150</v>
      </c>
      <c r="E19" s="1" t="s">
        <v>145</v>
      </c>
      <c r="F19" s="1" t="s">
        <v>146</v>
      </c>
      <c r="G19" s="1" t="s">
        <v>151</v>
      </c>
      <c r="J19" s="1" t="s">
        <v>133</v>
      </c>
      <c r="K19" s="1" t="s">
        <v>134</v>
      </c>
      <c r="L19" s="1" t="s">
        <v>147</v>
      </c>
      <c r="M19" s="1" t="s">
        <v>157</v>
      </c>
      <c r="N19" s="1" t="s">
        <v>136</v>
      </c>
      <c r="O19" s="44" t="s">
        <v>137</v>
      </c>
    </row>
    <row r="20" spans="1:15">
      <c r="A20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Activities'!F2</f>
        <v>-7.2</v>
      </c>
      <c r="F20">
        <f>'Site Activities'!J2</f>
        <v>-5.7184999999999997</v>
      </c>
      <c r="G20">
        <f>'Site Activities'!L2</f>
        <v>-18.813300000000002</v>
      </c>
      <c r="J20">
        <f>3*F20+G20-D20-4*E20</f>
        <v>-1.8495000000000026</v>
      </c>
    </row>
    <row r="21" spans="1:15">
      <c r="A21" t="s">
        <v>139</v>
      </c>
      <c r="B21">
        <v>12.4</v>
      </c>
      <c r="C21">
        <f t="shared" ref="C21:C25" si="4">B21+273.15</f>
        <v>285.54999999999995</v>
      </c>
      <c r="D21">
        <f>'Site Activities'!K3</f>
        <v>-8.3050999999999995</v>
      </c>
      <c r="E21">
        <f>'Site Activities'!F3</f>
        <v>-7.6</v>
      </c>
      <c r="F21">
        <f>'Site Activities'!J3</f>
        <v>-8.9510000000000005</v>
      </c>
      <c r="G21">
        <f>'Site Activities'!L3</f>
        <v>-19.1463</v>
      </c>
      <c r="J21">
        <f>3*F21+G21-D21-4*E21</f>
        <v>-7.2942000000000107</v>
      </c>
    </row>
    <row r="22" spans="1:15">
      <c r="A22" t="s">
        <v>140</v>
      </c>
      <c r="B22">
        <v>16.2</v>
      </c>
      <c r="C22">
        <f t="shared" si="4"/>
        <v>289.34999999999997</v>
      </c>
      <c r="D22">
        <f>'Site Activities'!K4</f>
        <v>-5.0713999999999997</v>
      </c>
      <c r="E22">
        <f>'Site Activities'!F4</f>
        <v>-7.1</v>
      </c>
      <c r="F22">
        <f>'Site Activities'!J4</f>
        <v>-5.7531999999999996</v>
      </c>
      <c r="G22">
        <f>'Site Activities'!L4</f>
        <v>-18.847899999999999</v>
      </c>
      <c r="J22">
        <f t="shared" ref="J22:J25" si="5">3*F22+G22-D22-4*E22</f>
        <v>-2.6361000000000026</v>
      </c>
    </row>
    <row r="23" spans="1:15">
      <c r="A23" t="s">
        <v>141</v>
      </c>
      <c r="B23">
        <v>22.5</v>
      </c>
      <c r="C23">
        <f t="shared" si="4"/>
        <v>295.64999999999998</v>
      </c>
      <c r="D23">
        <f>'Site Activities'!K5</f>
        <v>-4.2126999999999999</v>
      </c>
      <c r="E23">
        <f>'Site Activities'!F5</f>
        <v>-8.3000000000000007</v>
      </c>
      <c r="F23">
        <f>'Site Activities'!J5</f>
        <v>-9.1513000000000009</v>
      </c>
      <c r="G23">
        <f>'Site Activities'!L5</f>
        <v>-17.5655</v>
      </c>
      <c r="J23">
        <f t="shared" si="5"/>
        <v>-7.6067000000000036</v>
      </c>
    </row>
    <row r="24" spans="1:15">
      <c r="A24" t="s">
        <v>142</v>
      </c>
      <c r="B24">
        <v>31.7</v>
      </c>
      <c r="C24">
        <f t="shared" si="4"/>
        <v>304.84999999999997</v>
      </c>
      <c r="D24">
        <f>'Site Activities'!K6</f>
        <v>-4.7306999999999997</v>
      </c>
      <c r="E24">
        <f>'Site Activities'!F6</f>
        <v>-8.6</v>
      </c>
      <c r="F24">
        <f>'Site Activities'!J6</f>
        <v>-9.0762</v>
      </c>
      <c r="G24">
        <f>'Site Activities'!L6</f>
        <v>-17.566500000000001</v>
      </c>
      <c r="J24">
        <f t="shared" si="5"/>
        <v>-5.6644000000000077</v>
      </c>
    </row>
    <row r="25" spans="1:15">
      <c r="A25" t="s">
        <v>143</v>
      </c>
      <c r="B25">
        <v>21.5</v>
      </c>
      <c r="C25">
        <f t="shared" si="4"/>
        <v>294.64999999999998</v>
      </c>
      <c r="D25">
        <f>'Site Activities'!K7</f>
        <v>-5.4432</v>
      </c>
      <c r="E25">
        <f>'Site Activities'!F7</f>
        <v>-8.1</v>
      </c>
      <c r="F25">
        <f>'Site Activities'!J7</f>
        <v>-5.9417999999999997</v>
      </c>
      <c r="G25">
        <f>'Site Activities'!L7</f>
        <v>-18.3691</v>
      </c>
      <c r="J25">
        <f t="shared" si="5"/>
        <v>1.6487000000000016</v>
      </c>
    </row>
    <row r="26" spans="1:15">
      <c r="B26" s="4" t="s">
        <v>4</v>
      </c>
      <c r="C26" s="4" t="s">
        <v>25</v>
      </c>
      <c r="D26" s="4" t="s">
        <v>21</v>
      </c>
      <c r="E26" s="5" t="s">
        <v>12</v>
      </c>
      <c r="F26" s="4" t="s">
        <v>27</v>
      </c>
      <c r="G26" s="4" t="s">
        <v>35</v>
      </c>
      <c r="H26" s="4" t="s">
        <v>36</v>
      </c>
      <c r="I26" s="4" t="s">
        <v>29</v>
      </c>
    </row>
    <row r="27" spans="1:15" s="1" customFormat="1" ht="20">
      <c r="A27" s="1" t="s">
        <v>129</v>
      </c>
      <c r="B27" s="1" t="s">
        <v>130</v>
      </c>
      <c r="C27" s="1" t="s">
        <v>131</v>
      </c>
      <c r="D27" s="1" t="s">
        <v>148</v>
      </c>
      <c r="E27" s="1" t="s">
        <v>145</v>
      </c>
      <c r="F27" s="1" t="s">
        <v>146</v>
      </c>
      <c r="G27" s="1" t="s">
        <v>152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Activities'!F2</f>
        <v>-7.2</v>
      </c>
      <c r="F28">
        <f>'Site Activities'!J2</f>
        <v>-5.7184999999999997</v>
      </c>
      <c r="G28">
        <f>'Site Activities'!H2</f>
        <v>-2.5078999999999998</v>
      </c>
      <c r="J28">
        <f>4*F28+G28-D28-7*E28</f>
        <v>31.61</v>
      </c>
    </row>
    <row r="29" spans="1:15">
      <c r="A29" t="s">
        <v>139</v>
      </c>
      <c r="B29">
        <v>12.4</v>
      </c>
      <c r="C29">
        <f t="shared" ref="C29:C33" si="6">B29+273.15</f>
        <v>285.54999999999995</v>
      </c>
      <c r="D29">
        <f>'Site Activities'!D3</f>
        <v>-6.6931000000000003</v>
      </c>
      <c r="E29">
        <f>'Site Activities'!F3</f>
        <v>-7.6</v>
      </c>
      <c r="F29">
        <f>'Site Activities'!J3</f>
        <v>-8.9510000000000005</v>
      </c>
      <c r="G29">
        <f>'Site Activities'!H3</f>
        <v>-2.4064999999999999</v>
      </c>
      <c r="J29">
        <f>4*F29+G29-D29-7*E29</f>
        <v>21.682599999999994</v>
      </c>
    </row>
    <row r="30" spans="1:15">
      <c r="A30" t="s">
        <v>140</v>
      </c>
      <c r="B30">
        <v>16.2</v>
      </c>
      <c r="C30">
        <f t="shared" si="6"/>
        <v>289.34999999999997</v>
      </c>
      <c r="D30">
        <f>'Site Activities'!D4</f>
        <v>-5.6016000000000004</v>
      </c>
      <c r="E30">
        <f>'Site Activities'!F4</f>
        <v>-7.1</v>
      </c>
      <c r="F30">
        <f>'Site Activities'!J4</f>
        <v>-5.7531999999999996</v>
      </c>
      <c r="G30">
        <f>'Site Activities'!H4</f>
        <v>-2.1855000000000002</v>
      </c>
      <c r="J30">
        <f t="shared" ref="J30:J33" si="7">4*F30+G30-D30-7*E30</f>
        <v>30.103299999999997</v>
      </c>
    </row>
    <row r="31" spans="1:15">
      <c r="A31" t="s">
        <v>141</v>
      </c>
      <c r="B31">
        <v>22.5</v>
      </c>
      <c r="C31">
        <f t="shared" si="6"/>
        <v>295.64999999999998</v>
      </c>
      <c r="D31">
        <f>'Site Activities'!D5</f>
        <v>-4.5528000000000004</v>
      </c>
      <c r="E31">
        <f>'Site Activities'!F5</f>
        <v>-8.3000000000000007</v>
      </c>
      <c r="F31">
        <f>'Site Activities'!J5</f>
        <v>-9.1513000000000009</v>
      </c>
      <c r="G31">
        <f>'Site Activities'!H5</f>
        <v>-1.9494</v>
      </c>
      <c r="J31">
        <f t="shared" si="7"/>
        <v>24.098200000000006</v>
      </c>
    </row>
    <row r="32" spans="1:15">
      <c r="A32" t="s">
        <v>142</v>
      </c>
      <c r="B32">
        <v>31.7</v>
      </c>
      <c r="C32">
        <f t="shared" si="6"/>
        <v>304.84999999999997</v>
      </c>
      <c r="D32">
        <f>'Site Activities'!D6</f>
        <v>-4.8278999999999996</v>
      </c>
      <c r="E32">
        <f>'Site Activities'!F6</f>
        <v>-8.6</v>
      </c>
      <c r="F32">
        <f>'Site Activities'!J6</f>
        <v>-9.0762</v>
      </c>
      <c r="G32">
        <f>'Site Activities'!H6</f>
        <v>-1.9497</v>
      </c>
      <c r="J32">
        <f t="shared" si="7"/>
        <v>26.773399999999995</v>
      </c>
    </row>
    <row r="33" spans="1:15">
      <c r="A33" t="s">
        <v>143</v>
      </c>
      <c r="B33">
        <v>21.5</v>
      </c>
      <c r="C33">
        <f t="shared" si="6"/>
        <v>294.64999999999998</v>
      </c>
      <c r="D33">
        <f>'Site Activities'!D7</f>
        <v>-3.7010999999999998</v>
      </c>
      <c r="E33">
        <f>'Site Activities'!F7</f>
        <v>-8.1</v>
      </c>
      <c r="F33">
        <f>'Site Activities'!J7</f>
        <v>-5.9417999999999997</v>
      </c>
      <c r="G33">
        <f>'Site Activities'!H7</f>
        <v>-2.7843</v>
      </c>
      <c r="J33">
        <f t="shared" si="7"/>
        <v>33.849599999999995</v>
      </c>
    </row>
    <row r="34" spans="1:15">
      <c r="B34" s="4" t="s">
        <v>4</v>
      </c>
      <c r="C34" s="4" t="s">
        <v>30</v>
      </c>
      <c r="D34" s="4" t="s">
        <v>8</v>
      </c>
      <c r="E34" s="5" t="s">
        <v>12</v>
      </c>
      <c r="F34" s="4" t="s">
        <v>7</v>
      </c>
      <c r="G34" s="4" t="s">
        <v>101</v>
      </c>
      <c r="H34" s="4" t="s">
        <v>6</v>
      </c>
      <c r="I34" s="4" t="s">
        <v>11</v>
      </c>
    </row>
    <row r="35" spans="1:15" s="1" customFormat="1" ht="20">
      <c r="A35" s="1" t="s">
        <v>129</v>
      </c>
      <c r="B35" s="1" t="s">
        <v>130</v>
      </c>
      <c r="C35" s="1" t="s">
        <v>131</v>
      </c>
      <c r="D35" s="1" t="s">
        <v>153</v>
      </c>
      <c r="E35" s="1" t="s">
        <v>145</v>
      </c>
      <c r="F35" s="1" t="s">
        <v>146</v>
      </c>
      <c r="J35" s="1" t="s">
        <v>133</v>
      </c>
      <c r="K35" s="1" t="s">
        <v>134</v>
      </c>
      <c r="L35" s="1" t="s">
        <v>147</v>
      </c>
      <c r="M35" s="1" t="s">
        <v>156</v>
      </c>
      <c r="N35" s="1" t="s">
        <v>136</v>
      </c>
      <c r="O35" s="44" t="s">
        <v>137</v>
      </c>
    </row>
    <row r="36" spans="1:15">
      <c r="A36" t="s">
        <v>138</v>
      </c>
      <c r="B36">
        <v>10.3</v>
      </c>
      <c r="C36">
        <f>B36+273.15</f>
        <v>283.45</v>
      </c>
      <c r="D36">
        <f>'Site Activities'!E2</f>
        <v>-4.6619000000000002</v>
      </c>
      <c r="E36">
        <f>'Site Activities'!F2</f>
        <v>-7.2</v>
      </c>
      <c r="F36">
        <f>'Site Activities'!J2</f>
        <v>-5.7184999999999997</v>
      </c>
      <c r="J36">
        <f>F36+2*E36-2*D36</f>
        <v>-10.794700000000001</v>
      </c>
    </row>
    <row r="37" spans="1:15">
      <c r="A37" t="s">
        <v>139</v>
      </c>
      <c r="B37">
        <v>12.4</v>
      </c>
      <c r="C37">
        <f t="shared" ref="C37:C41" si="8">B37+273.15</f>
        <v>285.54999999999995</v>
      </c>
      <c r="D37">
        <f>'Site Activities'!E3</f>
        <v>-5.5021000000000004</v>
      </c>
      <c r="E37">
        <f>'Site Activities'!F3</f>
        <v>-7.6</v>
      </c>
      <c r="F37">
        <f>'Site Activities'!J3</f>
        <v>-8.9510000000000005</v>
      </c>
      <c r="J37">
        <f>F37+2*E37-2*D37</f>
        <v>-13.146799999999999</v>
      </c>
    </row>
    <row r="38" spans="1:15">
      <c r="A38" t="s">
        <v>140</v>
      </c>
      <c r="B38">
        <v>16.2</v>
      </c>
      <c r="C38">
        <f t="shared" si="8"/>
        <v>289.34999999999997</v>
      </c>
      <c r="D38">
        <f>'Site Activities'!E4</f>
        <v>-4.8437999999999999</v>
      </c>
      <c r="E38">
        <f>'Site Activities'!F4</f>
        <v>-7.1</v>
      </c>
      <c r="F38">
        <f>'Site Activities'!J4</f>
        <v>-5.7531999999999996</v>
      </c>
      <c r="J38">
        <f t="shared" ref="J38:J41" si="9">F38+2*E38-2*D38</f>
        <v>-10.265599999999999</v>
      </c>
    </row>
    <row r="39" spans="1:15">
      <c r="A39" t="s">
        <v>141</v>
      </c>
      <c r="B39">
        <v>22.5</v>
      </c>
      <c r="C39">
        <f t="shared" si="8"/>
        <v>295.64999999999998</v>
      </c>
      <c r="D39">
        <f>'Site Activities'!E5</f>
        <v>-9.1935000000000002</v>
      </c>
      <c r="E39">
        <f>'Site Activities'!F5</f>
        <v>-8.3000000000000007</v>
      </c>
      <c r="F39">
        <f>'Site Activities'!J5</f>
        <v>-9.1513000000000009</v>
      </c>
      <c r="J39">
        <f t="shared" si="9"/>
        <v>-7.3643000000000001</v>
      </c>
    </row>
    <row r="40" spans="1:15">
      <c r="A40" t="s">
        <v>142</v>
      </c>
      <c r="B40">
        <v>31.7</v>
      </c>
      <c r="C40">
        <f t="shared" si="8"/>
        <v>304.84999999999997</v>
      </c>
      <c r="D40">
        <f>'Site Activities'!E6</f>
        <v>-9.2012</v>
      </c>
      <c r="E40">
        <f>'Site Activities'!F6</f>
        <v>-8.6</v>
      </c>
      <c r="F40">
        <f>'Site Activities'!J6</f>
        <v>-9.0762</v>
      </c>
      <c r="J40">
        <f t="shared" si="9"/>
        <v>-7.8737999999999992</v>
      </c>
    </row>
    <row r="41" spans="1:15">
      <c r="A41" t="s">
        <v>143</v>
      </c>
      <c r="B41">
        <v>21.5</v>
      </c>
      <c r="C41">
        <f t="shared" si="8"/>
        <v>294.64999999999998</v>
      </c>
      <c r="D41">
        <f>'Site Activities'!E7</f>
        <v>-5.3259999999999996</v>
      </c>
      <c r="E41">
        <f>'Site Activities'!F7</f>
        <v>-8.1</v>
      </c>
      <c r="F41">
        <f>'Site Activities'!J7</f>
        <v>-5.9417999999999997</v>
      </c>
      <c r="J41">
        <f t="shared" si="9"/>
        <v>-11.489800000000001</v>
      </c>
    </row>
    <row r="42" spans="1:15">
      <c r="B42" s="4" t="s">
        <v>31</v>
      </c>
      <c r="C42" s="4" t="s">
        <v>19</v>
      </c>
      <c r="D42" s="4" t="s">
        <v>23</v>
      </c>
      <c r="E42" s="7" t="s">
        <v>12</v>
      </c>
      <c r="F42" s="4" t="s">
        <v>32</v>
      </c>
      <c r="G42" s="4" t="s">
        <v>33</v>
      </c>
      <c r="H42" s="4" t="s">
        <v>8</v>
      </c>
      <c r="I42" s="4" t="s">
        <v>34</v>
      </c>
    </row>
    <row r="43" spans="1:15" s="1" customFormat="1" ht="20">
      <c r="A43" s="1" t="s">
        <v>129</v>
      </c>
      <c r="B43" s="1" t="s">
        <v>130</v>
      </c>
      <c r="C43" s="1" t="s">
        <v>131</v>
      </c>
      <c r="D43" s="1" t="s">
        <v>145</v>
      </c>
      <c r="E43" s="1" t="s">
        <v>146</v>
      </c>
      <c r="F43" s="1" t="s">
        <v>154</v>
      </c>
      <c r="J43" s="1" t="s">
        <v>133</v>
      </c>
      <c r="K43" s="1" t="s">
        <v>134</v>
      </c>
      <c r="L43" s="1" t="s">
        <v>147</v>
      </c>
      <c r="M43" s="1" t="s">
        <v>157</v>
      </c>
      <c r="N43" s="1" t="s">
        <v>136</v>
      </c>
      <c r="O43" s="44" t="s">
        <v>137</v>
      </c>
    </row>
    <row r="44" spans="1:15">
      <c r="A44" t="s">
        <v>138</v>
      </c>
      <c r="B44">
        <v>10.3</v>
      </c>
      <c r="C44">
        <f>B44+273.15</f>
        <v>283.45</v>
      </c>
      <c r="D44">
        <f>'Site Activities'!F2</f>
        <v>-7.2</v>
      </c>
      <c r="E44">
        <f>'Site Activities'!J2</f>
        <v>-5.7184999999999997</v>
      </c>
      <c r="F44">
        <f>'Site Activities'!N2</f>
        <v>-2.7730000000000001</v>
      </c>
      <c r="J44">
        <f>3*E44+F44-4*D44</f>
        <v>8.8715000000000011</v>
      </c>
    </row>
    <row r="45" spans="1:15">
      <c r="A45" t="s">
        <v>139</v>
      </c>
      <c r="B45">
        <v>12.4</v>
      </c>
      <c r="C45">
        <f t="shared" ref="C45:C49" si="10">B45+273.15</f>
        <v>285.54999999999995</v>
      </c>
      <c r="D45">
        <f>'Site Activities'!F3</f>
        <v>-7.6</v>
      </c>
      <c r="E45">
        <f>'Site Activities'!J3</f>
        <v>-8.9510000000000005</v>
      </c>
      <c r="F45">
        <f>'Site Activities'!N3</f>
        <v>-3.3025000000000002</v>
      </c>
      <c r="J45">
        <f>3*E45+F45-4*D45</f>
        <v>0.24449999999999505</v>
      </c>
    </row>
    <row r="46" spans="1:15">
      <c r="A46" t="s">
        <v>140</v>
      </c>
      <c r="B46">
        <v>16.2</v>
      </c>
      <c r="C46">
        <f t="shared" si="10"/>
        <v>289.34999999999997</v>
      </c>
      <c r="D46">
        <f>'Site Activities'!F4</f>
        <v>-7.1</v>
      </c>
      <c r="E46">
        <f>'Site Activities'!J4</f>
        <v>-5.7531999999999996</v>
      </c>
      <c r="F46">
        <f>'Site Activities'!N4</f>
        <v>-2.2894999999999999</v>
      </c>
      <c r="J46">
        <f t="shared" ref="J46:J49" si="11">3*E46+F46-4*D46</f>
        <v>8.8508999999999993</v>
      </c>
    </row>
    <row r="47" spans="1:15">
      <c r="A47" t="s">
        <v>141</v>
      </c>
      <c r="B47">
        <v>22.5</v>
      </c>
      <c r="C47">
        <f t="shared" si="10"/>
        <v>295.64999999999998</v>
      </c>
      <c r="D47">
        <f>'Site Activities'!F5</f>
        <v>-8.3000000000000007</v>
      </c>
      <c r="E47">
        <f>'Site Activities'!J5</f>
        <v>-9.1513000000000009</v>
      </c>
      <c r="F47">
        <f>'Site Activities'!N5</f>
        <v>-2.8025000000000002</v>
      </c>
      <c r="J47">
        <f t="shared" si="11"/>
        <v>2.9435999999999964</v>
      </c>
    </row>
    <row r="48" spans="1:15">
      <c r="A48" t="s">
        <v>142</v>
      </c>
      <c r="B48">
        <v>31.7</v>
      </c>
      <c r="C48">
        <f t="shared" si="10"/>
        <v>304.84999999999997</v>
      </c>
      <c r="D48">
        <f>'Site Activities'!F6</f>
        <v>-8.6</v>
      </c>
      <c r="E48">
        <f>'Site Activities'!J6</f>
        <v>-9.0762</v>
      </c>
      <c r="F48">
        <f>'Site Activities'!N6</f>
        <v>-3.0129000000000001</v>
      </c>
      <c r="J48">
        <f t="shared" si="11"/>
        <v>4.1584999999999965</v>
      </c>
    </row>
    <row r="49" spans="1:15">
      <c r="A49" t="s">
        <v>143</v>
      </c>
      <c r="B49">
        <v>21.5</v>
      </c>
      <c r="C49">
        <f t="shared" si="10"/>
        <v>294.64999999999998</v>
      </c>
      <c r="D49">
        <f>'Site Activities'!F7</f>
        <v>-8.1</v>
      </c>
      <c r="E49">
        <f>'Site Activities'!J7</f>
        <v>-5.9417999999999997</v>
      </c>
      <c r="F49">
        <f>'Site Activities'!N7</f>
        <v>-1.9358</v>
      </c>
      <c r="J49">
        <f t="shared" si="11"/>
        <v>12.6388</v>
      </c>
    </row>
    <row r="50" spans="1:15">
      <c r="B50" s="4" t="s">
        <v>37</v>
      </c>
      <c r="C50" s="4" t="s">
        <v>38</v>
      </c>
      <c r="D50" s="4" t="s">
        <v>39</v>
      </c>
      <c r="E50" s="7" t="s">
        <v>12</v>
      </c>
      <c r="F50" s="4" t="s">
        <v>40</v>
      </c>
      <c r="G50" s="4" t="s">
        <v>41</v>
      </c>
      <c r="H50" s="4" t="s">
        <v>42</v>
      </c>
      <c r="I50" s="4" t="s">
        <v>43</v>
      </c>
    </row>
    <row r="51" spans="1:15" s="1" customFormat="1" ht="20">
      <c r="A51" s="1" t="s">
        <v>129</v>
      </c>
      <c r="B51" s="1" t="s">
        <v>130</v>
      </c>
      <c r="C51" s="1" t="s">
        <v>131</v>
      </c>
      <c r="D51" s="1" t="s">
        <v>155</v>
      </c>
      <c r="E51" s="1" t="s">
        <v>145</v>
      </c>
      <c r="F51" s="1" t="s">
        <v>146</v>
      </c>
      <c r="G51" s="1" t="s">
        <v>152</v>
      </c>
      <c r="J51" s="1" t="s">
        <v>133</v>
      </c>
      <c r="K51" s="1" t="s">
        <v>134</v>
      </c>
      <c r="L51" s="1" t="s">
        <v>147</v>
      </c>
      <c r="M51" s="1" t="s">
        <v>158</v>
      </c>
      <c r="N51" s="1" t="s">
        <v>136</v>
      </c>
      <c r="O51" s="44" t="s">
        <v>137</v>
      </c>
    </row>
    <row r="52" spans="1:15">
      <c r="A52" t="s">
        <v>138</v>
      </c>
      <c r="B52">
        <v>10.3</v>
      </c>
      <c r="C52">
        <f>B52+273.15</f>
        <v>283.45</v>
      </c>
      <c r="D52">
        <f>'Site Activities'!C2</f>
        <v>-5.2103000000000002</v>
      </c>
      <c r="E52">
        <f>'Site Activities'!F2</f>
        <v>-7.2</v>
      </c>
      <c r="F52">
        <f>'Site Activities'!J2</f>
        <v>-5.7184999999999997</v>
      </c>
      <c r="G52">
        <f>'Site Activities'!H2</f>
        <v>-2.5078999999999998</v>
      </c>
      <c r="J52">
        <f>9*F52+4*G52-2*D52-18*E52</f>
        <v>78.522500000000008</v>
      </c>
    </row>
    <row r="53" spans="1:15">
      <c r="A53" t="s">
        <v>139</v>
      </c>
      <c r="B53">
        <v>12.4</v>
      </c>
      <c r="C53">
        <f t="shared" ref="C53:C57" si="12">B53+273.15</f>
        <v>285.54999999999995</v>
      </c>
      <c r="D53">
        <f>'Site Activities'!C3</f>
        <v>-5.2065000000000001</v>
      </c>
      <c r="E53">
        <f>'Site Activities'!F3</f>
        <v>-7.6</v>
      </c>
      <c r="F53">
        <f>'Site Activities'!J3</f>
        <v>-8.9510000000000005</v>
      </c>
      <c r="G53">
        <f>'Site Activities'!H3</f>
        <v>-2.4064999999999999</v>
      </c>
      <c r="J53">
        <f>9*F53+4*G53-2*D53-18*E53</f>
        <v>57.027999999999977</v>
      </c>
    </row>
    <row r="54" spans="1:15">
      <c r="A54" t="s">
        <v>140</v>
      </c>
      <c r="B54">
        <v>16.2</v>
      </c>
      <c r="C54">
        <f t="shared" si="12"/>
        <v>289.34999999999997</v>
      </c>
      <c r="D54">
        <f>'Site Activities'!C4</f>
        <v>-5.4981</v>
      </c>
      <c r="E54">
        <f>'Site Activities'!F4</f>
        <v>-7.1</v>
      </c>
      <c r="F54">
        <f>'Site Activities'!J4</f>
        <v>-5.7531999999999996</v>
      </c>
      <c r="G54">
        <f>'Site Activities'!H4</f>
        <v>-2.1855000000000002</v>
      </c>
      <c r="J54">
        <f t="shared" ref="J54:J57" si="13">9*F54+4*G54-2*D54-18*E54</f>
        <v>78.275400000000005</v>
      </c>
    </row>
    <row r="55" spans="1:15">
      <c r="A55" t="s">
        <v>141</v>
      </c>
      <c r="B55">
        <v>22.5</v>
      </c>
      <c r="C55">
        <f t="shared" si="12"/>
        <v>295.64999999999998</v>
      </c>
      <c r="D55">
        <f>'Site Activities'!C5</f>
        <v>-5.5418000000000003</v>
      </c>
      <c r="E55">
        <f>'Site Activities'!F5</f>
        <v>-8.3000000000000007</v>
      </c>
      <c r="F55">
        <f>'Site Activities'!J5</f>
        <v>-9.1513000000000009</v>
      </c>
      <c r="G55">
        <f>'Site Activities'!H5</f>
        <v>-1.9494</v>
      </c>
      <c r="J55">
        <f t="shared" si="13"/>
        <v>70.324299999999994</v>
      </c>
    </row>
    <row r="56" spans="1:15">
      <c r="A56" t="s">
        <v>142</v>
      </c>
      <c r="B56">
        <v>31.7</v>
      </c>
      <c r="C56">
        <f t="shared" si="12"/>
        <v>304.84999999999997</v>
      </c>
      <c r="D56">
        <f>'Site Activities'!C6</f>
        <v>-5.5317999999999996</v>
      </c>
      <c r="E56">
        <f>'Site Activities'!F6</f>
        <v>-8.6</v>
      </c>
      <c r="F56">
        <f>'Site Activities'!J6</f>
        <v>-9.0762</v>
      </c>
      <c r="G56">
        <f>'Site Activities'!H6</f>
        <v>-1.9497</v>
      </c>
      <c r="J56">
        <f t="shared" si="13"/>
        <v>76.378999999999976</v>
      </c>
    </row>
    <row r="57" spans="1:15">
      <c r="A57" t="s">
        <v>143</v>
      </c>
      <c r="B57">
        <v>21.5</v>
      </c>
      <c r="C57">
        <f t="shared" si="12"/>
        <v>294.64999999999998</v>
      </c>
      <c r="D57">
        <f>'Site Activities'!C7</f>
        <v>-5.5113000000000003</v>
      </c>
      <c r="E57">
        <f>'Site Activities'!F7</f>
        <v>-8.1</v>
      </c>
      <c r="F57">
        <f>'Site Activities'!J7</f>
        <v>-5.9417999999999997</v>
      </c>
      <c r="G57">
        <f>'Site Activities'!H7</f>
        <v>-2.7843</v>
      </c>
      <c r="J57">
        <f t="shared" si="13"/>
        <v>92.209199999999981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2CFE-6D21-0747-8D7F-C1CF46799DDC}">
  <dimension ref="A1:V57"/>
  <sheetViews>
    <sheetView workbookViewId="0">
      <selection activeCell="D18" sqref="D18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22">
      <c r="A1" s="45"/>
      <c r="J1" s="45"/>
      <c r="O1" s="43"/>
      <c r="P1" s="45" t="s">
        <v>159</v>
      </c>
      <c r="Q1" s="45"/>
    </row>
    <row r="2" spans="1:22">
      <c r="B2" s="11" t="s">
        <v>13</v>
      </c>
      <c r="C2" s="11" t="s">
        <v>5</v>
      </c>
      <c r="D2" s="11" t="s">
        <v>14</v>
      </c>
      <c r="E2" s="12" t="s">
        <v>12</v>
      </c>
      <c r="F2" s="11" t="s">
        <v>15</v>
      </c>
      <c r="G2" s="11" t="s">
        <v>16</v>
      </c>
      <c r="H2" s="11"/>
      <c r="I2" s="11" t="s">
        <v>11</v>
      </c>
      <c r="N2" t="s">
        <v>132</v>
      </c>
      <c r="P2" s="45" t="s">
        <v>160</v>
      </c>
      <c r="Q2" s="45" t="s">
        <v>161</v>
      </c>
      <c r="R2" t="s">
        <v>162</v>
      </c>
    </row>
    <row r="3" spans="1:22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169</v>
      </c>
      <c r="J3" s="1" t="s">
        <v>133</v>
      </c>
      <c r="K3" s="1" t="s">
        <v>134</v>
      </c>
      <c r="L3" s="1" t="s">
        <v>147</v>
      </c>
      <c r="M3" s="1" t="s">
        <v>156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</row>
    <row r="4" spans="1:22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Activities'!E2</f>
        <v>-4.6619000000000002</v>
      </c>
      <c r="J4">
        <f>3*F4-D4-6*E4</f>
        <v>36.067999999999998</v>
      </c>
      <c r="K4">
        <v>39.238419999999998</v>
      </c>
      <c r="L4">
        <f>-2.303*8.314*C4*(K4-J4)</f>
        <v>-17206.685405790959</v>
      </c>
      <c r="M4">
        <f>L4/2000</f>
        <v>-8.6033427028954801</v>
      </c>
      <c r="N4">
        <f>AVERAGE(MIN(M4:M9),MAX(M4:M9))</f>
        <v>-8.825501201904423</v>
      </c>
      <c r="O4">
        <f>ABS(MAX(M4:M9)-N4)</f>
        <v>14.224726094529309</v>
      </c>
      <c r="P4">
        <f>10^D4*L4</f>
        <v>-2.4098899939445357E-3</v>
      </c>
      <c r="Q4" t="s">
        <v>179</v>
      </c>
      <c r="R4">
        <f>P4</f>
        <v>-2.4098899939445357E-3</v>
      </c>
      <c r="S4">
        <f>(ABS(MIN(R4:R9)))</f>
        <v>1.2173212630870414E-2</v>
      </c>
      <c r="T4">
        <f>(ABS(MAX(R4:R9)))</f>
        <v>4.155864824654131E-3</v>
      </c>
      <c r="U4">
        <f>AVERAGE(LOG(S4),LOG(T4))</f>
        <v>-2.1479666894850249</v>
      </c>
      <c r="V4">
        <f>ABS(U4-LOG(S4))</f>
        <v>0.23337189743867404</v>
      </c>
    </row>
    <row r="5" spans="1:22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Activities'!E3</f>
        <v>-5.5021000000000004</v>
      </c>
      <c r="J5">
        <f t="shared" ref="J5:J9" si="1">3*F5-D5-6*E5</f>
        <v>35.874999999999993</v>
      </c>
      <c r="K5">
        <v>38.829189999999997</v>
      </c>
      <c r="L5">
        <f>-2.303*8.314*C5*(K5-J5)</f>
        <v>-16151.934558603058</v>
      </c>
      <c r="M5">
        <f>L5/2000</f>
        <v>-8.075967279301528</v>
      </c>
      <c r="P5">
        <f t="shared" ref="P5:P9" si="2">10^D5*L5</f>
        <v>-2.6725420449876802E-3</v>
      </c>
      <c r="Q5" t="s">
        <v>179</v>
      </c>
      <c r="R5">
        <f t="shared" ref="R5:R9" si="3">P5</f>
        <v>-2.6725420449876802E-3</v>
      </c>
    </row>
    <row r="6" spans="1:22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Activities'!E4</f>
        <v>-4.8437999999999999</v>
      </c>
      <c r="J6">
        <f t="shared" si="1"/>
        <v>34.549099999999996</v>
      </c>
      <c r="K6">
        <v>38.103569999999998</v>
      </c>
      <c r="L6">
        <f t="shared" ref="L6:L9" si="4">-2.303*8.314*C6*(K6-J6)</f>
        <v>-19692.565466988526</v>
      </c>
      <c r="M6">
        <f t="shared" ref="M6:M9" si="5">L6/2000</f>
        <v>-9.8462827334942631</v>
      </c>
      <c r="P6">
        <f t="shared" si="2"/>
        <v>-6.5133182349406448E-3</v>
      </c>
      <c r="Q6" t="s">
        <v>179</v>
      </c>
      <c r="R6">
        <f t="shared" si="3"/>
        <v>-6.5133182349406448E-3</v>
      </c>
    </row>
    <row r="7" spans="1:22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Activities'!E5</f>
        <v>-9.1935000000000002</v>
      </c>
      <c r="J7">
        <f t="shared" si="1"/>
        <v>28.797800000000002</v>
      </c>
      <c r="K7">
        <v>36.94153</v>
      </c>
      <c r="L7">
        <f t="shared" si="4"/>
        <v>-46100.454592867463</v>
      </c>
      <c r="M7">
        <f t="shared" si="5"/>
        <v>-23.050227296433732</v>
      </c>
      <c r="P7">
        <f t="shared" si="2"/>
        <v>-1.2173212630870414E-2</v>
      </c>
      <c r="Q7" t="s">
        <v>179</v>
      </c>
      <c r="R7">
        <f t="shared" si="3"/>
        <v>-1.2173212630870414E-2</v>
      </c>
    </row>
    <row r="8" spans="1:22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Activities'!E6</f>
        <v>-9.2012</v>
      </c>
      <c r="J8">
        <f t="shared" si="1"/>
        <v>30.578599999999994</v>
      </c>
      <c r="K8">
        <v>35.331609999999998</v>
      </c>
      <c r="L8">
        <f t="shared" si="4"/>
        <v>-27743.349022603499</v>
      </c>
      <c r="M8">
        <f t="shared" si="5"/>
        <v>-13.87167451130175</v>
      </c>
      <c r="P8">
        <f t="shared" si="2"/>
        <v>-7.2603722052517611E-3</v>
      </c>
      <c r="Q8" t="s">
        <v>179</v>
      </c>
      <c r="R8">
        <f t="shared" si="3"/>
        <v>-7.2603722052517611E-3</v>
      </c>
    </row>
    <row r="9" spans="1:22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Activities'!E7</f>
        <v>-5.3259999999999996</v>
      </c>
      <c r="J9">
        <f t="shared" si="1"/>
        <v>39.036699999999996</v>
      </c>
      <c r="K9">
        <v>37.122660000000003</v>
      </c>
      <c r="L9">
        <f t="shared" si="4"/>
        <v>10798.449785249772</v>
      </c>
      <c r="M9">
        <f t="shared" si="5"/>
        <v>5.3992248926248854</v>
      </c>
      <c r="P9">
        <f t="shared" si="2"/>
        <v>4.155864824654131E-3</v>
      </c>
      <c r="Q9" t="s">
        <v>179</v>
      </c>
      <c r="R9">
        <f t="shared" si="3"/>
        <v>4.155864824654131E-3</v>
      </c>
    </row>
    <row r="10" spans="1:22">
      <c r="B10" s="11" t="s">
        <v>13</v>
      </c>
      <c r="C10" s="11" t="s">
        <v>17</v>
      </c>
      <c r="D10" s="11" t="s">
        <v>21</v>
      </c>
      <c r="E10" s="12" t="s">
        <v>12</v>
      </c>
      <c r="F10" s="11" t="s">
        <v>15</v>
      </c>
      <c r="G10" s="11" t="s">
        <v>19</v>
      </c>
      <c r="H10" s="11" t="s">
        <v>16</v>
      </c>
      <c r="I10" s="11" t="s">
        <v>11</v>
      </c>
    </row>
    <row r="11" spans="1:22" s="1" customFormat="1" ht="20">
      <c r="A11" s="1" t="s">
        <v>129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169</v>
      </c>
      <c r="J11" s="1" t="s">
        <v>133</v>
      </c>
      <c r="K11" s="1" t="s">
        <v>134</v>
      </c>
      <c r="L11" s="1" t="s">
        <v>147</v>
      </c>
      <c r="M11" s="1" t="s">
        <v>156</v>
      </c>
      <c r="N11" s="1" t="s">
        <v>136</v>
      </c>
      <c r="O11" s="44" t="s">
        <v>137</v>
      </c>
    </row>
    <row r="12" spans="1:22">
      <c r="A12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Activities'!E2</f>
        <v>-4.6619000000000002</v>
      </c>
      <c r="J12">
        <f>3*F12-D12-7*E12</f>
        <v>44.1021</v>
      </c>
    </row>
    <row r="13" spans="1:22">
      <c r="A13" t="s">
        <v>139</v>
      </c>
      <c r="B13">
        <v>12.4</v>
      </c>
      <c r="C13">
        <f t="shared" ref="C13:C17" si="6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Activities'!E3</f>
        <v>-5.5021000000000004</v>
      </c>
      <c r="J13">
        <f t="shared" ref="J13:J17" si="7">3*F13-D13-7*E13</f>
        <v>43.122499999999988</v>
      </c>
    </row>
    <row r="14" spans="1:22">
      <c r="A14" t="s">
        <v>140</v>
      </c>
      <c r="B14">
        <v>16.2</v>
      </c>
      <c r="C14">
        <f t="shared" si="6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Activities'!E4</f>
        <v>-4.8437999999999999</v>
      </c>
      <c r="J14">
        <f t="shared" si="7"/>
        <v>42.081999999999994</v>
      </c>
    </row>
    <row r="15" spans="1:22">
      <c r="A15" t="s">
        <v>141</v>
      </c>
      <c r="B15">
        <v>22.5</v>
      </c>
      <c r="C15">
        <f t="shared" si="6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Activities'!E5</f>
        <v>-9.1935000000000002</v>
      </c>
      <c r="J15">
        <f t="shared" si="7"/>
        <v>35.197300000000013</v>
      </c>
    </row>
    <row r="16" spans="1:22">
      <c r="A16" t="s">
        <v>142</v>
      </c>
      <c r="B16">
        <v>31.7</v>
      </c>
      <c r="C16">
        <f t="shared" si="6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Activities'!E6</f>
        <v>-9.2012</v>
      </c>
      <c r="J16">
        <f t="shared" si="7"/>
        <v>37.687799999999996</v>
      </c>
    </row>
    <row r="17" spans="1:15">
      <c r="A17" t="s">
        <v>143</v>
      </c>
      <c r="B17">
        <v>21.5</v>
      </c>
      <c r="C17">
        <f t="shared" si="6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Activities'!E7</f>
        <v>-5.3259999999999996</v>
      </c>
      <c r="J17">
        <f t="shared" si="7"/>
        <v>46.572899999999997</v>
      </c>
    </row>
    <row r="18" spans="1:15">
      <c r="B18" s="11" t="s">
        <v>51</v>
      </c>
      <c r="C18" s="11" t="s">
        <v>22</v>
      </c>
      <c r="D18" s="11" t="s">
        <v>52</v>
      </c>
      <c r="E18" s="12" t="s">
        <v>12</v>
      </c>
      <c r="F18" s="11" t="s">
        <v>53</v>
      </c>
      <c r="G18" s="11" t="s">
        <v>24</v>
      </c>
      <c r="H18" s="11" t="s">
        <v>42</v>
      </c>
      <c r="I18" s="11" t="s">
        <v>34</v>
      </c>
    </row>
    <row r="19" spans="1:15" s="1" customFormat="1" ht="20">
      <c r="A19" s="1" t="s">
        <v>129</v>
      </c>
      <c r="B19" s="1" t="s">
        <v>130</v>
      </c>
      <c r="C19" s="1" t="s">
        <v>131</v>
      </c>
      <c r="D19" s="1" t="s">
        <v>150</v>
      </c>
      <c r="E19" s="1" t="s">
        <v>145</v>
      </c>
      <c r="F19" s="1" t="s">
        <v>169</v>
      </c>
      <c r="G19" s="1" t="s">
        <v>151</v>
      </c>
      <c r="J19" s="1" t="s">
        <v>133</v>
      </c>
      <c r="K19" s="1" t="s">
        <v>134</v>
      </c>
      <c r="L19" s="1" t="s">
        <v>147</v>
      </c>
      <c r="M19" s="1" t="s">
        <v>157</v>
      </c>
      <c r="N19" s="1" t="s">
        <v>136</v>
      </c>
      <c r="O19" s="44" t="s">
        <v>137</v>
      </c>
    </row>
    <row r="20" spans="1:15">
      <c r="A20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Activities'!F2</f>
        <v>-7.2</v>
      </c>
      <c r="F20">
        <f>'Site Activities'!E2</f>
        <v>-4.6619000000000002</v>
      </c>
      <c r="G20">
        <f>'Site Activities'!L2</f>
        <v>-18.813300000000002</v>
      </c>
      <c r="J20">
        <f>9*F20+G20-D20-16*E20</f>
        <v>59.748899999999992</v>
      </c>
    </row>
    <row r="21" spans="1:15">
      <c r="A21" t="s">
        <v>139</v>
      </c>
      <c r="B21">
        <v>12.4</v>
      </c>
      <c r="C21">
        <f t="shared" ref="C21:C25" si="8">B21+273.15</f>
        <v>285.54999999999995</v>
      </c>
      <c r="D21">
        <f>'Site Activities'!K3</f>
        <v>-8.3050999999999995</v>
      </c>
      <c r="E21">
        <f>'Site Activities'!F3</f>
        <v>-7.6</v>
      </c>
      <c r="F21">
        <f>'Site Activities'!E3</f>
        <v>-5.5021000000000004</v>
      </c>
      <c r="G21">
        <f>'Site Activities'!L3</f>
        <v>-19.1463</v>
      </c>
      <c r="J21">
        <f t="shared" ref="J21:J25" si="9">9*F21+G21-D21-16*E21</f>
        <v>61.239899999999992</v>
      </c>
    </row>
    <row r="22" spans="1:15">
      <c r="A22" t="s">
        <v>140</v>
      </c>
      <c r="B22">
        <v>16.2</v>
      </c>
      <c r="C22">
        <f t="shared" si="8"/>
        <v>289.34999999999997</v>
      </c>
      <c r="D22">
        <f>'Site Activities'!K4</f>
        <v>-5.0713999999999997</v>
      </c>
      <c r="E22">
        <f>'Site Activities'!F4</f>
        <v>-7.1</v>
      </c>
      <c r="F22">
        <f>'Site Activities'!E4</f>
        <v>-4.8437999999999999</v>
      </c>
      <c r="G22">
        <f>'Site Activities'!L4</f>
        <v>-18.847899999999999</v>
      </c>
      <c r="J22">
        <f t="shared" si="9"/>
        <v>56.229299999999995</v>
      </c>
    </row>
    <row r="23" spans="1:15">
      <c r="A23" t="s">
        <v>141</v>
      </c>
      <c r="B23">
        <v>22.5</v>
      </c>
      <c r="C23">
        <f t="shared" si="8"/>
        <v>295.64999999999998</v>
      </c>
      <c r="D23">
        <f>'Site Activities'!K5</f>
        <v>-4.2126999999999999</v>
      </c>
      <c r="E23">
        <f>'Site Activities'!F5</f>
        <v>-8.3000000000000007</v>
      </c>
      <c r="F23">
        <f>'Site Activities'!E5</f>
        <v>-9.1935000000000002</v>
      </c>
      <c r="G23">
        <f>'Site Activities'!L5</f>
        <v>-17.5655</v>
      </c>
      <c r="J23">
        <f t="shared" si="9"/>
        <v>36.705700000000007</v>
      </c>
    </row>
    <row r="24" spans="1:15">
      <c r="A24" t="s">
        <v>142</v>
      </c>
      <c r="B24">
        <v>31.7</v>
      </c>
      <c r="C24">
        <f t="shared" si="8"/>
        <v>304.84999999999997</v>
      </c>
      <c r="D24">
        <f>'Site Activities'!K6</f>
        <v>-4.7306999999999997</v>
      </c>
      <c r="E24">
        <f>'Site Activities'!F6</f>
        <v>-8.6</v>
      </c>
      <c r="F24">
        <f>'Site Activities'!E6</f>
        <v>-9.2012</v>
      </c>
      <c r="G24">
        <f>'Site Activities'!L6</f>
        <v>-17.566500000000001</v>
      </c>
      <c r="J24">
        <f t="shared" si="9"/>
        <v>41.953399999999988</v>
      </c>
    </row>
    <row r="25" spans="1:15">
      <c r="A25" t="s">
        <v>143</v>
      </c>
      <c r="B25">
        <v>21.5</v>
      </c>
      <c r="C25">
        <f t="shared" si="8"/>
        <v>294.64999999999998</v>
      </c>
      <c r="D25">
        <f>'Site Activities'!K7</f>
        <v>-5.4432</v>
      </c>
      <c r="E25">
        <f>'Site Activities'!F7</f>
        <v>-8.1</v>
      </c>
      <c r="F25">
        <f>'Site Activities'!E7</f>
        <v>-5.3259999999999996</v>
      </c>
      <c r="G25">
        <f>'Site Activities'!L7</f>
        <v>-18.3691</v>
      </c>
      <c r="J25">
        <f t="shared" si="9"/>
        <v>68.740099999999984</v>
      </c>
    </row>
    <row r="26" spans="1:15">
      <c r="B26" s="11" t="s">
        <v>54</v>
      </c>
      <c r="C26" s="11" t="s">
        <v>25</v>
      </c>
      <c r="D26" s="11" t="s">
        <v>55</v>
      </c>
      <c r="E26" s="12" t="s">
        <v>12</v>
      </c>
      <c r="F26" s="11" t="s">
        <v>56</v>
      </c>
      <c r="G26" s="11" t="s">
        <v>35</v>
      </c>
      <c r="H26" s="11" t="s">
        <v>57</v>
      </c>
      <c r="I26" s="11" t="s">
        <v>29</v>
      </c>
    </row>
    <row r="27" spans="1:15" s="1" customFormat="1" ht="20">
      <c r="A27" s="1" t="s">
        <v>129</v>
      </c>
      <c r="B27" s="1" t="s">
        <v>130</v>
      </c>
      <c r="C27" s="1" t="s">
        <v>131</v>
      </c>
      <c r="D27" s="1" t="s">
        <v>148</v>
      </c>
      <c r="E27" s="1" t="s">
        <v>145</v>
      </c>
      <c r="F27" s="1" t="s">
        <v>169</v>
      </c>
      <c r="G27" s="1" t="s">
        <v>152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Activities'!F2</f>
        <v>-7.2</v>
      </c>
      <c r="F28">
        <f>'Site Activities'!E2</f>
        <v>-4.6619000000000002</v>
      </c>
      <c r="G28">
        <f>'Site Activities'!H2</f>
        <v>-2.5078999999999998</v>
      </c>
      <c r="J28">
        <f>12*F28+G28-D28-23*E28</f>
        <v>113.74119999999999</v>
      </c>
    </row>
    <row r="29" spans="1:15">
      <c r="A29" t="s">
        <v>139</v>
      </c>
      <c r="B29">
        <v>12.4</v>
      </c>
      <c r="C29">
        <f t="shared" ref="C29:C33" si="10">B29+273.15</f>
        <v>285.54999999999995</v>
      </c>
      <c r="D29">
        <f>'Site Activities'!D3</f>
        <v>-6.6931000000000003</v>
      </c>
      <c r="E29">
        <f>'Site Activities'!F3</f>
        <v>-7.6</v>
      </c>
      <c r="F29">
        <f>'Site Activities'!E3</f>
        <v>-5.5021000000000004</v>
      </c>
      <c r="G29">
        <f>'Site Activities'!H3</f>
        <v>-2.4064999999999999</v>
      </c>
      <c r="J29">
        <f t="shared" ref="J29:J33" si="11">12*F29+G29-D29-23*E29</f>
        <v>113.06139999999998</v>
      </c>
    </row>
    <row r="30" spans="1:15">
      <c r="A30" t="s">
        <v>140</v>
      </c>
      <c r="B30">
        <v>16.2</v>
      </c>
      <c r="C30">
        <f t="shared" si="10"/>
        <v>289.34999999999997</v>
      </c>
      <c r="D30">
        <f>'Site Activities'!D4</f>
        <v>-5.6016000000000004</v>
      </c>
      <c r="E30">
        <f>'Site Activities'!F4</f>
        <v>-7.1</v>
      </c>
      <c r="F30">
        <f>'Site Activities'!E4</f>
        <v>-4.8437999999999999</v>
      </c>
      <c r="G30">
        <f>'Site Activities'!H4</f>
        <v>-2.1855000000000002</v>
      </c>
      <c r="J30">
        <f t="shared" si="11"/>
        <v>108.59049999999999</v>
      </c>
    </row>
    <row r="31" spans="1:15">
      <c r="A31" t="s">
        <v>141</v>
      </c>
      <c r="B31">
        <v>22.5</v>
      </c>
      <c r="C31">
        <f t="shared" si="10"/>
        <v>295.64999999999998</v>
      </c>
      <c r="D31">
        <f>'Site Activities'!D5</f>
        <v>-4.5528000000000004</v>
      </c>
      <c r="E31">
        <f>'Site Activities'!F5</f>
        <v>-8.3000000000000007</v>
      </c>
      <c r="F31">
        <f>'Site Activities'!E5</f>
        <v>-9.1935000000000002</v>
      </c>
      <c r="G31">
        <f>'Site Activities'!H5</f>
        <v>-1.9494</v>
      </c>
      <c r="J31">
        <f t="shared" si="11"/>
        <v>83.181400000000011</v>
      </c>
    </row>
    <row r="32" spans="1:15">
      <c r="A32" t="s">
        <v>142</v>
      </c>
      <c r="B32">
        <v>31.7</v>
      </c>
      <c r="C32">
        <f t="shared" si="10"/>
        <v>304.84999999999997</v>
      </c>
      <c r="D32">
        <f>'Site Activities'!D6</f>
        <v>-4.8278999999999996</v>
      </c>
      <c r="E32">
        <f>'Site Activities'!F6</f>
        <v>-8.6</v>
      </c>
      <c r="F32">
        <f>'Site Activities'!E6</f>
        <v>-9.2012</v>
      </c>
      <c r="G32">
        <f>'Site Activities'!H6</f>
        <v>-1.9497</v>
      </c>
      <c r="J32">
        <f t="shared" si="11"/>
        <v>90.263799999999975</v>
      </c>
    </row>
    <row r="33" spans="1:15">
      <c r="A33" t="s">
        <v>143</v>
      </c>
      <c r="B33">
        <v>21.5</v>
      </c>
      <c r="C33">
        <f t="shared" si="10"/>
        <v>294.64999999999998</v>
      </c>
      <c r="D33">
        <f>'Site Activities'!D7</f>
        <v>-3.7010999999999998</v>
      </c>
      <c r="E33">
        <f>'Site Activities'!F7</f>
        <v>-8.1</v>
      </c>
      <c r="F33">
        <f>'Site Activities'!E7</f>
        <v>-5.3259999999999996</v>
      </c>
      <c r="G33">
        <f>'Site Activities'!H7</f>
        <v>-2.7843</v>
      </c>
      <c r="J33">
        <f t="shared" si="11"/>
        <v>123.30479999999999</v>
      </c>
    </row>
    <row r="34" spans="1:15">
      <c r="B34" s="11" t="s">
        <v>51</v>
      </c>
      <c r="C34" s="11" t="s">
        <v>19</v>
      </c>
      <c r="D34" s="11" t="s">
        <v>52</v>
      </c>
      <c r="E34" s="13" t="s">
        <v>12</v>
      </c>
      <c r="F34" s="11" t="s">
        <v>53</v>
      </c>
      <c r="G34" s="11" t="s">
        <v>33</v>
      </c>
      <c r="H34" s="11" t="s">
        <v>58</v>
      </c>
      <c r="I34" s="11" t="s">
        <v>34</v>
      </c>
    </row>
    <row r="35" spans="1:15" s="1" customFormat="1" ht="20">
      <c r="A35" s="1" t="s">
        <v>129</v>
      </c>
      <c r="B35" s="1" t="s">
        <v>130</v>
      </c>
      <c r="C35" s="1" t="s">
        <v>131</v>
      </c>
      <c r="D35" s="1" t="s">
        <v>145</v>
      </c>
      <c r="E35" s="1" t="s">
        <v>169</v>
      </c>
      <c r="F35" s="1" t="s">
        <v>154</v>
      </c>
      <c r="J35" s="1" t="s">
        <v>133</v>
      </c>
      <c r="K35" s="1" t="s">
        <v>134</v>
      </c>
      <c r="L35" s="1" t="s">
        <v>147</v>
      </c>
      <c r="M35" s="1" t="s">
        <v>157</v>
      </c>
      <c r="N35" s="1" t="s">
        <v>136</v>
      </c>
      <c r="O35" s="44" t="s">
        <v>137</v>
      </c>
    </row>
    <row r="36" spans="1:15">
      <c r="A36" t="s">
        <v>138</v>
      </c>
      <c r="B36">
        <v>10.3</v>
      </c>
      <c r="C36">
        <f>B36+273.15</f>
        <v>283.45</v>
      </c>
      <c r="D36">
        <f>'Site Activities'!F2</f>
        <v>-7.2</v>
      </c>
      <c r="E36">
        <f>'Site Activities'!E2</f>
        <v>-4.6619000000000002</v>
      </c>
      <c r="F36">
        <f>'Site Activities'!N2</f>
        <v>-2.7730000000000001</v>
      </c>
      <c r="J36">
        <f>9*E36+F36-16*D36</f>
        <v>70.469899999999996</v>
      </c>
    </row>
    <row r="37" spans="1:15">
      <c r="A37" t="s">
        <v>139</v>
      </c>
      <c r="B37">
        <v>12.4</v>
      </c>
      <c r="C37">
        <f t="shared" ref="C37:C41" si="12">B37+273.15</f>
        <v>285.54999999999995</v>
      </c>
      <c r="D37">
        <f>'Site Activities'!F3</f>
        <v>-7.6</v>
      </c>
      <c r="E37">
        <f>'Site Activities'!E3</f>
        <v>-5.5021000000000004</v>
      </c>
      <c r="F37">
        <f>'Site Activities'!N3</f>
        <v>-3.3025000000000002</v>
      </c>
      <c r="J37">
        <f t="shared" ref="J37:J41" si="13">9*E37+F37-16*D37</f>
        <v>68.778599999999983</v>
      </c>
    </row>
    <row r="38" spans="1:15">
      <c r="A38" t="s">
        <v>140</v>
      </c>
      <c r="B38">
        <v>16.2</v>
      </c>
      <c r="C38">
        <f t="shared" si="12"/>
        <v>289.34999999999997</v>
      </c>
      <c r="D38">
        <f>'Site Activities'!F4</f>
        <v>-7.1</v>
      </c>
      <c r="E38">
        <f>'Site Activities'!E4</f>
        <v>-4.8437999999999999</v>
      </c>
      <c r="F38">
        <f>'Site Activities'!N4</f>
        <v>-2.2894999999999999</v>
      </c>
      <c r="J38">
        <f t="shared" si="13"/>
        <v>67.71629999999999</v>
      </c>
    </row>
    <row r="39" spans="1:15">
      <c r="A39" t="s">
        <v>141</v>
      </c>
      <c r="B39">
        <v>22.5</v>
      </c>
      <c r="C39">
        <f t="shared" si="12"/>
        <v>295.64999999999998</v>
      </c>
      <c r="D39">
        <f>'Site Activities'!F5</f>
        <v>-8.3000000000000007</v>
      </c>
      <c r="E39">
        <f>'Site Activities'!E5</f>
        <v>-9.1935000000000002</v>
      </c>
      <c r="F39">
        <f>'Site Activities'!N5</f>
        <v>-2.8025000000000002</v>
      </c>
      <c r="J39">
        <f t="shared" si="13"/>
        <v>47.256000000000014</v>
      </c>
    </row>
    <row r="40" spans="1:15">
      <c r="A40" t="s">
        <v>142</v>
      </c>
      <c r="B40">
        <v>31.7</v>
      </c>
      <c r="C40">
        <f t="shared" si="12"/>
        <v>304.84999999999997</v>
      </c>
      <c r="D40">
        <f>'Site Activities'!F6</f>
        <v>-8.6</v>
      </c>
      <c r="E40">
        <f>'Site Activities'!E6</f>
        <v>-9.2012</v>
      </c>
      <c r="F40">
        <f>'Site Activities'!N6</f>
        <v>-3.0129000000000001</v>
      </c>
      <c r="J40">
        <f t="shared" si="13"/>
        <v>51.776299999999992</v>
      </c>
    </row>
    <row r="41" spans="1:15">
      <c r="A41" t="s">
        <v>143</v>
      </c>
      <c r="B41">
        <v>21.5</v>
      </c>
      <c r="C41">
        <f t="shared" si="12"/>
        <v>294.64999999999998</v>
      </c>
      <c r="D41">
        <f>'Site Activities'!F7</f>
        <v>-8.1</v>
      </c>
      <c r="E41">
        <f>'Site Activities'!E7</f>
        <v>-5.3259999999999996</v>
      </c>
      <c r="F41">
        <f>'Site Activities'!N7</f>
        <v>-1.9358</v>
      </c>
      <c r="J41">
        <f t="shared" si="13"/>
        <v>79.730199999999996</v>
      </c>
    </row>
    <row r="42" spans="1:15">
      <c r="B42" s="11" t="s">
        <v>51</v>
      </c>
      <c r="C42" s="11" t="s">
        <v>38</v>
      </c>
      <c r="D42" s="11" t="s">
        <v>14</v>
      </c>
      <c r="E42" s="13" t="s">
        <v>12</v>
      </c>
      <c r="F42" s="11" t="s">
        <v>53</v>
      </c>
      <c r="G42" s="11" t="s">
        <v>41</v>
      </c>
      <c r="H42" s="11" t="s">
        <v>16</v>
      </c>
      <c r="I42" s="11" t="s">
        <v>43</v>
      </c>
    </row>
    <row r="43" spans="1:15" s="1" customFormat="1" ht="20">
      <c r="A43" s="1" t="s">
        <v>129</v>
      </c>
      <c r="B43" s="1" t="s">
        <v>130</v>
      </c>
      <c r="C43" s="1" t="s">
        <v>131</v>
      </c>
      <c r="D43" s="1" t="s">
        <v>155</v>
      </c>
      <c r="E43" s="1" t="s">
        <v>145</v>
      </c>
      <c r="F43" s="1" t="s">
        <v>169</v>
      </c>
      <c r="G43" s="1" t="s">
        <v>152</v>
      </c>
      <c r="J43" s="1" t="s">
        <v>133</v>
      </c>
      <c r="K43" s="1" t="s">
        <v>134</v>
      </c>
      <c r="L43" s="1" t="s">
        <v>147</v>
      </c>
      <c r="M43" s="1" t="s">
        <v>158</v>
      </c>
      <c r="N43" s="1" t="s">
        <v>136</v>
      </c>
      <c r="O43" s="44" t="s">
        <v>137</v>
      </c>
    </row>
    <row r="44" spans="1:15">
      <c r="A44" t="s">
        <v>138</v>
      </c>
      <c r="B44">
        <v>10.3</v>
      </c>
      <c r="C44">
        <f>B44+273.15</f>
        <v>283.45</v>
      </c>
      <c r="D44">
        <f>'Site Activities'!C2</f>
        <v>-5.2103000000000002</v>
      </c>
      <c r="E44">
        <f>'Site Activities'!F2</f>
        <v>-7.2</v>
      </c>
      <c r="F44">
        <f>'Site Activities'!E2</f>
        <v>-4.6619000000000002</v>
      </c>
      <c r="G44">
        <f>'Site Activities'!H2</f>
        <v>-2.5078999999999998</v>
      </c>
      <c r="J44">
        <f>9*F44+4*G44-2*D44-6*E44</f>
        <v>1.6319000000000017</v>
      </c>
    </row>
    <row r="45" spans="1:15">
      <c r="A45" t="s">
        <v>139</v>
      </c>
      <c r="B45">
        <v>12.4</v>
      </c>
      <c r="C45">
        <f t="shared" ref="C45:C49" si="14">B45+273.15</f>
        <v>285.54999999999995</v>
      </c>
      <c r="D45">
        <f>'Site Activities'!C3</f>
        <v>-5.2065000000000001</v>
      </c>
      <c r="E45">
        <f>'Site Activities'!F3</f>
        <v>-7.6</v>
      </c>
      <c r="F45">
        <f>'Site Activities'!E3</f>
        <v>-5.5021000000000004</v>
      </c>
      <c r="G45">
        <f>'Site Activities'!H3</f>
        <v>-2.4064999999999999</v>
      </c>
      <c r="J45">
        <f t="shared" ref="J45:J49" si="15">9*F45+4*G45-2*D45-6*E45</f>
        <v>-3.1319000000000017</v>
      </c>
    </row>
    <row r="46" spans="1:15">
      <c r="A46" t="s">
        <v>140</v>
      </c>
      <c r="B46">
        <v>16.2</v>
      </c>
      <c r="C46">
        <f t="shared" si="14"/>
        <v>289.34999999999997</v>
      </c>
      <c r="D46">
        <f>'Site Activities'!C4</f>
        <v>-5.4981</v>
      </c>
      <c r="E46">
        <f>'Site Activities'!F4</f>
        <v>-7.1</v>
      </c>
      <c r="F46">
        <f>'Site Activities'!E4</f>
        <v>-4.8437999999999999</v>
      </c>
      <c r="G46">
        <f>'Site Activities'!H4</f>
        <v>-2.1855000000000002</v>
      </c>
      <c r="J46">
        <f t="shared" si="15"/>
        <v>1.2599999999999909</v>
      </c>
    </row>
    <row r="47" spans="1:15">
      <c r="A47" t="s">
        <v>141</v>
      </c>
      <c r="B47">
        <v>22.5</v>
      </c>
      <c r="C47">
        <f t="shared" si="14"/>
        <v>295.64999999999998</v>
      </c>
      <c r="D47">
        <f>'Site Activities'!C5</f>
        <v>-5.5418000000000003</v>
      </c>
      <c r="E47">
        <f>'Site Activities'!F5</f>
        <v>-8.3000000000000007</v>
      </c>
      <c r="F47">
        <f>'Site Activities'!E5</f>
        <v>-9.1935000000000002</v>
      </c>
      <c r="G47">
        <f>'Site Activities'!H5</f>
        <v>-1.9494</v>
      </c>
      <c r="J47">
        <f t="shared" si="15"/>
        <v>-29.655499999999996</v>
      </c>
    </row>
    <row r="48" spans="1:15">
      <c r="A48" t="s">
        <v>142</v>
      </c>
      <c r="B48">
        <v>31.7</v>
      </c>
      <c r="C48">
        <f t="shared" si="14"/>
        <v>304.84999999999997</v>
      </c>
      <c r="D48">
        <f>'Site Activities'!C6</f>
        <v>-5.5317999999999996</v>
      </c>
      <c r="E48">
        <f>'Site Activities'!F6</f>
        <v>-8.6</v>
      </c>
      <c r="F48">
        <f>'Site Activities'!E6</f>
        <v>-9.2012</v>
      </c>
      <c r="G48">
        <f>'Site Activities'!H6</f>
        <v>-1.9497</v>
      </c>
      <c r="J48">
        <f t="shared" si="15"/>
        <v>-27.946000000000012</v>
      </c>
    </row>
    <row r="49" spans="1:15">
      <c r="A49" t="s">
        <v>143</v>
      </c>
      <c r="B49">
        <v>21.5</v>
      </c>
      <c r="C49">
        <f t="shared" si="14"/>
        <v>294.64999999999998</v>
      </c>
      <c r="D49">
        <f>'Site Activities'!C7</f>
        <v>-5.5113000000000003</v>
      </c>
      <c r="E49">
        <f>'Site Activities'!F7</f>
        <v>-8.1</v>
      </c>
      <c r="F49">
        <f>'Site Activities'!E7</f>
        <v>-5.3259999999999996</v>
      </c>
      <c r="G49">
        <f>'Site Activities'!H7</f>
        <v>-2.7843</v>
      </c>
      <c r="J49">
        <f t="shared" si="15"/>
        <v>0.551400000000001</v>
      </c>
    </row>
    <row r="50" spans="1:15">
      <c r="B50" s="11" t="s">
        <v>13</v>
      </c>
      <c r="C50" s="11" t="s">
        <v>106</v>
      </c>
      <c r="D50" s="11" t="s">
        <v>6</v>
      </c>
      <c r="E50" s="13" t="s">
        <v>12</v>
      </c>
      <c r="F50" s="11" t="s">
        <v>15</v>
      </c>
      <c r="G50" s="11" t="s">
        <v>107</v>
      </c>
      <c r="H50" s="11"/>
      <c r="I50" s="11" t="s">
        <v>34</v>
      </c>
    </row>
    <row r="51" spans="1:15" s="1" customFormat="1" ht="20">
      <c r="A51" s="1" t="s">
        <v>129</v>
      </c>
      <c r="B51" s="1" t="s">
        <v>130</v>
      </c>
      <c r="C51" s="1" t="s">
        <v>131</v>
      </c>
      <c r="D51" s="1" t="s">
        <v>146</v>
      </c>
      <c r="E51" s="1" t="s">
        <v>145</v>
      </c>
      <c r="F51" s="1" t="s">
        <v>169</v>
      </c>
      <c r="J51" s="1" t="s">
        <v>133</v>
      </c>
      <c r="K51" s="1" t="s">
        <v>134</v>
      </c>
      <c r="L51" s="1" t="s">
        <v>147</v>
      </c>
      <c r="M51" s="1" t="s">
        <v>157</v>
      </c>
      <c r="N51" s="1" t="s">
        <v>136</v>
      </c>
      <c r="O51" s="44" t="s">
        <v>137</v>
      </c>
    </row>
    <row r="52" spans="1:15">
      <c r="A52" t="s">
        <v>138</v>
      </c>
      <c r="B52">
        <v>10.3</v>
      </c>
      <c r="C52">
        <f>B52+273.15</f>
        <v>283.45</v>
      </c>
      <c r="D52">
        <f>'Site Activities'!J2</f>
        <v>-5.7184999999999997</v>
      </c>
      <c r="E52">
        <f>'Site Activities'!F2</f>
        <v>-7.2</v>
      </c>
      <c r="F52">
        <f>'Site Activities'!E2</f>
        <v>-4.6619000000000002</v>
      </c>
      <c r="J52">
        <f>3*F52-2*D52-2*E52</f>
        <v>11.851299999999998</v>
      </c>
    </row>
    <row r="53" spans="1:15">
      <c r="A53" t="s">
        <v>139</v>
      </c>
      <c r="B53">
        <v>12.4</v>
      </c>
      <c r="C53">
        <f t="shared" ref="C53:C57" si="16">B53+273.15</f>
        <v>285.54999999999995</v>
      </c>
      <c r="D53">
        <f>'Site Activities'!J3</f>
        <v>-8.9510000000000005</v>
      </c>
      <c r="E53">
        <f>'Site Activities'!F3</f>
        <v>-7.6</v>
      </c>
      <c r="F53">
        <f>'Site Activities'!E3</f>
        <v>-5.5021000000000004</v>
      </c>
      <c r="J53">
        <f t="shared" ref="J53:J57" si="17">3*F53-2*D53-2*E53</f>
        <v>16.595699999999997</v>
      </c>
    </row>
    <row r="54" spans="1:15">
      <c r="A54" t="s">
        <v>140</v>
      </c>
      <c r="B54">
        <v>16.2</v>
      </c>
      <c r="C54">
        <f t="shared" si="16"/>
        <v>289.34999999999997</v>
      </c>
      <c r="D54">
        <f>'Site Activities'!J4</f>
        <v>-5.7531999999999996</v>
      </c>
      <c r="E54">
        <f>'Site Activities'!F4</f>
        <v>-7.1</v>
      </c>
      <c r="F54">
        <f>'Site Activities'!E4</f>
        <v>-4.8437999999999999</v>
      </c>
      <c r="J54">
        <f t="shared" si="17"/>
        <v>11.174999999999999</v>
      </c>
    </row>
    <row r="55" spans="1:15">
      <c r="A55" t="s">
        <v>141</v>
      </c>
      <c r="B55">
        <v>22.5</v>
      </c>
      <c r="C55">
        <f t="shared" si="16"/>
        <v>295.64999999999998</v>
      </c>
      <c r="D55">
        <f>'Site Activities'!J5</f>
        <v>-9.1513000000000009</v>
      </c>
      <c r="E55">
        <f>'Site Activities'!F5</f>
        <v>-8.3000000000000007</v>
      </c>
      <c r="F55">
        <f>'Site Activities'!E5</f>
        <v>-9.1935000000000002</v>
      </c>
      <c r="J55">
        <f t="shared" si="17"/>
        <v>7.3221000000000025</v>
      </c>
    </row>
    <row r="56" spans="1:15">
      <c r="A56" t="s">
        <v>142</v>
      </c>
      <c r="B56">
        <v>31.7</v>
      </c>
      <c r="C56">
        <f t="shared" si="16"/>
        <v>304.84999999999997</v>
      </c>
      <c r="D56">
        <f>'Site Activities'!J6</f>
        <v>-9.0762</v>
      </c>
      <c r="E56">
        <f>'Site Activities'!F6</f>
        <v>-8.6</v>
      </c>
      <c r="F56">
        <f>'Site Activities'!E6</f>
        <v>-9.2012</v>
      </c>
      <c r="J56">
        <f t="shared" si="17"/>
        <v>7.7487999999999992</v>
      </c>
    </row>
    <row r="57" spans="1:15">
      <c r="A57" t="s">
        <v>143</v>
      </c>
      <c r="B57">
        <v>21.5</v>
      </c>
      <c r="C57">
        <f t="shared" si="16"/>
        <v>294.64999999999998</v>
      </c>
      <c r="D57">
        <f>'Site Activities'!J7</f>
        <v>-5.9417999999999997</v>
      </c>
      <c r="E57">
        <f>'Site Activities'!F7</f>
        <v>-8.1</v>
      </c>
      <c r="F57">
        <f>'Site Activities'!E7</f>
        <v>-5.3259999999999996</v>
      </c>
      <c r="J57">
        <f t="shared" si="17"/>
        <v>12.105600000000001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CB0C-9DE2-6E4E-A099-2AF33018ADF5}">
  <dimension ref="A1:Y65"/>
  <sheetViews>
    <sheetView workbookViewId="0">
      <selection activeCell="D60" sqref="D60:L65"/>
    </sheetView>
  </sheetViews>
  <sheetFormatPr baseColWidth="10" defaultRowHeight="16"/>
  <cols>
    <col min="18" max="18" width="16.1640625" customWidth="1"/>
    <col min="19" max="19" width="14.83203125" customWidth="1"/>
    <col min="20" max="20" width="13.5" customWidth="1"/>
    <col min="22" max="22" width="9.5" customWidth="1"/>
    <col min="23" max="23" width="11.83203125" bestFit="1" customWidth="1"/>
  </cols>
  <sheetData>
    <row r="1" spans="1:25">
      <c r="A1" s="45"/>
      <c r="L1" s="45"/>
      <c r="Q1" s="43"/>
      <c r="R1" s="45" t="s">
        <v>159</v>
      </c>
      <c r="S1" s="45"/>
    </row>
    <row r="2" spans="1:25">
      <c r="B2" s="26" t="s">
        <v>111</v>
      </c>
      <c r="C2" s="26" t="s">
        <v>110</v>
      </c>
      <c r="D2" s="26" t="s">
        <v>65</v>
      </c>
      <c r="E2" s="38" t="s">
        <v>12</v>
      </c>
      <c r="F2" s="26" t="s">
        <v>17</v>
      </c>
      <c r="G2" s="26" t="s">
        <v>109</v>
      </c>
      <c r="H2" s="26" t="s">
        <v>28</v>
      </c>
      <c r="I2" s="26"/>
      <c r="J2" s="26"/>
      <c r="K2" s="26" t="s">
        <v>29</v>
      </c>
      <c r="P2" t="s">
        <v>132</v>
      </c>
      <c r="R2" s="45" t="s">
        <v>160</v>
      </c>
      <c r="S2" s="45" t="s">
        <v>161</v>
      </c>
      <c r="T2" t="s">
        <v>162</v>
      </c>
    </row>
    <row r="3" spans="1:25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149</v>
      </c>
      <c r="G3" s="1" t="s">
        <v>170</v>
      </c>
      <c r="L3" s="1" t="s">
        <v>133</v>
      </c>
      <c r="M3" s="1" t="s">
        <v>134</v>
      </c>
      <c r="N3" s="1" t="s">
        <v>147</v>
      </c>
      <c r="O3" s="1" t="s">
        <v>135</v>
      </c>
      <c r="P3" s="1" t="s">
        <v>136</v>
      </c>
      <c r="Q3" s="44" t="s">
        <v>137</v>
      </c>
      <c r="R3" s="46" t="s">
        <v>168</v>
      </c>
      <c r="S3" s="46" t="s">
        <v>168</v>
      </c>
      <c r="T3" s="1" t="s">
        <v>163</v>
      </c>
      <c r="U3" s="1" t="s">
        <v>164</v>
      </c>
      <c r="V3" s="1" t="s">
        <v>165</v>
      </c>
      <c r="W3" s="1" t="s">
        <v>166</v>
      </c>
      <c r="X3" s="44" t="s">
        <v>137</v>
      </c>
      <c r="Y3" s="1" t="s">
        <v>167</v>
      </c>
    </row>
    <row r="4" spans="1:25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Activities'!I2</f>
        <v>-7.6878000000000002</v>
      </c>
      <c r="G4">
        <f>'Site Activities'!B2</f>
        <v>-2.8108</v>
      </c>
      <c r="L4">
        <f>F4+G4-4*D4-E4</f>
        <v>24.116199999999999</v>
      </c>
    </row>
    <row r="5" spans="1:25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Activities'!I3</f>
        <v>-6.4287999999999998</v>
      </c>
      <c r="G5">
        <f>'Site Activities'!B3</f>
        <v>-3.1482000000000001</v>
      </c>
      <c r="L5">
        <f t="shared" ref="L5:L9" si="1">F5+G5-4*D5-E5</f>
        <v>25.148200000000003</v>
      </c>
    </row>
    <row r="6" spans="1:25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Activities'!I4</f>
        <v>-6.9134000000000002</v>
      </c>
      <c r="G6">
        <f>'Site Activities'!B4</f>
        <v>-2.5674999999999999</v>
      </c>
      <c r="L6">
        <f t="shared" si="1"/>
        <v>23.5411</v>
      </c>
    </row>
    <row r="7" spans="1:25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Activities'!I5</f>
        <v>-4.6778000000000004</v>
      </c>
      <c r="G7">
        <f>'Site Activities'!B5</f>
        <v>-4.1238999999999999</v>
      </c>
      <c r="L7">
        <f t="shared" si="1"/>
        <v>25.811499999999999</v>
      </c>
    </row>
    <row r="8" spans="1:25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Activities'!I6</f>
        <v>-5.0914000000000001</v>
      </c>
      <c r="G8">
        <f>'Site Activities'!B6</f>
        <v>-4.3998999999999997</v>
      </c>
      <c r="L8">
        <f t="shared" si="1"/>
        <v>25.4375</v>
      </c>
    </row>
    <row r="9" spans="1:25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Activities'!I7</f>
        <v>-5.8509000000000002</v>
      </c>
      <c r="G9">
        <f>'Site Activities'!B7</f>
        <v>-2.8066</v>
      </c>
      <c r="L9">
        <f t="shared" si="1"/>
        <v>25.101300000000002</v>
      </c>
    </row>
    <row r="10" spans="1:25">
      <c r="B10" s="26" t="s">
        <v>111</v>
      </c>
      <c r="C10" s="26" t="s">
        <v>117</v>
      </c>
      <c r="D10" s="26" t="s">
        <v>118</v>
      </c>
      <c r="E10" s="38" t="s">
        <v>12</v>
      </c>
      <c r="F10" s="26" t="s">
        <v>117</v>
      </c>
      <c r="G10" s="26" t="s">
        <v>119</v>
      </c>
      <c r="H10" s="26" t="s">
        <v>109</v>
      </c>
      <c r="I10" s="26" t="s">
        <v>28</v>
      </c>
      <c r="J10" s="26"/>
      <c r="K10" s="26" t="s">
        <v>29</v>
      </c>
    </row>
    <row r="11" spans="1:25" s="1" customFormat="1" ht="20">
      <c r="A11" s="1" t="s">
        <v>129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149</v>
      </c>
      <c r="G11" s="1" t="s">
        <v>170</v>
      </c>
      <c r="L11" s="1" t="s">
        <v>133</v>
      </c>
      <c r="M11" s="1" t="s">
        <v>134</v>
      </c>
      <c r="N11" s="1" t="s">
        <v>147</v>
      </c>
      <c r="O11" s="1" t="s">
        <v>135</v>
      </c>
      <c r="P11" s="1" t="s">
        <v>136</v>
      </c>
      <c r="Q11" s="44" t="s">
        <v>137</v>
      </c>
    </row>
    <row r="12" spans="1:25">
      <c r="A12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Activities'!I2</f>
        <v>-7.6878000000000002</v>
      </c>
      <c r="G12">
        <f>'Site Activities'!B2</f>
        <v>-2.8108</v>
      </c>
      <c r="L12">
        <f>3*F12+G12-3*D12-5*E12</f>
        <v>33.1892</v>
      </c>
    </row>
    <row r="13" spans="1:25">
      <c r="A13" t="s">
        <v>139</v>
      </c>
      <c r="B13">
        <v>12.4</v>
      </c>
      <c r="C13">
        <f t="shared" ref="C13:C17" si="2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Activities'!I3</f>
        <v>-6.4287999999999998</v>
      </c>
      <c r="G13">
        <f>'Site Activities'!B3</f>
        <v>-3.1482000000000001</v>
      </c>
      <c r="L13">
        <f t="shared" ref="L13:L17" si="3">3*F13+G13-3*D13-5*E13</f>
        <v>34.851799999999997</v>
      </c>
    </row>
    <row r="14" spans="1:25">
      <c r="A14" t="s">
        <v>140</v>
      </c>
      <c r="B14">
        <v>16.2</v>
      </c>
      <c r="C14">
        <f t="shared" si="2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Activities'!I4</f>
        <v>-6.9134000000000002</v>
      </c>
      <c r="G14">
        <f>'Site Activities'!B4</f>
        <v>-2.5674999999999999</v>
      </c>
      <c r="L14">
        <f t="shared" si="3"/>
        <v>32.932500000000005</v>
      </c>
    </row>
    <row r="15" spans="1:25">
      <c r="A15" t="s">
        <v>141</v>
      </c>
      <c r="B15">
        <v>22.5</v>
      </c>
      <c r="C15">
        <f t="shared" si="2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Activities'!I5</f>
        <v>-4.6778000000000004</v>
      </c>
      <c r="G15">
        <f>'Site Activities'!B5</f>
        <v>-4.1238999999999999</v>
      </c>
      <c r="L15">
        <f t="shared" si="3"/>
        <v>37.376100000000001</v>
      </c>
    </row>
    <row r="16" spans="1:25">
      <c r="A16" t="s">
        <v>142</v>
      </c>
      <c r="B16">
        <v>31.7</v>
      </c>
      <c r="C16">
        <f t="shared" si="2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Activities'!I6</f>
        <v>-5.0914000000000001</v>
      </c>
      <c r="G16">
        <f>'Site Activities'!B6</f>
        <v>-4.3998999999999997</v>
      </c>
      <c r="L16">
        <f t="shared" si="3"/>
        <v>38.600099999999998</v>
      </c>
    </row>
    <row r="17" spans="1:17">
      <c r="A17" t="s">
        <v>143</v>
      </c>
      <c r="B17">
        <v>21.5</v>
      </c>
      <c r="C17">
        <f t="shared" si="2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Activities'!I7</f>
        <v>-5.8509000000000002</v>
      </c>
      <c r="G17">
        <f>'Site Activities'!B7</f>
        <v>-2.8066</v>
      </c>
      <c r="L17">
        <f t="shared" si="3"/>
        <v>37.693399999999997</v>
      </c>
    </row>
    <row r="18" spans="1:17">
      <c r="B18" s="26" t="s">
        <v>123</v>
      </c>
      <c r="C18" s="26" t="s">
        <v>120</v>
      </c>
      <c r="D18" s="26" t="s">
        <v>8</v>
      </c>
      <c r="E18" s="38" t="s">
        <v>12</v>
      </c>
      <c r="F18" s="26" t="s">
        <v>117</v>
      </c>
      <c r="G18" s="26" t="s">
        <v>121</v>
      </c>
      <c r="H18" s="26" t="s">
        <v>171</v>
      </c>
      <c r="I18" s="26" t="s">
        <v>42</v>
      </c>
      <c r="J18" s="26" t="s">
        <v>118</v>
      </c>
      <c r="K18" s="26" t="s">
        <v>122</v>
      </c>
    </row>
    <row r="19" spans="1:17" s="1" customFormat="1" ht="20">
      <c r="A19" s="1" t="s">
        <v>129</v>
      </c>
      <c r="B19" s="1" t="s">
        <v>130</v>
      </c>
      <c r="C19" s="1" t="s">
        <v>131</v>
      </c>
      <c r="D19" s="1" t="s">
        <v>150</v>
      </c>
      <c r="E19" s="1" t="s">
        <v>149</v>
      </c>
      <c r="F19" s="1" t="s">
        <v>151</v>
      </c>
      <c r="G19" s="1" t="s">
        <v>170</v>
      </c>
      <c r="H19" s="1" t="s">
        <v>145</v>
      </c>
      <c r="L19" s="1" t="s">
        <v>133</v>
      </c>
      <c r="M19" s="1" t="s">
        <v>134</v>
      </c>
      <c r="N19" s="1" t="s">
        <v>147</v>
      </c>
      <c r="O19" s="1" t="s">
        <v>174</v>
      </c>
      <c r="P19" s="1" t="s">
        <v>136</v>
      </c>
      <c r="Q19" s="44" t="s">
        <v>137</v>
      </c>
    </row>
    <row r="20" spans="1:17">
      <c r="A20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Activities'!I2</f>
        <v>-7.6878000000000002</v>
      </c>
      <c r="F20">
        <f>'Site Activities'!L2</f>
        <v>-18.813300000000002</v>
      </c>
      <c r="G20">
        <f>'Site Activities'!B2</f>
        <v>-2.8108</v>
      </c>
      <c r="H20">
        <f>'Site Activities'!F2</f>
        <v>-7.2</v>
      </c>
      <c r="L20">
        <f>3*E20+4*F20+3*G20+5*H20-4*D20</f>
        <v>-121.47180000000003</v>
      </c>
    </row>
    <row r="21" spans="1:17">
      <c r="A21" t="s">
        <v>139</v>
      </c>
      <c r="B21">
        <v>12.4</v>
      </c>
      <c r="C21">
        <f t="shared" ref="C21:C25" si="4">B21+273.15</f>
        <v>285.54999999999995</v>
      </c>
      <c r="D21">
        <f>'Site Activities'!K3</f>
        <v>-8.3050999999999995</v>
      </c>
      <c r="E21">
        <f>'Site Activities'!I3</f>
        <v>-6.4287999999999998</v>
      </c>
      <c r="F21">
        <f>'Site Activities'!L3</f>
        <v>-19.1463</v>
      </c>
      <c r="G21">
        <f>'Site Activities'!B3</f>
        <v>-3.1482000000000001</v>
      </c>
      <c r="H21">
        <f>'Site Activities'!F3</f>
        <v>-7.6</v>
      </c>
      <c r="L21">
        <f t="shared" ref="L21:L25" si="5">3*E21+4*F21+3*G21+5*H21-4*D21</f>
        <v>-110.09580000000001</v>
      </c>
    </row>
    <row r="22" spans="1:17">
      <c r="A22" t="s">
        <v>140</v>
      </c>
      <c r="B22">
        <v>16.2</v>
      </c>
      <c r="C22">
        <f t="shared" si="4"/>
        <v>289.34999999999997</v>
      </c>
      <c r="D22">
        <f>'Site Activities'!K4</f>
        <v>-5.0713999999999997</v>
      </c>
      <c r="E22">
        <f>'Site Activities'!I4</f>
        <v>-6.9134000000000002</v>
      </c>
      <c r="F22">
        <f>'Site Activities'!L4</f>
        <v>-18.847899999999999</v>
      </c>
      <c r="G22">
        <f>'Site Activities'!B4</f>
        <v>-2.5674999999999999</v>
      </c>
      <c r="H22">
        <f>'Site Activities'!F4</f>
        <v>-7.1</v>
      </c>
      <c r="L22">
        <f t="shared" si="5"/>
        <v>-119.04869999999998</v>
      </c>
    </row>
    <row r="23" spans="1:17">
      <c r="A23" t="s">
        <v>141</v>
      </c>
      <c r="B23">
        <v>22.5</v>
      </c>
      <c r="C23">
        <f t="shared" si="4"/>
        <v>295.64999999999998</v>
      </c>
      <c r="D23">
        <f>'Site Activities'!K5</f>
        <v>-4.2126999999999999</v>
      </c>
      <c r="E23">
        <f>'Site Activities'!I5</f>
        <v>-4.6778000000000004</v>
      </c>
      <c r="F23">
        <f>'Site Activities'!L5</f>
        <v>-17.5655</v>
      </c>
      <c r="G23">
        <f>'Site Activities'!B5</f>
        <v>-4.1238999999999999</v>
      </c>
      <c r="H23">
        <f>'Site Activities'!F5</f>
        <v>-8.3000000000000007</v>
      </c>
      <c r="L23">
        <f t="shared" si="5"/>
        <v>-121.31630000000001</v>
      </c>
    </row>
    <row r="24" spans="1:17">
      <c r="A24" t="s">
        <v>142</v>
      </c>
      <c r="B24">
        <v>31.7</v>
      </c>
      <c r="C24">
        <f t="shared" si="4"/>
        <v>304.84999999999997</v>
      </c>
      <c r="D24">
        <f>'Site Activities'!K6</f>
        <v>-4.7306999999999997</v>
      </c>
      <c r="E24">
        <f>'Site Activities'!I6</f>
        <v>-5.0914000000000001</v>
      </c>
      <c r="F24">
        <f>'Site Activities'!L6</f>
        <v>-17.566500000000001</v>
      </c>
      <c r="G24">
        <f>'Site Activities'!B6</f>
        <v>-4.3998999999999997</v>
      </c>
      <c r="H24">
        <f>'Site Activities'!F6</f>
        <v>-8.6</v>
      </c>
      <c r="L24">
        <f t="shared" si="5"/>
        <v>-122.81710000000001</v>
      </c>
    </row>
    <row r="25" spans="1:17">
      <c r="A25" t="s">
        <v>143</v>
      </c>
      <c r="B25">
        <v>21.5</v>
      </c>
      <c r="C25">
        <f t="shared" si="4"/>
        <v>294.64999999999998</v>
      </c>
      <c r="D25">
        <f>'Site Activities'!K7</f>
        <v>-5.4432</v>
      </c>
      <c r="E25">
        <f>'Site Activities'!I7</f>
        <v>-5.8509000000000002</v>
      </c>
      <c r="F25">
        <f>'Site Activities'!L7</f>
        <v>-18.3691</v>
      </c>
      <c r="G25">
        <f>'Site Activities'!B7</f>
        <v>-2.8066</v>
      </c>
      <c r="H25">
        <f>'Site Activities'!F7</f>
        <v>-8.1</v>
      </c>
      <c r="L25">
        <f t="shared" si="5"/>
        <v>-118.17609999999998</v>
      </c>
    </row>
    <row r="26" spans="1:17">
      <c r="B26" s="26" t="s">
        <v>111</v>
      </c>
      <c r="C26" s="26" t="s">
        <v>25</v>
      </c>
      <c r="D26" s="26"/>
      <c r="E26" s="33" t="s">
        <v>12</v>
      </c>
      <c r="F26" s="26" t="s">
        <v>35</v>
      </c>
      <c r="G26" s="26" t="s">
        <v>17</v>
      </c>
      <c r="H26" s="26" t="s">
        <v>109</v>
      </c>
      <c r="I26" s="26" t="s">
        <v>61</v>
      </c>
      <c r="J26" s="26"/>
      <c r="K26" s="26" t="s">
        <v>29</v>
      </c>
    </row>
    <row r="27" spans="1:17" s="1" customFormat="1" ht="20">
      <c r="A27" s="1" t="s">
        <v>129</v>
      </c>
      <c r="B27" s="1" t="s">
        <v>130</v>
      </c>
      <c r="C27" s="1" t="s">
        <v>131</v>
      </c>
      <c r="D27" s="1" t="s">
        <v>148</v>
      </c>
      <c r="E27" s="1" t="s">
        <v>152</v>
      </c>
      <c r="F27" s="1" t="s">
        <v>149</v>
      </c>
      <c r="G27" s="1" t="s">
        <v>170</v>
      </c>
      <c r="L27" s="1" t="s">
        <v>133</v>
      </c>
      <c r="M27" s="1" t="s">
        <v>134</v>
      </c>
      <c r="N27" s="1" t="s">
        <v>147</v>
      </c>
      <c r="O27" s="1" t="s">
        <v>135</v>
      </c>
      <c r="P27" s="1" t="s">
        <v>136</v>
      </c>
      <c r="Q27" s="44" t="s">
        <v>137</v>
      </c>
    </row>
    <row r="28" spans="1:17">
      <c r="A2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Activities'!H2</f>
        <v>-2.5078999999999998</v>
      </c>
      <c r="F28">
        <f>'Site Activities'!I2</f>
        <v>-7.6878000000000002</v>
      </c>
      <c r="G28">
        <f>'Site Activities'!B2</f>
        <v>-2.8108</v>
      </c>
      <c r="L28">
        <f>E28+F28+G28-D28</f>
        <v>-6.414600000000001</v>
      </c>
    </row>
    <row r="29" spans="1:17">
      <c r="A29" t="s">
        <v>139</v>
      </c>
      <c r="B29">
        <v>12.4</v>
      </c>
      <c r="C29">
        <f t="shared" ref="C29:C33" si="6">B29+273.15</f>
        <v>285.54999999999995</v>
      </c>
      <c r="D29">
        <f>'Site Activities'!D3</f>
        <v>-6.6931000000000003</v>
      </c>
      <c r="E29">
        <f>'Site Activities'!H3</f>
        <v>-2.4064999999999999</v>
      </c>
      <c r="F29">
        <f>'Site Activities'!I3</f>
        <v>-6.4287999999999998</v>
      </c>
      <c r="G29">
        <f>'Site Activities'!B3</f>
        <v>-3.1482000000000001</v>
      </c>
      <c r="L29">
        <f t="shared" ref="L29:L33" si="7">E29+F29+G29-D29</f>
        <v>-5.2903999999999991</v>
      </c>
    </row>
    <row r="30" spans="1:17">
      <c r="A30" t="s">
        <v>140</v>
      </c>
      <c r="B30">
        <v>16.2</v>
      </c>
      <c r="C30">
        <f t="shared" si="6"/>
        <v>289.34999999999997</v>
      </c>
      <c r="D30">
        <f>'Site Activities'!D4</f>
        <v>-5.6016000000000004</v>
      </c>
      <c r="E30">
        <f>'Site Activities'!H4</f>
        <v>-2.1855000000000002</v>
      </c>
      <c r="F30">
        <f>'Site Activities'!I4</f>
        <v>-6.9134000000000002</v>
      </c>
      <c r="G30">
        <f>'Site Activities'!B4</f>
        <v>-2.5674999999999999</v>
      </c>
      <c r="L30">
        <f t="shared" si="7"/>
        <v>-6.0647999999999991</v>
      </c>
    </row>
    <row r="31" spans="1:17">
      <c r="A31" t="s">
        <v>141</v>
      </c>
      <c r="B31">
        <v>22.5</v>
      </c>
      <c r="C31">
        <f t="shared" si="6"/>
        <v>295.64999999999998</v>
      </c>
      <c r="D31">
        <f>'Site Activities'!D5</f>
        <v>-4.5528000000000004</v>
      </c>
      <c r="E31">
        <f>'Site Activities'!H5</f>
        <v>-1.9494</v>
      </c>
      <c r="F31">
        <f>'Site Activities'!I5</f>
        <v>-4.6778000000000004</v>
      </c>
      <c r="G31">
        <f>'Site Activities'!B5</f>
        <v>-4.1238999999999999</v>
      </c>
      <c r="L31">
        <f t="shared" si="7"/>
        <v>-6.1983000000000006</v>
      </c>
    </row>
    <row r="32" spans="1:17">
      <c r="A32" t="s">
        <v>142</v>
      </c>
      <c r="B32">
        <v>31.7</v>
      </c>
      <c r="C32">
        <f t="shared" si="6"/>
        <v>304.84999999999997</v>
      </c>
      <c r="D32">
        <f>'Site Activities'!D6</f>
        <v>-4.8278999999999996</v>
      </c>
      <c r="E32">
        <f>'Site Activities'!H6</f>
        <v>-1.9497</v>
      </c>
      <c r="F32">
        <f>'Site Activities'!I6</f>
        <v>-5.0914000000000001</v>
      </c>
      <c r="G32">
        <f>'Site Activities'!B6</f>
        <v>-4.3998999999999997</v>
      </c>
      <c r="L32">
        <f t="shared" si="7"/>
        <v>-6.6130999999999993</v>
      </c>
    </row>
    <row r="33" spans="1:17">
      <c r="A33" t="s">
        <v>143</v>
      </c>
      <c r="B33">
        <v>21.5</v>
      </c>
      <c r="C33">
        <f t="shared" si="6"/>
        <v>294.64999999999998</v>
      </c>
      <c r="D33">
        <f>'Site Activities'!D7</f>
        <v>-3.7010999999999998</v>
      </c>
      <c r="E33">
        <f>'Site Activities'!H7</f>
        <v>-2.7843</v>
      </c>
      <c r="F33">
        <f>'Site Activities'!I7</f>
        <v>-5.8509000000000002</v>
      </c>
      <c r="G33">
        <f>'Site Activities'!B7</f>
        <v>-2.8066</v>
      </c>
      <c r="L33">
        <f t="shared" si="7"/>
        <v>-7.7407000000000004</v>
      </c>
    </row>
    <row r="34" spans="1:17">
      <c r="B34" s="26" t="s">
        <v>111</v>
      </c>
      <c r="C34" s="26" t="s">
        <v>124</v>
      </c>
      <c r="D34" s="26" t="s">
        <v>42</v>
      </c>
      <c r="E34" s="38" t="s">
        <v>12</v>
      </c>
      <c r="F34" s="26" t="s">
        <v>17</v>
      </c>
      <c r="G34" s="26" t="s">
        <v>103</v>
      </c>
      <c r="H34" s="26" t="s">
        <v>109</v>
      </c>
      <c r="I34" s="26" t="s">
        <v>47</v>
      </c>
      <c r="J34" s="26"/>
      <c r="K34" s="26" t="s">
        <v>29</v>
      </c>
    </row>
    <row r="35" spans="1:17" s="1" customFormat="1" ht="20">
      <c r="A35" s="1" t="s">
        <v>129</v>
      </c>
      <c r="B35" s="1" t="s">
        <v>130</v>
      </c>
      <c r="C35" s="1" t="s">
        <v>131</v>
      </c>
      <c r="D35" s="1" t="s">
        <v>169</v>
      </c>
      <c r="E35" s="1" t="s">
        <v>149</v>
      </c>
      <c r="F35" s="1" t="s">
        <v>170</v>
      </c>
      <c r="G35" s="1" t="s">
        <v>145</v>
      </c>
      <c r="L35" s="1" t="s">
        <v>133</v>
      </c>
      <c r="M35" s="1" t="s">
        <v>134</v>
      </c>
      <c r="N35" s="1" t="s">
        <v>147</v>
      </c>
      <c r="O35" s="1" t="s">
        <v>135</v>
      </c>
      <c r="P35" s="1" t="s">
        <v>136</v>
      </c>
      <c r="Q35" s="44" t="s">
        <v>137</v>
      </c>
    </row>
    <row r="36" spans="1:17">
      <c r="A36" t="s">
        <v>138</v>
      </c>
      <c r="B36">
        <v>10.3</v>
      </c>
      <c r="C36">
        <f>B36+273.15</f>
        <v>283.45</v>
      </c>
      <c r="D36">
        <f>'Site Activities'!E2</f>
        <v>-4.6619000000000002</v>
      </c>
      <c r="E36">
        <f>'Site Activities'!I2</f>
        <v>-7.6878000000000002</v>
      </c>
      <c r="F36">
        <f>'Site Activities'!B2</f>
        <v>-2.8108</v>
      </c>
      <c r="G36">
        <f>'Site Activities'!F2</f>
        <v>-7.2</v>
      </c>
      <c r="L36">
        <f>E36+F36+15*G36-8*D36</f>
        <v>-81.203399999999988</v>
      </c>
    </row>
    <row r="37" spans="1:17">
      <c r="A37" t="s">
        <v>139</v>
      </c>
      <c r="B37">
        <v>12.4</v>
      </c>
      <c r="C37">
        <f t="shared" ref="C37:C41" si="8">B37+273.15</f>
        <v>285.54999999999995</v>
      </c>
      <c r="D37">
        <f>'Site Activities'!E3</f>
        <v>-5.5021000000000004</v>
      </c>
      <c r="E37">
        <f>'Site Activities'!I3</f>
        <v>-6.4287999999999998</v>
      </c>
      <c r="F37">
        <f>'Site Activities'!B3</f>
        <v>-3.1482000000000001</v>
      </c>
      <c r="G37">
        <f>'Site Activities'!F3</f>
        <v>-7.6</v>
      </c>
      <c r="L37">
        <f t="shared" ref="L37:L41" si="9">E37+F37+15*G37-8*D37</f>
        <v>-79.560199999999995</v>
      </c>
    </row>
    <row r="38" spans="1:17">
      <c r="A38" t="s">
        <v>140</v>
      </c>
      <c r="B38">
        <v>16.2</v>
      </c>
      <c r="C38">
        <f t="shared" si="8"/>
        <v>289.34999999999997</v>
      </c>
      <c r="D38">
        <f>'Site Activities'!E4</f>
        <v>-4.8437999999999999</v>
      </c>
      <c r="E38">
        <f>'Site Activities'!I4</f>
        <v>-6.9134000000000002</v>
      </c>
      <c r="F38">
        <f>'Site Activities'!B4</f>
        <v>-2.5674999999999999</v>
      </c>
      <c r="G38">
        <f>'Site Activities'!F4</f>
        <v>-7.1</v>
      </c>
      <c r="L38">
        <f t="shared" si="9"/>
        <v>-77.230500000000006</v>
      </c>
    </row>
    <row r="39" spans="1:17">
      <c r="A39" t="s">
        <v>141</v>
      </c>
      <c r="B39">
        <v>22.5</v>
      </c>
      <c r="C39">
        <f t="shared" si="8"/>
        <v>295.64999999999998</v>
      </c>
      <c r="D39">
        <f>'Site Activities'!E5</f>
        <v>-9.1935000000000002</v>
      </c>
      <c r="E39">
        <f>'Site Activities'!I5</f>
        <v>-4.6778000000000004</v>
      </c>
      <c r="F39">
        <f>'Site Activities'!B5</f>
        <v>-4.1238999999999999</v>
      </c>
      <c r="G39">
        <f>'Site Activities'!F5</f>
        <v>-8.3000000000000007</v>
      </c>
      <c r="L39">
        <f t="shared" si="9"/>
        <v>-59.753700000000009</v>
      </c>
    </row>
    <row r="40" spans="1:17">
      <c r="A40" t="s">
        <v>142</v>
      </c>
      <c r="B40">
        <v>31.7</v>
      </c>
      <c r="C40">
        <f t="shared" si="8"/>
        <v>304.84999999999997</v>
      </c>
      <c r="D40">
        <f>'Site Activities'!E6</f>
        <v>-9.2012</v>
      </c>
      <c r="E40">
        <f>'Site Activities'!I6</f>
        <v>-5.0914000000000001</v>
      </c>
      <c r="F40">
        <f>'Site Activities'!B6</f>
        <v>-4.3998999999999997</v>
      </c>
      <c r="G40">
        <f>'Site Activities'!F6</f>
        <v>-8.6</v>
      </c>
      <c r="L40">
        <f t="shared" si="9"/>
        <v>-64.881699999999995</v>
      </c>
    </row>
    <row r="41" spans="1:17">
      <c r="A41" t="s">
        <v>143</v>
      </c>
      <c r="B41">
        <v>21.5</v>
      </c>
      <c r="C41">
        <f t="shared" si="8"/>
        <v>294.64999999999998</v>
      </c>
      <c r="D41">
        <f>'Site Activities'!E7</f>
        <v>-5.3259999999999996</v>
      </c>
      <c r="E41">
        <f>'Site Activities'!I7</f>
        <v>-5.8509000000000002</v>
      </c>
      <c r="F41">
        <f>'Site Activities'!B7</f>
        <v>-2.8066</v>
      </c>
      <c r="G41">
        <f>'Site Activities'!F7</f>
        <v>-8.1</v>
      </c>
      <c r="L41">
        <f t="shared" si="9"/>
        <v>-87.549499999999995</v>
      </c>
    </row>
    <row r="42" spans="1:17">
      <c r="B42" s="26" t="s">
        <v>123</v>
      </c>
      <c r="C42" s="26" t="s">
        <v>119</v>
      </c>
      <c r="D42" s="26"/>
      <c r="E42" s="38" t="s">
        <v>12</v>
      </c>
      <c r="F42" s="26" t="s">
        <v>125</v>
      </c>
      <c r="G42" s="26" t="s">
        <v>117</v>
      </c>
      <c r="H42" s="26" t="s">
        <v>118</v>
      </c>
      <c r="I42" s="26" t="s">
        <v>171</v>
      </c>
      <c r="J42" s="26" t="s">
        <v>8</v>
      </c>
      <c r="K42" s="26" t="s">
        <v>122</v>
      </c>
    </row>
    <row r="43" spans="1:17" s="1" customFormat="1" ht="20">
      <c r="A43" s="1" t="s">
        <v>129</v>
      </c>
      <c r="B43" s="1" t="s">
        <v>130</v>
      </c>
      <c r="C43" s="1" t="s">
        <v>131</v>
      </c>
      <c r="D43" s="1" t="s">
        <v>154</v>
      </c>
      <c r="E43" s="1" t="s">
        <v>149</v>
      </c>
      <c r="F43" s="1" t="s">
        <v>145</v>
      </c>
      <c r="G43" s="1" t="s">
        <v>170</v>
      </c>
      <c r="L43" s="1" t="s">
        <v>133</v>
      </c>
      <c r="M43" s="1" t="s">
        <v>134</v>
      </c>
      <c r="N43" s="1" t="s">
        <v>147</v>
      </c>
      <c r="O43" s="1" t="s">
        <v>174</v>
      </c>
      <c r="P43" s="1" t="s">
        <v>136</v>
      </c>
      <c r="Q43" s="44" t="s">
        <v>137</v>
      </c>
    </row>
    <row r="44" spans="1:17">
      <c r="A44" t="s">
        <v>138</v>
      </c>
      <c r="B44">
        <v>10.3</v>
      </c>
      <c r="C44">
        <f>B44+273.15</f>
        <v>283.45</v>
      </c>
      <c r="D44">
        <f>'Site Activities'!N2</f>
        <v>-2.7730000000000001</v>
      </c>
      <c r="E44">
        <f>'Site Activities'!I2</f>
        <v>-7.6878000000000002</v>
      </c>
      <c r="F44">
        <f>'Site Activities'!F2</f>
        <v>-7.2</v>
      </c>
      <c r="G44">
        <f>'Site Activities'!B2</f>
        <v>-2.8108</v>
      </c>
      <c r="L44">
        <f>4*D44+3*E44+5*F44+3*G44</f>
        <v>-78.587800000000001</v>
      </c>
    </row>
    <row r="45" spans="1:17">
      <c r="A45" t="s">
        <v>139</v>
      </c>
      <c r="B45">
        <v>12.4</v>
      </c>
      <c r="C45">
        <f t="shared" ref="C45:C49" si="10">B45+273.15</f>
        <v>285.54999999999995</v>
      </c>
      <c r="D45">
        <f>'Site Activities'!N3</f>
        <v>-3.3025000000000002</v>
      </c>
      <c r="E45">
        <f>'Site Activities'!I3</f>
        <v>-6.4287999999999998</v>
      </c>
      <c r="F45">
        <f>'Site Activities'!F3</f>
        <v>-7.6</v>
      </c>
      <c r="G45">
        <f>'Site Activities'!B3</f>
        <v>-3.1482000000000001</v>
      </c>
      <c r="L45">
        <f t="shared" ref="L45:L49" si="11">4*D45+3*E45+5*F45+3*G45</f>
        <v>-79.941000000000003</v>
      </c>
    </row>
    <row r="46" spans="1:17">
      <c r="A46" t="s">
        <v>140</v>
      </c>
      <c r="B46">
        <v>16.2</v>
      </c>
      <c r="C46">
        <f t="shared" si="10"/>
        <v>289.34999999999997</v>
      </c>
      <c r="D46">
        <f>'Site Activities'!N4</f>
        <v>-2.2894999999999999</v>
      </c>
      <c r="E46">
        <f>'Site Activities'!I4</f>
        <v>-6.9134000000000002</v>
      </c>
      <c r="F46">
        <f>'Site Activities'!F4</f>
        <v>-7.1</v>
      </c>
      <c r="G46">
        <f>'Site Activities'!B4</f>
        <v>-2.5674999999999999</v>
      </c>
      <c r="L46">
        <f t="shared" si="11"/>
        <v>-73.100700000000003</v>
      </c>
    </row>
    <row r="47" spans="1:17">
      <c r="A47" t="s">
        <v>141</v>
      </c>
      <c r="B47">
        <v>22.5</v>
      </c>
      <c r="C47">
        <f t="shared" si="10"/>
        <v>295.64999999999998</v>
      </c>
      <c r="D47">
        <f>'Site Activities'!N5</f>
        <v>-2.8025000000000002</v>
      </c>
      <c r="E47">
        <f>'Site Activities'!I5</f>
        <v>-4.6778000000000004</v>
      </c>
      <c r="F47">
        <f>'Site Activities'!F5</f>
        <v>-8.3000000000000007</v>
      </c>
      <c r="G47">
        <f>'Site Activities'!B5</f>
        <v>-4.1238999999999999</v>
      </c>
      <c r="L47">
        <f t="shared" si="11"/>
        <v>-79.115100000000012</v>
      </c>
    </row>
    <row r="48" spans="1:17">
      <c r="A48" t="s">
        <v>142</v>
      </c>
      <c r="B48">
        <v>31.7</v>
      </c>
      <c r="C48">
        <f t="shared" si="10"/>
        <v>304.84999999999997</v>
      </c>
      <c r="D48">
        <f>'Site Activities'!N6</f>
        <v>-3.0129000000000001</v>
      </c>
      <c r="E48">
        <f>'Site Activities'!I6</f>
        <v>-5.0914000000000001</v>
      </c>
      <c r="F48">
        <f>'Site Activities'!F6</f>
        <v>-8.6</v>
      </c>
      <c r="G48">
        <f>'Site Activities'!B6</f>
        <v>-4.3998999999999997</v>
      </c>
      <c r="L48">
        <f t="shared" si="11"/>
        <v>-83.525499999999994</v>
      </c>
    </row>
    <row r="49" spans="1:17">
      <c r="A49" t="s">
        <v>143</v>
      </c>
      <c r="B49">
        <v>21.5</v>
      </c>
      <c r="C49">
        <f t="shared" si="10"/>
        <v>294.64999999999998</v>
      </c>
      <c r="D49">
        <f>'Site Activities'!N7</f>
        <v>-1.9358</v>
      </c>
      <c r="E49">
        <f>'Site Activities'!I7</f>
        <v>-5.8509000000000002</v>
      </c>
      <c r="F49">
        <f>'Site Activities'!F7</f>
        <v>-8.1</v>
      </c>
      <c r="G49">
        <f>'Site Activities'!B7</f>
        <v>-2.8066</v>
      </c>
      <c r="L49">
        <f t="shared" si="11"/>
        <v>-74.215699999999998</v>
      </c>
    </row>
    <row r="50" spans="1:17">
      <c r="B50" s="26" t="s">
        <v>112</v>
      </c>
      <c r="C50" s="26" t="s">
        <v>113</v>
      </c>
      <c r="D50" s="26" t="s">
        <v>66</v>
      </c>
      <c r="E50" s="38" t="s">
        <v>12</v>
      </c>
      <c r="F50" s="26" t="s">
        <v>104</v>
      </c>
      <c r="G50" s="26" t="s">
        <v>114</v>
      </c>
      <c r="H50" s="26" t="s">
        <v>115</v>
      </c>
      <c r="I50" s="26" t="s">
        <v>116</v>
      </c>
      <c r="J50" s="26"/>
      <c r="K50" s="26" t="s">
        <v>97</v>
      </c>
    </row>
    <row r="51" spans="1:17" s="1" customFormat="1" ht="20">
      <c r="A51" s="1" t="s">
        <v>129</v>
      </c>
      <c r="B51" s="1" t="s">
        <v>130</v>
      </c>
      <c r="C51" s="1" t="s">
        <v>131</v>
      </c>
      <c r="D51" s="1" t="s">
        <v>155</v>
      </c>
      <c r="E51" s="1" t="s">
        <v>145</v>
      </c>
      <c r="F51" s="1" t="s">
        <v>149</v>
      </c>
      <c r="G51" s="1" t="s">
        <v>152</v>
      </c>
      <c r="H51" s="1" t="s">
        <v>170</v>
      </c>
      <c r="L51" s="1" t="s">
        <v>133</v>
      </c>
      <c r="M51" s="1" t="s">
        <v>134</v>
      </c>
      <c r="N51" s="1" t="s">
        <v>147</v>
      </c>
      <c r="O51" s="1" t="s">
        <v>175</v>
      </c>
      <c r="P51" s="1" t="s">
        <v>136</v>
      </c>
      <c r="Q51" s="44" t="s">
        <v>137</v>
      </c>
    </row>
    <row r="52" spans="1:17">
      <c r="A52" t="s">
        <v>138</v>
      </c>
      <c r="B52">
        <v>10.3</v>
      </c>
      <c r="C52">
        <f>B52+273.15</f>
        <v>283.45</v>
      </c>
      <c r="D52">
        <f>'Site Activities'!C2</f>
        <v>-5.2103000000000002</v>
      </c>
      <c r="E52">
        <f>'Site Activities'!F2</f>
        <v>-7.2</v>
      </c>
      <c r="F52">
        <f>'Site Activities'!I2</f>
        <v>-7.6878000000000002</v>
      </c>
      <c r="G52">
        <f>'Site Activities'!H2</f>
        <v>-2.5078999999999998</v>
      </c>
      <c r="H52">
        <f>'Site Activities'!B2</f>
        <v>-2.8108</v>
      </c>
      <c r="L52">
        <f>9*F52+16*G52+9*H52-8*D52-9*E52</f>
        <v>-28.131399999999999</v>
      </c>
    </row>
    <row r="53" spans="1:17">
      <c r="A53" t="s">
        <v>139</v>
      </c>
      <c r="B53">
        <v>12.4</v>
      </c>
      <c r="C53">
        <f t="shared" ref="C53:C57" si="12">B53+273.15</f>
        <v>285.54999999999995</v>
      </c>
      <c r="D53">
        <f>'Site Activities'!C3</f>
        <v>-5.2065000000000001</v>
      </c>
      <c r="E53">
        <f>'Site Activities'!F3</f>
        <v>-7.6</v>
      </c>
      <c r="F53">
        <f>'Site Activities'!I3</f>
        <v>-6.4287999999999998</v>
      </c>
      <c r="G53">
        <f>'Site Activities'!H3</f>
        <v>-2.4064999999999999</v>
      </c>
      <c r="H53">
        <f>'Site Activities'!B3</f>
        <v>-3.1482000000000001</v>
      </c>
      <c r="L53">
        <f t="shared" ref="L53:L57" si="13">9*F53+16*G53+9*H53-8*D53-9*E53</f>
        <v>-14.64500000000001</v>
      </c>
    </row>
    <row r="54" spans="1:17">
      <c r="A54" t="s">
        <v>140</v>
      </c>
      <c r="B54">
        <v>16.2</v>
      </c>
      <c r="C54">
        <f t="shared" si="12"/>
        <v>289.34999999999997</v>
      </c>
      <c r="D54">
        <f>'Site Activities'!C4</f>
        <v>-5.4981</v>
      </c>
      <c r="E54">
        <f>'Site Activities'!F4</f>
        <v>-7.1</v>
      </c>
      <c r="F54">
        <f>'Site Activities'!I4</f>
        <v>-6.9134000000000002</v>
      </c>
      <c r="G54">
        <f>'Site Activities'!H4</f>
        <v>-2.1855000000000002</v>
      </c>
      <c r="H54">
        <f>'Site Activities'!B4</f>
        <v>-2.5674999999999999</v>
      </c>
      <c r="L54">
        <f t="shared" si="13"/>
        <v>-12.411300000000018</v>
      </c>
    </row>
    <row r="55" spans="1:17">
      <c r="A55" t="s">
        <v>141</v>
      </c>
      <c r="B55">
        <v>22.5</v>
      </c>
      <c r="C55">
        <f t="shared" si="12"/>
        <v>295.64999999999998</v>
      </c>
      <c r="D55">
        <f>'Site Activities'!C5</f>
        <v>-5.5418000000000003</v>
      </c>
      <c r="E55">
        <f>'Site Activities'!F5</f>
        <v>-8.3000000000000007</v>
      </c>
      <c r="F55">
        <f>'Site Activities'!I5</f>
        <v>-4.6778000000000004</v>
      </c>
      <c r="G55">
        <f>'Site Activities'!H5</f>
        <v>-1.9494</v>
      </c>
      <c r="H55">
        <f>'Site Activities'!B5</f>
        <v>-4.1238999999999999</v>
      </c>
      <c r="L55">
        <f t="shared" si="13"/>
        <v>8.6287000000000091</v>
      </c>
    </row>
    <row r="56" spans="1:17">
      <c r="A56" t="s">
        <v>142</v>
      </c>
      <c r="B56">
        <v>31.7</v>
      </c>
      <c r="C56">
        <f t="shared" si="12"/>
        <v>304.84999999999997</v>
      </c>
      <c r="D56">
        <f>'Site Activities'!C6</f>
        <v>-5.5317999999999996</v>
      </c>
      <c r="E56">
        <f>'Site Activities'!F6</f>
        <v>-8.6</v>
      </c>
      <c r="F56">
        <f>'Site Activities'!I6</f>
        <v>-5.0914000000000001</v>
      </c>
      <c r="G56">
        <f>'Site Activities'!H6</f>
        <v>-1.9497</v>
      </c>
      <c r="H56">
        <f>'Site Activities'!B6</f>
        <v>-4.3998999999999997</v>
      </c>
      <c r="L56">
        <f t="shared" si="13"/>
        <v>5.0375000000000085</v>
      </c>
    </row>
    <row r="57" spans="1:17">
      <c r="A57" t="s">
        <v>143</v>
      </c>
      <c r="B57">
        <v>21.5</v>
      </c>
      <c r="C57">
        <f t="shared" si="12"/>
        <v>294.64999999999998</v>
      </c>
      <c r="D57">
        <f>'Site Activities'!C7</f>
        <v>-5.5113000000000003</v>
      </c>
      <c r="E57">
        <f>'Site Activities'!F7</f>
        <v>-8.1</v>
      </c>
      <c r="F57">
        <f>'Site Activities'!I7</f>
        <v>-5.8509000000000002</v>
      </c>
      <c r="G57">
        <f>'Site Activities'!H7</f>
        <v>-2.7843</v>
      </c>
      <c r="H57">
        <f>'Site Activities'!B7</f>
        <v>-2.8066</v>
      </c>
      <c r="L57">
        <f t="shared" si="13"/>
        <v>-5.47590000000001</v>
      </c>
    </row>
    <row r="58" spans="1:17">
      <c r="B58" s="26" t="s">
        <v>123</v>
      </c>
      <c r="C58" s="26" t="s">
        <v>126</v>
      </c>
      <c r="D58" s="26" t="s">
        <v>18</v>
      </c>
      <c r="E58" s="38" t="s">
        <v>12</v>
      </c>
      <c r="F58" s="26" t="s">
        <v>117</v>
      </c>
      <c r="G58" s="26" t="s">
        <v>127</v>
      </c>
      <c r="H58" s="26" t="s">
        <v>171</v>
      </c>
      <c r="I58" s="26" t="s">
        <v>8</v>
      </c>
      <c r="J58" s="26"/>
      <c r="K58" s="26" t="s">
        <v>122</v>
      </c>
    </row>
    <row r="59" spans="1:17" s="1" customFormat="1" ht="20">
      <c r="A59" s="1" t="s">
        <v>129</v>
      </c>
      <c r="B59" s="1" t="s">
        <v>130</v>
      </c>
      <c r="C59" s="1" t="s">
        <v>131</v>
      </c>
      <c r="D59" s="1" t="s">
        <v>146</v>
      </c>
      <c r="E59" s="1" t="s">
        <v>145</v>
      </c>
      <c r="F59" s="1" t="s">
        <v>149</v>
      </c>
      <c r="G59" s="1" t="s">
        <v>170</v>
      </c>
      <c r="L59" s="1" t="s">
        <v>133</v>
      </c>
      <c r="M59" s="1" t="s">
        <v>134</v>
      </c>
      <c r="N59" s="1" t="s">
        <v>147</v>
      </c>
      <c r="O59" s="1" t="s">
        <v>174</v>
      </c>
      <c r="P59" s="1" t="s">
        <v>136</v>
      </c>
      <c r="Q59" s="44" t="s">
        <v>137</v>
      </c>
    </row>
    <row r="60" spans="1:17">
      <c r="A60" t="s">
        <v>138</v>
      </c>
      <c r="B60">
        <v>10.3</v>
      </c>
      <c r="C60">
        <f>B60+273.15</f>
        <v>283.45</v>
      </c>
      <c r="D60">
        <f>'Site Activities'!J2</f>
        <v>-5.7184999999999997</v>
      </c>
      <c r="E60">
        <f>'Site Activities'!F2</f>
        <v>-7.2</v>
      </c>
      <c r="F60">
        <f>'Site Activities'!I2</f>
        <v>-7.6878000000000002</v>
      </c>
      <c r="G60">
        <f>'Site Activities'!B2</f>
        <v>-2.8108</v>
      </c>
      <c r="L60">
        <f>3*F60+3*G60-8*D60-3*E60</f>
        <v>35.852199999999996</v>
      </c>
    </row>
    <row r="61" spans="1:17">
      <c r="A61" t="s">
        <v>139</v>
      </c>
      <c r="B61">
        <v>12.4</v>
      </c>
      <c r="C61">
        <f t="shared" ref="C61:C65" si="14">B61+273.15</f>
        <v>285.54999999999995</v>
      </c>
      <c r="D61">
        <f>'Site Activities'!J3</f>
        <v>-8.9510000000000005</v>
      </c>
      <c r="E61">
        <f>'Site Activities'!F3</f>
        <v>-7.6</v>
      </c>
      <c r="F61">
        <f>'Site Activities'!I3</f>
        <v>-6.4287999999999998</v>
      </c>
      <c r="G61">
        <f>'Site Activities'!B3</f>
        <v>-3.1482000000000001</v>
      </c>
      <c r="L61">
        <f t="shared" ref="L61:L65" si="15">3*F61+3*G61-8*D61-3*E61</f>
        <v>65.676999999999992</v>
      </c>
    </row>
    <row r="62" spans="1:17">
      <c r="A62" t="s">
        <v>140</v>
      </c>
      <c r="B62">
        <v>16.2</v>
      </c>
      <c r="C62">
        <f t="shared" si="14"/>
        <v>289.34999999999997</v>
      </c>
      <c r="D62">
        <f>'Site Activities'!J4</f>
        <v>-5.7531999999999996</v>
      </c>
      <c r="E62">
        <f>'Site Activities'!F4</f>
        <v>-7.1</v>
      </c>
      <c r="F62">
        <f>'Site Activities'!I4</f>
        <v>-6.9134000000000002</v>
      </c>
      <c r="G62">
        <f>'Site Activities'!B4</f>
        <v>-2.5674999999999999</v>
      </c>
      <c r="L62">
        <f t="shared" si="15"/>
        <v>38.882899999999992</v>
      </c>
    </row>
    <row r="63" spans="1:17">
      <c r="A63" t="s">
        <v>141</v>
      </c>
      <c r="B63">
        <v>22.5</v>
      </c>
      <c r="C63">
        <f t="shared" si="14"/>
        <v>295.64999999999998</v>
      </c>
      <c r="D63">
        <f>'Site Activities'!J5</f>
        <v>-9.1513000000000009</v>
      </c>
      <c r="E63">
        <f>'Site Activities'!F5</f>
        <v>-8.3000000000000007</v>
      </c>
      <c r="F63">
        <f>'Site Activities'!I5</f>
        <v>-4.6778000000000004</v>
      </c>
      <c r="G63">
        <f>'Site Activities'!B5</f>
        <v>-4.1238999999999999</v>
      </c>
      <c r="L63">
        <f t="shared" si="15"/>
        <v>71.705300000000008</v>
      </c>
    </row>
    <row r="64" spans="1:17">
      <c r="A64" t="s">
        <v>142</v>
      </c>
      <c r="B64">
        <v>31.7</v>
      </c>
      <c r="C64">
        <f t="shared" si="14"/>
        <v>304.84999999999997</v>
      </c>
      <c r="D64">
        <f>'Site Activities'!J6</f>
        <v>-9.0762</v>
      </c>
      <c r="E64">
        <f>'Site Activities'!F6</f>
        <v>-8.6</v>
      </c>
      <c r="F64">
        <f>'Site Activities'!I6</f>
        <v>-5.0914000000000001</v>
      </c>
      <c r="G64">
        <f>'Site Activities'!B6</f>
        <v>-4.3998999999999997</v>
      </c>
      <c r="L64">
        <f t="shared" si="15"/>
        <v>69.935699999999997</v>
      </c>
    </row>
    <row r="65" spans="1:12">
      <c r="A65" t="s">
        <v>143</v>
      </c>
      <c r="B65">
        <v>21.5</v>
      </c>
      <c r="C65">
        <f t="shared" si="14"/>
        <v>294.64999999999998</v>
      </c>
      <c r="D65">
        <f>'Site Activities'!J7</f>
        <v>-5.9417999999999997</v>
      </c>
      <c r="E65">
        <f>'Site Activities'!F7</f>
        <v>-8.1</v>
      </c>
      <c r="F65">
        <f>'Site Activities'!I7</f>
        <v>-5.8509000000000002</v>
      </c>
      <c r="G65">
        <f>'Site Activities'!B7</f>
        <v>-2.8066</v>
      </c>
      <c r="L65">
        <f t="shared" si="15"/>
        <v>45.861899999999991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570EE-F5BE-9242-9AA2-D5CB695C80DD}">
  <dimension ref="A1:W57"/>
  <sheetViews>
    <sheetView workbookViewId="0">
      <selection activeCell="B52" sqref="B52:C57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23">
      <c r="A1" s="45"/>
      <c r="J1" s="45"/>
      <c r="O1" s="43"/>
      <c r="P1" s="45" t="s">
        <v>159</v>
      </c>
      <c r="Q1" s="45"/>
    </row>
    <row r="2" spans="1:23">
      <c r="N2" t="s">
        <v>132</v>
      </c>
      <c r="P2" s="45" t="s">
        <v>160</v>
      </c>
      <c r="Q2" s="45" t="s">
        <v>161</v>
      </c>
      <c r="R2" t="s">
        <v>162</v>
      </c>
    </row>
    <row r="3" spans="1:23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146</v>
      </c>
      <c r="J3" s="1" t="s">
        <v>133</v>
      </c>
      <c r="K3" s="1" t="s">
        <v>134</v>
      </c>
      <c r="L3" s="1" t="s">
        <v>147</v>
      </c>
      <c r="M3" s="1" t="s">
        <v>156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  <c r="W3" s="1" t="s">
        <v>167</v>
      </c>
    </row>
    <row r="4" spans="1:23">
      <c r="A4" t="s">
        <v>138</v>
      </c>
      <c r="B4">
        <v>10.3</v>
      </c>
      <c r="C4">
        <f>B4+273.15</f>
        <v>283.45</v>
      </c>
    </row>
    <row r="5" spans="1:23">
      <c r="A5" t="s">
        <v>139</v>
      </c>
      <c r="B5">
        <v>12.4</v>
      </c>
      <c r="C5">
        <f t="shared" ref="C5:C9" si="0">B5+273.15</f>
        <v>285.54999999999995</v>
      </c>
    </row>
    <row r="6" spans="1:23">
      <c r="A6" t="s">
        <v>140</v>
      </c>
      <c r="B6">
        <v>16.2</v>
      </c>
      <c r="C6">
        <f t="shared" si="0"/>
        <v>289.34999999999997</v>
      </c>
    </row>
    <row r="7" spans="1:23">
      <c r="A7" t="s">
        <v>141</v>
      </c>
      <c r="B7">
        <v>22.5</v>
      </c>
      <c r="C7">
        <f t="shared" si="0"/>
        <v>295.64999999999998</v>
      </c>
    </row>
    <row r="8" spans="1:23">
      <c r="A8" t="s">
        <v>142</v>
      </c>
      <c r="B8">
        <v>31.7</v>
      </c>
      <c r="C8">
        <f t="shared" si="0"/>
        <v>304.84999999999997</v>
      </c>
    </row>
    <row r="9" spans="1:23">
      <c r="A9" t="s">
        <v>143</v>
      </c>
      <c r="B9">
        <v>21.5</v>
      </c>
      <c r="C9">
        <f t="shared" si="0"/>
        <v>294.64999999999998</v>
      </c>
    </row>
    <row r="11" spans="1:23" s="1" customFormat="1" ht="20">
      <c r="A11" s="1" t="s">
        <v>129</v>
      </c>
      <c r="B11" s="1" t="s">
        <v>130</v>
      </c>
      <c r="C11" s="1" t="s">
        <v>131</v>
      </c>
      <c r="D11" s="1" t="s">
        <v>144</v>
      </c>
      <c r="E11" s="1" t="s">
        <v>145</v>
      </c>
      <c r="F11" s="1" t="s">
        <v>146</v>
      </c>
      <c r="J11" s="1" t="s">
        <v>133</v>
      </c>
      <c r="K11" s="1" t="s">
        <v>134</v>
      </c>
      <c r="L11" s="1" t="s">
        <v>147</v>
      </c>
      <c r="M11" s="1" t="s">
        <v>156</v>
      </c>
      <c r="N11" s="1" t="s">
        <v>136</v>
      </c>
      <c r="O11" s="44" t="s">
        <v>137</v>
      </c>
    </row>
    <row r="12" spans="1:23">
      <c r="A12" t="s">
        <v>138</v>
      </c>
      <c r="B12">
        <v>10.3</v>
      </c>
      <c r="C12">
        <f>B12+273.15</f>
        <v>283.45</v>
      </c>
    </row>
    <row r="13" spans="1:23">
      <c r="A13" t="s">
        <v>139</v>
      </c>
      <c r="B13">
        <v>12.4</v>
      </c>
      <c r="C13">
        <f t="shared" ref="C13:C17" si="1">B13+273.15</f>
        <v>285.54999999999995</v>
      </c>
    </row>
    <row r="14" spans="1:23">
      <c r="A14" t="s">
        <v>140</v>
      </c>
      <c r="B14">
        <v>16.2</v>
      </c>
      <c r="C14">
        <f t="shared" si="1"/>
        <v>289.34999999999997</v>
      </c>
    </row>
    <row r="15" spans="1:23">
      <c r="A15" t="s">
        <v>141</v>
      </c>
      <c r="B15">
        <v>22.5</v>
      </c>
      <c r="C15">
        <f t="shared" si="1"/>
        <v>295.64999999999998</v>
      </c>
    </row>
    <row r="16" spans="1:23">
      <c r="A16" t="s">
        <v>142</v>
      </c>
      <c r="B16">
        <v>31.7</v>
      </c>
      <c r="C16">
        <f t="shared" si="1"/>
        <v>304.84999999999997</v>
      </c>
    </row>
    <row r="17" spans="1:15">
      <c r="A17" t="s">
        <v>143</v>
      </c>
      <c r="B17">
        <v>21.5</v>
      </c>
      <c r="C17">
        <f t="shared" si="1"/>
        <v>294.64999999999998</v>
      </c>
    </row>
    <row r="19" spans="1:15" s="1" customFormat="1" ht="20">
      <c r="A19" s="1" t="s">
        <v>129</v>
      </c>
      <c r="B19" s="1" t="s">
        <v>130</v>
      </c>
      <c r="C19" s="1" t="s">
        <v>131</v>
      </c>
      <c r="D19" s="1" t="s">
        <v>144</v>
      </c>
      <c r="E19" s="1" t="s">
        <v>145</v>
      </c>
      <c r="F19" s="1" t="s">
        <v>146</v>
      </c>
      <c r="J19" s="1" t="s">
        <v>133</v>
      </c>
      <c r="K19" s="1" t="s">
        <v>134</v>
      </c>
      <c r="L19" s="1" t="s">
        <v>147</v>
      </c>
      <c r="M19" s="1" t="s">
        <v>157</v>
      </c>
      <c r="N19" s="1" t="s">
        <v>136</v>
      </c>
      <c r="O19" s="44" t="s">
        <v>137</v>
      </c>
    </row>
    <row r="20" spans="1:15">
      <c r="A20" t="s">
        <v>138</v>
      </c>
      <c r="B20">
        <v>10.3</v>
      </c>
      <c r="C20">
        <f>B20+273.15</f>
        <v>283.45</v>
      </c>
    </row>
    <row r="21" spans="1:15">
      <c r="A21" t="s">
        <v>139</v>
      </c>
      <c r="B21">
        <v>12.4</v>
      </c>
      <c r="C21">
        <f t="shared" ref="C21:C25" si="2">B21+273.15</f>
        <v>285.54999999999995</v>
      </c>
    </row>
    <row r="22" spans="1:15">
      <c r="A22" t="s">
        <v>140</v>
      </c>
      <c r="B22">
        <v>16.2</v>
      </c>
      <c r="C22">
        <f t="shared" si="2"/>
        <v>289.34999999999997</v>
      </c>
    </row>
    <row r="23" spans="1:15">
      <c r="A23" t="s">
        <v>141</v>
      </c>
      <c r="B23">
        <v>22.5</v>
      </c>
      <c r="C23">
        <f t="shared" si="2"/>
        <v>295.64999999999998</v>
      </c>
    </row>
    <row r="24" spans="1:15">
      <c r="A24" t="s">
        <v>142</v>
      </c>
      <c r="B24">
        <v>31.7</v>
      </c>
      <c r="C24">
        <f t="shared" si="2"/>
        <v>304.84999999999997</v>
      </c>
    </row>
    <row r="25" spans="1:15">
      <c r="A25" t="s">
        <v>143</v>
      </c>
      <c r="B25">
        <v>21.5</v>
      </c>
      <c r="C25">
        <f t="shared" si="2"/>
        <v>294.64999999999998</v>
      </c>
    </row>
    <row r="27" spans="1:15" s="1" customFormat="1" ht="20">
      <c r="A27" s="1" t="s">
        <v>129</v>
      </c>
      <c r="B27" s="1" t="s">
        <v>130</v>
      </c>
      <c r="C27" s="1" t="s">
        <v>131</v>
      </c>
      <c r="D27" s="1" t="s">
        <v>144</v>
      </c>
      <c r="E27" s="1" t="s">
        <v>145</v>
      </c>
      <c r="F27" s="1" t="s">
        <v>146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t="s">
        <v>138</v>
      </c>
      <c r="B28">
        <v>10.3</v>
      </c>
      <c r="C28">
        <f>B28+273.15</f>
        <v>283.45</v>
      </c>
    </row>
    <row r="29" spans="1:15">
      <c r="A29" t="s">
        <v>139</v>
      </c>
      <c r="B29">
        <v>12.4</v>
      </c>
      <c r="C29">
        <f t="shared" ref="C29:C33" si="3">B29+273.15</f>
        <v>285.54999999999995</v>
      </c>
    </row>
    <row r="30" spans="1:15">
      <c r="A30" t="s">
        <v>140</v>
      </c>
      <c r="B30">
        <v>16.2</v>
      </c>
      <c r="C30">
        <f t="shared" si="3"/>
        <v>289.34999999999997</v>
      </c>
    </row>
    <row r="31" spans="1:15">
      <c r="A31" t="s">
        <v>141</v>
      </c>
      <c r="B31">
        <v>22.5</v>
      </c>
      <c r="C31">
        <f t="shared" si="3"/>
        <v>295.64999999999998</v>
      </c>
    </row>
    <row r="32" spans="1:15">
      <c r="A32" t="s">
        <v>142</v>
      </c>
      <c r="B32">
        <v>31.7</v>
      </c>
      <c r="C32">
        <f t="shared" si="3"/>
        <v>304.84999999999997</v>
      </c>
    </row>
    <row r="33" spans="1:15">
      <c r="A33" t="s">
        <v>143</v>
      </c>
      <c r="B33">
        <v>21.5</v>
      </c>
      <c r="C33">
        <f t="shared" si="3"/>
        <v>294.64999999999998</v>
      </c>
    </row>
    <row r="35" spans="1:15" s="1" customFormat="1" ht="20">
      <c r="A35" s="1" t="s">
        <v>129</v>
      </c>
      <c r="B35" s="1" t="s">
        <v>130</v>
      </c>
      <c r="C35" s="1" t="s">
        <v>131</v>
      </c>
      <c r="D35" s="1" t="s">
        <v>144</v>
      </c>
      <c r="E35" s="1" t="s">
        <v>145</v>
      </c>
      <c r="F35" s="1" t="s">
        <v>146</v>
      </c>
      <c r="J35" s="1" t="s">
        <v>133</v>
      </c>
      <c r="K35" s="1" t="s">
        <v>134</v>
      </c>
      <c r="L35" s="1" t="s">
        <v>147</v>
      </c>
      <c r="M35" s="1" t="s">
        <v>156</v>
      </c>
      <c r="N35" s="1" t="s">
        <v>136</v>
      </c>
      <c r="O35" s="44" t="s">
        <v>137</v>
      </c>
    </row>
    <row r="36" spans="1:15">
      <c r="A36" t="s">
        <v>138</v>
      </c>
      <c r="B36">
        <v>10.3</v>
      </c>
      <c r="C36">
        <f>B36+273.15</f>
        <v>283.45</v>
      </c>
    </row>
    <row r="37" spans="1:15">
      <c r="A37" t="s">
        <v>139</v>
      </c>
      <c r="B37">
        <v>12.4</v>
      </c>
      <c r="C37">
        <f t="shared" ref="C37:C41" si="4">B37+273.15</f>
        <v>285.54999999999995</v>
      </c>
    </row>
    <row r="38" spans="1:15">
      <c r="A38" t="s">
        <v>140</v>
      </c>
      <c r="B38">
        <v>16.2</v>
      </c>
      <c r="C38">
        <f t="shared" si="4"/>
        <v>289.34999999999997</v>
      </c>
    </row>
    <row r="39" spans="1:15">
      <c r="A39" t="s">
        <v>141</v>
      </c>
      <c r="B39">
        <v>22.5</v>
      </c>
      <c r="C39">
        <f t="shared" si="4"/>
        <v>295.64999999999998</v>
      </c>
    </row>
    <row r="40" spans="1:15">
      <c r="A40" t="s">
        <v>142</v>
      </c>
      <c r="B40">
        <v>31.7</v>
      </c>
      <c r="C40">
        <f t="shared" si="4"/>
        <v>304.84999999999997</v>
      </c>
    </row>
    <row r="41" spans="1:15">
      <c r="A41" t="s">
        <v>143</v>
      </c>
      <c r="B41">
        <v>21.5</v>
      </c>
      <c r="C41">
        <f t="shared" si="4"/>
        <v>294.64999999999998</v>
      </c>
    </row>
    <row r="43" spans="1:15" s="1" customFormat="1" ht="20">
      <c r="A43" s="1" t="s">
        <v>129</v>
      </c>
      <c r="B43" s="1" t="s">
        <v>130</v>
      </c>
      <c r="C43" s="1" t="s">
        <v>131</v>
      </c>
      <c r="D43" s="1" t="s">
        <v>144</v>
      </c>
      <c r="E43" s="1" t="s">
        <v>145</v>
      </c>
      <c r="F43" s="1" t="s">
        <v>146</v>
      </c>
      <c r="J43" s="1" t="s">
        <v>133</v>
      </c>
      <c r="K43" s="1" t="s">
        <v>134</v>
      </c>
      <c r="L43" s="1" t="s">
        <v>147</v>
      </c>
      <c r="M43" s="1" t="s">
        <v>157</v>
      </c>
      <c r="N43" s="1" t="s">
        <v>136</v>
      </c>
      <c r="O43" s="44" t="s">
        <v>137</v>
      </c>
    </row>
    <row r="44" spans="1:15">
      <c r="A44" t="s">
        <v>138</v>
      </c>
      <c r="B44">
        <v>10.3</v>
      </c>
      <c r="C44">
        <f>B44+273.15</f>
        <v>283.45</v>
      </c>
    </row>
    <row r="45" spans="1:15">
      <c r="A45" t="s">
        <v>139</v>
      </c>
      <c r="B45">
        <v>12.4</v>
      </c>
      <c r="C45">
        <f t="shared" ref="C45:C49" si="5">B45+273.15</f>
        <v>285.54999999999995</v>
      </c>
    </row>
    <row r="46" spans="1:15">
      <c r="A46" t="s">
        <v>140</v>
      </c>
      <c r="B46">
        <v>16.2</v>
      </c>
      <c r="C46">
        <f t="shared" si="5"/>
        <v>289.34999999999997</v>
      </c>
    </row>
    <row r="47" spans="1:15">
      <c r="A47" t="s">
        <v>141</v>
      </c>
      <c r="B47">
        <v>22.5</v>
      </c>
      <c r="C47">
        <f t="shared" si="5"/>
        <v>295.64999999999998</v>
      </c>
    </row>
    <row r="48" spans="1:15">
      <c r="A48" t="s">
        <v>142</v>
      </c>
      <c r="B48">
        <v>31.7</v>
      </c>
      <c r="C48">
        <f t="shared" si="5"/>
        <v>304.84999999999997</v>
      </c>
    </row>
    <row r="49" spans="1:15">
      <c r="A49" t="s">
        <v>143</v>
      </c>
      <c r="B49">
        <v>21.5</v>
      </c>
      <c r="C49">
        <f t="shared" si="5"/>
        <v>294.64999999999998</v>
      </c>
    </row>
    <row r="51" spans="1:15" s="1" customFormat="1" ht="20">
      <c r="A51" s="1" t="s">
        <v>129</v>
      </c>
      <c r="B51" s="1" t="s">
        <v>130</v>
      </c>
      <c r="C51" s="1" t="s">
        <v>131</v>
      </c>
      <c r="D51" s="1" t="s">
        <v>144</v>
      </c>
      <c r="E51" s="1" t="s">
        <v>145</v>
      </c>
      <c r="F51" s="1" t="s">
        <v>146</v>
      </c>
      <c r="J51" s="1" t="s">
        <v>133</v>
      </c>
      <c r="K51" s="1" t="s">
        <v>134</v>
      </c>
      <c r="L51" s="1" t="s">
        <v>147</v>
      </c>
      <c r="M51" s="1" t="s">
        <v>158</v>
      </c>
      <c r="N51" s="1" t="s">
        <v>136</v>
      </c>
      <c r="O51" s="44" t="s">
        <v>137</v>
      </c>
    </row>
    <row r="52" spans="1:15">
      <c r="A52" t="s">
        <v>138</v>
      </c>
      <c r="B52">
        <v>10.3</v>
      </c>
      <c r="C52">
        <f>B52+273.15</f>
        <v>283.45</v>
      </c>
    </row>
    <row r="53" spans="1:15">
      <c r="A53" t="s">
        <v>139</v>
      </c>
      <c r="B53">
        <v>12.4</v>
      </c>
      <c r="C53">
        <f t="shared" ref="C53:C57" si="6">B53+273.15</f>
        <v>285.54999999999995</v>
      </c>
    </row>
    <row r="54" spans="1:15">
      <c r="A54" t="s">
        <v>140</v>
      </c>
      <c r="B54">
        <v>16.2</v>
      </c>
      <c r="C54">
        <f t="shared" si="6"/>
        <v>289.34999999999997</v>
      </c>
    </row>
    <row r="55" spans="1:15">
      <c r="A55" t="s">
        <v>141</v>
      </c>
      <c r="B55">
        <v>22.5</v>
      </c>
      <c r="C55">
        <f t="shared" si="6"/>
        <v>295.64999999999998</v>
      </c>
    </row>
    <row r="56" spans="1:15">
      <c r="A56" t="s">
        <v>142</v>
      </c>
      <c r="B56">
        <v>31.7</v>
      </c>
      <c r="C56">
        <f t="shared" si="6"/>
        <v>304.84999999999997</v>
      </c>
    </row>
    <row r="57" spans="1:15">
      <c r="A57" t="s">
        <v>143</v>
      </c>
      <c r="B57">
        <v>21.5</v>
      </c>
      <c r="C57">
        <f t="shared" si="6"/>
        <v>294.64999999999998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FB9E-28A6-CE48-BC15-3F375B1E766D}">
  <dimension ref="A1:X51"/>
  <sheetViews>
    <sheetView workbookViewId="0">
      <selection activeCell="B4" sqref="B4:B9"/>
    </sheetView>
  </sheetViews>
  <sheetFormatPr baseColWidth="10" defaultRowHeight="16"/>
  <cols>
    <col min="17" max="17" width="16.1640625" customWidth="1"/>
    <col min="18" max="18" width="14.83203125" customWidth="1"/>
    <col min="19" max="19" width="13.5" customWidth="1"/>
    <col min="21" max="21" width="9.5" customWidth="1"/>
    <col min="22" max="22" width="11.83203125" bestFit="1" customWidth="1"/>
  </cols>
  <sheetData>
    <row r="1" spans="1:24">
      <c r="A1" s="45"/>
      <c r="K1" s="45"/>
      <c r="P1" s="43"/>
      <c r="Q1" s="45" t="s">
        <v>159</v>
      </c>
      <c r="R1" s="45"/>
    </row>
    <row r="2" spans="1:24">
      <c r="B2" s="21" t="s">
        <v>75</v>
      </c>
      <c r="C2" s="21" t="s">
        <v>44</v>
      </c>
      <c r="D2" s="21" t="s">
        <v>61</v>
      </c>
      <c r="E2" s="25" t="s">
        <v>12</v>
      </c>
      <c r="F2" s="21" t="s">
        <v>101</v>
      </c>
      <c r="G2" s="21" t="s">
        <v>24</v>
      </c>
      <c r="H2" s="21" t="s">
        <v>69</v>
      </c>
      <c r="I2" s="21" t="s">
        <v>6</v>
      </c>
      <c r="J2" s="21" t="s">
        <v>11</v>
      </c>
      <c r="O2" t="s">
        <v>132</v>
      </c>
      <c r="Q2" s="45" t="s">
        <v>160</v>
      </c>
      <c r="R2" s="45" t="s">
        <v>161</v>
      </c>
      <c r="S2" t="s">
        <v>162</v>
      </c>
    </row>
    <row r="3" spans="1:24" s="1" customFormat="1" ht="20">
      <c r="A3" s="1" t="s">
        <v>129</v>
      </c>
      <c r="B3" s="1" t="s">
        <v>130</v>
      </c>
      <c r="C3" s="1" t="s">
        <v>131</v>
      </c>
      <c r="D3" s="1" t="s">
        <v>172</v>
      </c>
      <c r="E3" s="1" t="s">
        <v>151</v>
      </c>
      <c r="F3" s="1" t="s">
        <v>152</v>
      </c>
      <c r="G3" s="1" t="s">
        <v>145</v>
      </c>
      <c r="K3" s="1" t="s">
        <v>133</v>
      </c>
      <c r="L3" s="1" t="s">
        <v>134</v>
      </c>
      <c r="M3" s="1" t="s">
        <v>147</v>
      </c>
      <c r="N3" s="1" t="s">
        <v>156</v>
      </c>
      <c r="O3" s="1" t="s">
        <v>136</v>
      </c>
      <c r="P3" s="44" t="s">
        <v>137</v>
      </c>
      <c r="Q3" s="46" t="s">
        <v>168</v>
      </c>
      <c r="R3" s="46" t="s">
        <v>168</v>
      </c>
      <c r="S3" s="1" t="s">
        <v>163</v>
      </c>
      <c r="T3" s="1" t="s">
        <v>164</v>
      </c>
      <c r="U3" s="1" t="s">
        <v>165</v>
      </c>
      <c r="V3" s="1" t="s">
        <v>166</v>
      </c>
      <c r="W3" s="44" t="s">
        <v>137</v>
      </c>
      <c r="X3" s="1" t="s">
        <v>167</v>
      </c>
    </row>
    <row r="4" spans="1:24">
      <c r="A4" t="s">
        <v>138</v>
      </c>
      <c r="B4">
        <v>10.3</v>
      </c>
      <c r="C4">
        <f>B4+273.15</f>
        <v>283.45</v>
      </c>
      <c r="D4">
        <f>'Site Activities'!M2</f>
        <v>-5.3754</v>
      </c>
      <c r="E4">
        <f>'Site Activities'!L2</f>
        <v>-18.813300000000002</v>
      </c>
      <c r="F4">
        <f>'Site Activities'!H2</f>
        <v>-2.5078999999999998</v>
      </c>
      <c r="G4">
        <f>'Site Activities'!F2</f>
        <v>-7.2</v>
      </c>
      <c r="K4">
        <f>E4+2*F4+2*G4-D4</f>
        <v>-32.853700000000003</v>
      </c>
    </row>
    <row r="5" spans="1:24">
      <c r="A5" t="s">
        <v>139</v>
      </c>
      <c r="B5">
        <v>12.4</v>
      </c>
      <c r="C5">
        <f t="shared" ref="C5:C9" si="0">B5+273.15</f>
        <v>285.54999999999995</v>
      </c>
      <c r="D5">
        <f>'Site Activities'!M3</f>
        <v>-5.5373000000000001</v>
      </c>
      <c r="E5">
        <f>'Site Activities'!L3</f>
        <v>-19.1463</v>
      </c>
      <c r="F5">
        <f>'Site Activities'!H3</f>
        <v>-2.4064999999999999</v>
      </c>
      <c r="G5">
        <f>'Site Activities'!F3</f>
        <v>-7.6</v>
      </c>
      <c r="K5">
        <f t="shared" ref="K5:K9" si="1">E5+2*F5+2*G5-D5</f>
        <v>-33.622</v>
      </c>
    </row>
    <row r="6" spans="1:24">
      <c r="A6" t="s">
        <v>140</v>
      </c>
      <c r="B6">
        <v>16.2</v>
      </c>
      <c r="C6">
        <f t="shared" si="0"/>
        <v>289.34999999999997</v>
      </c>
      <c r="D6">
        <f>'Site Activities'!M4</f>
        <v>-5.4179000000000004</v>
      </c>
      <c r="E6">
        <f>'Site Activities'!L4</f>
        <v>-18.847899999999999</v>
      </c>
      <c r="F6">
        <f>'Site Activities'!H4</f>
        <v>-2.1855000000000002</v>
      </c>
      <c r="G6">
        <f>'Site Activities'!F4</f>
        <v>-7.1</v>
      </c>
      <c r="K6">
        <f t="shared" si="1"/>
        <v>-32.000999999999991</v>
      </c>
    </row>
    <row r="7" spans="1:24">
      <c r="A7" t="s">
        <v>141</v>
      </c>
      <c r="B7">
        <v>22.5</v>
      </c>
      <c r="C7">
        <f t="shared" si="0"/>
        <v>295.64999999999998</v>
      </c>
      <c r="D7">
        <f>'Site Activities'!M5</f>
        <v>-4.8569000000000004</v>
      </c>
      <c r="E7">
        <f>'Site Activities'!L5</f>
        <v>-17.5655</v>
      </c>
      <c r="F7">
        <f>'Site Activities'!H5</f>
        <v>-1.9494</v>
      </c>
      <c r="G7">
        <f>'Site Activities'!F5</f>
        <v>-8.3000000000000007</v>
      </c>
      <c r="K7">
        <f t="shared" si="1"/>
        <v>-33.2074</v>
      </c>
    </row>
    <row r="8" spans="1:24">
      <c r="A8" t="s">
        <v>142</v>
      </c>
      <c r="B8">
        <v>31.7</v>
      </c>
      <c r="C8">
        <f t="shared" si="0"/>
        <v>304.84999999999997</v>
      </c>
      <c r="D8">
        <f>'Site Activities'!M6</f>
        <v>-4.9508000000000001</v>
      </c>
      <c r="E8">
        <f>'Site Activities'!L6</f>
        <v>-17.566500000000001</v>
      </c>
      <c r="F8">
        <f>'Site Activities'!H6</f>
        <v>-1.9497</v>
      </c>
      <c r="G8">
        <f>'Site Activities'!F6</f>
        <v>-8.6</v>
      </c>
      <c r="K8">
        <f t="shared" si="1"/>
        <v>-33.7151</v>
      </c>
    </row>
    <row r="9" spans="1:24">
      <c r="A9" t="s">
        <v>143</v>
      </c>
      <c r="B9">
        <v>21.5</v>
      </c>
      <c r="C9">
        <f t="shared" si="0"/>
        <v>294.64999999999998</v>
      </c>
      <c r="D9">
        <f>'Site Activities'!M7</f>
        <v>-5.4466999999999999</v>
      </c>
      <c r="E9">
        <f>'Site Activities'!L7</f>
        <v>-18.3691</v>
      </c>
      <c r="F9">
        <f>'Site Activities'!H7</f>
        <v>-2.7843</v>
      </c>
      <c r="G9">
        <f>'Site Activities'!F7</f>
        <v>-8.1</v>
      </c>
      <c r="K9">
        <f t="shared" si="1"/>
        <v>-34.690999999999995</v>
      </c>
      <c r="L9">
        <v>0.81645800000000002</v>
      </c>
    </row>
    <row r="10" spans="1:24">
      <c r="B10" s="21" t="s">
        <v>76</v>
      </c>
      <c r="C10" s="21" t="s">
        <v>33</v>
      </c>
      <c r="D10" s="21" t="s">
        <v>102</v>
      </c>
      <c r="E10" s="24" t="s">
        <v>12</v>
      </c>
      <c r="F10" s="21" t="s">
        <v>103</v>
      </c>
      <c r="G10" s="21" t="s">
        <v>17</v>
      </c>
      <c r="H10" s="21" t="s">
        <v>91</v>
      </c>
      <c r="I10" s="21" t="s">
        <v>21</v>
      </c>
      <c r="J10" s="21" t="s">
        <v>29</v>
      </c>
    </row>
    <row r="11" spans="1:24" s="1" customFormat="1" ht="20">
      <c r="A11" s="1" t="s">
        <v>129</v>
      </c>
      <c r="B11" s="1" t="s">
        <v>130</v>
      </c>
      <c r="C11" s="1" t="s">
        <v>131</v>
      </c>
      <c r="D11" s="1" t="s">
        <v>173</v>
      </c>
      <c r="E11" s="1" t="s">
        <v>149</v>
      </c>
      <c r="F11" s="1" t="s">
        <v>152</v>
      </c>
      <c r="G11" s="1" t="s">
        <v>145</v>
      </c>
      <c r="K11" s="1" t="s">
        <v>133</v>
      </c>
      <c r="L11" s="1" t="s">
        <v>134</v>
      </c>
      <c r="M11" s="1" t="s">
        <v>147</v>
      </c>
      <c r="N11" s="1" t="s">
        <v>135</v>
      </c>
      <c r="O11" s="1" t="s">
        <v>136</v>
      </c>
      <c r="P11" s="44" t="s">
        <v>137</v>
      </c>
    </row>
    <row r="12" spans="1:24">
      <c r="A12" t="s">
        <v>138</v>
      </c>
      <c r="B12">
        <v>10.3</v>
      </c>
      <c r="C12">
        <f>B12+273.15</f>
        <v>283.45</v>
      </c>
      <c r="D12">
        <f>'Site Activities'!N2</f>
        <v>-2.7730000000000001</v>
      </c>
      <c r="E12">
        <f>'Site Activities'!I2</f>
        <v>-7.6878000000000002</v>
      </c>
      <c r="F12">
        <f>'Site Activities'!H2</f>
        <v>-2.5078999999999998</v>
      </c>
      <c r="G12">
        <f>'Site Activities'!F2</f>
        <v>-7.2</v>
      </c>
      <c r="K12">
        <f>E12+8*F12+7*G12-D12</f>
        <v>-75.378</v>
      </c>
    </row>
    <row r="13" spans="1:24">
      <c r="A13" t="s">
        <v>139</v>
      </c>
      <c r="B13">
        <v>12.4</v>
      </c>
      <c r="C13">
        <f t="shared" ref="C13:C17" si="2">B13+273.15</f>
        <v>285.54999999999995</v>
      </c>
      <c r="D13">
        <f>'Site Activities'!N3</f>
        <v>-3.3025000000000002</v>
      </c>
      <c r="E13">
        <f>'Site Activities'!I3</f>
        <v>-6.4287999999999998</v>
      </c>
      <c r="F13">
        <f>'Site Activities'!H3</f>
        <v>-2.4064999999999999</v>
      </c>
      <c r="G13">
        <f>'Site Activities'!F3</f>
        <v>-7.6</v>
      </c>
      <c r="K13">
        <f t="shared" ref="K13:K17" si="3">E13+8*F13+7*G13-D13</f>
        <v>-75.578299999999999</v>
      </c>
    </row>
    <row r="14" spans="1:24">
      <c r="A14" t="s">
        <v>140</v>
      </c>
      <c r="B14">
        <v>16.2</v>
      </c>
      <c r="C14">
        <f t="shared" si="2"/>
        <v>289.34999999999997</v>
      </c>
      <c r="D14">
        <f>'Site Activities'!N4</f>
        <v>-2.2894999999999999</v>
      </c>
      <c r="E14">
        <f>'Site Activities'!I4</f>
        <v>-6.9134000000000002</v>
      </c>
      <c r="F14">
        <f>'Site Activities'!H4</f>
        <v>-2.1855000000000002</v>
      </c>
      <c r="G14">
        <f>'Site Activities'!F4</f>
        <v>-7.1</v>
      </c>
      <c r="K14">
        <f t="shared" si="3"/>
        <v>-71.807899999999989</v>
      </c>
    </row>
    <row r="15" spans="1:24">
      <c r="A15" t="s">
        <v>141</v>
      </c>
      <c r="B15">
        <v>22.5</v>
      </c>
      <c r="C15">
        <f t="shared" si="2"/>
        <v>295.64999999999998</v>
      </c>
      <c r="D15">
        <f>'Site Activities'!N5</f>
        <v>-2.8025000000000002</v>
      </c>
      <c r="E15">
        <f>'Site Activities'!I5</f>
        <v>-4.6778000000000004</v>
      </c>
      <c r="F15">
        <f>'Site Activities'!H5</f>
        <v>-1.9494</v>
      </c>
      <c r="G15">
        <f>'Site Activities'!F5</f>
        <v>-8.3000000000000007</v>
      </c>
      <c r="K15">
        <f t="shared" si="3"/>
        <v>-75.57050000000001</v>
      </c>
    </row>
    <row r="16" spans="1:24">
      <c r="A16" t="s">
        <v>142</v>
      </c>
      <c r="B16">
        <v>31.7</v>
      </c>
      <c r="C16">
        <f t="shared" si="2"/>
        <v>304.84999999999997</v>
      </c>
      <c r="D16">
        <f>'Site Activities'!N6</f>
        <v>-3.0129000000000001</v>
      </c>
      <c r="E16">
        <f>'Site Activities'!I6</f>
        <v>-5.0914000000000001</v>
      </c>
      <c r="F16">
        <f>'Site Activities'!H6</f>
        <v>-1.9497</v>
      </c>
      <c r="G16">
        <f>'Site Activities'!F6</f>
        <v>-8.6</v>
      </c>
      <c r="K16">
        <f t="shared" si="3"/>
        <v>-77.876099999999994</v>
      </c>
    </row>
    <row r="17" spans="1:16">
      <c r="A17" t="s">
        <v>143</v>
      </c>
      <c r="B17">
        <v>21.5</v>
      </c>
      <c r="C17">
        <f t="shared" si="2"/>
        <v>294.64999999999998</v>
      </c>
      <c r="D17">
        <f>'Site Activities'!N7</f>
        <v>-1.9358</v>
      </c>
      <c r="E17">
        <f>'Site Activities'!I7</f>
        <v>-5.8509000000000002</v>
      </c>
      <c r="F17">
        <f>'Site Activities'!H7</f>
        <v>-2.7843</v>
      </c>
      <c r="G17">
        <f>'Site Activities'!F7</f>
        <v>-8.1</v>
      </c>
      <c r="K17">
        <f t="shared" si="3"/>
        <v>-82.889499999999998</v>
      </c>
    </row>
    <row r="18" spans="1:16">
      <c r="B18" s="21" t="s">
        <v>76</v>
      </c>
      <c r="C18" s="21" t="s">
        <v>57</v>
      </c>
      <c r="D18" s="21"/>
      <c r="E18" s="24" t="s">
        <v>12</v>
      </c>
      <c r="F18" s="21" t="s">
        <v>103</v>
      </c>
      <c r="G18" s="21" t="s">
        <v>25</v>
      </c>
      <c r="H18" s="21" t="s">
        <v>105</v>
      </c>
      <c r="I18" s="21" t="s">
        <v>21</v>
      </c>
      <c r="J18" s="21" t="s">
        <v>29</v>
      </c>
    </row>
    <row r="19" spans="1:16" s="1" customFormat="1" ht="20">
      <c r="A19" s="1" t="s">
        <v>129</v>
      </c>
      <c r="B19" s="1" t="s">
        <v>130</v>
      </c>
      <c r="C19" s="1" t="s">
        <v>131</v>
      </c>
      <c r="D19" s="1" t="s">
        <v>148</v>
      </c>
      <c r="E19" s="1" t="s">
        <v>152</v>
      </c>
      <c r="F19" s="1" t="s">
        <v>145</v>
      </c>
      <c r="K19" s="1" t="s">
        <v>133</v>
      </c>
      <c r="L19" s="1" t="s">
        <v>134</v>
      </c>
      <c r="M19" s="1" t="s">
        <v>147</v>
      </c>
      <c r="N19" s="1" t="s">
        <v>135</v>
      </c>
      <c r="O19" s="1" t="s">
        <v>136</v>
      </c>
      <c r="P19" s="44" t="s">
        <v>137</v>
      </c>
    </row>
    <row r="20" spans="1:16">
      <c r="A20" t="s">
        <v>138</v>
      </c>
      <c r="B20">
        <v>10.3</v>
      </c>
      <c r="C20">
        <f>B20+273.15</f>
        <v>283.45</v>
      </c>
      <c r="D20">
        <f>'Site Activities'!D2</f>
        <v>-6.5918999999999999</v>
      </c>
      <c r="E20">
        <f>'Site Activities'!H2</f>
        <v>-2.5078999999999998</v>
      </c>
      <c r="F20">
        <f>'Site Activities'!F2</f>
        <v>-7.2</v>
      </c>
      <c r="K20">
        <f>D20+7*E20+7*F20</f>
        <v>-74.547200000000004</v>
      </c>
    </row>
    <row r="21" spans="1:16">
      <c r="A21" t="s">
        <v>139</v>
      </c>
      <c r="B21">
        <v>12.4</v>
      </c>
      <c r="C21">
        <f t="shared" ref="C21:C25" si="4">B21+273.15</f>
        <v>285.54999999999995</v>
      </c>
      <c r="D21">
        <f>'Site Activities'!D3</f>
        <v>-6.6931000000000003</v>
      </c>
      <c r="E21">
        <f>'Site Activities'!H3</f>
        <v>-2.4064999999999999</v>
      </c>
      <c r="F21">
        <f>'Site Activities'!F3</f>
        <v>-7.6</v>
      </c>
      <c r="K21">
        <f t="shared" ref="K21:K25" si="5">D21+7*E21+7*F21</f>
        <v>-76.738599999999991</v>
      </c>
    </row>
    <row r="22" spans="1:16">
      <c r="A22" t="s">
        <v>140</v>
      </c>
      <c r="B22">
        <v>16.2</v>
      </c>
      <c r="C22">
        <f t="shared" si="4"/>
        <v>289.34999999999997</v>
      </c>
      <c r="D22">
        <f>'Site Activities'!D4</f>
        <v>-5.6016000000000004</v>
      </c>
      <c r="E22">
        <f>'Site Activities'!H4</f>
        <v>-2.1855000000000002</v>
      </c>
      <c r="F22">
        <f>'Site Activities'!F4</f>
        <v>-7.1</v>
      </c>
      <c r="K22">
        <f t="shared" si="5"/>
        <v>-70.600099999999998</v>
      </c>
    </row>
    <row r="23" spans="1:16">
      <c r="A23" t="s">
        <v>141</v>
      </c>
      <c r="B23">
        <v>22.5</v>
      </c>
      <c r="C23">
        <f t="shared" si="4"/>
        <v>295.64999999999998</v>
      </c>
      <c r="D23">
        <f>'Site Activities'!D5</f>
        <v>-4.5528000000000004</v>
      </c>
      <c r="E23">
        <f>'Site Activities'!H5</f>
        <v>-1.9494</v>
      </c>
      <c r="F23">
        <f>'Site Activities'!F5</f>
        <v>-8.3000000000000007</v>
      </c>
      <c r="K23">
        <f t="shared" si="5"/>
        <v>-76.298600000000008</v>
      </c>
    </row>
    <row r="24" spans="1:16">
      <c r="A24" t="s">
        <v>142</v>
      </c>
      <c r="B24">
        <v>31.7</v>
      </c>
      <c r="C24">
        <f t="shared" si="4"/>
        <v>304.84999999999997</v>
      </c>
      <c r="D24">
        <f>'Site Activities'!D6</f>
        <v>-4.8278999999999996</v>
      </c>
      <c r="E24">
        <f>'Site Activities'!H6</f>
        <v>-1.9497</v>
      </c>
      <c r="F24">
        <f>'Site Activities'!F6</f>
        <v>-8.6</v>
      </c>
      <c r="K24">
        <f t="shared" si="5"/>
        <v>-78.675799999999995</v>
      </c>
    </row>
    <row r="25" spans="1:16">
      <c r="A25" t="s">
        <v>143</v>
      </c>
      <c r="B25">
        <v>21.5</v>
      </c>
      <c r="C25">
        <f t="shared" si="4"/>
        <v>294.64999999999998</v>
      </c>
      <c r="D25">
        <f>'Site Activities'!D7</f>
        <v>-3.7010999999999998</v>
      </c>
      <c r="E25">
        <f>'Site Activities'!H7</f>
        <v>-2.7843</v>
      </c>
      <c r="F25">
        <f>'Site Activities'!F7</f>
        <v>-8.1</v>
      </c>
      <c r="K25">
        <f t="shared" si="5"/>
        <v>-79.891199999999998</v>
      </c>
    </row>
    <row r="27" spans="1:16" s="1" customFormat="1">
      <c r="P27" s="44"/>
    </row>
    <row r="35" spans="16:16" s="1" customFormat="1">
      <c r="P35" s="44"/>
    </row>
    <row r="43" spans="16:16" s="1" customFormat="1">
      <c r="P43" s="44"/>
    </row>
    <row r="51" spans="16:16" s="1" customFormat="1">
      <c r="P51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C4ED-1BB8-AF44-ADE8-4052E0173AA4}">
  <dimension ref="A1:W66"/>
  <sheetViews>
    <sheetView workbookViewId="0">
      <selection activeCell="A11" sqref="A11"/>
    </sheetView>
  </sheetViews>
  <sheetFormatPr baseColWidth="10" defaultRowHeight="16"/>
  <cols>
    <col min="16" max="16" width="16.1640625" customWidth="1"/>
    <col min="17" max="17" width="14.83203125" customWidth="1"/>
    <col min="18" max="18" width="13.5" customWidth="1"/>
    <col min="20" max="20" width="9.5" customWidth="1"/>
    <col min="21" max="21" width="11.83203125" bestFit="1" customWidth="1"/>
  </cols>
  <sheetData>
    <row r="1" spans="1:23">
      <c r="A1" s="45"/>
      <c r="J1" s="45"/>
      <c r="O1" s="43"/>
      <c r="P1" s="45" t="s">
        <v>159</v>
      </c>
      <c r="Q1" s="45"/>
    </row>
    <row r="2" spans="1:23">
      <c r="B2" s="28" t="s">
        <v>60</v>
      </c>
      <c r="C2" s="28" t="s">
        <v>5</v>
      </c>
      <c r="D2" s="28" t="s">
        <v>23</v>
      </c>
      <c r="E2" s="29" t="s">
        <v>12</v>
      </c>
      <c r="F2" s="28" t="s">
        <v>30</v>
      </c>
      <c r="G2" s="28" t="s">
        <v>61</v>
      </c>
      <c r="H2" s="28"/>
      <c r="I2" s="28" t="s">
        <v>62</v>
      </c>
      <c r="N2" t="s">
        <v>132</v>
      </c>
      <c r="P2" s="45" t="s">
        <v>160</v>
      </c>
      <c r="Q2" s="45" t="s">
        <v>161</v>
      </c>
      <c r="R2" t="s">
        <v>162</v>
      </c>
    </row>
    <row r="3" spans="1:23" s="1" customFormat="1" ht="20">
      <c r="A3" s="1" t="s">
        <v>129</v>
      </c>
      <c r="B3" s="1" t="s">
        <v>130</v>
      </c>
      <c r="C3" s="1" t="s">
        <v>131</v>
      </c>
      <c r="D3" s="1" t="s">
        <v>144</v>
      </c>
      <c r="E3" s="1" t="s">
        <v>145</v>
      </c>
      <c r="F3" s="1" t="s">
        <v>169</v>
      </c>
      <c r="J3" s="1" t="s">
        <v>133</v>
      </c>
      <c r="K3" s="1" t="s">
        <v>134</v>
      </c>
      <c r="L3" s="1" t="s">
        <v>147</v>
      </c>
      <c r="M3" s="1" t="s">
        <v>176</v>
      </c>
      <c r="N3" s="1" t="s">
        <v>136</v>
      </c>
      <c r="O3" s="44" t="s">
        <v>137</v>
      </c>
      <c r="P3" s="46" t="s">
        <v>168</v>
      </c>
      <c r="Q3" s="46" t="s">
        <v>168</v>
      </c>
      <c r="R3" s="1" t="s">
        <v>163</v>
      </c>
      <c r="S3" s="1" t="s">
        <v>164</v>
      </c>
      <c r="T3" s="1" t="s">
        <v>165</v>
      </c>
      <c r="U3" s="1" t="s">
        <v>166</v>
      </c>
      <c r="V3" s="44" t="s">
        <v>137</v>
      </c>
      <c r="W3" s="1" t="s">
        <v>167</v>
      </c>
    </row>
    <row r="4" spans="1:23">
      <c r="A4" t="s">
        <v>138</v>
      </c>
      <c r="B4">
        <v>10.3</v>
      </c>
      <c r="C4">
        <f>B4+273.15</f>
        <v>283.45</v>
      </c>
      <c r="D4">
        <f>'Site Activities'!G2</f>
        <v>-6.8536999999999999</v>
      </c>
      <c r="E4">
        <f>'Site Activities'!F2</f>
        <v>-7.2</v>
      </c>
      <c r="F4">
        <f>'Site Activities'!E2</f>
        <v>-4.6619000000000002</v>
      </c>
      <c r="J4">
        <f>2*F4-D4-4*E4</f>
        <v>26.329900000000002</v>
      </c>
    </row>
    <row r="5" spans="1:23">
      <c r="A5" t="s">
        <v>139</v>
      </c>
      <c r="B5">
        <v>12.4</v>
      </c>
      <c r="C5">
        <f t="shared" ref="C5:C9" si="0">B5+273.15</f>
        <v>285.54999999999995</v>
      </c>
      <c r="D5">
        <f>'Site Activities'!G3</f>
        <v>-6.7812999999999999</v>
      </c>
      <c r="E5">
        <f>'Site Activities'!F3</f>
        <v>-7.6</v>
      </c>
      <c r="F5">
        <f>'Site Activities'!E3</f>
        <v>-5.5021000000000004</v>
      </c>
      <c r="J5">
        <f t="shared" ref="J5:J9" si="1">2*F5-D5-4*E5</f>
        <v>26.177099999999996</v>
      </c>
    </row>
    <row r="6" spans="1:23">
      <c r="A6" t="s">
        <v>140</v>
      </c>
      <c r="B6">
        <v>16.2</v>
      </c>
      <c r="C6">
        <f t="shared" si="0"/>
        <v>289.34999999999997</v>
      </c>
      <c r="D6">
        <f>'Site Activities'!G4</f>
        <v>-6.4805000000000001</v>
      </c>
      <c r="E6">
        <f>'Site Activities'!F4</f>
        <v>-7.1</v>
      </c>
      <c r="F6">
        <f>'Site Activities'!E4</f>
        <v>-4.8437999999999999</v>
      </c>
      <c r="J6">
        <f t="shared" si="1"/>
        <v>25.192899999999998</v>
      </c>
    </row>
    <row r="7" spans="1:23">
      <c r="A7" t="s">
        <v>141</v>
      </c>
      <c r="B7">
        <v>22.5</v>
      </c>
      <c r="C7">
        <f t="shared" si="0"/>
        <v>295.64999999999998</v>
      </c>
      <c r="D7">
        <f>'Site Activities'!G5</f>
        <v>-6.5782999999999996</v>
      </c>
      <c r="E7">
        <f>'Site Activities'!F5</f>
        <v>-8.3000000000000007</v>
      </c>
      <c r="F7">
        <f>'Site Activities'!E5</f>
        <v>-9.1935000000000002</v>
      </c>
      <c r="J7">
        <f t="shared" si="1"/>
        <v>21.391300000000001</v>
      </c>
    </row>
    <row r="8" spans="1:23">
      <c r="A8" t="s">
        <v>142</v>
      </c>
      <c r="B8">
        <v>31.7</v>
      </c>
      <c r="C8">
        <f t="shared" si="0"/>
        <v>304.84999999999997</v>
      </c>
      <c r="D8">
        <f>'Site Activities'!G6</f>
        <v>-6.5822000000000003</v>
      </c>
      <c r="E8">
        <f>'Site Activities'!F6</f>
        <v>-8.6</v>
      </c>
      <c r="F8">
        <f>'Site Activities'!E6</f>
        <v>-9.2012</v>
      </c>
      <c r="J8">
        <f t="shared" si="1"/>
        <v>22.579799999999999</v>
      </c>
    </row>
    <row r="9" spans="1:23">
      <c r="A9" t="s">
        <v>143</v>
      </c>
      <c r="B9">
        <v>21.5</v>
      </c>
      <c r="C9">
        <f t="shared" si="0"/>
        <v>294.64999999999998</v>
      </c>
      <c r="D9">
        <f>'Site Activities'!G7</f>
        <v>-6.4146999999999998</v>
      </c>
      <c r="E9">
        <f>'Site Activities'!F7</f>
        <v>-8.1</v>
      </c>
      <c r="F9">
        <f>'Site Activities'!E7</f>
        <v>-5.3259999999999996</v>
      </c>
      <c r="J9">
        <f t="shared" si="1"/>
        <v>28.162700000000001</v>
      </c>
    </row>
    <row r="10" spans="1:23">
      <c r="A10" t="s">
        <v>180</v>
      </c>
      <c r="B10" s="28" t="s">
        <v>60</v>
      </c>
      <c r="C10" s="28" t="s">
        <v>78</v>
      </c>
      <c r="D10" s="28" t="s">
        <v>23</v>
      </c>
      <c r="E10" s="29" t="s">
        <v>12</v>
      </c>
      <c r="F10" s="28" t="s">
        <v>30</v>
      </c>
      <c r="G10" s="28" t="s">
        <v>79</v>
      </c>
      <c r="H10" s="28" t="s">
        <v>61</v>
      </c>
      <c r="I10" s="28" t="s">
        <v>62</v>
      </c>
    </row>
    <row r="11" spans="1:23" s="1" customFormat="1" ht="20">
      <c r="A11" s="49" t="s">
        <v>181</v>
      </c>
      <c r="B11" s="1" t="s">
        <v>130</v>
      </c>
      <c r="C11" s="1" t="s">
        <v>131</v>
      </c>
      <c r="D11" s="1" t="s">
        <v>149</v>
      </c>
      <c r="E11" s="1" t="s">
        <v>145</v>
      </c>
      <c r="F11" s="1" t="s">
        <v>169</v>
      </c>
      <c r="J11" s="1" t="s">
        <v>133</v>
      </c>
      <c r="K11" s="1" t="s">
        <v>134</v>
      </c>
      <c r="L11" s="1" t="s">
        <v>147</v>
      </c>
      <c r="M11" s="1" t="s">
        <v>176</v>
      </c>
      <c r="N11" s="1" t="s">
        <v>136</v>
      </c>
      <c r="O11" s="44" t="s">
        <v>137</v>
      </c>
    </row>
    <row r="12" spans="1:23">
      <c r="A12" s="48" t="s">
        <v>138</v>
      </c>
      <c r="B12">
        <v>10.3</v>
      </c>
      <c r="C12">
        <f>B12+273.15</f>
        <v>283.45</v>
      </c>
      <c r="D12">
        <f>'Site Activities'!I2</f>
        <v>-7.6878000000000002</v>
      </c>
      <c r="E12">
        <f>'Site Activities'!F2</f>
        <v>-7.2</v>
      </c>
      <c r="F12">
        <f>'Site Activities'!E2</f>
        <v>-4.6619000000000002</v>
      </c>
      <c r="J12">
        <f>2*F12-2*D12-4*E12</f>
        <v>34.851799999999997</v>
      </c>
    </row>
    <row r="13" spans="1:23">
      <c r="A13" s="48" t="s">
        <v>139</v>
      </c>
      <c r="B13">
        <v>12.4</v>
      </c>
      <c r="C13">
        <f t="shared" ref="C13:C17" si="2">B13+273.15</f>
        <v>285.54999999999995</v>
      </c>
      <c r="D13">
        <f>'Site Activities'!I3</f>
        <v>-6.4287999999999998</v>
      </c>
      <c r="E13">
        <f>'Site Activities'!F3</f>
        <v>-7.6</v>
      </c>
      <c r="F13">
        <f>'Site Activities'!E3</f>
        <v>-5.5021000000000004</v>
      </c>
      <c r="J13">
        <f t="shared" ref="J13:J17" si="3">2*F13-2*D13-4*E13</f>
        <v>32.253399999999999</v>
      </c>
    </row>
    <row r="14" spans="1:23">
      <c r="A14" s="48" t="s">
        <v>140</v>
      </c>
      <c r="B14">
        <v>16.2</v>
      </c>
      <c r="C14">
        <f t="shared" si="2"/>
        <v>289.34999999999997</v>
      </c>
      <c r="D14">
        <f>'Site Activities'!I4</f>
        <v>-6.9134000000000002</v>
      </c>
      <c r="E14">
        <f>'Site Activities'!F4</f>
        <v>-7.1</v>
      </c>
      <c r="F14">
        <f>'Site Activities'!E4</f>
        <v>-4.8437999999999999</v>
      </c>
      <c r="J14">
        <f t="shared" si="3"/>
        <v>32.539200000000001</v>
      </c>
    </row>
    <row r="15" spans="1:23">
      <c r="A15" s="48" t="s">
        <v>141</v>
      </c>
      <c r="B15">
        <v>22.5</v>
      </c>
      <c r="C15">
        <f t="shared" si="2"/>
        <v>295.64999999999998</v>
      </c>
      <c r="D15">
        <f>'Site Activities'!I5</f>
        <v>-4.6778000000000004</v>
      </c>
      <c r="E15">
        <f>'Site Activities'!F5</f>
        <v>-8.3000000000000007</v>
      </c>
      <c r="F15">
        <f>'Site Activities'!E5</f>
        <v>-9.1935000000000002</v>
      </c>
      <c r="J15">
        <f t="shared" si="3"/>
        <v>24.168600000000005</v>
      </c>
    </row>
    <row r="16" spans="1:23">
      <c r="A16" s="48" t="s">
        <v>142</v>
      </c>
      <c r="B16">
        <v>31.7</v>
      </c>
      <c r="C16">
        <f t="shared" si="2"/>
        <v>304.84999999999997</v>
      </c>
      <c r="D16">
        <f>'Site Activities'!I6</f>
        <v>-5.0914000000000001</v>
      </c>
      <c r="E16">
        <f>'Site Activities'!F6</f>
        <v>-8.6</v>
      </c>
      <c r="F16">
        <f>'Site Activities'!E6</f>
        <v>-9.2012</v>
      </c>
      <c r="J16">
        <f t="shared" si="3"/>
        <v>26.180399999999999</v>
      </c>
    </row>
    <row r="17" spans="1:15">
      <c r="A17" s="48" t="s">
        <v>143</v>
      </c>
      <c r="B17">
        <v>21.5</v>
      </c>
      <c r="C17">
        <f t="shared" si="2"/>
        <v>294.64999999999998</v>
      </c>
      <c r="D17">
        <f>'Site Activities'!I7</f>
        <v>-5.8509000000000002</v>
      </c>
      <c r="E17">
        <f>'Site Activities'!F7</f>
        <v>-8.1</v>
      </c>
      <c r="F17">
        <f>'Site Activities'!E7</f>
        <v>-5.3259999999999996</v>
      </c>
      <c r="J17">
        <f t="shared" si="3"/>
        <v>33.449799999999996</v>
      </c>
    </row>
    <row r="18" spans="1:15">
      <c r="A18" s="48"/>
      <c r="B18" s="28" t="s">
        <v>80</v>
      </c>
      <c r="C18" s="28" t="s">
        <v>81</v>
      </c>
      <c r="D18" s="28" t="s">
        <v>6</v>
      </c>
      <c r="E18" s="30" t="s">
        <v>12</v>
      </c>
      <c r="F18" s="28" t="s">
        <v>83</v>
      </c>
      <c r="G18" s="28" t="s">
        <v>82</v>
      </c>
      <c r="H18" s="28" t="s">
        <v>36</v>
      </c>
      <c r="I18" s="28" t="s">
        <v>84</v>
      </c>
    </row>
    <row r="19" spans="1:15" s="1" customFormat="1" ht="20">
      <c r="A19" s="49" t="s">
        <v>129</v>
      </c>
      <c r="B19" s="1" t="s">
        <v>130</v>
      </c>
      <c r="C19" s="1" t="s">
        <v>131</v>
      </c>
      <c r="D19" s="1" t="s">
        <v>150</v>
      </c>
      <c r="E19" s="1" t="s">
        <v>145</v>
      </c>
      <c r="F19" s="1" t="s">
        <v>169</v>
      </c>
      <c r="G19" s="1" t="s">
        <v>151</v>
      </c>
      <c r="J19" s="1" t="s">
        <v>133</v>
      </c>
      <c r="K19" s="1" t="s">
        <v>134</v>
      </c>
      <c r="L19" s="1" t="s">
        <v>147</v>
      </c>
      <c r="M19" s="1" t="s">
        <v>177</v>
      </c>
      <c r="N19" s="1" t="s">
        <v>136</v>
      </c>
      <c r="O19" s="44" t="s">
        <v>137</v>
      </c>
    </row>
    <row r="20" spans="1:15">
      <c r="A20" s="48" t="s">
        <v>138</v>
      </c>
      <c r="B20">
        <v>10.3</v>
      </c>
      <c r="C20">
        <f>B20+273.15</f>
        <v>283.45</v>
      </c>
      <c r="D20">
        <f>'Site Activities'!K2</f>
        <v>-5.3193000000000001</v>
      </c>
      <c r="E20">
        <f>'Site Activities'!F2</f>
        <v>-7.2</v>
      </c>
      <c r="F20">
        <f>'Site Activities'!E2</f>
        <v>-4.6619000000000002</v>
      </c>
      <c r="G20">
        <f>'Site Activities'!L2</f>
        <v>-18.813300000000002</v>
      </c>
      <c r="J20">
        <f>6*F20+2*G20-2*D20-2*E20</f>
        <v>-40.559400000000018</v>
      </c>
    </row>
    <row r="21" spans="1:15">
      <c r="A21" s="48" t="s">
        <v>139</v>
      </c>
      <c r="B21">
        <v>12.4</v>
      </c>
      <c r="C21">
        <f t="shared" ref="C21:C25" si="4">B21+273.15</f>
        <v>285.54999999999995</v>
      </c>
      <c r="D21">
        <f>'Site Activities'!K3</f>
        <v>-8.3050999999999995</v>
      </c>
      <c r="E21">
        <f>'Site Activities'!F3</f>
        <v>-7.6</v>
      </c>
      <c r="F21">
        <f>'Site Activities'!E3</f>
        <v>-5.5021000000000004</v>
      </c>
      <c r="G21">
        <f>'Site Activities'!L3</f>
        <v>-19.1463</v>
      </c>
      <c r="J21">
        <f t="shared" ref="J21:J25" si="5">6*F21+2*G21-2*D21-2*E21</f>
        <v>-39.495000000000019</v>
      </c>
    </row>
    <row r="22" spans="1:15">
      <c r="A22" s="48" t="s">
        <v>140</v>
      </c>
      <c r="B22">
        <v>16.2</v>
      </c>
      <c r="C22">
        <f t="shared" si="4"/>
        <v>289.34999999999997</v>
      </c>
      <c r="D22">
        <f>'Site Activities'!K4</f>
        <v>-5.0713999999999997</v>
      </c>
      <c r="E22">
        <f>'Site Activities'!F4</f>
        <v>-7.1</v>
      </c>
      <c r="F22">
        <f>'Site Activities'!E4</f>
        <v>-4.8437999999999999</v>
      </c>
      <c r="G22">
        <f>'Site Activities'!L4</f>
        <v>-18.847899999999999</v>
      </c>
      <c r="J22">
        <f t="shared" si="5"/>
        <v>-42.415800000000004</v>
      </c>
    </row>
    <row r="23" spans="1:15">
      <c r="A23" s="48" t="s">
        <v>141</v>
      </c>
      <c r="B23">
        <v>22.5</v>
      </c>
      <c r="C23">
        <f t="shared" si="4"/>
        <v>295.64999999999998</v>
      </c>
      <c r="D23">
        <f>'Site Activities'!K5</f>
        <v>-4.2126999999999999</v>
      </c>
      <c r="E23">
        <f>'Site Activities'!F5</f>
        <v>-8.3000000000000007</v>
      </c>
      <c r="F23">
        <f>'Site Activities'!E5</f>
        <v>-9.1935000000000002</v>
      </c>
      <c r="G23">
        <f>'Site Activities'!L5</f>
        <v>-17.5655</v>
      </c>
      <c r="J23">
        <f t="shared" si="5"/>
        <v>-65.266600000000011</v>
      </c>
    </row>
    <row r="24" spans="1:15">
      <c r="A24" s="48" t="s">
        <v>142</v>
      </c>
      <c r="B24">
        <v>31.7</v>
      </c>
      <c r="C24">
        <f t="shared" si="4"/>
        <v>304.84999999999997</v>
      </c>
      <c r="D24">
        <f>'Site Activities'!K6</f>
        <v>-4.7306999999999997</v>
      </c>
      <c r="E24">
        <f>'Site Activities'!F6</f>
        <v>-8.6</v>
      </c>
      <c r="F24">
        <f>'Site Activities'!E6</f>
        <v>-9.2012</v>
      </c>
      <c r="G24">
        <f>'Site Activities'!L6</f>
        <v>-17.566500000000001</v>
      </c>
      <c r="J24">
        <f t="shared" si="5"/>
        <v>-63.67880000000001</v>
      </c>
    </row>
    <row r="25" spans="1:15">
      <c r="A25" s="48" t="s">
        <v>143</v>
      </c>
      <c r="B25">
        <v>21.5</v>
      </c>
      <c r="C25">
        <f t="shared" si="4"/>
        <v>294.64999999999998</v>
      </c>
      <c r="D25">
        <f>'Site Activities'!K7</f>
        <v>-5.4432</v>
      </c>
      <c r="E25">
        <f>'Site Activities'!F7</f>
        <v>-8.1</v>
      </c>
      <c r="F25">
        <f>'Site Activities'!E7</f>
        <v>-5.3259999999999996</v>
      </c>
      <c r="G25">
        <f>'Site Activities'!L7</f>
        <v>-18.3691</v>
      </c>
      <c r="J25">
        <f t="shared" si="5"/>
        <v>-41.607799999999997</v>
      </c>
    </row>
    <row r="26" spans="1:15">
      <c r="A26" s="48"/>
      <c r="B26" s="28" t="s">
        <v>85</v>
      </c>
      <c r="C26" s="28" t="s">
        <v>25</v>
      </c>
      <c r="D26" s="28" t="s">
        <v>18</v>
      </c>
      <c r="E26" s="30" t="s">
        <v>12</v>
      </c>
      <c r="F26" s="28" t="s">
        <v>86</v>
      </c>
      <c r="G26" s="28" t="s">
        <v>35</v>
      </c>
      <c r="H26" s="28" t="s">
        <v>61</v>
      </c>
      <c r="I26" s="28" t="s">
        <v>29</v>
      </c>
    </row>
    <row r="27" spans="1:15" s="1" customFormat="1" ht="20">
      <c r="A27" s="49" t="s">
        <v>129</v>
      </c>
      <c r="B27" s="1" t="s">
        <v>130</v>
      </c>
      <c r="C27" s="1" t="s">
        <v>131</v>
      </c>
      <c r="D27" s="1" t="s">
        <v>148</v>
      </c>
      <c r="E27" s="1" t="s">
        <v>145</v>
      </c>
      <c r="F27" s="1" t="s">
        <v>169</v>
      </c>
      <c r="G27" s="1" t="s">
        <v>152</v>
      </c>
      <c r="J27" s="1" t="s">
        <v>133</v>
      </c>
      <c r="K27" s="1" t="s">
        <v>134</v>
      </c>
      <c r="L27" s="1" t="s">
        <v>147</v>
      </c>
      <c r="M27" s="1" t="s">
        <v>135</v>
      </c>
      <c r="N27" s="1" t="s">
        <v>136</v>
      </c>
      <c r="O27" s="44" t="s">
        <v>137</v>
      </c>
    </row>
    <row r="28" spans="1:15">
      <c r="A28" s="48" t="s">
        <v>138</v>
      </c>
      <c r="B28">
        <v>10.3</v>
      </c>
      <c r="C28">
        <f>B28+273.15</f>
        <v>283.45</v>
      </c>
      <c r="D28">
        <f>'Site Activities'!D2</f>
        <v>-6.5918999999999999</v>
      </c>
      <c r="E28">
        <f>'Site Activities'!F2</f>
        <v>-7.2</v>
      </c>
      <c r="F28">
        <f>'Site Activities'!E2</f>
        <v>-4.6619000000000002</v>
      </c>
      <c r="G28">
        <f>'Site Activities'!H2</f>
        <v>-2.5078999999999998</v>
      </c>
      <c r="J28">
        <f>4*F28+G28-D28-3*E28</f>
        <v>7.0364000000000004</v>
      </c>
    </row>
    <row r="29" spans="1:15">
      <c r="A29" s="48" t="s">
        <v>139</v>
      </c>
      <c r="B29">
        <v>12.4</v>
      </c>
      <c r="C29">
        <f t="shared" ref="C29:C33" si="6">B29+273.15</f>
        <v>285.54999999999995</v>
      </c>
      <c r="D29">
        <f>'Site Activities'!D3</f>
        <v>-6.6931000000000003</v>
      </c>
      <c r="E29">
        <f>'Site Activities'!F3</f>
        <v>-7.6</v>
      </c>
      <c r="F29">
        <f>'Site Activities'!E3</f>
        <v>-5.5021000000000004</v>
      </c>
      <c r="G29">
        <f>'Site Activities'!H3</f>
        <v>-2.4064999999999999</v>
      </c>
      <c r="J29">
        <f t="shared" ref="J29:J33" si="7">4*F29+G29-D29-3*E29</f>
        <v>5.0781999999999954</v>
      </c>
    </row>
    <row r="30" spans="1:15">
      <c r="A30" s="48" t="s">
        <v>140</v>
      </c>
      <c r="B30">
        <v>16.2</v>
      </c>
      <c r="C30">
        <f t="shared" si="6"/>
        <v>289.34999999999997</v>
      </c>
      <c r="D30">
        <f>'Site Activities'!D4</f>
        <v>-5.6016000000000004</v>
      </c>
      <c r="E30">
        <f>'Site Activities'!F4</f>
        <v>-7.1</v>
      </c>
      <c r="F30">
        <f>'Site Activities'!E4</f>
        <v>-4.8437999999999999</v>
      </c>
      <c r="G30">
        <f>'Site Activities'!H4</f>
        <v>-2.1855000000000002</v>
      </c>
      <c r="J30">
        <f t="shared" si="7"/>
        <v>5.3408999999999978</v>
      </c>
    </row>
    <row r="31" spans="1:15">
      <c r="A31" s="48" t="s">
        <v>141</v>
      </c>
      <c r="B31">
        <v>22.5</v>
      </c>
      <c r="C31">
        <f t="shared" si="6"/>
        <v>295.64999999999998</v>
      </c>
      <c r="D31">
        <f>'Site Activities'!D5</f>
        <v>-4.5528000000000004</v>
      </c>
      <c r="E31">
        <f>'Site Activities'!F5</f>
        <v>-8.3000000000000007</v>
      </c>
      <c r="F31">
        <f>'Site Activities'!E5</f>
        <v>-9.1935000000000002</v>
      </c>
      <c r="G31">
        <f>'Site Activities'!H5</f>
        <v>-1.9494</v>
      </c>
      <c r="J31">
        <f t="shared" si="7"/>
        <v>-9.2705999999999982</v>
      </c>
    </row>
    <row r="32" spans="1:15">
      <c r="A32" s="48" t="s">
        <v>142</v>
      </c>
      <c r="B32">
        <v>31.7</v>
      </c>
      <c r="C32">
        <f t="shared" si="6"/>
        <v>304.84999999999997</v>
      </c>
      <c r="D32">
        <f>'Site Activities'!D6</f>
        <v>-4.8278999999999996</v>
      </c>
      <c r="E32">
        <f>'Site Activities'!F6</f>
        <v>-8.6</v>
      </c>
      <c r="F32">
        <f>'Site Activities'!E6</f>
        <v>-9.2012</v>
      </c>
      <c r="G32">
        <f>'Site Activities'!H6</f>
        <v>-1.9497</v>
      </c>
      <c r="J32">
        <f t="shared" si="7"/>
        <v>-8.1266000000000034</v>
      </c>
    </row>
    <row r="33" spans="1:15">
      <c r="A33" s="48" t="s">
        <v>143</v>
      </c>
      <c r="B33">
        <v>21.5</v>
      </c>
      <c r="C33">
        <f t="shared" si="6"/>
        <v>294.64999999999998</v>
      </c>
      <c r="D33">
        <f>'Site Activities'!D7</f>
        <v>-3.7010999999999998</v>
      </c>
      <c r="E33">
        <f>'Site Activities'!F7</f>
        <v>-8.1</v>
      </c>
      <c r="F33">
        <f>'Site Activities'!E7</f>
        <v>-5.3259999999999996</v>
      </c>
      <c r="G33">
        <f>'Site Activities'!H7</f>
        <v>-2.7843</v>
      </c>
      <c r="J33">
        <f t="shared" si="7"/>
        <v>3.9128000000000007</v>
      </c>
    </row>
    <row r="34" spans="1:15">
      <c r="A34" s="48"/>
      <c r="B34" s="28" t="s">
        <v>60</v>
      </c>
      <c r="C34" s="28" t="s">
        <v>30</v>
      </c>
      <c r="D34" s="28" t="s">
        <v>36</v>
      </c>
      <c r="E34" s="41" t="s">
        <v>12</v>
      </c>
      <c r="F34" s="28" t="s">
        <v>128</v>
      </c>
      <c r="G34" s="28" t="s">
        <v>14</v>
      </c>
      <c r="H34" s="28"/>
      <c r="I34" s="28" t="s">
        <v>62</v>
      </c>
    </row>
    <row r="35" spans="1:15" s="1" customFormat="1" ht="20">
      <c r="A35" s="49" t="s">
        <v>129</v>
      </c>
      <c r="B35" s="1" t="s">
        <v>130</v>
      </c>
      <c r="C35" s="1" t="s">
        <v>131</v>
      </c>
      <c r="D35" s="1" t="s">
        <v>169</v>
      </c>
      <c r="E35" s="1" t="s">
        <v>145</v>
      </c>
      <c r="J35" s="1" t="s">
        <v>133</v>
      </c>
      <c r="K35" s="1" t="s">
        <v>134</v>
      </c>
      <c r="L35" s="1" t="s">
        <v>147</v>
      </c>
      <c r="M35" s="1" t="s">
        <v>176</v>
      </c>
      <c r="N35" s="1" t="s">
        <v>136</v>
      </c>
      <c r="O35" s="44" t="s">
        <v>137</v>
      </c>
    </row>
    <row r="36" spans="1:15">
      <c r="A36" s="48" t="s">
        <v>138</v>
      </c>
      <c r="B36">
        <v>10.3</v>
      </c>
      <c r="C36">
        <f>B36+273.15</f>
        <v>283.45</v>
      </c>
      <c r="D36">
        <f>'Site Activities'!E2</f>
        <v>-4.6619000000000002</v>
      </c>
      <c r="E36">
        <f>'Site Activities'!F2</f>
        <v>-7.2</v>
      </c>
      <c r="J36">
        <f>6*E36-2*D36</f>
        <v>-33.876200000000004</v>
      </c>
    </row>
    <row r="37" spans="1:15">
      <c r="A37" s="48" t="s">
        <v>139</v>
      </c>
      <c r="B37">
        <v>12.4</v>
      </c>
      <c r="C37">
        <f t="shared" ref="C37:C41" si="8">B37+273.15</f>
        <v>285.54999999999995</v>
      </c>
      <c r="D37">
        <f>'Site Activities'!E3</f>
        <v>-5.5021000000000004</v>
      </c>
      <c r="E37">
        <f>'Site Activities'!F3</f>
        <v>-7.6</v>
      </c>
      <c r="J37">
        <f t="shared" ref="J37:J41" si="9">6*E37-2*D37</f>
        <v>-34.595799999999997</v>
      </c>
    </row>
    <row r="38" spans="1:15">
      <c r="A38" s="48" t="s">
        <v>140</v>
      </c>
      <c r="B38">
        <v>16.2</v>
      </c>
      <c r="C38">
        <f t="shared" si="8"/>
        <v>289.34999999999997</v>
      </c>
      <c r="D38">
        <f>'Site Activities'!E4</f>
        <v>-4.8437999999999999</v>
      </c>
      <c r="E38">
        <f>'Site Activities'!F4</f>
        <v>-7.1</v>
      </c>
      <c r="J38">
        <f t="shared" si="9"/>
        <v>-32.912399999999991</v>
      </c>
    </row>
    <row r="39" spans="1:15">
      <c r="A39" s="48" t="s">
        <v>141</v>
      </c>
      <c r="B39">
        <v>22.5</v>
      </c>
      <c r="C39">
        <f t="shared" si="8"/>
        <v>295.64999999999998</v>
      </c>
      <c r="D39">
        <f>'Site Activities'!E5</f>
        <v>-9.1935000000000002</v>
      </c>
      <c r="E39">
        <f>'Site Activities'!F5</f>
        <v>-8.3000000000000007</v>
      </c>
      <c r="J39">
        <f t="shared" si="9"/>
        <v>-31.413000000000004</v>
      </c>
    </row>
    <row r="40" spans="1:15">
      <c r="A40" s="48" t="s">
        <v>142</v>
      </c>
      <c r="B40">
        <v>31.7</v>
      </c>
      <c r="C40">
        <f t="shared" si="8"/>
        <v>304.84999999999997</v>
      </c>
      <c r="D40">
        <f>'Site Activities'!E6</f>
        <v>-9.2012</v>
      </c>
      <c r="E40">
        <f>'Site Activities'!F6</f>
        <v>-8.6</v>
      </c>
      <c r="J40">
        <f t="shared" si="9"/>
        <v>-33.197599999999994</v>
      </c>
    </row>
    <row r="41" spans="1:15">
      <c r="A41" s="48" t="s">
        <v>143</v>
      </c>
      <c r="B41">
        <v>21.5</v>
      </c>
      <c r="C41">
        <f t="shared" si="8"/>
        <v>294.64999999999998</v>
      </c>
      <c r="D41">
        <f>'Site Activities'!E7</f>
        <v>-5.3259999999999996</v>
      </c>
      <c r="E41">
        <f>'Site Activities'!F7</f>
        <v>-8.1</v>
      </c>
      <c r="J41">
        <f t="shared" si="9"/>
        <v>-37.947999999999993</v>
      </c>
    </row>
    <row r="42" spans="1:15">
      <c r="A42" s="48"/>
      <c r="B42" s="28" t="s">
        <v>80</v>
      </c>
      <c r="C42" s="28" t="s">
        <v>79</v>
      </c>
      <c r="D42" s="28" t="s">
        <v>6</v>
      </c>
      <c r="E42" s="30" t="s">
        <v>12</v>
      </c>
      <c r="F42" s="28" t="s">
        <v>83</v>
      </c>
      <c r="G42" s="28" t="s">
        <v>87</v>
      </c>
      <c r="H42" s="28" t="s">
        <v>72</v>
      </c>
      <c r="I42" s="28" t="s">
        <v>84</v>
      </c>
    </row>
    <row r="43" spans="1:15" s="1" customFormat="1" ht="20">
      <c r="A43" s="49" t="s">
        <v>129</v>
      </c>
      <c r="B43" s="1" t="s">
        <v>130</v>
      </c>
      <c r="C43" s="1" t="s">
        <v>131</v>
      </c>
      <c r="D43" s="1" t="s">
        <v>145</v>
      </c>
      <c r="E43" s="1" t="s">
        <v>169</v>
      </c>
      <c r="F43" s="1" t="s">
        <v>173</v>
      </c>
      <c r="J43" s="1" t="s">
        <v>133</v>
      </c>
      <c r="K43" s="1" t="s">
        <v>134</v>
      </c>
      <c r="L43" s="1" t="s">
        <v>147</v>
      </c>
      <c r="M43" s="1" t="s">
        <v>177</v>
      </c>
      <c r="N43" s="1" t="s">
        <v>136</v>
      </c>
      <c r="O43" s="44" t="s">
        <v>137</v>
      </c>
    </row>
    <row r="44" spans="1:15">
      <c r="A44" s="48" t="s">
        <v>138</v>
      </c>
      <c r="B44">
        <v>10.3</v>
      </c>
      <c r="C44">
        <f>B44+273.15</f>
        <v>283.45</v>
      </c>
      <c r="D44">
        <f>'Site Activities'!F2</f>
        <v>-7.2</v>
      </c>
      <c r="E44">
        <f>'Site Activities'!E2</f>
        <v>-4.6619000000000002</v>
      </c>
      <c r="F44">
        <f>'Site Activities'!N2</f>
        <v>-2.7730000000000001</v>
      </c>
      <c r="J44">
        <f>6*E44+2*F44-2*D44</f>
        <v>-19.117400000000004</v>
      </c>
    </row>
    <row r="45" spans="1:15">
      <c r="A45" s="48" t="s">
        <v>139</v>
      </c>
      <c r="B45">
        <v>12.4</v>
      </c>
      <c r="C45">
        <f t="shared" ref="C45:C49" si="10">B45+273.15</f>
        <v>285.54999999999995</v>
      </c>
      <c r="D45">
        <f>'Site Activities'!F3</f>
        <v>-7.6</v>
      </c>
      <c r="E45">
        <f>'Site Activities'!E3</f>
        <v>-5.5021000000000004</v>
      </c>
      <c r="F45">
        <f>'Site Activities'!N3</f>
        <v>-3.3025000000000002</v>
      </c>
      <c r="J45">
        <f t="shared" ref="J45:J49" si="11">6*E45+2*F45-2*D45</f>
        <v>-24.417600000000011</v>
      </c>
    </row>
    <row r="46" spans="1:15">
      <c r="A46" s="48" t="s">
        <v>140</v>
      </c>
      <c r="B46">
        <v>16.2</v>
      </c>
      <c r="C46">
        <f t="shared" si="10"/>
        <v>289.34999999999997</v>
      </c>
      <c r="D46">
        <f>'Site Activities'!F4</f>
        <v>-7.1</v>
      </c>
      <c r="E46">
        <f>'Site Activities'!E4</f>
        <v>-4.8437999999999999</v>
      </c>
      <c r="F46">
        <f>'Site Activities'!N4</f>
        <v>-2.2894999999999999</v>
      </c>
      <c r="J46">
        <f t="shared" si="11"/>
        <v>-19.441799999999997</v>
      </c>
    </row>
    <row r="47" spans="1:15">
      <c r="A47" s="48" t="s">
        <v>141</v>
      </c>
      <c r="B47">
        <v>22.5</v>
      </c>
      <c r="C47">
        <f t="shared" si="10"/>
        <v>295.64999999999998</v>
      </c>
      <c r="D47">
        <f>'Site Activities'!F5</f>
        <v>-8.3000000000000007</v>
      </c>
      <c r="E47">
        <f>'Site Activities'!E5</f>
        <v>-9.1935000000000002</v>
      </c>
      <c r="F47">
        <f>'Site Activities'!N5</f>
        <v>-2.8025000000000002</v>
      </c>
      <c r="J47">
        <f t="shared" si="11"/>
        <v>-44.166000000000004</v>
      </c>
    </row>
    <row r="48" spans="1:15">
      <c r="A48" s="48" t="s">
        <v>142</v>
      </c>
      <c r="B48">
        <v>31.7</v>
      </c>
      <c r="C48">
        <f t="shared" si="10"/>
        <v>304.84999999999997</v>
      </c>
      <c r="D48">
        <f>'Site Activities'!F6</f>
        <v>-8.6</v>
      </c>
      <c r="E48">
        <f>'Site Activities'!E6</f>
        <v>-9.2012</v>
      </c>
      <c r="F48">
        <f>'Site Activities'!N6</f>
        <v>-3.0129000000000001</v>
      </c>
      <c r="J48">
        <f t="shared" si="11"/>
        <v>-44.033000000000001</v>
      </c>
    </row>
    <row r="49" spans="1:15">
      <c r="A49" s="48" t="s">
        <v>143</v>
      </c>
      <c r="B49">
        <v>21.5</v>
      </c>
      <c r="C49">
        <f t="shared" si="10"/>
        <v>294.64999999999998</v>
      </c>
      <c r="D49">
        <f>'Site Activities'!F7</f>
        <v>-8.1</v>
      </c>
      <c r="E49">
        <f>'Site Activities'!E7</f>
        <v>-5.3259999999999996</v>
      </c>
      <c r="F49">
        <f>'Site Activities'!N7</f>
        <v>-1.9358</v>
      </c>
      <c r="J49">
        <f t="shared" si="11"/>
        <v>-19.627599999999997</v>
      </c>
    </row>
    <row r="50" spans="1:15">
      <c r="A50" s="48"/>
      <c r="B50" s="28" t="s">
        <v>88</v>
      </c>
      <c r="C50" s="28" t="s">
        <v>89</v>
      </c>
      <c r="D50" s="28" t="s">
        <v>39</v>
      </c>
      <c r="E50" s="30" t="s">
        <v>12</v>
      </c>
      <c r="F50" s="28" t="s">
        <v>90</v>
      </c>
      <c r="G50" s="28" t="s">
        <v>91</v>
      </c>
      <c r="H50" s="28" t="s">
        <v>92</v>
      </c>
      <c r="I50" s="28" t="s">
        <v>93</v>
      </c>
    </row>
    <row r="51" spans="1:15" s="1" customFormat="1" ht="20">
      <c r="A51" s="49" t="s">
        <v>129</v>
      </c>
      <c r="B51" s="1" t="s">
        <v>130</v>
      </c>
      <c r="C51" s="1" t="s">
        <v>131</v>
      </c>
      <c r="D51" s="1" t="s">
        <v>155</v>
      </c>
      <c r="E51" s="1" t="s">
        <v>145</v>
      </c>
      <c r="F51" s="1" t="s">
        <v>169</v>
      </c>
      <c r="G51" s="1" t="s">
        <v>152</v>
      </c>
      <c r="J51" s="1" t="s">
        <v>133</v>
      </c>
      <c r="K51" s="1" t="s">
        <v>134</v>
      </c>
      <c r="L51" s="1" t="s">
        <v>147</v>
      </c>
      <c r="M51" s="1" t="s">
        <v>178</v>
      </c>
      <c r="N51" s="1" t="s">
        <v>136</v>
      </c>
      <c r="O51" s="44" t="s">
        <v>137</v>
      </c>
    </row>
    <row r="52" spans="1:15">
      <c r="A52" s="48" t="s">
        <v>138</v>
      </c>
      <c r="B52">
        <v>10.3</v>
      </c>
      <c r="C52">
        <f>B52+273.15</f>
        <v>283.45</v>
      </c>
      <c r="D52">
        <f>'Site Activities'!C2</f>
        <v>-5.2103000000000002</v>
      </c>
      <c r="E52">
        <f>'Site Activities'!F2</f>
        <v>-7.2</v>
      </c>
      <c r="F52">
        <f>'Site Activities'!E2</f>
        <v>-4.6619000000000002</v>
      </c>
      <c r="G52">
        <f>'Site Activities'!H2</f>
        <v>-2.5078999999999998</v>
      </c>
      <c r="J52">
        <f>18*F52+8*G52-4*D52-18*E52</f>
        <v>46.463799999999992</v>
      </c>
    </row>
    <row r="53" spans="1:15">
      <c r="A53" s="48" t="s">
        <v>139</v>
      </c>
      <c r="B53">
        <v>12.4</v>
      </c>
      <c r="C53">
        <f t="shared" ref="C53:C57" si="12">B53+273.15</f>
        <v>285.54999999999995</v>
      </c>
      <c r="D53">
        <f>'Site Activities'!C3</f>
        <v>-5.2065000000000001</v>
      </c>
      <c r="E53">
        <f>'Site Activities'!F3</f>
        <v>-7.6</v>
      </c>
      <c r="F53">
        <f>'Site Activities'!E3</f>
        <v>-5.5021000000000004</v>
      </c>
      <c r="G53">
        <f>'Site Activities'!H3</f>
        <v>-2.4064999999999999</v>
      </c>
      <c r="J53">
        <f t="shared" ref="J53:J57" si="13">18*F53+8*G53-4*D53-18*E53</f>
        <v>39.336199999999991</v>
      </c>
    </row>
    <row r="54" spans="1:15">
      <c r="A54" s="48" t="s">
        <v>140</v>
      </c>
      <c r="B54">
        <v>16.2</v>
      </c>
      <c r="C54">
        <f t="shared" si="12"/>
        <v>289.34999999999997</v>
      </c>
      <c r="D54">
        <f>'Site Activities'!C4</f>
        <v>-5.4981</v>
      </c>
      <c r="E54">
        <f>'Site Activities'!F4</f>
        <v>-7.1</v>
      </c>
      <c r="F54">
        <f>'Site Activities'!E4</f>
        <v>-4.8437999999999999</v>
      </c>
      <c r="G54">
        <f>'Site Activities'!H4</f>
        <v>-2.1855000000000002</v>
      </c>
      <c r="J54">
        <f t="shared" si="13"/>
        <v>45.11999999999999</v>
      </c>
    </row>
    <row r="55" spans="1:15">
      <c r="A55" s="48" t="s">
        <v>141</v>
      </c>
      <c r="B55">
        <v>22.5</v>
      </c>
      <c r="C55">
        <f t="shared" si="12"/>
        <v>295.64999999999998</v>
      </c>
      <c r="D55">
        <f>'Site Activities'!C5</f>
        <v>-5.5418000000000003</v>
      </c>
      <c r="E55">
        <f>'Site Activities'!F5</f>
        <v>-8.3000000000000007</v>
      </c>
      <c r="F55">
        <f>'Site Activities'!E5</f>
        <v>-9.1935000000000002</v>
      </c>
      <c r="G55">
        <f>'Site Activities'!H5</f>
        <v>-1.9494</v>
      </c>
      <c r="J55">
        <f t="shared" si="13"/>
        <v>-9.5109999999999957</v>
      </c>
    </row>
    <row r="56" spans="1:15">
      <c r="A56" s="48" t="s">
        <v>142</v>
      </c>
      <c r="B56">
        <v>31.7</v>
      </c>
      <c r="C56">
        <f t="shared" si="12"/>
        <v>304.84999999999997</v>
      </c>
      <c r="D56">
        <f>'Site Activities'!C6</f>
        <v>-5.5317999999999996</v>
      </c>
      <c r="E56">
        <f>'Site Activities'!F6</f>
        <v>-8.6</v>
      </c>
      <c r="F56">
        <f>'Site Activities'!E6</f>
        <v>-9.2012</v>
      </c>
      <c r="G56">
        <f>'Site Activities'!H6</f>
        <v>-1.9497</v>
      </c>
      <c r="J56">
        <f t="shared" si="13"/>
        <v>-4.29200000000003</v>
      </c>
    </row>
    <row r="57" spans="1:15">
      <c r="A57" s="48" t="s">
        <v>143</v>
      </c>
      <c r="B57">
        <v>21.5</v>
      </c>
      <c r="C57">
        <f t="shared" si="12"/>
        <v>294.64999999999998</v>
      </c>
      <c r="D57">
        <f>'Site Activities'!C7</f>
        <v>-5.5113000000000003</v>
      </c>
      <c r="E57">
        <f>'Site Activities'!F7</f>
        <v>-8.1</v>
      </c>
      <c r="F57">
        <f>'Site Activities'!E7</f>
        <v>-5.3259999999999996</v>
      </c>
      <c r="G57">
        <f>'Site Activities'!H7</f>
        <v>-2.7843</v>
      </c>
      <c r="J57">
        <f t="shared" si="13"/>
        <v>49.702799999999996</v>
      </c>
    </row>
    <row r="58" spans="1:15">
      <c r="A58" s="48"/>
      <c r="B58" s="28" t="s">
        <v>80</v>
      </c>
      <c r="C58" s="28" t="s">
        <v>27</v>
      </c>
      <c r="D58" s="28" t="s">
        <v>14</v>
      </c>
      <c r="E58" s="30" t="s">
        <v>12</v>
      </c>
      <c r="F58" s="28" t="s">
        <v>83</v>
      </c>
      <c r="G58" s="28" t="s">
        <v>108</v>
      </c>
      <c r="H58" s="28" t="s">
        <v>72</v>
      </c>
      <c r="I58" s="28" t="s">
        <v>84</v>
      </c>
    </row>
    <row r="59" spans="1:15" s="1" customFormat="1" ht="20">
      <c r="A59" s="49" t="s">
        <v>129</v>
      </c>
      <c r="B59" s="1" t="s">
        <v>130</v>
      </c>
      <c r="C59" s="1" t="s">
        <v>131</v>
      </c>
      <c r="D59" s="1" t="s">
        <v>146</v>
      </c>
      <c r="E59" s="1" t="s">
        <v>145</v>
      </c>
      <c r="F59" s="1" t="s">
        <v>169</v>
      </c>
      <c r="J59" s="1" t="s">
        <v>133</v>
      </c>
      <c r="K59" s="1" t="s">
        <v>134</v>
      </c>
      <c r="L59" s="1" t="s">
        <v>147</v>
      </c>
      <c r="M59" s="1" t="s">
        <v>177</v>
      </c>
      <c r="N59" s="1" t="s">
        <v>136</v>
      </c>
      <c r="O59" s="44" t="s">
        <v>137</v>
      </c>
    </row>
    <row r="60" spans="1:15">
      <c r="A60" s="48" t="s">
        <v>138</v>
      </c>
      <c r="B60">
        <v>10.3</v>
      </c>
      <c r="C60">
        <f>B60+273.15</f>
        <v>283.45</v>
      </c>
      <c r="D60">
        <f>'Site Activities'!J2</f>
        <v>-5.7184999999999997</v>
      </c>
      <c r="E60">
        <f>'Site Activities'!F2</f>
        <v>-7.2</v>
      </c>
      <c r="F60">
        <f>'Site Activities'!E2</f>
        <v>-4.6619000000000002</v>
      </c>
      <c r="J60">
        <f>6*F60-4*D60-6*E60</f>
        <v>38.102599999999995</v>
      </c>
    </row>
    <row r="61" spans="1:15">
      <c r="A61" s="48" t="s">
        <v>139</v>
      </c>
      <c r="B61">
        <v>12.4</v>
      </c>
      <c r="C61">
        <f t="shared" ref="C61:C65" si="14">B61+273.15</f>
        <v>285.54999999999995</v>
      </c>
      <c r="D61">
        <f>'Site Activities'!J3</f>
        <v>-8.9510000000000005</v>
      </c>
      <c r="E61">
        <f>'Site Activities'!F3</f>
        <v>-7.6</v>
      </c>
      <c r="F61">
        <f>'Site Activities'!E3</f>
        <v>-5.5021000000000004</v>
      </c>
      <c r="J61">
        <f t="shared" ref="J61:J65" si="15">6*F61-4*D61-6*E61</f>
        <v>48.39139999999999</v>
      </c>
    </row>
    <row r="62" spans="1:15">
      <c r="A62" s="48" t="s">
        <v>140</v>
      </c>
      <c r="B62">
        <v>16.2</v>
      </c>
      <c r="C62">
        <f t="shared" si="14"/>
        <v>289.34999999999997</v>
      </c>
      <c r="D62">
        <f>'Site Activities'!J4</f>
        <v>-5.7531999999999996</v>
      </c>
      <c r="E62">
        <f>'Site Activities'!F4</f>
        <v>-7.1</v>
      </c>
      <c r="F62">
        <f>'Site Activities'!E4</f>
        <v>-4.8437999999999999</v>
      </c>
      <c r="J62">
        <f t="shared" si="15"/>
        <v>36.549999999999997</v>
      </c>
    </row>
    <row r="63" spans="1:15">
      <c r="A63" s="48" t="s">
        <v>141</v>
      </c>
      <c r="B63">
        <v>22.5</v>
      </c>
      <c r="C63">
        <f t="shared" si="14"/>
        <v>295.64999999999998</v>
      </c>
      <c r="D63">
        <f>'Site Activities'!J5</f>
        <v>-9.1513000000000009</v>
      </c>
      <c r="E63">
        <f>'Site Activities'!F5</f>
        <v>-8.3000000000000007</v>
      </c>
      <c r="F63">
        <f>'Site Activities'!E5</f>
        <v>-9.1935000000000002</v>
      </c>
      <c r="J63">
        <f t="shared" si="15"/>
        <v>31.244200000000006</v>
      </c>
    </row>
    <row r="64" spans="1:15">
      <c r="A64" s="48" t="s">
        <v>142</v>
      </c>
      <c r="B64">
        <v>31.7</v>
      </c>
      <c r="C64">
        <f t="shared" si="14"/>
        <v>304.84999999999997</v>
      </c>
      <c r="D64">
        <f>'Site Activities'!J6</f>
        <v>-9.0762</v>
      </c>
      <c r="E64">
        <f>'Site Activities'!F6</f>
        <v>-8.6</v>
      </c>
      <c r="F64">
        <f>'Site Activities'!E6</f>
        <v>-9.2012</v>
      </c>
      <c r="J64">
        <f t="shared" si="15"/>
        <v>32.697599999999994</v>
      </c>
    </row>
    <row r="65" spans="1:10">
      <c r="A65" s="48" t="s">
        <v>143</v>
      </c>
      <c r="B65">
        <v>21.5</v>
      </c>
      <c r="C65">
        <f t="shared" si="14"/>
        <v>294.64999999999998</v>
      </c>
      <c r="D65">
        <f>'Site Activities'!J7</f>
        <v>-5.9417999999999997</v>
      </c>
      <c r="E65">
        <f>'Site Activities'!F7</f>
        <v>-8.1</v>
      </c>
      <c r="F65">
        <f>'Site Activities'!E7</f>
        <v>-5.3259999999999996</v>
      </c>
      <c r="J65">
        <f t="shared" si="15"/>
        <v>40.411199999999994</v>
      </c>
    </row>
    <row r="66" spans="1:10">
      <c r="A66" s="4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60A7-0233-CD41-B0A7-C073DB6908D6}">
  <dimension ref="A1:N7"/>
  <sheetViews>
    <sheetView workbookViewId="0">
      <selection activeCell="D11" sqref="D11"/>
    </sheetView>
  </sheetViews>
  <sheetFormatPr baseColWidth="10" defaultRowHeight="16"/>
  <sheetData>
    <row r="1" spans="1:14" s="1" customFormat="1">
      <c r="A1" s="1" t="s">
        <v>129</v>
      </c>
      <c r="B1" s="1" t="s">
        <v>109</v>
      </c>
      <c r="C1" s="1" t="s">
        <v>68</v>
      </c>
      <c r="D1" s="1" t="s">
        <v>25</v>
      </c>
      <c r="E1" s="1" t="s">
        <v>64</v>
      </c>
      <c r="F1" s="1" t="s">
        <v>65</v>
      </c>
      <c r="G1" s="1" t="s">
        <v>5</v>
      </c>
      <c r="H1" s="1" t="s">
        <v>35</v>
      </c>
      <c r="I1" s="1" t="s">
        <v>17</v>
      </c>
      <c r="J1" s="1" t="s">
        <v>7</v>
      </c>
      <c r="K1" s="1" t="s">
        <v>22</v>
      </c>
      <c r="L1" s="1" t="s">
        <v>24</v>
      </c>
      <c r="M1" s="1" t="s">
        <v>44</v>
      </c>
      <c r="N1" s="1" t="s">
        <v>33</v>
      </c>
    </row>
    <row r="2" spans="1:14">
      <c r="A2" s="47" t="s">
        <v>138</v>
      </c>
      <c r="B2" s="47">
        <v>-2.8108</v>
      </c>
      <c r="C2">
        <v>-5.2103000000000002</v>
      </c>
      <c r="D2">
        <v>-6.5918999999999999</v>
      </c>
      <c r="E2">
        <v>-4.6619000000000002</v>
      </c>
      <c r="F2">
        <v>-7.2</v>
      </c>
      <c r="G2">
        <v>-6.8536999999999999</v>
      </c>
      <c r="H2">
        <v>-2.5078999999999998</v>
      </c>
      <c r="I2">
        <v>-7.6878000000000002</v>
      </c>
      <c r="J2">
        <v>-5.7184999999999997</v>
      </c>
      <c r="K2">
        <v>-5.3193000000000001</v>
      </c>
      <c r="L2">
        <v>-18.813300000000002</v>
      </c>
      <c r="M2">
        <v>-5.3754</v>
      </c>
      <c r="N2">
        <v>-2.7730000000000001</v>
      </c>
    </row>
    <row r="3" spans="1:14">
      <c r="A3" s="47" t="s">
        <v>139</v>
      </c>
      <c r="B3" s="47">
        <v>-3.1482000000000001</v>
      </c>
      <c r="C3">
        <v>-5.2065000000000001</v>
      </c>
      <c r="D3">
        <v>-6.6931000000000003</v>
      </c>
      <c r="E3">
        <v>-5.5021000000000004</v>
      </c>
      <c r="F3">
        <v>-7.6</v>
      </c>
      <c r="G3">
        <v>-6.7812999999999999</v>
      </c>
      <c r="H3">
        <v>-2.4064999999999999</v>
      </c>
      <c r="I3">
        <v>-6.4287999999999998</v>
      </c>
      <c r="J3">
        <v>-8.9510000000000005</v>
      </c>
      <c r="K3">
        <v>-8.3050999999999995</v>
      </c>
      <c r="L3">
        <v>-19.1463</v>
      </c>
      <c r="M3">
        <v>-5.5373000000000001</v>
      </c>
      <c r="N3">
        <v>-3.3025000000000002</v>
      </c>
    </row>
    <row r="4" spans="1:14">
      <c r="A4" s="47" t="s">
        <v>140</v>
      </c>
      <c r="B4" s="47">
        <v>-2.5674999999999999</v>
      </c>
      <c r="C4">
        <v>-5.4981</v>
      </c>
      <c r="D4">
        <v>-5.6016000000000004</v>
      </c>
      <c r="E4">
        <v>-4.8437999999999999</v>
      </c>
      <c r="F4">
        <v>-7.1</v>
      </c>
      <c r="G4">
        <v>-6.4805000000000001</v>
      </c>
      <c r="H4">
        <v>-2.1855000000000002</v>
      </c>
      <c r="I4">
        <v>-6.9134000000000002</v>
      </c>
      <c r="J4">
        <v>-5.7531999999999996</v>
      </c>
      <c r="K4">
        <v>-5.0713999999999997</v>
      </c>
      <c r="L4">
        <v>-18.847899999999999</v>
      </c>
      <c r="M4">
        <v>-5.4179000000000004</v>
      </c>
      <c r="N4">
        <v>-2.2894999999999999</v>
      </c>
    </row>
    <row r="5" spans="1:14">
      <c r="A5" s="47" t="s">
        <v>141</v>
      </c>
      <c r="B5" s="47">
        <v>-4.1238999999999999</v>
      </c>
      <c r="C5">
        <v>-5.5418000000000003</v>
      </c>
      <c r="D5">
        <v>-4.5528000000000004</v>
      </c>
      <c r="E5">
        <v>-9.1935000000000002</v>
      </c>
      <c r="F5">
        <v>-8.3000000000000007</v>
      </c>
      <c r="G5">
        <v>-6.5782999999999996</v>
      </c>
      <c r="H5">
        <v>-1.9494</v>
      </c>
      <c r="I5">
        <v>-4.6778000000000004</v>
      </c>
      <c r="J5">
        <v>-9.1513000000000009</v>
      </c>
      <c r="K5">
        <v>-4.2126999999999999</v>
      </c>
      <c r="L5">
        <v>-17.5655</v>
      </c>
      <c r="M5">
        <v>-4.8569000000000004</v>
      </c>
      <c r="N5">
        <v>-2.8025000000000002</v>
      </c>
    </row>
    <row r="6" spans="1:14">
      <c r="A6" s="47" t="s">
        <v>142</v>
      </c>
      <c r="B6" s="47">
        <v>-4.3998999999999997</v>
      </c>
      <c r="C6">
        <v>-5.5317999999999996</v>
      </c>
      <c r="D6">
        <v>-4.8278999999999996</v>
      </c>
      <c r="E6">
        <v>-9.2012</v>
      </c>
      <c r="F6">
        <v>-8.6</v>
      </c>
      <c r="G6">
        <v>-6.5822000000000003</v>
      </c>
      <c r="H6">
        <v>-1.9497</v>
      </c>
      <c r="I6">
        <v>-5.0914000000000001</v>
      </c>
      <c r="J6">
        <v>-9.0762</v>
      </c>
      <c r="K6">
        <v>-4.7306999999999997</v>
      </c>
      <c r="L6">
        <v>-17.566500000000001</v>
      </c>
      <c r="M6">
        <v>-4.9508000000000001</v>
      </c>
      <c r="N6">
        <v>-3.0129000000000001</v>
      </c>
    </row>
    <row r="7" spans="1:14">
      <c r="A7" s="47" t="s">
        <v>143</v>
      </c>
      <c r="B7" s="47">
        <v>-2.8066</v>
      </c>
      <c r="C7">
        <v>-5.5113000000000003</v>
      </c>
      <c r="D7">
        <v>-3.7010999999999998</v>
      </c>
      <c r="E7">
        <v>-5.3259999999999996</v>
      </c>
      <c r="F7">
        <v>-8.1</v>
      </c>
      <c r="G7">
        <v>-6.4146999999999998</v>
      </c>
      <c r="H7">
        <v>-2.7843</v>
      </c>
      <c r="I7">
        <v>-5.8509000000000002</v>
      </c>
      <c r="J7">
        <v>-5.9417999999999997</v>
      </c>
      <c r="K7">
        <v>-5.4432</v>
      </c>
      <c r="L7">
        <v>-18.3691</v>
      </c>
      <c r="M7">
        <v>-5.4466999999999999</v>
      </c>
      <c r="N7">
        <v>-1.9358</v>
      </c>
    </row>
  </sheetData>
  <sortState ref="A1:A1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bal eqs</vt:lpstr>
      <vt:lpstr>Sheet9</vt:lpstr>
      <vt:lpstr>pyrolusite</vt:lpstr>
      <vt:lpstr>magnetite</vt:lpstr>
      <vt:lpstr>gypsum</vt:lpstr>
      <vt:lpstr>pyrite</vt:lpstr>
      <vt:lpstr>siderite</vt:lpstr>
      <vt:lpstr>hematite</vt:lpstr>
      <vt:lpstr>Site Activities</vt:lpstr>
      <vt:lpstr>half rxns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Page Casar</dc:creator>
  <cp:lastModifiedBy>Caitlin Page Casar</cp:lastModifiedBy>
  <dcterms:created xsi:type="dcterms:W3CDTF">2018-10-19T16:16:19Z</dcterms:created>
  <dcterms:modified xsi:type="dcterms:W3CDTF">2019-01-17T20:01:51Z</dcterms:modified>
</cp:coreProperties>
</file>