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Sheet1!$I$8:$L$16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C661" i="1"/>
  <c r="G661" i="1"/>
  <c r="I661" i="1"/>
  <c r="Q661" i="1"/>
  <c r="R661" i="1"/>
  <c r="S661" i="1"/>
  <c r="Z672" i="1"/>
  <c r="C455" i="1"/>
  <c r="H455" i="1"/>
  <c r="J455" i="1"/>
  <c r="Q455" i="1"/>
  <c r="R455" i="1"/>
  <c r="S455" i="1"/>
  <c r="C465" i="1"/>
  <c r="G465" i="1"/>
  <c r="I465" i="1"/>
  <c r="Q465" i="1"/>
  <c r="R465" i="1"/>
  <c r="S465" i="1"/>
  <c r="Z485" i="1"/>
  <c r="C456" i="1"/>
  <c r="H456" i="1"/>
  <c r="J456" i="1"/>
  <c r="Q456" i="1"/>
  <c r="R456" i="1"/>
  <c r="S456" i="1"/>
  <c r="C466" i="1"/>
  <c r="G466" i="1"/>
  <c r="I466" i="1"/>
  <c r="Q466" i="1"/>
  <c r="R466" i="1"/>
  <c r="S466" i="1"/>
  <c r="Z486" i="1"/>
  <c r="C457" i="1"/>
  <c r="H457" i="1"/>
  <c r="J457" i="1"/>
  <c r="Q457" i="1"/>
  <c r="R457" i="1"/>
  <c r="S457" i="1"/>
  <c r="C467" i="1"/>
  <c r="G467" i="1"/>
  <c r="I467" i="1"/>
  <c r="Q467" i="1"/>
  <c r="R467" i="1"/>
  <c r="S467" i="1"/>
  <c r="Z487" i="1"/>
  <c r="C458" i="1"/>
  <c r="H458" i="1"/>
  <c r="J458" i="1"/>
  <c r="Q458" i="1"/>
  <c r="R458" i="1"/>
  <c r="S458" i="1"/>
  <c r="C468" i="1"/>
  <c r="G468" i="1"/>
  <c r="I468" i="1"/>
  <c r="Q468" i="1"/>
  <c r="R468" i="1"/>
  <c r="S468" i="1"/>
  <c r="Z488" i="1"/>
  <c r="C459" i="1"/>
  <c r="H459" i="1"/>
  <c r="J459" i="1"/>
  <c r="Q459" i="1"/>
  <c r="R459" i="1"/>
  <c r="S459" i="1"/>
  <c r="C469" i="1"/>
  <c r="G469" i="1"/>
  <c r="I469" i="1"/>
  <c r="Q469" i="1"/>
  <c r="R469" i="1"/>
  <c r="S469" i="1"/>
  <c r="Z489" i="1"/>
  <c r="C454" i="1"/>
  <c r="H454" i="1"/>
  <c r="J454" i="1"/>
  <c r="Q454" i="1"/>
  <c r="R454" i="1"/>
  <c r="S454" i="1"/>
  <c r="C464" i="1"/>
  <c r="G464" i="1"/>
  <c r="I464" i="1"/>
  <c r="Q464" i="1"/>
  <c r="R464" i="1"/>
  <c r="S464" i="1"/>
  <c r="Z484" i="1"/>
  <c r="C135" i="1"/>
  <c r="F135" i="1"/>
  <c r="H135" i="1"/>
  <c r="Q135" i="1"/>
  <c r="R135" i="1"/>
  <c r="S135" i="1"/>
  <c r="C145" i="1"/>
  <c r="H145" i="1"/>
  <c r="J145" i="1"/>
  <c r="Q145" i="1"/>
  <c r="R145" i="1"/>
  <c r="S145" i="1"/>
  <c r="C155" i="1"/>
  <c r="H155" i="1"/>
  <c r="J155" i="1"/>
  <c r="Q155" i="1"/>
  <c r="R155" i="1"/>
  <c r="S155" i="1"/>
  <c r="C167" i="1"/>
  <c r="H167" i="1"/>
  <c r="J167" i="1"/>
  <c r="Q167" i="1"/>
  <c r="R167" i="1"/>
  <c r="S167" i="1"/>
  <c r="C177" i="1"/>
  <c r="H177" i="1"/>
  <c r="J177" i="1"/>
  <c r="Q177" i="1"/>
  <c r="R177" i="1"/>
  <c r="S177" i="1"/>
  <c r="C187" i="1"/>
  <c r="H187" i="1"/>
  <c r="J187" i="1"/>
  <c r="Q187" i="1"/>
  <c r="R187" i="1"/>
  <c r="S187" i="1"/>
  <c r="C197" i="1"/>
  <c r="H197" i="1"/>
  <c r="J197" i="1"/>
  <c r="Q197" i="1"/>
  <c r="R197" i="1"/>
  <c r="S197" i="1"/>
  <c r="C217" i="1"/>
  <c r="H217" i="1"/>
  <c r="J217" i="1"/>
  <c r="Q217" i="1"/>
  <c r="R217" i="1"/>
  <c r="S217" i="1"/>
  <c r="C228" i="1"/>
  <c r="G228" i="1"/>
  <c r="J228" i="1"/>
  <c r="Q228" i="1"/>
  <c r="S228" i="1"/>
  <c r="C239" i="1"/>
  <c r="H239" i="1"/>
  <c r="J239" i="1"/>
  <c r="Q239" i="1"/>
  <c r="R239" i="1"/>
  <c r="S239" i="1"/>
  <c r="C250" i="1"/>
  <c r="H250" i="1"/>
  <c r="J250" i="1"/>
  <c r="Q250" i="1"/>
  <c r="R250" i="1"/>
  <c r="S250" i="1"/>
  <c r="Z250" i="1"/>
  <c r="C136" i="1"/>
  <c r="F136" i="1"/>
  <c r="H136" i="1"/>
  <c r="Q136" i="1"/>
  <c r="R136" i="1"/>
  <c r="S136" i="1"/>
  <c r="C146" i="1"/>
  <c r="H146" i="1"/>
  <c r="J146" i="1"/>
  <c r="Q146" i="1"/>
  <c r="R146" i="1"/>
  <c r="S146" i="1"/>
  <c r="C156" i="1"/>
  <c r="H156" i="1"/>
  <c r="J156" i="1"/>
  <c r="Q156" i="1"/>
  <c r="R156" i="1"/>
  <c r="S156" i="1"/>
  <c r="C168" i="1"/>
  <c r="H168" i="1"/>
  <c r="J168" i="1"/>
  <c r="Q168" i="1"/>
  <c r="R168" i="1"/>
  <c r="S168" i="1"/>
  <c r="C178" i="1"/>
  <c r="H178" i="1"/>
  <c r="J178" i="1"/>
  <c r="Q178" i="1"/>
  <c r="R178" i="1"/>
  <c r="S178" i="1"/>
  <c r="C188" i="1"/>
  <c r="H188" i="1"/>
  <c r="J188" i="1"/>
  <c r="Q188" i="1"/>
  <c r="R188" i="1"/>
  <c r="S188" i="1"/>
  <c r="C198" i="1"/>
  <c r="H198" i="1"/>
  <c r="J198" i="1"/>
  <c r="Q198" i="1"/>
  <c r="R198" i="1"/>
  <c r="S198" i="1"/>
  <c r="C218" i="1"/>
  <c r="H218" i="1"/>
  <c r="J218" i="1"/>
  <c r="Q218" i="1"/>
  <c r="R218" i="1"/>
  <c r="S218" i="1"/>
  <c r="C229" i="1"/>
  <c r="G229" i="1"/>
  <c r="J229" i="1"/>
  <c r="Q229" i="1"/>
  <c r="S229" i="1"/>
  <c r="C240" i="1"/>
  <c r="H240" i="1"/>
  <c r="J240" i="1"/>
  <c r="Q240" i="1"/>
  <c r="R240" i="1"/>
  <c r="S240" i="1"/>
  <c r="C251" i="1"/>
  <c r="H251" i="1"/>
  <c r="J251" i="1"/>
  <c r="Q251" i="1"/>
  <c r="R251" i="1"/>
  <c r="S251" i="1"/>
  <c r="Z251" i="1"/>
  <c r="C137" i="1"/>
  <c r="F137" i="1"/>
  <c r="H137" i="1"/>
  <c r="Q137" i="1"/>
  <c r="R137" i="1"/>
  <c r="S137" i="1"/>
  <c r="C147" i="1"/>
  <c r="H147" i="1"/>
  <c r="J147" i="1"/>
  <c r="Q147" i="1"/>
  <c r="R147" i="1"/>
  <c r="S147" i="1"/>
  <c r="C157" i="1"/>
  <c r="H157" i="1"/>
  <c r="J157" i="1"/>
  <c r="Q157" i="1"/>
  <c r="R157" i="1"/>
  <c r="S157" i="1"/>
  <c r="C169" i="1"/>
  <c r="H169" i="1"/>
  <c r="J169" i="1"/>
  <c r="Q169" i="1"/>
  <c r="R169" i="1"/>
  <c r="S169" i="1"/>
  <c r="C179" i="1"/>
  <c r="H179" i="1"/>
  <c r="J179" i="1"/>
  <c r="Q179" i="1"/>
  <c r="R179" i="1"/>
  <c r="S179" i="1"/>
  <c r="C189" i="1"/>
  <c r="H189" i="1"/>
  <c r="J189" i="1"/>
  <c r="Q189" i="1"/>
  <c r="R189" i="1"/>
  <c r="S189" i="1"/>
  <c r="C199" i="1"/>
  <c r="H199" i="1"/>
  <c r="J199" i="1"/>
  <c r="Q199" i="1"/>
  <c r="R199" i="1"/>
  <c r="S199" i="1"/>
  <c r="C219" i="1"/>
  <c r="H219" i="1"/>
  <c r="J219" i="1"/>
  <c r="Q219" i="1"/>
  <c r="R219" i="1"/>
  <c r="S219" i="1"/>
  <c r="C230" i="1"/>
  <c r="G230" i="1"/>
  <c r="J230" i="1"/>
  <c r="Q230" i="1"/>
  <c r="S230" i="1"/>
  <c r="C241" i="1"/>
  <c r="H241" i="1"/>
  <c r="J241" i="1"/>
  <c r="Q241" i="1"/>
  <c r="R241" i="1"/>
  <c r="S241" i="1"/>
  <c r="C252" i="1"/>
  <c r="H252" i="1"/>
  <c r="J252" i="1"/>
  <c r="Q252" i="1"/>
  <c r="R252" i="1"/>
  <c r="S252" i="1"/>
  <c r="Z252" i="1"/>
  <c r="C138" i="1"/>
  <c r="F138" i="1"/>
  <c r="H138" i="1"/>
  <c r="Q138" i="1"/>
  <c r="R138" i="1"/>
  <c r="S138" i="1"/>
  <c r="C148" i="1"/>
  <c r="H148" i="1"/>
  <c r="J148" i="1"/>
  <c r="Q148" i="1"/>
  <c r="R148" i="1"/>
  <c r="S148" i="1"/>
  <c r="C158" i="1"/>
  <c r="H158" i="1"/>
  <c r="J158" i="1"/>
  <c r="Q158" i="1"/>
  <c r="R158" i="1"/>
  <c r="S158" i="1"/>
  <c r="C170" i="1"/>
  <c r="H170" i="1"/>
  <c r="J170" i="1"/>
  <c r="Q170" i="1"/>
  <c r="R170" i="1"/>
  <c r="S170" i="1"/>
  <c r="C180" i="1"/>
  <c r="H180" i="1"/>
  <c r="J180" i="1"/>
  <c r="Q180" i="1"/>
  <c r="R180" i="1"/>
  <c r="S180" i="1"/>
  <c r="C190" i="1"/>
  <c r="H190" i="1"/>
  <c r="J190" i="1"/>
  <c r="Q190" i="1"/>
  <c r="R190" i="1"/>
  <c r="S190" i="1"/>
  <c r="C200" i="1"/>
  <c r="H200" i="1"/>
  <c r="J200" i="1"/>
  <c r="Q200" i="1"/>
  <c r="R200" i="1"/>
  <c r="S200" i="1"/>
  <c r="C220" i="1"/>
  <c r="H220" i="1"/>
  <c r="J220" i="1"/>
  <c r="Q220" i="1"/>
  <c r="R220" i="1"/>
  <c r="S220" i="1"/>
  <c r="C231" i="1"/>
  <c r="G231" i="1"/>
  <c r="J231" i="1"/>
  <c r="Q231" i="1"/>
  <c r="S231" i="1"/>
  <c r="Z253" i="1"/>
  <c r="C139" i="1"/>
  <c r="F139" i="1"/>
  <c r="H139" i="1"/>
  <c r="Q139" i="1"/>
  <c r="R139" i="1"/>
  <c r="S139" i="1"/>
  <c r="C149" i="1"/>
  <c r="H149" i="1"/>
  <c r="J149" i="1"/>
  <c r="Q149" i="1"/>
  <c r="R149" i="1"/>
  <c r="S149" i="1"/>
  <c r="C159" i="1"/>
  <c r="H159" i="1"/>
  <c r="J159" i="1"/>
  <c r="Q159" i="1"/>
  <c r="R159" i="1"/>
  <c r="S159" i="1"/>
  <c r="C171" i="1"/>
  <c r="H171" i="1"/>
  <c r="J171" i="1"/>
  <c r="Q171" i="1"/>
  <c r="R171" i="1"/>
  <c r="S171" i="1"/>
  <c r="C181" i="1"/>
  <c r="H181" i="1"/>
  <c r="J181" i="1"/>
  <c r="Q181" i="1"/>
  <c r="R181" i="1"/>
  <c r="S181" i="1"/>
  <c r="C191" i="1"/>
  <c r="H191" i="1"/>
  <c r="J191" i="1"/>
  <c r="Q191" i="1"/>
  <c r="R191" i="1"/>
  <c r="S191" i="1"/>
  <c r="C201" i="1"/>
  <c r="H201" i="1"/>
  <c r="J201" i="1"/>
  <c r="Q201" i="1"/>
  <c r="R201" i="1"/>
  <c r="S201" i="1"/>
  <c r="C221" i="1"/>
  <c r="H221" i="1"/>
  <c r="J221" i="1"/>
  <c r="Q221" i="1"/>
  <c r="R221" i="1"/>
  <c r="S221" i="1"/>
  <c r="C232" i="1"/>
  <c r="G232" i="1"/>
  <c r="J232" i="1"/>
  <c r="Q232" i="1"/>
  <c r="S232" i="1"/>
  <c r="C254" i="1"/>
  <c r="H254" i="1"/>
  <c r="J254" i="1"/>
  <c r="Q254" i="1"/>
  <c r="R254" i="1"/>
  <c r="S254" i="1"/>
  <c r="Z254" i="1"/>
  <c r="C134" i="1"/>
  <c r="F134" i="1"/>
  <c r="H134" i="1"/>
  <c r="Q134" i="1"/>
  <c r="R134" i="1"/>
  <c r="S134" i="1"/>
  <c r="C144" i="1"/>
  <c r="H144" i="1"/>
  <c r="J144" i="1"/>
  <c r="Q144" i="1"/>
  <c r="R144" i="1"/>
  <c r="S144" i="1"/>
  <c r="C154" i="1"/>
  <c r="H154" i="1"/>
  <c r="J154" i="1"/>
  <c r="Q154" i="1"/>
  <c r="R154" i="1"/>
  <c r="S154" i="1"/>
  <c r="C166" i="1"/>
  <c r="H166" i="1"/>
  <c r="J166" i="1"/>
  <c r="Q166" i="1"/>
  <c r="R166" i="1"/>
  <c r="S166" i="1"/>
  <c r="C176" i="1"/>
  <c r="H176" i="1"/>
  <c r="J176" i="1"/>
  <c r="Q176" i="1"/>
  <c r="R176" i="1"/>
  <c r="S176" i="1"/>
  <c r="C186" i="1"/>
  <c r="H186" i="1"/>
  <c r="J186" i="1"/>
  <c r="Q186" i="1"/>
  <c r="R186" i="1"/>
  <c r="S186" i="1"/>
  <c r="C196" i="1"/>
  <c r="H196" i="1"/>
  <c r="J196" i="1"/>
  <c r="Q196" i="1"/>
  <c r="R196" i="1"/>
  <c r="S196" i="1"/>
  <c r="C216" i="1"/>
  <c r="H216" i="1"/>
  <c r="J216" i="1"/>
  <c r="Q216" i="1"/>
  <c r="R216" i="1"/>
  <c r="S216" i="1"/>
  <c r="C227" i="1"/>
  <c r="G227" i="1"/>
  <c r="J227" i="1"/>
  <c r="Q227" i="1"/>
  <c r="S227" i="1"/>
  <c r="C238" i="1"/>
  <c r="H238" i="1"/>
  <c r="J238" i="1"/>
  <c r="Q238" i="1"/>
  <c r="R238" i="1"/>
  <c r="S238" i="1"/>
  <c r="C249" i="1"/>
  <c r="H249" i="1"/>
  <c r="J249" i="1"/>
  <c r="Q249" i="1"/>
  <c r="R249" i="1"/>
  <c r="S249" i="1"/>
  <c r="Z249" i="1"/>
  <c r="C10" i="1"/>
  <c r="I10" i="1"/>
  <c r="K10" i="1"/>
  <c r="Q10" i="1"/>
  <c r="R10" i="1"/>
  <c r="S10" i="1"/>
  <c r="C21" i="1"/>
  <c r="I21" i="1"/>
  <c r="K21" i="1"/>
  <c r="Q21" i="1"/>
  <c r="R21" i="1"/>
  <c r="S21" i="1"/>
  <c r="C32" i="1"/>
  <c r="I32" i="1"/>
  <c r="K32" i="1"/>
  <c r="Q32" i="1"/>
  <c r="R32" i="1"/>
  <c r="S32" i="1"/>
  <c r="C43" i="1"/>
  <c r="I43" i="1"/>
  <c r="K43" i="1"/>
  <c r="Q43" i="1"/>
  <c r="R43" i="1"/>
  <c r="S43" i="1"/>
  <c r="C54" i="1"/>
  <c r="I54" i="1"/>
  <c r="K54" i="1"/>
  <c r="Q54" i="1"/>
  <c r="R54" i="1"/>
  <c r="S54" i="1"/>
  <c r="C65" i="1"/>
  <c r="I65" i="1"/>
  <c r="K65" i="1"/>
  <c r="Q65" i="1"/>
  <c r="R65" i="1"/>
  <c r="S65" i="1"/>
  <c r="C88" i="1"/>
  <c r="I88" i="1"/>
  <c r="K88" i="1"/>
  <c r="Q88" i="1"/>
  <c r="S88" i="1"/>
  <c r="C99" i="1"/>
  <c r="I99" i="1"/>
  <c r="K99" i="1"/>
  <c r="Q99" i="1"/>
  <c r="R99" i="1"/>
  <c r="S99" i="1"/>
  <c r="C111" i="1"/>
  <c r="I111" i="1"/>
  <c r="K111" i="1"/>
  <c r="Q111" i="1"/>
  <c r="R111" i="1"/>
  <c r="S111" i="1"/>
  <c r="Z122" i="1"/>
  <c r="C11" i="1"/>
  <c r="I11" i="1"/>
  <c r="K11" i="1"/>
  <c r="Q11" i="1"/>
  <c r="R11" i="1"/>
  <c r="S11" i="1"/>
  <c r="C22" i="1"/>
  <c r="I22" i="1"/>
  <c r="K22" i="1"/>
  <c r="Q22" i="1"/>
  <c r="R22" i="1"/>
  <c r="S22" i="1"/>
  <c r="C33" i="1"/>
  <c r="I33" i="1"/>
  <c r="K33" i="1"/>
  <c r="Q33" i="1"/>
  <c r="R33" i="1"/>
  <c r="S33" i="1"/>
  <c r="C44" i="1"/>
  <c r="I44" i="1"/>
  <c r="K44" i="1"/>
  <c r="Q44" i="1"/>
  <c r="R44" i="1"/>
  <c r="S44" i="1"/>
  <c r="C55" i="1"/>
  <c r="I55" i="1"/>
  <c r="K55" i="1"/>
  <c r="Q55" i="1"/>
  <c r="R55" i="1"/>
  <c r="S55" i="1"/>
  <c r="C66" i="1"/>
  <c r="I66" i="1"/>
  <c r="K66" i="1"/>
  <c r="Q66" i="1"/>
  <c r="R66" i="1"/>
  <c r="S66" i="1"/>
  <c r="C89" i="1"/>
  <c r="I89" i="1"/>
  <c r="K89" i="1"/>
  <c r="Q89" i="1"/>
  <c r="S89" i="1"/>
  <c r="C100" i="1"/>
  <c r="I100" i="1"/>
  <c r="K100" i="1"/>
  <c r="Q100" i="1"/>
  <c r="R100" i="1"/>
  <c r="S100" i="1"/>
  <c r="C112" i="1"/>
  <c r="I112" i="1"/>
  <c r="K112" i="1"/>
  <c r="Q112" i="1"/>
  <c r="R112" i="1"/>
  <c r="S112" i="1"/>
  <c r="Z123" i="1"/>
  <c r="C12" i="1"/>
  <c r="I12" i="1"/>
  <c r="K12" i="1"/>
  <c r="Q12" i="1"/>
  <c r="R12" i="1"/>
  <c r="S12" i="1"/>
  <c r="C23" i="1"/>
  <c r="I23" i="1"/>
  <c r="K23" i="1"/>
  <c r="Q23" i="1"/>
  <c r="R23" i="1"/>
  <c r="S23" i="1"/>
  <c r="C34" i="1"/>
  <c r="I34" i="1"/>
  <c r="K34" i="1"/>
  <c r="Q34" i="1"/>
  <c r="R34" i="1"/>
  <c r="S34" i="1"/>
  <c r="C45" i="1"/>
  <c r="I45" i="1"/>
  <c r="K45" i="1"/>
  <c r="Q45" i="1"/>
  <c r="R45" i="1"/>
  <c r="S45" i="1"/>
  <c r="C56" i="1"/>
  <c r="I56" i="1"/>
  <c r="K56" i="1"/>
  <c r="Q56" i="1"/>
  <c r="R56" i="1"/>
  <c r="S56" i="1"/>
  <c r="C67" i="1"/>
  <c r="I67" i="1"/>
  <c r="K67" i="1"/>
  <c r="Q67" i="1"/>
  <c r="R67" i="1"/>
  <c r="S67" i="1"/>
  <c r="C90" i="1"/>
  <c r="I90" i="1"/>
  <c r="K90" i="1"/>
  <c r="Q90" i="1"/>
  <c r="S90" i="1"/>
  <c r="C101" i="1"/>
  <c r="I101" i="1"/>
  <c r="K101" i="1"/>
  <c r="Q101" i="1"/>
  <c r="R101" i="1"/>
  <c r="S101" i="1"/>
  <c r="C113" i="1"/>
  <c r="I113" i="1"/>
  <c r="K113" i="1"/>
  <c r="Q113" i="1"/>
  <c r="R113" i="1"/>
  <c r="S113" i="1"/>
  <c r="Z124" i="1"/>
  <c r="C13" i="1"/>
  <c r="I13" i="1"/>
  <c r="K13" i="1"/>
  <c r="Q13" i="1"/>
  <c r="R13" i="1"/>
  <c r="S13" i="1"/>
  <c r="C24" i="1"/>
  <c r="I24" i="1"/>
  <c r="K24" i="1"/>
  <c r="Q24" i="1"/>
  <c r="R24" i="1"/>
  <c r="S24" i="1"/>
  <c r="C35" i="1"/>
  <c r="I35" i="1"/>
  <c r="K35" i="1"/>
  <c r="Q35" i="1"/>
  <c r="R35" i="1"/>
  <c r="S35" i="1"/>
  <c r="C46" i="1"/>
  <c r="I46" i="1"/>
  <c r="K46" i="1"/>
  <c r="Q46" i="1"/>
  <c r="R46" i="1"/>
  <c r="S46" i="1"/>
  <c r="C57" i="1"/>
  <c r="I57" i="1"/>
  <c r="K57" i="1"/>
  <c r="Q57" i="1"/>
  <c r="R57" i="1"/>
  <c r="S57" i="1"/>
  <c r="C68" i="1"/>
  <c r="I68" i="1"/>
  <c r="K68" i="1"/>
  <c r="Q68" i="1"/>
  <c r="R68" i="1"/>
  <c r="S68" i="1"/>
  <c r="C91" i="1"/>
  <c r="I91" i="1"/>
  <c r="K91" i="1"/>
  <c r="Q91" i="1"/>
  <c r="S91" i="1"/>
  <c r="C102" i="1"/>
  <c r="I102" i="1"/>
  <c r="K102" i="1"/>
  <c r="Q102" i="1"/>
  <c r="R102" i="1"/>
  <c r="S102" i="1"/>
  <c r="C114" i="1"/>
  <c r="I114" i="1"/>
  <c r="K114" i="1"/>
  <c r="Q114" i="1"/>
  <c r="R114" i="1"/>
  <c r="S114" i="1"/>
  <c r="Z125" i="1"/>
  <c r="C14" i="1"/>
  <c r="I14" i="1"/>
  <c r="K14" i="1"/>
  <c r="Q14" i="1"/>
  <c r="R14" i="1"/>
  <c r="S14" i="1"/>
  <c r="C25" i="1"/>
  <c r="I25" i="1"/>
  <c r="K25" i="1"/>
  <c r="Q25" i="1"/>
  <c r="R25" i="1"/>
  <c r="S25" i="1"/>
  <c r="C36" i="1"/>
  <c r="I36" i="1"/>
  <c r="K36" i="1"/>
  <c r="Q36" i="1"/>
  <c r="R36" i="1"/>
  <c r="S36" i="1"/>
  <c r="C47" i="1"/>
  <c r="I47" i="1"/>
  <c r="K47" i="1"/>
  <c r="Q47" i="1"/>
  <c r="R47" i="1"/>
  <c r="S47" i="1"/>
  <c r="C58" i="1"/>
  <c r="I58" i="1"/>
  <c r="K58" i="1"/>
  <c r="Q58" i="1"/>
  <c r="R58" i="1"/>
  <c r="S58" i="1"/>
  <c r="C69" i="1"/>
  <c r="I69" i="1"/>
  <c r="K69" i="1"/>
  <c r="Q69" i="1"/>
  <c r="R69" i="1"/>
  <c r="S69" i="1"/>
  <c r="C92" i="1"/>
  <c r="I92" i="1"/>
  <c r="K92" i="1"/>
  <c r="Q92" i="1"/>
  <c r="S92" i="1"/>
  <c r="C103" i="1"/>
  <c r="I103" i="1"/>
  <c r="K103" i="1"/>
  <c r="Q103" i="1"/>
  <c r="R103" i="1"/>
  <c r="S103" i="1"/>
  <c r="C115" i="1"/>
  <c r="I115" i="1"/>
  <c r="K115" i="1"/>
  <c r="Q115" i="1"/>
  <c r="R115" i="1"/>
  <c r="S115" i="1"/>
  <c r="Z126" i="1"/>
  <c r="C9" i="1"/>
  <c r="I9" i="1"/>
  <c r="K9" i="1"/>
  <c r="Q9" i="1"/>
  <c r="R9" i="1"/>
  <c r="S9" i="1"/>
  <c r="C20" i="1"/>
  <c r="K20" i="1"/>
  <c r="Q20" i="1"/>
  <c r="R20" i="1"/>
  <c r="S20" i="1"/>
  <c r="C31" i="1"/>
  <c r="I31" i="1"/>
  <c r="K31" i="1"/>
  <c r="Q31" i="1"/>
  <c r="R31" i="1"/>
  <c r="S31" i="1"/>
  <c r="C42" i="1"/>
  <c r="I42" i="1"/>
  <c r="K42" i="1"/>
  <c r="Q42" i="1"/>
  <c r="R42" i="1"/>
  <c r="S42" i="1"/>
  <c r="C53" i="1"/>
  <c r="I53" i="1"/>
  <c r="K53" i="1"/>
  <c r="Q53" i="1"/>
  <c r="R53" i="1"/>
  <c r="S53" i="1"/>
  <c r="C64" i="1"/>
  <c r="I64" i="1"/>
  <c r="K64" i="1"/>
  <c r="Q64" i="1"/>
  <c r="R64" i="1"/>
  <c r="S64" i="1"/>
  <c r="C87" i="1"/>
  <c r="I87" i="1"/>
  <c r="K87" i="1"/>
  <c r="Q87" i="1"/>
  <c r="S87" i="1"/>
  <c r="C98" i="1"/>
  <c r="I98" i="1"/>
  <c r="K98" i="1"/>
  <c r="Q98" i="1"/>
  <c r="R98" i="1"/>
  <c r="S98" i="1"/>
  <c r="C110" i="1"/>
  <c r="I110" i="1"/>
  <c r="K110" i="1"/>
  <c r="Q110" i="1"/>
  <c r="R110" i="1"/>
  <c r="S110" i="1"/>
  <c r="Z121" i="1"/>
  <c r="C116" i="1"/>
  <c r="I116" i="1"/>
  <c r="K116" i="1"/>
  <c r="Q116" i="1"/>
  <c r="R116" i="1"/>
  <c r="S116" i="1"/>
  <c r="X116" i="1"/>
  <c r="C559" i="1"/>
  <c r="I559" i="1"/>
  <c r="K559" i="1"/>
  <c r="Q559" i="1"/>
  <c r="R559" i="1"/>
  <c r="S559" i="1"/>
  <c r="C570" i="1"/>
  <c r="I570" i="1"/>
  <c r="K570" i="1"/>
  <c r="Q570" i="1"/>
  <c r="R570" i="1"/>
  <c r="S570" i="1"/>
  <c r="C581" i="1"/>
  <c r="I581" i="1"/>
  <c r="K581" i="1"/>
  <c r="Q581" i="1"/>
  <c r="R581" i="1"/>
  <c r="S581" i="1"/>
  <c r="C592" i="1"/>
  <c r="I592" i="1"/>
  <c r="K592" i="1"/>
  <c r="Q592" i="1"/>
  <c r="R592" i="1"/>
  <c r="S592" i="1"/>
  <c r="C603" i="1"/>
  <c r="I603" i="1"/>
  <c r="K603" i="1"/>
  <c r="Q603" i="1"/>
  <c r="R603" i="1"/>
  <c r="S603" i="1"/>
  <c r="C614" i="1"/>
  <c r="I614" i="1"/>
  <c r="K614" i="1"/>
  <c r="Q614" i="1"/>
  <c r="R614" i="1"/>
  <c r="S614" i="1"/>
  <c r="C625" i="1"/>
  <c r="I625" i="1"/>
  <c r="K625" i="1"/>
  <c r="Q625" i="1"/>
  <c r="S625" i="1"/>
  <c r="C636" i="1"/>
  <c r="I636" i="1"/>
  <c r="K636" i="1"/>
  <c r="Q636" i="1"/>
  <c r="R636" i="1"/>
  <c r="S636" i="1"/>
  <c r="C649" i="1"/>
  <c r="I649" i="1"/>
  <c r="K649" i="1"/>
  <c r="Q649" i="1"/>
  <c r="S649" i="1"/>
  <c r="Z649" i="1"/>
  <c r="AA649" i="1"/>
  <c r="AA122" i="1"/>
  <c r="AA123" i="1"/>
  <c r="AA124" i="1"/>
  <c r="AA125" i="1"/>
  <c r="AA126" i="1"/>
  <c r="AA249" i="1"/>
  <c r="AA250" i="1"/>
  <c r="AA251" i="1"/>
  <c r="AA252" i="1"/>
  <c r="AA253" i="1"/>
  <c r="AA254" i="1"/>
  <c r="C261" i="1"/>
  <c r="H261" i="1"/>
  <c r="K261" i="1"/>
  <c r="Q261" i="1"/>
  <c r="R261" i="1"/>
  <c r="S261" i="1"/>
  <c r="C272" i="1"/>
  <c r="I272" i="1"/>
  <c r="K272" i="1"/>
  <c r="Q272" i="1"/>
  <c r="R272" i="1"/>
  <c r="S272" i="1"/>
  <c r="C284" i="1"/>
  <c r="I284" i="1"/>
  <c r="K284" i="1"/>
  <c r="Q284" i="1"/>
  <c r="R284" i="1"/>
  <c r="S284" i="1"/>
  <c r="C295" i="1"/>
  <c r="I295" i="1"/>
  <c r="K295" i="1"/>
  <c r="Q295" i="1"/>
  <c r="R295" i="1"/>
  <c r="S295" i="1"/>
  <c r="C307" i="1"/>
  <c r="I307" i="1"/>
  <c r="K307" i="1"/>
  <c r="Q307" i="1"/>
  <c r="R307" i="1"/>
  <c r="S307" i="1"/>
  <c r="C319" i="1"/>
  <c r="I319" i="1"/>
  <c r="K319" i="1"/>
  <c r="Q319" i="1"/>
  <c r="R319" i="1"/>
  <c r="S319" i="1"/>
  <c r="C331" i="1"/>
  <c r="I331" i="1"/>
  <c r="K331" i="1"/>
  <c r="Q331" i="1"/>
  <c r="R331" i="1"/>
  <c r="S331" i="1"/>
  <c r="Z331" i="1"/>
  <c r="AA331" i="1"/>
  <c r="C262" i="1"/>
  <c r="H262" i="1"/>
  <c r="K262" i="1"/>
  <c r="Q262" i="1"/>
  <c r="R262" i="1"/>
  <c r="S262" i="1"/>
  <c r="C273" i="1"/>
  <c r="I273" i="1"/>
  <c r="K273" i="1"/>
  <c r="Q273" i="1"/>
  <c r="R273" i="1"/>
  <c r="S273" i="1"/>
  <c r="C285" i="1"/>
  <c r="I285" i="1"/>
  <c r="K285" i="1"/>
  <c r="Q285" i="1"/>
  <c r="R285" i="1"/>
  <c r="S285" i="1"/>
  <c r="C296" i="1"/>
  <c r="I296" i="1"/>
  <c r="K296" i="1"/>
  <c r="Q296" i="1"/>
  <c r="R296" i="1"/>
  <c r="S296" i="1"/>
  <c r="C308" i="1"/>
  <c r="I308" i="1"/>
  <c r="K308" i="1"/>
  <c r="Q308" i="1"/>
  <c r="R308" i="1"/>
  <c r="S308" i="1"/>
  <c r="C320" i="1"/>
  <c r="I320" i="1"/>
  <c r="K320" i="1"/>
  <c r="Q320" i="1"/>
  <c r="R320" i="1"/>
  <c r="S320" i="1"/>
  <c r="C332" i="1"/>
  <c r="I332" i="1"/>
  <c r="K332" i="1"/>
  <c r="Q332" i="1"/>
  <c r="R332" i="1"/>
  <c r="S332" i="1"/>
  <c r="Z332" i="1"/>
  <c r="AA332" i="1"/>
  <c r="C263" i="1"/>
  <c r="H263" i="1"/>
  <c r="K263" i="1"/>
  <c r="Q263" i="1"/>
  <c r="R263" i="1"/>
  <c r="S263" i="1"/>
  <c r="C274" i="1"/>
  <c r="I274" i="1"/>
  <c r="K274" i="1"/>
  <c r="Q274" i="1"/>
  <c r="R274" i="1"/>
  <c r="S274" i="1"/>
  <c r="C286" i="1"/>
  <c r="I286" i="1"/>
  <c r="K286" i="1"/>
  <c r="Q286" i="1"/>
  <c r="R286" i="1"/>
  <c r="S286" i="1"/>
  <c r="C297" i="1"/>
  <c r="I297" i="1"/>
  <c r="K297" i="1"/>
  <c r="Q297" i="1"/>
  <c r="R297" i="1"/>
  <c r="S297" i="1"/>
  <c r="C309" i="1"/>
  <c r="I309" i="1"/>
  <c r="K309" i="1"/>
  <c r="Q309" i="1"/>
  <c r="R309" i="1"/>
  <c r="S309" i="1"/>
  <c r="C321" i="1"/>
  <c r="I321" i="1"/>
  <c r="K321" i="1"/>
  <c r="Q321" i="1"/>
  <c r="R321" i="1"/>
  <c r="S321" i="1"/>
  <c r="C333" i="1"/>
  <c r="I333" i="1"/>
  <c r="K333" i="1"/>
  <c r="Q333" i="1"/>
  <c r="R333" i="1"/>
  <c r="S333" i="1"/>
  <c r="Z333" i="1"/>
  <c r="AA333" i="1"/>
  <c r="C264" i="1"/>
  <c r="H264" i="1"/>
  <c r="K264" i="1"/>
  <c r="Q264" i="1"/>
  <c r="R264" i="1"/>
  <c r="S264" i="1"/>
  <c r="C275" i="1"/>
  <c r="I275" i="1"/>
  <c r="K275" i="1"/>
  <c r="Q275" i="1"/>
  <c r="R275" i="1"/>
  <c r="S275" i="1"/>
  <c r="C287" i="1"/>
  <c r="I287" i="1"/>
  <c r="K287" i="1"/>
  <c r="Q287" i="1"/>
  <c r="R287" i="1"/>
  <c r="S287" i="1"/>
  <c r="C298" i="1"/>
  <c r="I298" i="1"/>
  <c r="K298" i="1"/>
  <c r="Q298" i="1"/>
  <c r="R298" i="1"/>
  <c r="S298" i="1"/>
  <c r="C310" i="1"/>
  <c r="I310" i="1"/>
  <c r="K310" i="1"/>
  <c r="Q310" i="1"/>
  <c r="R310" i="1"/>
  <c r="S310" i="1"/>
  <c r="C322" i="1"/>
  <c r="I322" i="1"/>
  <c r="K322" i="1"/>
  <c r="Q322" i="1"/>
  <c r="R322" i="1"/>
  <c r="S322" i="1"/>
  <c r="C334" i="1"/>
  <c r="I334" i="1"/>
  <c r="K334" i="1"/>
  <c r="Q334" i="1"/>
  <c r="R334" i="1"/>
  <c r="S334" i="1"/>
  <c r="Z334" i="1"/>
  <c r="AA334" i="1"/>
  <c r="C265" i="1"/>
  <c r="H265" i="1"/>
  <c r="K265" i="1"/>
  <c r="Q265" i="1"/>
  <c r="R265" i="1"/>
  <c r="S265" i="1"/>
  <c r="C276" i="1"/>
  <c r="I276" i="1"/>
  <c r="K276" i="1"/>
  <c r="Q276" i="1"/>
  <c r="R276" i="1"/>
  <c r="S276" i="1"/>
  <c r="C288" i="1"/>
  <c r="I288" i="1"/>
  <c r="K288" i="1"/>
  <c r="Q288" i="1"/>
  <c r="R288" i="1"/>
  <c r="S288" i="1"/>
  <c r="C299" i="1"/>
  <c r="I299" i="1"/>
  <c r="K299" i="1"/>
  <c r="Q299" i="1"/>
  <c r="R299" i="1"/>
  <c r="S299" i="1"/>
  <c r="C311" i="1"/>
  <c r="I311" i="1"/>
  <c r="K311" i="1"/>
  <c r="Q311" i="1"/>
  <c r="R311" i="1"/>
  <c r="S311" i="1"/>
  <c r="C323" i="1"/>
  <c r="I323" i="1"/>
  <c r="K323" i="1"/>
  <c r="Q323" i="1"/>
  <c r="R323" i="1"/>
  <c r="S323" i="1"/>
  <c r="C335" i="1"/>
  <c r="I335" i="1"/>
  <c r="K335" i="1"/>
  <c r="Q335" i="1"/>
  <c r="R335" i="1"/>
  <c r="S335" i="1"/>
  <c r="Z335" i="1"/>
  <c r="AA335" i="1"/>
  <c r="C266" i="1"/>
  <c r="H266" i="1"/>
  <c r="K266" i="1"/>
  <c r="Q266" i="1"/>
  <c r="R266" i="1"/>
  <c r="S266" i="1"/>
  <c r="C277" i="1"/>
  <c r="I277" i="1"/>
  <c r="K277" i="1"/>
  <c r="Q277" i="1"/>
  <c r="R277" i="1"/>
  <c r="S277" i="1"/>
  <c r="C289" i="1"/>
  <c r="I289" i="1"/>
  <c r="K289" i="1"/>
  <c r="Q289" i="1"/>
  <c r="R289" i="1"/>
  <c r="S289" i="1"/>
  <c r="C300" i="1"/>
  <c r="I300" i="1"/>
  <c r="K300" i="1"/>
  <c r="Q300" i="1"/>
  <c r="R300" i="1"/>
  <c r="S300" i="1"/>
  <c r="C312" i="1"/>
  <c r="I312" i="1"/>
  <c r="K312" i="1"/>
  <c r="Q312" i="1"/>
  <c r="R312" i="1"/>
  <c r="S312" i="1"/>
  <c r="C324" i="1"/>
  <c r="I324" i="1"/>
  <c r="K324" i="1"/>
  <c r="Q324" i="1"/>
  <c r="R324" i="1"/>
  <c r="S324" i="1"/>
  <c r="C336" i="1"/>
  <c r="I336" i="1"/>
  <c r="K336" i="1"/>
  <c r="Q336" i="1"/>
  <c r="R336" i="1"/>
  <c r="S336" i="1"/>
  <c r="Z336" i="1"/>
  <c r="AA336" i="1"/>
  <c r="C344" i="1"/>
  <c r="G344" i="1"/>
  <c r="J344" i="1"/>
  <c r="R344" i="1"/>
  <c r="S344" i="1"/>
  <c r="C355" i="1"/>
  <c r="H355" i="1"/>
  <c r="J355" i="1"/>
  <c r="R355" i="1"/>
  <c r="S355" i="1"/>
  <c r="C366" i="1"/>
  <c r="H366" i="1"/>
  <c r="J366" i="1"/>
  <c r="R366" i="1"/>
  <c r="S366" i="1"/>
  <c r="C377" i="1"/>
  <c r="H377" i="1"/>
  <c r="J377" i="1"/>
  <c r="R377" i="1"/>
  <c r="S377" i="1"/>
  <c r="C388" i="1"/>
  <c r="H388" i="1"/>
  <c r="J388" i="1"/>
  <c r="R388" i="1"/>
  <c r="S388" i="1"/>
  <c r="C399" i="1"/>
  <c r="H399" i="1"/>
  <c r="J399" i="1"/>
  <c r="R399" i="1"/>
  <c r="S399" i="1"/>
  <c r="Z410" i="1"/>
  <c r="AA410" i="1"/>
  <c r="C345" i="1"/>
  <c r="G345" i="1"/>
  <c r="J345" i="1"/>
  <c r="R345" i="1"/>
  <c r="S345" i="1"/>
  <c r="C356" i="1"/>
  <c r="H356" i="1"/>
  <c r="J356" i="1"/>
  <c r="R356" i="1"/>
  <c r="S356" i="1"/>
  <c r="C367" i="1"/>
  <c r="H367" i="1"/>
  <c r="J367" i="1"/>
  <c r="R367" i="1"/>
  <c r="S367" i="1"/>
  <c r="C378" i="1"/>
  <c r="H378" i="1"/>
  <c r="J378" i="1"/>
  <c r="R378" i="1"/>
  <c r="S378" i="1"/>
  <c r="C389" i="1"/>
  <c r="H389" i="1"/>
  <c r="J389" i="1"/>
  <c r="R389" i="1"/>
  <c r="S389" i="1"/>
  <c r="C400" i="1"/>
  <c r="H400" i="1"/>
  <c r="J400" i="1"/>
  <c r="R400" i="1"/>
  <c r="S400" i="1"/>
  <c r="Z411" i="1"/>
  <c r="AA411" i="1"/>
  <c r="C346" i="1"/>
  <c r="G346" i="1"/>
  <c r="J346" i="1"/>
  <c r="R346" i="1"/>
  <c r="S346" i="1"/>
  <c r="C357" i="1"/>
  <c r="H357" i="1"/>
  <c r="J357" i="1"/>
  <c r="R357" i="1"/>
  <c r="S357" i="1"/>
  <c r="C368" i="1"/>
  <c r="H368" i="1"/>
  <c r="J368" i="1"/>
  <c r="R368" i="1"/>
  <c r="S368" i="1"/>
  <c r="C379" i="1"/>
  <c r="H379" i="1"/>
  <c r="J379" i="1"/>
  <c r="R379" i="1"/>
  <c r="S379" i="1"/>
  <c r="C390" i="1"/>
  <c r="H390" i="1"/>
  <c r="J390" i="1"/>
  <c r="R390" i="1"/>
  <c r="S390" i="1"/>
  <c r="C401" i="1"/>
  <c r="H401" i="1"/>
  <c r="J401" i="1"/>
  <c r="R401" i="1"/>
  <c r="S401" i="1"/>
  <c r="Z412" i="1"/>
  <c r="AA412" i="1"/>
  <c r="C347" i="1"/>
  <c r="G347" i="1"/>
  <c r="J347" i="1"/>
  <c r="R347" i="1"/>
  <c r="S347" i="1"/>
  <c r="C358" i="1"/>
  <c r="H358" i="1"/>
  <c r="J358" i="1"/>
  <c r="R358" i="1"/>
  <c r="S358" i="1"/>
  <c r="C369" i="1"/>
  <c r="H369" i="1"/>
  <c r="J369" i="1"/>
  <c r="R369" i="1"/>
  <c r="S369" i="1"/>
  <c r="C380" i="1"/>
  <c r="H380" i="1"/>
  <c r="J380" i="1"/>
  <c r="R380" i="1"/>
  <c r="S380" i="1"/>
  <c r="C391" i="1"/>
  <c r="H391" i="1"/>
  <c r="J391" i="1"/>
  <c r="R391" i="1"/>
  <c r="S391" i="1"/>
  <c r="C402" i="1"/>
  <c r="H402" i="1"/>
  <c r="J402" i="1"/>
  <c r="R402" i="1"/>
  <c r="S402" i="1"/>
  <c r="Z413" i="1"/>
  <c r="AA413" i="1"/>
  <c r="C348" i="1"/>
  <c r="G348" i="1"/>
  <c r="J348" i="1"/>
  <c r="R348" i="1"/>
  <c r="S348" i="1"/>
  <c r="C359" i="1"/>
  <c r="H359" i="1"/>
  <c r="J359" i="1"/>
  <c r="R359" i="1"/>
  <c r="S359" i="1"/>
  <c r="C370" i="1"/>
  <c r="H370" i="1"/>
  <c r="J370" i="1"/>
  <c r="R370" i="1"/>
  <c r="S370" i="1"/>
  <c r="C381" i="1"/>
  <c r="H381" i="1"/>
  <c r="J381" i="1"/>
  <c r="R381" i="1"/>
  <c r="S381" i="1"/>
  <c r="C392" i="1"/>
  <c r="H392" i="1"/>
  <c r="J392" i="1"/>
  <c r="R392" i="1"/>
  <c r="S392" i="1"/>
  <c r="C403" i="1"/>
  <c r="H403" i="1"/>
  <c r="J403" i="1"/>
  <c r="R403" i="1"/>
  <c r="S403" i="1"/>
  <c r="Z414" i="1"/>
  <c r="AA414" i="1"/>
  <c r="C349" i="1"/>
  <c r="G349" i="1"/>
  <c r="J349" i="1"/>
  <c r="R349" i="1"/>
  <c r="S349" i="1"/>
  <c r="C360" i="1"/>
  <c r="H360" i="1"/>
  <c r="J360" i="1"/>
  <c r="R360" i="1"/>
  <c r="S360" i="1"/>
  <c r="C371" i="1"/>
  <c r="H371" i="1"/>
  <c r="J371" i="1"/>
  <c r="R371" i="1"/>
  <c r="S371" i="1"/>
  <c r="C382" i="1"/>
  <c r="H382" i="1"/>
  <c r="J382" i="1"/>
  <c r="R382" i="1"/>
  <c r="S382" i="1"/>
  <c r="C393" i="1"/>
  <c r="H393" i="1"/>
  <c r="J393" i="1"/>
  <c r="R393" i="1"/>
  <c r="S393" i="1"/>
  <c r="C404" i="1"/>
  <c r="H404" i="1"/>
  <c r="J404" i="1"/>
  <c r="R404" i="1"/>
  <c r="S404" i="1"/>
  <c r="Z415" i="1"/>
  <c r="AA415" i="1"/>
  <c r="C423" i="1"/>
  <c r="H423" i="1"/>
  <c r="J423" i="1"/>
  <c r="Q423" i="1"/>
  <c r="R423" i="1"/>
  <c r="S423" i="1"/>
  <c r="C433" i="1"/>
  <c r="H433" i="1"/>
  <c r="J433" i="1"/>
  <c r="Q433" i="1"/>
  <c r="R433" i="1"/>
  <c r="S433" i="1"/>
  <c r="C443" i="1"/>
  <c r="H443" i="1"/>
  <c r="J443" i="1"/>
  <c r="Q443" i="1"/>
  <c r="R443" i="1"/>
  <c r="S443" i="1"/>
  <c r="Z443" i="1"/>
  <c r="AA443" i="1"/>
  <c r="C424" i="1"/>
  <c r="H424" i="1"/>
  <c r="J424" i="1"/>
  <c r="Q424" i="1"/>
  <c r="R424" i="1"/>
  <c r="S424" i="1"/>
  <c r="C434" i="1"/>
  <c r="H434" i="1"/>
  <c r="J434" i="1"/>
  <c r="Q434" i="1"/>
  <c r="R434" i="1"/>
  <c r="S434" i="1"/>
  <c r="C444" i="1"/>
  <c r="H444" i="1"/>
  <c r="J444" i="1"/>
  <c r="Q444" i="1"/>
  <c r="R444" i="1"/>
  <c r="S444" i="1"/>
  <c r="Z444" i="1"/>
  <c r="AA444" i="1"/>
  <c r="C425" i="1"/>
  <c r="H425" i="1"/>
  <c r="J425" i="1"/>
  <c r="Q425" i="1"/>
  <c r="R425" i="1"/>
  <c r="S425" i="1"/>
  <c r="C435" i="1"/>
  <c r="H435" i="1"/>
  <c r="J435" i="1"/>
  <c r="Q435" i="1"/>
  <c r="R435" i="1"/>
  <c r="S435" i="1"/>
  <c r="C445" i="1"/>
  <c r="H445" i="1"/>
  <c r="J445" i="1"/>
  <c r="Q445" i="1"/>
  <c r="R445" i="1"/>
  <c r="S445" i="1"/>
  <c r="Z445" i="1"/>
  <c r="AA445" i="1"/>
  <c r="C426" i="1"/>
  <c r="H426" i="1"/>
  <c r="J426" i="1"/>
  <c r="Q426" i="1"/>
  <c r="R426" i="1"/>
  <c r="S426" i="1"/>
  <c r="C436" i="1"/>
  <c r="H436" i="1"/>
  <c r="J436" i="1"/>
  <c r="Q436" i="1"/>
  <c r="R436" i="1"/>
  <c r="S436" i="1"/>
  <c r="C446" i="1"/>
  <c r="H446" i="1"/>
  <c r="J446" i="1"/>
  <c r="Q446" i="1"/>
  <c r="R446" i="1"/>
  <c r="S446" i="1"/>
  <c r="Z446" i="1"/>
  <c r="AA446" i="1"/>
  <c r="C427" i="1"/>
  <c r="H427" i="1"/>
  <c r="J427" i="1"/>
  <c r="Q427" i="1"/>
  <c r="R427" i="1"/>
  <c r="S427" i="1"/>
  <c r="C437" i="1"/>
  <c r="H437" i="1"/>
  <c r="J437" i="1"/>
  <c r="Q437" i="1"/>
  <c r="R437" i="1"/>
  <c r="S437" i="1"/>
  <c r="C447" i="1"/>
  <c r="H447" i="1"/>
  <c r="J447" i="1"/>
  <c r="Q447" i="1"/>
  <c r="R447" i="1"/>
  <c r="S447" i="1"/>
  <c r="Z447" i="1"/>
  <c r="AA447" i="1"/>
  <c r="C428" i="1"/>
  <c r="H428" i="1"/>
  <c r="J428" i="1"/>
  <c r="Q428" i="1"/>
  <c r="R428" i="1"/>
  <c r="S428" i="1"/>
  <c r="C438" i="1"/>
  <c r="H438" i="1"/>
  <c r="J438" i="1"/>
  <c r="Q438" i="1"/>
  <c r="R438" i="1"/>
  <c r="S438" i="1"/>
  <c r="C448" i="1"/>
  <c r="H448" i="1"/>
  <c r="J448" i="1"/>
  <c r="Q448" i="1"/>
  <c r="R448" i="1"/>
  <c r="S448" i="1"/>
  <c r="Z448" i="1"/>
  <c r="AA448" i="1"/>
  <c r="AA484" i="1"/>
  <c r="AA485" i="1"/>
  <c r="AA486" i="1"/>
  <c r="AA487" i="1"/>
  <c r="AA488" i="1"/>
  <c r="AA489" i="1"/>
  <c r="C495" i="1"/>
  <c r="H495" i="1"/>
  <c r="J495" i="1"/>
  <c r="Q495" i="1"/>
  <c r="R495" i="1"/>
  <c r="S495" i="1"/>
  <c r="C505" i="1"/>
  <c r="H505" i="1"/>
  <c r="J505" i="1"/>
  <c r="Q505" i="1"/>
  <c r="R505" i="1"/>
  <c r="S505" i="1"/>
  <c r="C516" i="1"/>
  <c r="H516" i="1"/>
  <c r="J516" i="1"/>
  <c r="Q516" i="1"/>
  <c r="R516" i="1"/>
  <c r="S516" i="1"/>
  <c r="C527" i="1"/>
  <c r="H527" i="1"/>
  <c r="J527" i="1"/>
  <c r="Q527" i="1"/>
  <c r="R527" i="1"/>
  <c r="S527" i="1"/>
  <c r="C537" i="1"/>
  <c r="H537" i="1"/>
  <c r="J537" i="1"/>
  <c r="Q537" i="1"/>
  <c r="R537" i="1"/>
  <c r="S537" i="1"/>
  <c r="C548" i="1"/>
  <c r="H548" i="1"/>
  <c r="J548" i="1"/>
  <c r="Q548" i="1"/>
  <c r="R548" i="1"/>
  <c r="S548" i="1"/>
  <c r="Z548" i="1"/>
  <c r="AA548" i="1"/>
  <c r="C496" i="1"/>
  <c r="H496" i="1"/>
  <c r="J496" i="1"/>
  <c r="Q496" i="1"/>
  <c r="R496" i="1"/>
  <c r="S496" i="1"/>
  <c r="C506" i="1"/>
  <c r="H506" i="1"/>
  <c r="J506" i="1"/>
  <c r="Q506" i="1"/>
  <c r="R506" i="1"/>
  <c r="S506" i="1"/>
  <c r="C517" i="1"/>
  <c r="H517" i="1"/>
  <c r="J517" i="1"/>
  <c r="Q517" i="1"/>
  <c r="R517" i="1"/>
  <c r="S517" i="1"/>
  <c r="C528" i="1"/>
  <c r="H528" i="1"/>
  <c r="J528" i="1"/>
  <c r="Q528" i="1"/>
  <c r="R528" i="1"/>
  <c r="S528" i="1"/>
  <c r="C538" i="1"/>
  <c r="H538" i="1"/>
  <c r="J538" i="1"/>
  <c r="Q538" i="1"/>
  <c r="R538" i="1"/>
  <c r="S538" i="1"/>
  <c r="C549" i="1"/>
  <c r="H549" i="1"/>
  <c r="J549" i="1"/>
  <c r="Q549" i="1"/>
  <c r="R549" i="1"/>
  <c r="S549" i="1"/>
  <c r="Z549" i="1"/>
  <c r="AA549" i="1"/>
  <c r="C497" i="1"/>
  <c r="H497" i="1"/>
  <c r="J497" i="1"/>
  <c r="Q497" i="1"/>
  <c r="R497" i="1"/>
  <c r="S497" i="1"/>
  <c r="C507" i="1"/>
  <c r="H507" i="1"/>
  <c r="J507" i="1"/>
  <c r="Q507" i="1"/>
  <c r="R507" i="1"/>
  <c r="S507" i="1"/>
  <c r="C518" i="1"/>
  <c r="H518" i="1"/>
  <c r="J518" i="1"/>
  <c r="Q518" i="1"/>
  <c r="R518" i="1"/>
  <c r="S518" i="1"/>
  <c r="C529" i="1"/>
  <c r="H529" i="1"/>
  <c r="J529" i="1"/>
  <c r="Q529" i="1"/>
  <c r="R529" i="1"/>
  <c r="S529" i="1"/>
  <c r="C539" i="1"/>
  <c r="H539" i="1"/>
  <c r="J539" i="1"/>
  <c r="Q539" i="1"/>
  <c r="R539" i="1"/>
  <c r="S539" i="1"/>
  <c r="C550" i="1"/>
  <c r="H550" i="1"/>
  <c r="J550" i="1"/>
  <c r="Q550" i="1"/>
  <c r="R550" i="1"/>
  <c r="S550" i="1"/>
  <c r="Z550" i="1"/>
  <c r="AA550" i="1"/>
  <c r="C498" i="1"/>
  <c r="H498" i="1"/>
  <c r="J498" i="1"/>
  <c r="Q498" i="1"/>
  <c r="R498" i="1"/>
  <c r="S498" i="1"/>
  <c r="C508" i="1"/>
  <c r="H508" i="1"/>
  <c r="J508" i="1"/>
  <c r="Q508" i="1"/>
  <c r="R508" i="1"/>
  <c r="S508" i="1"/>
  <c r="C519" i="1"/>
  <c r="H519" i="1"/>
  <c r="J519" i="1"/>
  <c r="Q519" i="1"/>
  <c r="R519" i="1"/>
  <c r="S519" i="1"/>
  <c r="C530" i="1"/>
  <c r="H530" i="1"/>
  <c r="J530" i="1"/>
  <c r="Q530" i="1"/>
  <c r="R530" i="1"/>
  <c r="S530" i="1"/>
  <c r="C540" i="1"/>
  <c r="H540" i="1"/>
  <c r="J540" i="1"/>
  <c r="Q540" i="1"/>
  <c r="R540" i="1"/>
  <c r="S540" i="1"/>
  <c r="C551" i="1"/>
  <c r="H551" i="1"/>
  <c r="J551" i="1"/>
  <c r="Q551" i="1"/>
  <c r="R551" i="1"/>
  <c r="S551" i="1"/>
  <c r="Z551" i="1"/>
  <c r="AA551" i="1"/>
  <c r="C499" i="1"/>
  <c r="H499" i="1"/>
  <c r="J499" i="1"/>
  <c r="Q499" i="1"/>
  <c r="R499" i="1"/>
  <c r="S499" i="1"/>
  <c r="C509" i="1"/>
  <c r="H509" i="1"/>
  <c r="J509" i="1"/>
  <c r="Q509" i="1"/>
  <c r="R509" i="1"/>
  <c r="S509" i="1"/>
  <c r="C520" i="1"/>
  <c r="H520" i="1"/>
  <c r="J520" i="1"/>
  <c r="Q520" i="1"/>
  <c r="R520" i="1"/>
  <c r="S520" i="1"/>
  <c r="C531" i="1"/>
  <c r="H531" i="1"/>
  <c r="J531" i="1"/>
  <c r="Q531" i="1"/>
  <c r="R531" i="1"/>
  <c r="S531" i="1"/>
  <c r="C541" i="1"/>
  <c r="H541" i="1"/>
  <c r="J541" i="1"/>
  <c r="Q541" i="1"/>
  <c r="R541" i="1"/>
  <c r="S541" i="1"/>
  <c r="C552" i="1"/>
  <c r="H552" i="1"/>
  <c r="J552" i="1"/>
  <c r="Q552" i="1"/>
  <c r="R552" i="1"/>
  <c r="S552" i="1"/>
  <c r="Z552" i="1"/>
  <c r="AA552" i="1"/>
  <c r="C500" i="1"/>
  <c r="H500" i="1"/>
  <c r="J500" i="1"/>
  <c r="Q500" i="1"/>
  <c r="R500" i="1"/>
  <c r="S500" i="1"/>
  <c r="C510" i="1"/>
  <c r="H510" i="1"/>
  <c r="J510" i="1"/>
  <c r="Q510" i="1"/>
  <c r="R510" i="1"/>
  <c r="S510" i="1"/>
  <c r="C521" i="1"/>
  <c r="H521" i="1"/>
  <c r="J521" i="1"/>
  <c r="Q521" i="1"/>
  <c r="R521" i="1"/>
  <c r="S521" i="1"/>
  <c r="C532" i="1"/>
  <c r="H532" i="1"/>
  <c r="J532" i="1"/>
  <c r="Q532" i="1"/>
  <c r="R532" i="1"/>
  <c r="S532" i="1"/>
  <c r="C542" i="1"/>
  <c r="H542" i="1"/>
  <c r="J542" i="1"/>
  <c r="Q542" i="1"/>
  <c r="R542" i="1"/>
  <c r="S542" i="1"/>
  <c r="C553" i="1"/>
  <c r="H553" i="1"/>
  <c r="J553" i="1"/>
  <c r="Q553" i="1"/>
  <c r="R553" i="1"/>
  <c r="S553" i="1"/>
  <c r="Z553" i="1"/>
  <c r="AA553" i="1"/>
  <c r="C560" i="1"/>
  <c r="I560" i="1"/>
  <c r="K560" i="1"/>
  <c r="Q560" i="1"/>
  <c r="R560" i="1"/>
  <c r="S560" i="1"/>
  <c r="C571" i="1"/>
  <c r="I571" i="1"/>
  <c r="K571" i="1"/>
  <c r="Q571" i="1"/>
  <c r="R571" i="1"/>
  <c r="S571" i="1"/>
  <c r="C582" i="1"/>
  <c r="I582" i="1"/>
  <c r="K582" i="1"/>
  <c r="Q582" i="1"/>
  <c r="R582" i="1"/>
  <c r="S582" i="1"/>
  <c r="C593" i="1"/>
  <c r="I593" i="1"/>
  <c r="K593" i="1"/>
  <c r="Q593" i="1"/>
  <c r="R593" i="1"/>
  <c r="S593" i="1"/>
  <c r="C604" i="1"/>
  <c r="I604" i="1"/>
  <c r="K604" i="1"/>
  <c r="Q604" i="1"/>
  <c r="R604" i="1"/>
  <c r="S604" i="1"/>
  <c r="C615" i="1"/>
  <c r="I615" i="1"/>
  <c r="K615" i="1"/>
  <c r="Q615" i="1"/>
  <c r="R615" i="1"/>
  <c r="S615" i="1"/>
  <c r="C626" i="1"/>
  <c r="I626" i="1"/>
  <c r="K626" i="1"/>
  <c r="Q626" i="1"/>
  <c r="S626" i="1"/>
  <c r="C637" i="1"/>
  <c r="I637" i="1"/>
  <c r="K637" i="1"/>
  <c r="Q637" i="1"/>
  <c r="R637" i="1"/>
  <c r="S637" i="1"/>
  <c r="C650" i="1"/>
  <c r="I650" i="1"/>
  <c r="K650" i="1"/>
  <c r="Q650" i="1"/>
  <c r="S650" i="1"/>
  <c r="Z650" i="1"/>
  <c r="AA650" i="1"/>
  <c r="C561" i="1"/>
  <c r="I561" i="1"/>
  <c r="K561" i="1"/>
  <c r="Q561" i="1"/>
  <c r="R561" i="1"/>
  <c r="S561" i="1"/>
  <c r="C572" i="1"/>
  <c r="I572" i="1"/>
  <c r="K572" i="1"/>
  <c r="Q572" i="1"/>
  <c r="R572" i="1"/>
  <c r="S572" i="1"/>
  <c r="C583" i="1"/>
  <c r="I583" i="1"/>
  <c r="K583" i="1"/>
  <c r="Q583" i="1"/>
  <c r="R583" i="1"/>
  <c r="S583" i="1"/>
  <c r="C594" i="1"/>
  <c r="I594" i="1"/>
  <c r="K594" i="1"/>
  <c r="Q594" i="1"/>
  <c r="R594" i="1"/>
  <c r="S594" i="1"/>
  <c r="C605" i="1"/>
  <c r="I605" i="1"/>
  <c r="K605" i="1"/>
  <c r="Q605" i="1"/>
  <c r="R605" i="1"/>
  <c r="S605" i="1"/>
  <c r="C616" i="1"/>
  <c r="I616" i="1"/>
  <c r="K616" i="1"/>
  <c r="Q616" i="1"/>
  <c r="R616" i="1"/>
  <c r="S616" i="1"/>
  <c r="C627" i="1"/>
  <c r="I627" i="1"/>
  <c r="K627" i="1"/>
  <c r="Q627" i="1"/>
  <c r="S627" i="1"/>
  <c r="C638" i="1"/>
  <c r="I638" i="1"/>
  <c r="K638" i="1"/>
  <c r="Q638" i="1"/>
  <c r="R638" i="1"/>
  <c r="S638" i="1"/>
  <c r="C651" i="1"/>
  <c r="I651" i="1"/>
  <c r="K651" i="1"/>
  <c r="Q651" i="1"/>
  <c r="S651" i="1"/>
  <c r="Z651" i="1"/>
  <c r="AA651" i="1"/>
  <c r="C562" i="1"/>
  <c r="I562" i="1"/>
  <c r="K562" i="1"/>
  <c r="Q562" i="1"/>
  <c r="R562" i="1"/>
  <c r="S562" i="1"/>
  <c r="C573" i="1"/>
  <c r="I573" i="1"/>
  <c r="K573" i="1"/>
  <c r="Q573" i="1"/>
  <c r="R573" i="1"/>
  <c r="S573" i="1"/>
  <c r="C584" i="1"/>
  <c r="I584" i="1"/>
  <c r="K584" i="1"/>
  <c r="Q584" i="1"/>
  <c r="R584" i="1"/>
  <c r="S584" i="1"/>
  <c r="C595" i="1"/>
  <c r="I595" i="1"/>
  <c r="K595" i="1"/>
  <c r="Q595" i="1"/>
  <c r="R595" i="1"/>
  <c r="S595" i="1"/>
  <c r="C606" i="1"/>
  <c r="I606" i="1"/>
  <c r="K606" i="1"/>
  <c r="Q606" i="1"/>
  <c r="R606" i="1"/>
  <c r="S606" i="1"/>
  <c r="C617" i="1"/>
  <c r="I617" i="1"/>
  <c r="K617" i="1"/>
  <c r="Q617" i="1"/>
  <c r="R617" i="1"/>
  <c r="S617" i="1"/>
  <c r="C628" i="1"/>
  <c r="I628" i="1"/>
  <c r="K628" i="1"/>
  <c r="Q628" i="1"/>
  <c r="S628" i="1"/>
  <c r="C639" i="1"/>
  <c r="I639" i="1"/>
  <c r="K639" i="1"/>
  <c r="Q639" i="1"/>
  <c r="R639" i="1"/>
  <c r="S639" i="1"/>
  <c r="C652" i="1"/>
  <c r="I652" i="1"/>
  <c r="K652" i="1"/>
  <c r="Q652" i="1"/>
  <c r="S652" i="1"/>
  <c r="Z652" i="1"/>
  <c r="AA652" i="1"/>
  <c r="C563" i="1"/>
  <c r="I563" i="1"/>
  <c r="K563" i="1"/>
  <c r="Q563" i="1"/>
  <c r="R563" i="1"/>
  <c r="S563" i="1"/>
  <c r="C574" i="1"/>
  <c r="I574" i="1"/>
  <c r="K574" i="1"/>
  <c r="Q574" i="1"/>
  <c r="R574" i="1"/>
  <c r="S574" i="1"/>
  <c r="C585" i="1"/>
  <c r="I585" i="1"/>
  <c r="K585" i="1"/>
  <c r="Q585" i="1"/>
  <c r="R585" i="1"/>
  <c r="S585" i="1"/>
  <c r="C596" i="1"/>
  <c r="I596" i="1"/>
  <c r="K596" i="1"/>
  <c r="Q596" i="1"/>
  <c r="R596" i="1"/>
  <c r="S596" i="1"/>
  <c r="C607" i="1"/>
  <c r="I607" i="1"/>
  <c r="K607" i="1"/>
  <c r="Q607" i="1"/>
  <c r="R607" i="1"/>
  <c r="S607" i="1"/>
  <c r="C618" i="1"/>
  <c r="I618" i="1"/>
  <c r="K618" i="1"/>
  <c r="Q618" i="1"/>
  <c r="R618" i="1"/>
  <c r="S618" i="1"/>
  <c r="C629" i="1"/>
  <c r="I629" i="1"/>
  <c r="K629" i="1"/>
  <c r="Q629" i="1"/>
  <c r="S629" i="1"/>
  <c r="C640" i="1"/>
  <c r="I640" i="1"/>
  <c r="K640" i="1"/>
  <c r="Q640" i="1"/>
  <c r="R640" i="1"/>
  <c r="S640" i="1"/>
  <c r="C653" i="1"/>
  <c r="I653" i="1"/>
  <c r="K653" i="1"/>
  <c r="Q653" i="1"/>
  <c r="S653" i="1"/>
  <c r="Z653" i="1"/>
  <c r="AA653" i="1"/>
  <c r="C564" i="1"/>
  <c r="I564" i="1"/>
  <c r="K564" i="1"/>
  <c r="Q564" i="1"/>
  <c r="R564" i="1"/>
  <c r="S564" i="1"/>
  <c r="C575" i="1"/>
  <c r="I575" i="1"/>
  <c r="K575" i="1"/>
  <c r="Q575" i="1"/>
  <c r="R575" i="1"/>
  <c r="S575" i="1"/>
  <c r="C586" i="1"/>
  <c r="I586" i="1"/>
  <c r="K586" i="1"/>
  <c r="Q586" i="1"/>
  <c r="R586" i="1"/>
  <c r="S586" i="1"/>
  <c r="C597" i="1"/>
  <c r="I597" i="1"/>
  <c r="K597" i="1"/>
  <c r="Q597" i="1"/>
  <c r="R597" i="1"/>
  <c r="S597" i="1"/>
  <c r="C608" i="1"/>
  <c r="I608" i="1"/>
  <c r="K608" i="1"/>
  <c r="Q608" i="1"/>
  <c r="R608" i="1"/>
  <c r="S608" i="1"/>
  <c r="C619" i="1"/>
  <c r="I619" i="1"/>
  <c r="K619" i="1"/>
  <c r="Q619" i="1"/>
  <c r="R619" i="1"/>
  <c r="S619" i="1"/>
  <c r="C630" i="1"/>
  <c r="I630" i="1"/>
  <c r="K630" i="1"/>
  <c r="Q630" i="1"/>
  <c r="S630" i="1"/>
  <c r="C641" i="1"/>
  <c r="I641" i="1"/>
  <c r="K641" i="1"/>
  <c r="Q641" i="1"/>
  <c r="R641" i="1"/>
  <c r="S641" i="1"/>
  <c r="C654" i="1"/>
  <c r="I654" i="1"/>
  <c r="K654" i="1"/>
  <c r="Q654" i="1"/>
  <c r="S654" i="1"/>
  <c r="Z654" i="1"/>
  <c r="AA654" i="1"/>
  <c r="AA672" i="1"/>
  <c r="C662" i="1"/>
  <c r="G662" i="1"/>
  <c r="I662" i="1"/>
  <c r="Q662" i="1"/>
  <c r="R662" i="1"/>
  <c r="S662" i="1"/>
  <c r="C673" i="1"/>
  <c r="H673" i="1"/>
  <c r="J673" i="1"/>
  <c r="Q673" i="1"/>
  <c r="S673" i="1"/>
  <c r="Z673" i="1"/>
  <c r="AA673" i="1"/>
  <c r="C663" i="1"/>
  <c r="G663" i="1"/>
  <c r="I663" i="1"/>
  <c r="Q663" i="1"/>
  <c r="R663" i="1"/>
  <c r="S663" i="1"/>
  <c r="C674" i="1"/>
  <c r="H674" i="1"/>
  <c r="J674" i="1"/>
  <c r="Q674" i="1"/>
  <c r="S674" i="1"/>
  <c r="Z674" i="1"/>
  <c r="AA674" i="1"/>
  <c r="C664" i="1"/>
  <c r="G664" i="1"/>
  <c r="I664" i="1"/>
  <c r="Q664" i="1"/>
  <c r="R664" i="1"/>
  <c r="S664" i="1"/>
  <c r="C675" i="1"/>
  <c r="H675" i="1"/>
  <c r="J675" i="1"/>
  <c r="Q675" i="1"/>
  <c r="S675" i="1"/>
  <c r="Z675" i="1"/>
  <c r="AA675" i="1"/>
  <c r="C665" i="1"/>
  <c r="G665" i="1"/>
  <c r="I665" i="1"/>
  <c r="Q665" i="1"/>
  <c r="R665" i="1"/>
  <c r="S665" i="1"/>
  <c r="C676" i="1"/>
  <c r="H676" i="1"/>
  <c r="J676" i="1"/>
  <c r="Q676" i="1"/>
  <c r="S676" i="1"/>
  <c r="Z676" i="1"/>
  <c r="AA676" i="1"/>
  <c r="C666" i="1"/>
  <c r="G666" i="1"/>
  <c r="I666" i="1"/>
  <c r="Q666" i="1"/>
  <c r="R666" i="1"/>
  <c r="S666" i="1"/>
  <c r="C677" i="1"/>
  <c r="H677" i="1"/>
  <c r="J677" i="1"/>
  <c r="Q677" i="1"/>
  <c r="S677" i="1"/>
  <c r="Z677" i="1"/>
  <c r="AA677" i="1"/>
  <c r="AA121" i="1"/>
  <c r="C501" i="1"/>
  <c r="H501" i="1"/>
  <c r="J501" i="1"/>
  <c r="Q501" i="1"/>
  <c r="R501" i="1"/>
  <c r="S501" i="1"/>
  <c r="T661" i="1"/>
  <c r="U661" i="1"/>
  <c r="V661" i="1"/>
  <c r="W661" i="1"/>
  <c r="C672" i="1"/>
  <c r="H672" i="1"/>
  <c r="J672" i="1"/>
  <c r="Q672" i="1"/>
  <c r="S672" i="1"/>
  <c r="T672" i="1"/>
  <c r="U672" i="1"/>
  <c r="V672" i="1"/>
  <c r="W672" i="1"/>
  <c r="T636" i="1"/>
  <c r="U636" i="1"/>
  <c r="V636" i="1"/>
  <c r="W636" i="1"/>
  <c r="T649" i="1"/>
  <c r="U649" i="1"/>
  <c r="V649" i="1"/>
  <c r="W649" i="1"/>
  <c r="T603" i="1"/>
  <c r="U603" i="1"/>
  <c r="V603" i="1"/>
  <c r="W603" i="1"/>
  <c r="T614" i="1"/>
  <c r="U614" i="1"/>
  <c r="V614" i="1"/>
  <c r="W614" i="1"/>
  <c r="T625" i="1"/>
  <c r="U625" i="1"/>
  <c r="V625" i="1"/>
  <c r="W625" i="1"/>
  <c r="T570" i="1"/>
  <c r="U570" i="1"/>
  <c r="V570" i="1"/>
  <c r="W570" i="1"/>
  <c r="T581" i="1"/>
  <c r="U581" i="1"/>
  <c r="V581" i="1"/>
  <c r="W581" i="1"/>
  <c r="T592" i="1"/>
  <c r="U592" i="1"/>
  <c r="V592" i="1"/>
  <c r="W592" i="1"/>
  <c r="T537" i="1"/>
  <c r="U537" i="1"/>
  <c r="V537" i="1"/>
  <c r="W537" i="1"/>
  <c r="T548" i="1"/>
  <c r="U548" i="1"/>
  <c r="V548" i="1"/>
  <c r="W548" i="1"/>
  <c r="T559" i="1"/>
  <c r="U559" i="1"/>
  <c r="V559" i="1"/>
  <c r="W559" i="1"/>
  <c r="T505" i="1"/>
  <c r="U505" i="1"/>
  <c r="V505" i="1"/>
  <c r="W505" i="1"/>
  <c r="T516" i="1"/>
  <c r="U516" i="1"/>
  <c r="V516" i="1"/>
  <c r="W516" i="1"/>
  <c r="T527" i="1"/>
  <c r="U527" i="1"/>
  <c r="V527" i="1"/>
  <c r="W527" i="1"/>
  <c r="C484" i="1"/>
  <c r="H484" i="1"/>
  <c r="J484" i="1"/>
  <c r="Q484" i="1"/>
  <c r="S484" i="1"/>
  <c r="C485" i="1"/>
  <c r="H485" i="1"/>
  <c r="J485" i="1"/>
  <c r="Q485" i="1"/>
  <c r="S485" i="1"/>
  <c r="C486" i="1"/>
  <c r="H486" i="1"/>
  <c r="J486" i="1"/>
  <c r="Q486" i="1"/>
  <c r="S486" i="1"/>
  <c r="C487" i="1"/>
  <c r="H487" i="1"/>
  <c r="J487" i="1"/>
  <c r="Q487" i="1"/>
  <c r="S487" i="1"/>
  <c r="C488" i="1"/>
  <c r="H488" i="1"/>
  <c r="J488" i="1"/>
  <c r="Q488" i="1"/>
  <c r="S488" i="1"/>
  <c r="C489" i="1"/>
  <c r="H489" i="1"/>
  <c r="J489" i="1"/>
  <c r="Q489" i="1"/>
  <c r="S489" i="1"/>
  <c r="T484" i="1"/>
  <c r="U484" i="1"/>
  <c r="V484" i="1"/>
  <c r="W484" i="1"/>
  <c r="T495" i="1"/>
  <c r="U495" i="1"/>
  <c r="V495" i="1"/>
  <c r="W495" i="1"/>
  <c r="T464" i="1"/>
  <c r="U464" i="1"/>
  <c r="V464" i="1"/>
  <c r="W464" i="1"/>
  <c r="C474" i="1"/>
  <c r="H474" i="1"/>
  <c r="J474" i="1"/>
  <c r="Q474" i="1"/>
  <c r="S474" i="1"/>
  <c r="C475" i="1"/>
  <c r="H475" i="1"/>
  <c r="J475" i="1"/>
  <c r="Q475" i="1"/>
  <c r="S475" i="1"/>
  <c r="C476" i="1"/>
  <c r="H476" i="1"/>
  <c r="J476" i="1"/>
  <c r="Q476" i="1"/>
  <c r="S476" i="1"/>
  <c r="C477" i="1"/>
  <c r="H477" i="1"/>
  <c r="J477" i="1"/>
  <c r="Q477" i="1"/>
  <c r="S477" i="1"/>
  <c r="C478" i="1"/>
  <c r="H478" i="1"/>
  <c r="J478" i="1"/>
  <c r="Q478" i="1"/>
  <c r="S478" i="1"/>
  <c r="C479" i="1"/>
  <c r="H479" i="1"/>
  <c r="J479" i="1"/>
  <c r="Q479" i="1"/>
  <c r="S479" i="1"/>
  <c r="T474" i="1"/>
  <c r="U474" i="1"/>
  <c r="V474" i="1"/>
  <c r="W474" i="1"/>
  <c r="T433" i="1"/>
  <c r="U433" i="1"/>
  <c r="V433" i="1"/>
  <c r="W433" i="1"/>
  <c r="T443" i="1"/>
  <c r="U443" i="1"/>
  <c r="V443" i="1"/>
  <c r="W443" i="1"/>
  <c r="T454" i="1"/>
  <c r="U454" i="1"/>
  <c r="V454" i="1"/>
  <c r="W454" i="1"/>
  <c r="T423" i="1"/>
  <c r="U423" i="1"/>
  <c r="V423" i="1"/>
  <c r="W423" i="1"/>
  <c r="T399" i="1"/>
  <c r="U399" i="1"/>
  <c r="V399" i="1"/>
  <c r="W399" i="1"/>
  <c r="T366" i="1"/>
  <c r="U366" i="1"/>
  <c r="V366" i="1"/>
  <c r="W366" i="1"/>
  <c r="T377" i="1"/>
  <c r="U377" i="1"/>
  <c r="V377" i="1"/>
  <c r="W377" i="1"/>
  <c r="T388" i="1"/>
  <c r="U388" i="1"/>
  <c r="V388" i="1"/>
  <c r="W388" i="1"/>
  <c r="T355" i="1"/>
  <c r="U355" i="1"/>
  <c r="V355" i="1"/>
  <c r="W355" i="1"/>
  <c r="T344" i="1"/>
  <c r="U344" i="1"/>
  <c r="V344" i="1"/>
  <c r="W344" i="1"/>
  <c r="T331" i="1"/>
  <c r="U331" i="1"/>
  <c r="V331" i="1"/>
  <c r="W331" i="1"/>
  <c r="T319" i="1"/>
  <c r="U319" i="1"/>
  <c r="V319" i="1"/>
  <c r="W319" i="1"/>
  <c r="T307" i="1"/>
  <c r="U307" i="1"/>
  <c r="V307" i="1"/>
  <c r="W307" i="1"/>
  <c r="T295" i="1"/>
  <c r="U295" i="1"/>
  <c r="V295" i="1"/>
  <c r="W295" i="1"/>
  <c r="T284" i="1"/>
  <c r="U284" i="1"/>
  <c r="V284" i="1"/>
  <c r="W284" i="1"/>
  <c r="T272" i="1"/>
  <c r="U272" i="1"/>
  <c r="V272" i="1"/>
  <c r="W272" i="1"/>
  <c r="T261" i="1"/>
  <c r="U261" i="1"/>
  <c r="V261" i="1"/>
  <c r="W261" i="1"/>
  <c r="T249" i="1"/>
  <c r="U249" i="1"/>
  <c r="V249" i="1"/>
  <c r="W249" i="1"/>
  <c r="T227" i="1"/>
  <c r="U227" i="1"/>
  <c r="V227" i="1"/>
  <c r="W227" i="1"/>
  <c r="T238" i="1"/>
  <c r="U238" i="1"/>
  <c r="V238" i="1"/>
  <c r="W238" i="1"/>
  <c r="T216" i="1"/>
  <c r="U216" i="1"/>
  <c r="V216" i="1"/>
  <c r="W216" i="1"/>
  <c r="C206" i="1"/>
  <c r="G206" i="1"/>
  <c r="J206" i="1"/>
  <c r="Q206" i="1"/>
  <c r="S206" i="1"/>
  <c r="C207" i="1"/>
  <c r="G207" i="1"/>
  <c r="J207" i="1"/>
  <c r="Q207" i="1"/>
  <c r="S207" i="1"/>
  <c r="C208" i="1"/>
  <c r="G208" i="1"/>
  <c r="J208" i="1"/>
  <c r="Q208" i="1"/>
  <c r="S208" i="1"/>
  <c r="C209" i="1"/>
  <c r="G209" i="1"/>
  <c r="J209" i="1"/>
  <c r="Q209" i="1"/>
  <c r="S209" i="1"/>
  <c r="C210" i="1"/>
  <c r="G210" i="1"/>
  <c r="J210" i="1"/>
  <c r="Q210" i="1"/>
  <c r="S210" i="1"/>
  <c r="C211" i="1"/>
  <c r="G211" i="1"/>
  <c r="J211" i="1"/>
  <c r="Q211" i="1"/>
  <c r="S211" i="1"/>
  <c r="T206" i="1"/>
  <c r="U206" i="1"/>
  <c r="V206" i="1"/>
  <c r="W206" i="1"/>
  <c r="T196" i="1"/>
  <c r="U196" i="1"/>
  <c r="V196" i="1"/>
  <c r="W196" i="1"/>
  <c r="T186" i="1"/>
  <c r="U186" i="1"/>
  <c r="V186" i="1"/>
  <c r="W186" i="1"/>
  <c r="T176" i="1"/>
  <c r="U176" i="1"/>
  <c r="V176" i="1"/>
  <c r="W176" i="1"/>
  <c r="T154" i="1"/>
  <c r="U154" i="1"/>
  <c r="V154" i="1"/>
  <c r="W154" i="1"/>
  <c r="T166" i="1"/>
  <c r="U166" i="1"/>
  <c r="V166" i="1"/>
  <c r="W166" i="1"/>
  <c r="T144" i="1"/>
  <c r="U144" i="1"/>
  <c r="V144" i="1"/>
  <c r="W144" i="1"/>
  <c r="T134" i="1"/>
  <c r="U134" i="1"/>
  <c r="V134" i="1"/>
  <c r="W134" i="1"/>
  <c r="C121" i="1"/>
  <c r="I121" i="1"/>
  <c r="K121" i="1"/>
  <c r="Q121" i="1"/>
  <c r="S121" i="1"/>
  <c r="C122" i="1"/>
  <c r="I122" i="1"/>
  <c r="K122" i="1"/>
  <c r="Q122" i="1"/>
  <c r="S122" i="1"/>
  <c r="C123" i="1"/>
  <c r="I123" i="1"/>
  <c r="K123" i="1"/>
  <c r="Q123" i="1"/>
  <c r="S123" i="1"/>
  <c r="C124" i="1"/>
  <c r="I124" i="1"/>
  <c r="K124" i="1"/>
  <c r="Q124" i="1"/>
  <c r="S124" i="1"/>
  <c r="C125" i="1"/>
  <c r="I125" i="1"/>
  <c r="K125" i="1"/>
  <c r="Q125" i="1"/>
  <c r="S125" i="1"/>
  <c r="C126" i="1"/>
  <c r="I126" i="1"/>
  <c r="K126" i="1"/>
  <c r="Q126" i="1"/>
  <c r="S126" i="1"/>
  <c r="T121" i="1"/>
  <c r="U121" i="1"/>
  <c r="V121" i="1"/>
  <c r="W121" i="1"/>
  <c r="T110" i="1"/>
  <c r="U110" i="1"/>
  <c r="V110" i="1"/>
  <c r="W110" i="1"/>
  <c r="T98" i="1"/>
  <c r="U98" i="1"/>
  <c r="V98" i="1"/>
  <c r="W98" i="1"/>
  <c r="T87" i="1"/>
  <c r="U87" i="1"/>
  <c r="V87" i="1"/>
  <c r="W87" i="1"/>
  <c r="C75" i="1"/>
  <c r="I75" i="1"/>
  <c r="K75" i="1"/>
  <c r="Q75" i="1"/>
  <c r="S75" i="1"/>
  <c r="C76" i="1"/>
  <c r="I76" i="1"/>
  <c r="K76" i="1"/>
  <c r="Q76" i="1"/>
  <c r="S76" i="1"/>
  <c r="C77" i="1"/>
  <c r="I77" i="1"/>
  <c r="K77" i="1"/>
  <c r="Q77" i="1"/>
  <c r="S77" i="1"/>
  <c r="C78" i="1"/>
  <c r="I78" i="1"/>
  <c r="K78" i="1"/>
  <c r="Q78" i="1"/>
  <c r="S78" i="1"/>
  <c r="C79" i="1"/>
  <c r="I79" i="1"/>
  <c r="K79" i="1"/>
  <c r="Q79" i="1"/>
  <c r="S79" i="1"/>
  <c r="C80" i="1"/>
  <c r="I80" i="1"/>
  <c r="K80" i="1"/>
  <c r="Q80" i="1"/>
  <c r="S80" i="1"/>
  <c r="T75" i="1"/>
  <c r="U75" i="1"/>
  <c r="V75" i="1"/>
  <c r="W75" i="1"/>
  <c r="T64" i="1"/>
  <c r="U64" i="1"/>
  <c r="V64" i="1"/>
  <c r="W64" i="1"/>
  <c r="T53" i="1"/>
  <c r="U53" i="1"/>
  <c r="V53" i="1"/>
  <c r="W53" i="1"/>
  <c r="T42" i="1"/>
  <c r="U42" i="1"/>
  <c r="V42" i="1"/>
  <c r="W42" i="1"/>
  <c r="T31" i="1"/>
  <c r="U31" i="1"/>
  <c r="V31" i="1"/>
  <c r="W31" i="1"/>
  <c r="T20" i="1"/>
  <c r="U20" i="1"/>
  <c r="V20" i="1"/>
  <c r="W20" i="1"/>
  <c r="T9" i="1"/>
  <c r="U9" i="1"/>
  <c r="V9" i="1"/>
  <c r="W9" i="1"/>
  <c r="C522" i="1"/>
  <c r="H522" i="1"/>
  <c r="J522" i="1"/>
  <c r="Q522" i="1"/>
  <c r="R522" i="1"/>
  <c r="S522" i="1"/>
  <c r="X522" i="1"/>
  <c r="C15" i="1"/>
  <c r="I15" i="1"/>
  <c r="K15" i="1"/>
  <c r="Q15" i="1"/>
  <c r="R15" i="1"/>
  <c r="S15" i="1"/>
  <c r="X15" i="1"/>
  <c r="C182" i="1"/>
  <c r="H182" i="1"/>
  <c r="J182" i="1"/>
  <c r="Q182" i="1"/>
  <c r="R182" i="1"/>
  <c r="S182" i="1"/>
  <c r="C253" i="1"/>
  <c r="H253" i="1"/>
  <c r="J253" i="1"/>
  <c r="L253" i="1"/>
  <c r="C337" i="1"/>
  <c r="I337" i="1"/>
  <c r="K337" i="1"/>
  <c r="L337" i="1"/>
  <c r="C242" i="1"/>
  <c r="H242" i="1"/>
  <c r="J242" i="1"/>
  <c r="L242" i="1"/>
  <c r="C243" i="1"/>
  <c r="H243" i="1"/>
  <c r="J243" i="1"/>
  <c r="L243" i="1"/>
  <c r="L238" i="1"/>
  <c r="L239" i="1"/>
  <c r="L240" i="1"/>
  <c r="L241" i="1"/>
  <c r="M238" i="1"/>
  <c r="C576" i="1"/>
  <c r="I576" i="1"/>
  <c r="K576" i="1"/>
  <c r="Q576" i="1"/>
  <c r="R576" i="1"/>
  <c r="S576" i="1"/>
  <c r="X576" i="1"/>
  <c r="C678" i="1"/>
  <c r="H678" i="1"/>
  <c r="J678" i="1"/>
  <c r="L678" i="1"/>
  <c r="C470" i="1"/>
  <c r="G470" i="1"/>
  <c r="I470" i="1"/>
  <c r="Q470" i="1"/>
  <c r="R470" i="1"/>
  <c r="S470" i="1"/>
  <c r="X470" i="1"/>
  <c r="C429" i="1"/>
  <c r="H429" i="1"/>
  <c r="J429" i="1"/>
  <c r="L429" i="1"/>
  <c r="C278" i="1"/>
  <c r="I278" i="1"/>
  <c r="K278" i="1"/>
  <c r="Q278" i="1"/>
  <c r="R278" i="1"/>
  <c r="S278" i="1"/>
  <c r="X278" i="1"/>
  <c r="Q678" i="1"/>
  <c r="S678" i="1"/>
  <c r="X678" i="1"/>
  <c r="C667" i="1"/>
  <c r="G667" i="1"/>
  <c r="I667" i="1"/>
  <c r="Q667" i="1"/>
  <c r="R667" i="1"/>
  <c r="S667" i="1"/>
  <c r="X667" i="1"/>
  <c r="C655" i="1"/>
  <c r="I655" i="1"/>
  <c r="K655" i="1"/>
  <c r="Q655" i="1"/>
  <c r="S655" i="1"/>
  <c r="X655" i="1"/>
  <c r="C642" i="1"/>
  <c r="I642" i="1"/>
  <c r="K642" i="1"/>
  <c r="Q642" i="1"/>
  <c r="R642" i="1"/>
  <c r="S642" i="1"/>
  <c r="X642" i="1"/>
  <c r="C631" i="1"/>
  <c r="I631" i="1"/>
  <c r="K631" i="1"/>
  <c r="Q631" i="1"/>
  <c r="S631" i="1"/>
  <c r="X631" i="1"/>
  <c r="C620" i="1"/>
  <c r="I620" i="1"/>
  <c r="K620" i="1"/>
  <c r="Q620" i="1"/>
  <c r="R620" i="1"/>
  <c r="S620" i="1"/>
  <c r="X620" i="1"/>
  <c r="C609" i="1"/>
  <c r="I609" i="1"/>
  <c r="K609" i="1"/>
  <c r="Q609" i="1"/>
  <c r="R609" i="1"/>
  <c r="S609" i="1"/>
  <c r="X609" i="1"/>
  <c r="C598" i="1"/>
  <c r="I598" i="1"/>
  <c r="K598" i="1"/>
  <c r="Q598" i="1"/>
  <c r="R598" i="1"/>
  <c r="S598" i="1"/>
  <c r="X598" i="1"/>
  <c r="C587" i="1"/>
  <c r="I587" i="1"/>
  <c r="K587" i="1"/>
  <c r="Q587" i="1"/>
  <c r="R587" i="1"/>
  <c r="S587" i="1"/>
  <c r="X587" i="1"/>
  <c r="C565" i="1"/>
  <c r="I565" i="1"/>
  <c r="K565" i="1"/>
  <c r="Q565" i="1"/>
  <c r="R565" i="1"/>
  <c r="S565" i="1"/>
  <c r="X565" i="1"/>
  <c r="C554" i="1"/>
  <c r="H554" i="1"/>
  <c r="J554" i="1"/>
  <c r="Q554" i="1"/>
  <c r="R554" i="1"/>
  <c r="S554" i="1"/>
  <c r="X554" i="1"/>
  <c r="C543" i="1"/>
  <c r="H543" i="1"/>
  <c r="J543" i="1"/>
  <c r="Q543" i="1"/>
  <c r="R543" i="1"/>
  <c r="S543" i="1"/>
  <c r="X543" i="1"/>
  <c r="C533" i="1"/>
  <c r="H533" i="1"/>
  <c r="J533" i="1"/>
  <c r="Q533" i="1"/>
  <c r="R533" i="1"/>
  <c r="S533" i="1"/>
  <c r="X533" i="1"/>
  <c r="C511" i="1"/>
  <c r="H511" i="1"/>
  <c r="J511" i="1"/>
  <c r="Q511" i="1"/>
  <c r="R511" i="1"/>
  <c r="S511" i="1"/>
  <c r="X511" i="1"/>
  <c r="X501" i="1"/>
  <c r="C490" i="1"/>
  <c r="H490" i="1"/>
  <c r="J490" i="1"/>
  <c r="Q490" i="1"/>
  <c r="S490" i="1"/>
  <c r="X490" i="1"/>
  <c r="C480" i="1"/>
  <c r="H480" i="1"/>
  <c r="J480" i="1"/>
  <c r="Q480" i="1"/>
  <c r="S480" i="1"/>
  <c r="X480" i="1"/>
  <c r="C460" i="1"/>
  <c r="H460" i="1"/>
  <c r="J460" i="1"/>
  <c r="Q460" i="1"/>
  <c r="R460" i="1"/>
  <c r="S460" i="1"/>
  <c r="X460" i="1"/>
  <c r="C449" i="1"/>
  <c r="H449" i="1"/>
  <c r="J449" i="1"/>
  <c r="Q449" i="1"/>
  <c r="R449" i="1"/>
  <c r="S449" i="1"/>
  <c r="X449" i="1"/>
  <c r="C439" i="1"/>
  <c r="H439" i="1"/>
  <c r="J439" i="1"/>
  <c r="Q439" i="1"/>
  <c r="R439" i="1"/>
  <c r="S439" i="1"/>
  <c r="X439" i="1"/>
  <c r="Q429" i="1"/>
  <c r="R429" i="1"/>
  <c r="S429" i="1"/>
  <c r="X429" i="1"/>
  <c r="C405" i="1"/>
  <c r="H405" i="1"/>
  <c r="J405" i="1"/>
  <c r="R405" i="1"/>
  <c r="S405" i="1"/>
  <c r="X405" i="1"/>
  <c r="C394" i="1"/>
  <c r="H394" i="1"/>
  <c r="J394" i="1"/>
  <c r="R394" i="1"/>
  <c r="S394" i="1"/>
  <c r="X394" i="1"/>
  <c r="C383" i="1"/>
  <c r="H383" i="1"/>
  <c r="J383" i="1"/>
  <c r="R383" i="1"/>
  <c r="S383" i="1"/>
  <c r="X383" i="1"/>
  <c r="C372" i="1"/>
  <c r="H372" i="1"/>
  <c r="J372" i="1"/>
  <c r="R372" i="1"/>
  <c r="S372" i="1"/>
  <c r="X372" i="1"/>
  <c r="C361" i="1"/>
  <c r="H361" i="1"/>
  <c r="J361" i="1"/>
  <c r="R361" i="1"/>
  <c r="S361" i="1"/>
  <c r="X361" i="1"/>
  <c r="C350" i="1"/>
  <c r="G350" i="1"/>
  <c r="J350" i="1"/>
  <c r="R350" i="1"/>
  <c r="S350" i="1"/>
  <c r="X350" i="1"/>
  <c r="Q337" i="1"/>
  <c r="R337" i="1"/>
  <c r="S337" i="1"/>
  <c r="X337" i="1"/>
  <c r="C325" i="1"/>
  <c r="I325" i="1"/>
  <c r="K325" i="1"/>
  <c r="Q325" i="1"/>
  <c r="R325" i="1"/>
  <c r="S325" i="1"/>
  <c r="X325" i="1"/>
  <c r="C313" i="1"/>
  <c r="I313" i="1"/>
  <c r="K313" i="1"/>
  <c r="Q313" i="1"/>
  <c r="R313" i="1"/>
  <c r="S313" i="1"/>
  <c r="X313" i="1"/>
  <c r="C301" i="1"/>
  <c r="I301" i="1"/>
  <c r="K301" i="1"/>
  <c r="Q301" i="1"/>
  <c r="R301" i="1"/>
  <c r="S301" i="1"/>
  <c r="X301" i="1"/>
  <c r="C290" i="1"/>
  <c r="I290" i="1"/>
  <c r="K290" i="1"/>
  <c r="Q290" i="1"/>
  <c r="R290" i="1"/>
  <c r="S290" i="1"/>
  <c r="X290" i="1"/>
  <c r="C267" i="1"/>
  <c r="H267" i="1"/>
  <c r="K267" i="1"/>
  <c r="Q267" i="1"/>
  <c r="R267" i="1"/>
  <c r="S267" i="1"/>
  <c r="X267" i="1"/>
  <c r="C255" i="1"/>
  <c r="H255" i="1"/>
  <c r="J255" i="1"/>
  <c r="Q255" i="1"/>
  <c r="R255" i="1"/>
  <c r="S255" i="1"/>
  <c r="X255" i="1"/>
  <c r="C244" i="1"/>
  <c r="H244" i="1"/>
  <c r="J244" i="1"/>
  <c r="Q244" i="1"/>
  <c r="R244" i="1"/>
  <c r="S244" i="1"/>
  <c r="X244" i="1"/>
  <c r="C233" i="1"/>
  <c r="G233" i="1"/>
  <c r="J233" i="1"/>
  <c r="Q233" i="1"/>
  <c r="S233" i="1"/>
  <c r="X233" i="1"/>
  <c r="C222" i="1"/>
  <c r="H222" i="1"/>
  <c r="J222" i="1"/>
  <c r="Q222" i="1"/>
  <c r="R222" i="1"/>
  <c r="S222" i="1"/>
  <c r="X222" i="1"/>
  <c r="C212" i="1"/>
  <c r="G212" i="1"/>
  <c r="J212" i="1"/>
  <c r="Q212" i="1"/>
  <c r="S212" i="1"/>
  <c r="X212" i="1"/>
  <c r="C202" i="1"/>
  <c r="H202" i="1"/>
  <c r="J202" i="1"/>
  <c r="Q202" i="1"/>
  <c r="R202" i="1"/>
  <c r="S202" i="1"/>
  <c r="X202" i="1"/>
  <c r="C192" i="1"/>
  <c r="H192" i="1"/>
  <c r="J192" i="1"/>
  <c r="Q192" i="1"/>
  <c r="R192" i="1"/>
  <c r="S192" i="1"/>
  <c r="X192" i="1"/>
  <c r="X182" i="1"/>
  <c r="C172" i="1"/>
  <c r="H172" i="1"/>
  <c r="J172" i="1"/>
  <c r="Q172" i="1"/>
  <c r="R172" i="1"/>
  <c r="S172" i="1"/>
  <c r="X172" i="1"/>
  <c r="C160" i="1"/>
  <c r="H160" i="1"/>
  <c r="J160" i="1"/>
  <c r="Q160" i="1"/>
  <c r="R160" i="1"/>
  <c r="S160" i="1"/>
  <c r="X160" i="1"/>
  <c r="C150" i="1"/>
  <c r="H150" i="1"/>
  <c r="J150" i="1"/>
  <c r="Q150" i="1"/>
  <c r="R150" i="1"/>
  <c r="S150" i="1"/>
  <c r="X150" i="1"/>
  <c r="C140" i="1"/>
  <c r="F140" i="1"/>
  <c r="H140" i="1"/>
  <c r="Q140" i="1"/>
  <c r="R140" i="1"/>
  <c r="S140" i="1"/>
  <c r="X140" i="1"/>
  <c r="C127" i="1"/>
  <c r="I127" i="1"/>
  <c r="K127" i="1"/>
  <c r="Q127" i="1"/>
  <c r="S127" i="1"/>
  <c r="X127" i="1"/>
  <c r="C104" i="1"/>
  <c r="I104" i="1"/>
  <c r="K104" i="1"/>
  <c r="Q104" i="1"/>
  <c r="R104" i="1"/>
  <c r="S104" i="1"/>
  <c r="X104" i="1"/>
  <c r="C93" i="1"/>
  <c r="I93" i="1"/>
  <c r="K93" i="1"/>
  <c r="Q93" i="1"/>
  <c r="S93" i="1"/>
  <c r="X93" i="1"/>
  <c r="C81" i="1"/>
  <c r="I81" i="1"/>
  <c r="K81" i="1"/>
  <c r="Q81" i="1"/>
  <c r="S81" i="1"/>
  <c r="X81" i="1"/>
  <c r="C70" i="1"/>
  <c r="K70" i="1"/>
  <c r="Q70" i="1"/>
  <c r="R70" i="1"/>
  <c r="S70" i="1"/>
  <c r="X70" i="1"/>
  <c r="C59" i="1"/>
  <c r="I59" i="1"/>
  <c r="K59" i="1"/>
  <c r="Q59" i="1"/>
  <c r="R59" i="1"/>
  <c r="S59" i="1"/>
  <c r="X59" i="1"/>
  <c r="C48" i="1"/>
  <c r="I48" i="1"/>
  <c r="K48" i="1"/>
  <c r="Q48" i="1"/>
  <c r="R48" i="1"/>
  <c r="S48" i="1"/>
  <c r="X48" i="1"/>
  <c r="C37" i="1"/>
  <c r="I37" i="1"/>
  <c r="K37" i="1"/>
  <c r="Q37" i="1"/>
  <c r="R37" i="1"/>
  <c r="S37" i="1"/>
  <c r="X37" i="1"/>
  <c r="C26" i="1"/>
  <c r="I26" i="1"/>
  <c r="K26" i="1"/>
  <c r="Q26" i="1"/>
  <c r="R26" i="1"/>
  <c r="S26" i="1"/>
  <c r="X26" i="1"/>
  <c r="L484" i="1"/>
  <c r="L485" i="1"/>
  <c r="L486" i="1"/>
  <c r="L487" i="1"/>
  <c r="L488" i="1"/>
  <c r="L489" i="1"/>
  <c r="M484" i="1"/>
  <c r="N484" i="1"/>
  <c r="L672" i="1"/>
  <c r="L673" i="1"/>
  <c r="L674" i="1"/>
  <c r="L675" i="1"/>
  <c r="L676" i="1"/>
  <c r="L677" i="1"/>
  <c r="M672" i="1"/>
  <c r="N672" i="1"/>
  <c r="L399" i="1"/>
  <c r="L400" i="1"/>
  <c r="L401" i="1"/>
  <c r="L402" i="1"/>
  <c r="L403" i="1"/>
  <c r="L404" i="1"/>
  <c r="M399" i="1"/>
  <c r="L344" i="1"/>
  <c r="L345" i="1"/>
  <c r="L346" i="1"/>
  <c r="L347" i="1"/>
  <c r="L348" i="1"/>
  <c r="L349" i="1"/>
  <c r="M344" i="1"/>
  <c r="L154" i="1"/>
  <c r="L155" i="1"/>
  <c r="L156" i="1"/>
  <c r="L157" i="1"/>
  <c r="L158" i="1"/>
  <c r="L159" i="1"/>
  <c r="M154" i="1"/>
  <c r="L53" i="1"/>
  <c r="L54" i="1"/>
  <c r="L55" i="1"/>
  <c r="L56" i="1"/>
  <c r="L57" i="1"/>
  <c r="L58" i="1"/>
  <c r="M53" i="1"/>
  <c r="N53" i="1"/>
  <c r="L9" i="1"/>
  <c r="L10" i="1"/>
  <c r="L11" i="1"/>
  <c r="L12" i="1"/>
  <c r="L13" i="1"/>
  <c r="L14" i="1"/>
  <c r="M9" i="1"/>
  <c r="N9" i="1"/>
  <c r="L649" i="1"/>
  <c r="L650" i="1"/>
  <c r="L651" i="1"/>
  <c r="L652" i="1"/>
  <c r="L653" i="1"/>
  <c r="L654" i="1"/>
  <c r="M649" i="1"/>
  <c r="N649" i="1"/>
  <c r="L661" i="1"/>
  <c r="L662" i="1"/>
  <c r="L663" i="1"/>
  <c r="L664" i="1"/>
  <c r="L665" i="1"/>
  <c r="L666" i="1"/>
  <c r="M661" i="1"/>
  <c r="N661" i="1"/>
  <c r="L614" i="1"/>
  <c r="L615" i="1"/>
  <c r="L616" i="1"/>
  <c r="L617" i="1"/>
  <c r="L618" i="1"/>
  <c r="L619" i="1"/>
  <c r="M614" i="1"/>
  <c r="N614" i="1"/>
  <c r="L625" i="1"/>
  <c r="L626" i="1"/>
  <c r="L627" i="1"/>
  <c r="L628" i="1"/>
  <c r="L629" i="1"/>
  <c r="L630" i="1"/>
  <c r="M625" i="1"/>
  <c r="N625" i="1"/>
  <c r="L636" i="1"/>
  <c r="L637" i="1"/>
  <c r="L638" i="1"/>
  <c r="L639" i="1"/>
  <c r="L640" i="1"/>
  <c r="L641" i="1"/>
  <c r="M636" i="1"/>
  <c r="N636" i="1"/>
  <c r="L581" i="1"/>
  <c r="L582" i="1"/>
  <c r="L583" i="1"/>
  <c r="L584" i="1"/>
  <c r="L585" i="1"/>
  <c r="L586" i="1"/>
  <c r="M581" i="1"/>
  <c r="N581" i="1"/>
  <c r="L592" i="1"/>
  <c r="L593" i="1"/>
  <c r="L594" i="1"/>
  <c r="L595" i="1"/>
  <c r="L596" i="1"/>
  <c r="L597" i="1"/>
  <c r="M592" i="1"/>
  <c r="N592" i="1"/>
  <c r="L603" i="1"/>
  <c r="L604" i="1"/>
  <c r="L605" i="1"/>
  <c r="L606" i="1"/>
  <c r="L607" i="1"/>
  <c r="L608" i="1"/>
  <c r="M603" i="1"/>
  <c r="N603" i="1"/>
  <c r="L559" i="1"/>
  <c r="L560" i="1"/>
  <c r="L561" i="1"/>
  <c r="L562" i="1"/>
  <c r="L563" i="1"/>
  <c r="L564" i="1"/>
  <c r="M559" i="1"/>
  <c r="N559" i="1"/>
  <c r="L570" i="1"/>
  <c r="L571" i="1"/>
  <c r="L572" i="1"/>
  <c r="L573" i="1"/>
  <c r="L574" i="1"/>
  <c r="L575" i="1"/>
  <c r="M570" i="1"/>
  <c r="N570" i="1"/>
  <c r="L527" i="1"/>
  <c r="L528" i="1"/>
  <c r="L529" i="1"/>
  <c r="L530" i="1"/>
  <c r="L531" i="1"/>
  <c r="L532" i="1"/>
  <c r="M527" i="1"/>
  <c r="N527" i="1"/>
  <c r="L537" i="1"/>
  <c r="L538" i="1"/>
  <c r="L539" i="1"/>
  <c r="L540" i="1"/>
  <c r="L541" i="1"/>
  <c r="L542" i="1"/>
  <c r="M537" i="1"/>
  <c r="N537" i="1"/>
  <c r="L548" i="1"/>
  <c r="L549" i="1"/>
  <c r="L550" i="1"/>
  <c r="L551" i="1"/>
  <c r="L552" i="1"/>
  <c r="L553" i="1"/>
  <c r="M548" i="1"/>
  <c r="N548" i="1"/>
  <c r="L495" i="1"/>
  <c r="L496" i="1"/>
  <c r="L497" i="1"/>
  <c r="L498" i="1"/>
  <c r="L499" i="1"/>
  <c r="L500" i="1"/>
  <c r="M495" i="1"/>
  <c r="N495" i="1"/>
  <c r="L505" i="1"/>
  <c r="L506" i="1"/>
  <c r="L507" i="1"/>
  <c r="L508" i="1"/>
  <c r="L509" i="1"/>
  <c r="L510" i="1"/>
  <c r="M505" i="1"/>
  <c r="N505" i="1"/>
  <c r="L516" i="1"/>
  <c r="L517" i="1"/>
  <c r="L518" i="1"/>
  <c r="L519" i="1"/>
  <c r="L520" i="1"/>
  <c r="L521" i="1"/>
  <c r="M516" i="1"/>
  <c r="N516" i="1"/>
  <c r="L454" i="1"/>
  <c r="L455" i="1"/>
  <c r="L456" i="1"/>
  <c r="L457" i="1"/>
  <c r="L458" i="1"/>
  <c r="L459" i="1"/>
  <c r="M454" i="1"/>
  <c r="N454" i="1"/>
  <c r="L464" i="1"/>
  <c r="L465" i="1"/>
  <c r="L466" i="1"/>
  <c r="L467" i="1"/>
  <c r="L468" i="1"/>
  <c r="L469" i="1"/>
  <c r="M464" i="1"/>
  <c r="N464" i="1"/>
  <c r="L474" i="1"/>
  <c r="L475" i="1"/>
  <c r="L476" i="1"/>
  <c r="L477" i="1"/>
  <c r="L478" i="1"/>
  <c r="L479" i="1"/>
  <c r="M474" i="1"/>
  <c r="N474" i="1"/>
  <c r="L443" i="1"/>
  <c r="L444" i="1"/>
  <c r="L445" i="1"/>
  <c r="L446" i="1"/>
  <c r="L447" i="1"/>
  <c r="L448" i="1"/>
  <c r="M443" i="1"/>
  <c r="N443" i="1"/>
  <c r="L423" i="1"/>
  <c r="L424" i="1"/>
  <c r="L425" i="1"/>
  <c r="L426" i="1"/>
  <c r="L427" i="1"/>
  <c r="L428" i="1"/>
  <c r="M423" i="1"/>
  <c r="N423" i="1"/>
  <c r="L433" i="1"/>
  <c r="L434" i="1"/>
  <c r="L435" i="1"/>
  <c r="L436" i="1"/>
  <c r="L437" i="1"/>
  <c r="L438" i="1"/>
  <c r="M433" i="1"/>
  <c r="N433" i="1"/>
  <c r="C410" i="1"/>
  <c r="H410" i="1"/>
  <c r="J410" i="1"/>
  <c r="L410" i="1"/>
  <c r="C411" i="1"/>
  <c r="H411" i="1"/>
  <c r="J411" i="1"/>
  <c r="L411" i="1"/>
  <c r="C412" i="1"/>
  <c r="H412" i="1"/>
  <c r="J412" i="1"/>
  <c r="L412" i="1"/>
  <c r="C413" i="1"/>
  <c r="H413" i="1"/>
  <c r="J413" i="1"/>
  <c r="L413" i="1"/>
  <c r="C414" i="1"/>
  <c r="H414" i="1"/>
  <c r="J414" i="1"/>
  <c r="L414" i="1"/>
  <c r="C415" i="1"/>
  <c r="H415" i="1"/>
  <c r="J415" i="1"/>
  <c r="L415" i="1"/>
  <c r="M410" i="1"/>
  <c r="N410" i="1"/>
  <c r="L377" i="1"/>
  <c r="L378" i="1"/>
  <c r="L379" i="1"/>
  <c r="L380" i="1"/>
  <c r="L381" i="1"/>
  <c r="L382" i="1"/>
  <c r="M377" i="1"/>
  <c r="N377" i="1"/>
  <c r="L388" i="1"/>
  <c r="L389" i="1"/>
  <c r="L390" i="1"/>
  <c r="L391" i="1"/>
  <c r="L392" i="1"/>
  <c r="L393" i="1"/>
  <c r="M388" i="1"/>
  <c r="N388" i="1"/>
  <c r="N399" i="1"/>
  <c r="L355" i="1"/>
  <c r="L356" i="1"/>
  <c r="L357" i="1"/>
  <c r="L358" i="1"/>
  <c r="L359" i="1"/>
  <c r="L360" i="1"/>
  <c r="M355" i="1"/>
  <c r="N355" i="1"/>
  <c r="L366" i="1"/>
  <c r="L367" i="1"/>
  <c r="L368" i="1"/>
  <c r="L369" i="1"/>
  <c r="L370" i="1"/>
  <c r="L371" i="1"/>
  <c r="M366" i="1"/>
  <c r="N366" i="1"/>
  <c r="L331" i="1"/>
  <c r="L332" i="1"/>
  <c r="L333" i="1"/>
  <c r="L334" i="1"/>
  <c r="L335" i="1"/>
  <c r="L336" i="1"/>
  <c r="M331" i="1"/>
  <c r="N331" i="1"/>
  <c r="N344" i="1"/>
  <c r="L307" i="1"/>
  <c r="L308" i="1"/>
  <c r="L309" i="1"/>
  <c r="L310" i="1"/>
  <c r="L311" i="1"/>
  <c r="L312" i="1"/>
  <c r="M307" i="1"/>
  <c r="N307" i="1"/>
  <c r="L319" i="1"/>
  <c r="L320" i="1"/>
  <c r="L321" i="1"/>
  <c r="L322" i="1"/>
  <c r="L323" i="1"/>
  <c r="L324" i="1"/>
  <c r="M319" i="1"/>
  <c r="N319" i="1"/>
  <c r="L272" i="1"/>
  <c r="L273" i="1"/>
  <c r="L274" i="1"/>
  <c r="L275" i="1"/>
  <c r="L276" i="1"/>
  <c r="L277" i="1"/>
  <c r="M272" i="1"/>
  <c r="N272" i="1"/>
  <c r="L284" i="1"/>
  <c r="L285" i="1"/>
  <c r="L286" i="1"/>
  <c r="L287" i="1"/>
  <c r="L288" i="1"/>
  <c r="L289" i="1"/>
  <c r="M284" i="1"/>
  <c r="N284" i="1"/>
  <c r="L295" i="1"/>
  <c r="L296" i="1"/>
  <c r="L297" i="1"/>
  <c r="L298" i="1"/>
  <c r="L299" i="1"/>
  <c r="L300" i="1"/>
  <c r="M295" i="1"/>
  <c r="N295" i="1"/>
  <c r="N238" i="1"/>
  <c r="L249" i="1"/>
  <c r="L250" i="1"/>
  <c r="L251" i="1"/>
  <c r="L252" i="1"/>
  <c r="L254" i="1"/>
  <c r="M249" i="1"/>
  <c r="N249" i="1"/>
  <c r="L261" i="1"/>
  <c r="L262" i="1"/>
  <c r="L263" i="1"/>
  <c r="L264" i="1"/>
  <c r="L265" i="1"/>
  <c r="L266" i="1"/>
  <c r="M261" i="1"/>
  <c r="N261" i="1"/>
  <c r="L206" i="1"/>
  <c r="L207" i="1"/>
  <c r="L208" i="1"/>
  <c r="L209" i="1"/>
  <c r="L210" i="1"/>
  <c r="L211" i="1"/>
  <c r="M206" i="1"/>
  <c r="N206" i="1"/>
  <c r="L216" i="1"/>
  <c r="L217" i="1"/>
  <c r="L218" i="1"/>
  <c r="L219" i="1"/>
  <c r="L220" i="1"/>
  <c r="L221" i="1"/>
  <c r="M216" i="1"/>
  <c r="N216" i="1"/>
  <c r="L227" i="1"/>
  <c r="L228" i="1"/>
  <c r="L229" i="1"/>
  <c r="L230" i="1"/>
  <c r="L231" i="1"/>
  <c r="L232" i="1"/>
  <c r="M227" i="1"/>
  <c r="N227" i="1"/>
  <c r="L176" i="1"/>
  <c r="L177" i="1"/>
  <c r="L178" i="1"/>
  <c r="L179" i="1"/>
  <c r="L180" i="1"/>
  <c r="L181" i="1"/>
  <c r="M176" i="1"/>
  <c r="N176" i="1"/>
  <c r="L186" i="1"/>
  <c r="L187" i="1"/>
  <c r="L188" i="1"/>
  <c r="L189" i="1"/>
  <c r="L190" i="1"/>
  <c r="L191" i="1"/>
  <c r="M186" i="1"/>
  <c r="N186" i="1"/>
  <c r="L196" i="1"/>
  <c r="L197" i="1"/>
  <c r="L198" i="1"/>
  <c r="L199" i="1"/>
  <c r="L200" i="1"/>
  <c r="L201" i="1"/>
  <c r="M196" i="1"/>
  <c r="N196" i="1"/>
  <c r="N154" i="1"/>
  <c r="L166" i="1"/>
  <c r="L167" i="1"/>
  <c r="L168" i="1"/>
  <c r="L169" i="1"/>
  <c r="L170" i="1"/>
  <c r="L171" i="1"/>
  <c r="M166" i="1"/>
  <c r="N166" i="1"/>
  <c r="L144" i="1"/>
  <c r="L145" i="1"/>
  <c r="L146" i="1"/>
  <c r="L147" i="1"/>
  <c r="L148" i="1"/>
  <c r="L149" i="1"/>
  <c r="M144" i="1"/>
  <c r="N144" i="1"/>
  <c r="L134" i="1"/>
  <c r="L135" i="1"/>
  <c r="L136" i="1"/>
  <c r="L137" i="1"/>
  <c r="L138" i="1"/>
  <c r="L139" i="1"/>
  <c r="M134" i="1"/>
  <c r="N134" i="1"/>
  <c r="L121" i="1"/>
  <c r="L122" i="1"/>
  <c r="L123" i="1"/>
  <c r="L124" i="1"/>
  <c r="L125" i="1"/>
  <c r="L126" i="1"/>
  <c r="M121" i="1"/>
  <c r="N121" i="1"/>
  <c r="L110" i="1"/>
  <c r="L111" i="1"/>
  <c r="L112" i="1"/>
  <c r="L113" i="1"/>
  <c r="L114" i="1"/>
  <c r="L115" i="1"/>
  <c r="M110" i="1"/>
  <c r="N110" i="1"/>
  <c r="L98" i="1"/>
  <c r="L99" i="1"/>
  <c r="L100" i="1"/>
  <c r="L101" i="1"/>
  <c r="L102" i="1"/>
  <c r="L103" i="1"/>
  <c r="M98" i="1"/>
  <c r="N98" i="1"/>
  <c r="L75" i="1"/>
  <c r="L76" i="1"/>
  <c r="L77" i="1"/>
  <c r="L78" i="1"/>
  <c r="L79" i="1"/>
  <c r="L80" i="1"/>
  <c r="M75" i="1"/>
  <c r="N75" i="1"/>
  <c r="L87" i="1"/>
  <c r="L88" i="1"/>
  <c r="L89" i="1"/>
  <c r="L90" i="1"/>
  <c r="L91" i="1"/>
  <c r="L92" i="1"/>
  <c r="M87" i="1"/>
  <c r="N87" i="1"/>
  <c r="L42" i="1"/>
  <c r="L43" i="1"/>
  <c r="L44" i="1"/>
  <c r="L45" i="1"/>
  <c r="L46" i="1"/>
  <c r="L47" i="1"/>
  <c r="M42" i="1"/>
  <c r="N42" i="1"/>
  <c r="L64" i="1"/>
  <c r="L65" i="1"/>
  <c r="L66" i="1"/>
  <c r="L67" i="1"/>
  <c r="L68" i="1"/>
  <c r="L69" i="1"/>
  <c r="M64" i="1"/>
  <c r="N64" i="1"/>
  <c r="L31" i="1"/>
  <c r="L32" i="1"/>
  <c r="L33" i="1"/>
  <c r="L34" i="1"/>
  <c r="L35" i="1"/>
  <c r="L36" i="1"/>
  <c r="M31" i="1"/>
  <c r="N31" i="1"/>
  <c r="L543" i="1"/>
  <c r="L20" i="1"/>
  <c r="L21" i="1"/>
  <c r="L22" i="1"/>
  <c r="L23" i="1"/>
  <c r="L24" i="1"/>
  <c r="L25" i="1"/>
  <c r="M20" i="1"/>
  <c r="N20" i="1"/>
  <c r="L255" i="1"/>
  <c r="L202" i="1"/>
  <c r="L48" i="1"/>
  <c r="L172" i="1"/>
  <c r="L127" i="1"/>
  <c r="L160" i="1"/>
  <c r="L116" i="1"/>
  <c r="L642" i="1"/>
  <c r="L192" i="1"/>
  <c r="L37" i="1"/>
  <c r="L631" i="1"/>
  <c r="C416" i="1"/>
  <c r="H416" i="1"/>
  <c r="J416" i="1"/>
  <c r="L416" i="1"/>
  <c r="L70" i="1"/>
  <c r="L212" i="1"/>
  <c r="L405" i="1"/>
  <c r="L533" i="1"/>
  <c r="L620" i="1"/>
  <c r="L301" i="1"/>
  <c r="L59" i="1"/>
  <c r="L233" i="1"/>
  <c r="L609" i="1"/>
  <c r="L522" i="1"/>
  <c r="L439" i="1"/>
  <c r="L394" i="1"/>
  <c r="L290" i="1"/>
  <c r="L244" i="1"/>
  <c r="L15" i="1"/>
  <c r="L587" i="1"/>
  <c r="L511" i="1"/>
  <c r="L383" i="1"/>
  <c r="L325" i="1"/>
  <c r="L222" i="1"/>
  <c r="L81" i="1"/>
  <c r="L576" i="1"/>
  <c r="L470" i="1"/>
  <c r="L554" i="1"/>
  <c r="L490" i="1"/>
  <c r="L372" i="1"/>
  <c r="L278" i="1"/>
  <c r="L150" i="1"/>
  <c r="L93" i="1"/>
  <c r="L667" i="1"/>
  <c r="L598" i="1"/>
  <c r="L460" i="1"/>
  <c r="L449" i="1"/>
  <c r="L361" i="1"/>
  <c r="L313" i="1"/>
  <c r="L182" i="1"/>
  <c r="L26" i="1"/>
  <c r="L655" i="1"/>
  <c r="L565" i="1"/>
  <c r="L501" i="1"/>
  <c r="L480" i="1"/>
  <c r="L350" i="1"/>
  <c r="L267" i="1"/>
  <c r="L140" i="1"/>
  <c r="L104" i="1"/>
</calcChain>
</file>

<file path=xl/sharedStrings.xml><?xml version="1.0" encoding="utf-8"?>
<sst xmlns="http://schemas.openxmlformats.org/spreadsheetml/2006/main" count="2171" uniqueCount="210">
  <si>
    <t>Metabolic reactions to consider at Panarea</t>
  </si>
  <si>
    <t>The La Calcara 2 CO number is taken from the La calcara 1 site.</t>
  </si>
  <si>
    <t>For neutral dissolved gas species, I am not using the activity coefficients given by GWB.</t>
  </si>
  <si>
    <t xml:space="preserve">For CO, I've taken the gas concentrations, converted them to fugacities and calculated their solubilities at the relevant temperatures. </t>
  </si>
  <si>
    <t xml:space="preserve">The problem with saying how many kJ are available per kg H2O is that as the ED and TEA are being depleted and the products are </t>
  </si>
  <si>
    <t>accumulating, the energetics of the reaction change, becomign less exergonic. One must track the energetics as a function of depletion and accumulation and integrate from the start point to equilibrium.</t>
  </si>
  <si>
    <r>
      <t>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</si>
  <si>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rPr>
        <b/>
        <sz val="11"/>
        <rFont val="Calibri"/>
        <family val="2"/>
        <scheme val="minor"/>
      </rPr>
      <t>S</t>
    </r>
    <r>
      <rPr>
        <b/>
        <vertAlign val="superscript"/>
        <sz val="1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oxidation/disproportionation</t>
    </r>
  </si>
  <si>
    <r>
      <t>Mn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</si>
  <si>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>NH</t>
    </r>
    <r>
      <rPr>
        <b/>
        <vertAlign val="subscript"/>
        <sz val="11"/>
        <rFont val="Calibri"/>
        <family val="2"/>
        <scheme val="minor"/>
      </rPr>
      <t>4</t>
    </r>
    <r>
      <rPr>
        <b/>
        <vertAlign val="superscript"/>
        <sz val="1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</si>
  <si>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>CH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</si>
  <si>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>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</si>
  <si>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</si>
  <si>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+ 2H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</si>
  <si>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t>-2.303RTlog(K/Q)</t>
  </si>
  <si>
    <r>
      <t>1/2O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--&gt;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</si>
  <si>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--&gt;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</si>
  <si>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1.5O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</si>
  <si>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2Mn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2MnO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</si>
  <si>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4MnO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+ 6H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--&gt;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 </t>
    </r>
    <r>
      <rPr>
        <sz val="11"/>
        <rFont val="Calibri"/>
        <family val="2"/>
        <scheme val="minor"/>
      </rPr>
      <t>+ 4Mn</t>
    </r>
    <r>
      <rPr>
        <vertAlign val="superscript"/>
        <sz val="11"/>
        <rFont val="Calibri"/>
        <family val="2"/>
        <scheme val="minor"/>
      </rPr>
      <t>2+</t>
    </r>
    <r>
      <rPr>
        <sz val="11"/>
        <rFont val="Calibri"/>
        <family val="2"/>
        <scheme val="minor"/>
      </rPr>
      <t xml:space="preserve"> + 5H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</t>
    </r>
  </si>
  <si>
    <r>
      <t>4Fe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4FeOOH + 8H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</si>
  <si>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2CO </t>
    </r>
    <r>
      <rPr>
        <sz val="11"/>
        <color theme="1"/>
        <rFont val="Calibri"/>
        <family val="2"/>
        <scheme val="minor"/>
      </rPr>
      <t xml:space="preserve"> --&gt; 2CO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</si>
  <si>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4CO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3CO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</t>
    </r>
  </si>
  <si>
    <t>Site</t>
  </si>
  <si>
    <t>Temp C</t>
  </si>
  <si>
    <t>Temp K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</si>
  <si>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</si>
  <si>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</si>
  <si>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</si>
  <si>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</si>
  <si>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 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/>
    </r>
  </si>
  <si>
    <t>log Q</t>
  </si>
  <si>
    <t>log K</t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</si>
  <si>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r</t>
    </r>
  </si>
  <si>
    <t>/8,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</si>
  <si>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</si>
  <si>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O</t>
    </r>
    <r>
      <rPr>
        <vertAlign val="subscript"/>
        <sz val="11"/>
        <color theme="1"/>
        <rFont val="Calibri"/>
        <family val="2"/>
        <scheme val="minor"/>
      </rPr>
      <t>2</t>
    </r>
  </si>
  <si>
    <t>/2, kJ</t>
  </si>
  <si>
    <t>/6,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</si>
  <si>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</t>
    </r>
  </si>
  <si>
    <t>/4,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</si>
  <si>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</si>
  <si>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</si>
  <si>
    <r>
      <t xml:space="preserve"> 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</si>
  <si>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</si>
  <si>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CO 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</si>
  <si>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CH</t>
    </r>
    <r>
      <rPr>
        <vertAlign val="subscript"/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</si>
  <si>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J / kg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</si>
  <si>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Hot lake 2</t>
  </si>
  <si>
    <t>La calcara 1</t>
  </si>
  <si>
    <t>Hot Lake 1</t>
  </si>
  <si>
    <t>Black Point Vent 2</t>
  </si>
  <si>
    <t>Black Point Vent 1</t>
  </si>
  <si>
    <t>La calcara 2</t>
  </si>
  <si>
    <t>seawater</t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</si>
  <si>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</si>
  <si>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</si>
  <si>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log a HS</t>
    </r>
    <r>
      <rPr>
        <vertAlign val="superscript"/>
        <sz val="11"/>
        <color theme="1"/>
        <rFont val="Calibri"/>
        <family val="2"/>
        <scheme val="minor"/>
      </rPr>
      <t>-</t>
    </r>
  </si>
  <si>
    <r>
      <t>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HS-  --&gt;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+ 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</si>
  <si>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2CO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2HCO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+ 2H</t>
    </r>
    <r>
      <rPr>
        <vertAlign val="superscript"/>
        <sz val="1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</si>
  <si>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4CO + 5H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3H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 3HCO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+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</t>
    </r>
  </si>
  <si>
    <r>
      <t>5CH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8H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 xml:space="preserve"> ---&gt; 5CO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</si>
  <si>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3H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</si>
  <si>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+ 8NO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+ 3SO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</t>
    </r>
  </si>
  <si>
    <r>
      <t>5S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+ 6NO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+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O---&gt;   3N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 + 4H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</si>
  <si>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3Mn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3MnO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</si>
  <si>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0.5N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 3FeOOH + 5H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</si>
  <si>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</si>
  <si>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2</t>
    </r>
  </si>
  <si>
    <t>/40,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</si>
  <si>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</si>
  <si>
    <t>/24 kJ</t>
  </si>
  <si>
    <t>/30,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</si>
  <si>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</si>
  <si>
    <r>
      <t>1.5O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--&gt;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perscript"/>
        <sz val="11"/>
        <color theme="1"/>
        <rFont val="Calibri"/>
        <family val="2"/>
        <scheme val="minor"/>
      </rPr>
      <t>+</t>
    </r>
  </si>
  <si>
    <t>/3, kJ</t>
  </si>
  <si>
    <r>
      <t>NO</t>
    </r>
    <r>
      <rPr>
        <b/>
        <vertAlign val="subscript"/>
        <sz val="11"/>
        <rFont val="Calibri"/>
        <family val="2"/>
        <scheme val="minor"/>
      </rPr>
      <t>2</t>
    </r>
    <r>
      <rPr>
        <b/>
        <vertAlign val="superscript"/>
        <sz val="1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oxidation</t>
    </r>
  </si>
  <si>
    <r>
      <t xml:space="preserve"> 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</si>
  <si>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 --&gt; 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</si>
  <si>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--&gt; 2NO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</si>
  <si>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</si>
  <si>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</si>
  <si>
    <r>
      <t>5CH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3H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 xml:space="preserve"> ---&gt; 5HCO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+ 9H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</si>
  <si>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3HS- + 8NO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+ 3SO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</si>
  <si>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 8FeOOH + 16H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 8Fe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+ 14H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</si>
  <si>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(goethite)</t>
  </si>
  <si>
    <r>
      <t>5H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</si>
  <si>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+ 8NO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---&gt;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+ 5SO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</t>
    </r>
  </si>
  <si>
    <t xml:space="preserve"> </t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</si>
  <si>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 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</si>
  <si>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/10, kJ</t>
  </si>
  <si>
    <r>
      <t>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+ 3NO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+  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O---&gt;   3NH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+ 4SO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 + 2H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</si>
  <si>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6Fe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+ 10H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 6FeOOH + 10H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</si>
  <si>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</si>
  <si>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t>/24, kJ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</si>
  <si>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 xml:space="preserve"> →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O.</t>
    </r>
  </si>
  <si>
    <r>
      <t>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5CO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5CO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</si>
  <si>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</si>
  <si>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 8FeOOH + 15H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8Fe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+ 13H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</si>
  <si>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5HS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+ 8NO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+ 3H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+ 5SO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</si>
  <si>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 4MnO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+ 8H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 4Mn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</si>
  <si>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4H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+ 2H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</si>
  <si>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4NH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+ 3SO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</t>
    </r>
  </si>
  <si>
    <r>
      <t>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5CO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3H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 5HCO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</si>
  <si>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</si>
  <si>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r>
      <t>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+ 3NO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+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O---&gt;   3NO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 + 2H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</si>
  <si>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5Fe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0.5N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 5FeOOH + 9H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</si>
  <si>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t>/5, kJ</t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</si>
  <si>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4CO --&gt; 4CO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</si>
  <si>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 4MnO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4Mn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</si>
  <si>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4H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 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</si>
  <si>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</si>
  <si>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--&gt;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</si>
  <si>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3HS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4NH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+ 3SO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</si>
  <si>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i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</si>
  <si>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log </t>
    </r>
    <r>
      <rPr>
        <i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</si>
  <si>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 xml:space="preserve">log Q 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</si>
  <si>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---&gt;  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</t>
    </r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</si>
  <si>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+ 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4CO --&gt;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+ 4HCO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</si>
  <si>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 </t>
    </r>
  </si>
  <si>
    <r>
      <t>5Mn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O--&gt; 5MnO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+ 8H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</si>
  <si>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8Fe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+ 13H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 8FeOOH + 14H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</si>
  <si>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3CO --&gt;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+ 3CO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</si>
  <si>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</si>
  <si>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</si>
  <si>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</si>
  <si>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 </t>
    </r>
  </si>
  <si>
    <t>error found in this reaction</t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</si>
  <si>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+ 8H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+ 10H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</si>
  <si>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+ 5S</t>
    </r>
    <r>
      <rPr>
        <vertAlign val="superscript"/>
        <sz val="11"/>
        <color theme="1"/>
        <rFont val="Calibri"/>
        <family val="2"/>
        <scheme val="minor"/>
      </rPr>
      <t>0</t>
    </r>
  </si>
  <si>
    <r>
      <t>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3CO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+ 3HCO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</si>
  <si>
    <t>24/, kJ</t>
  </si>
  <si>
    <r>
      <t>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 +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O---&gt;  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 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</si>
  <si>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3CO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 --&gt; 3CO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</t>
    </r>
  </si>
  <si>
    <r>
      <t>2Fe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2FeOOH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</si>
  <si>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 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</si>
  <si>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+ 5H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4N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</si>
  <si>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5HS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+ 7H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+ 5S</t>
    </r>
    <r>
      <rPr>
        <vertAlign val="superscript"/>
        <sz val="11"/>
        <color theme="1"/>
        <rFont val="Calibri"/>
        <family val="2"/>
        <scheme val="minor"/>
      </rPr>
      <t>0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</si>
  <si>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 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 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</si>
  <si>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3CO + --&gt;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+ 3HCO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</t>
    </r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</si>
  <si>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+ 8H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>--&gt;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 4NH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+ 3CO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</si>
  <si>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+  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+ 2H</t>
    </r>
    <r>
      <rPr>
        <vertAlign val="superscript"/>
        <sz val="11"/>
        <color theme="1"/>
        <rFont val="Calibri"/>
        <family val="2"/>
        <scheme val="minor"/>
      </rPr>
      <t>+</t>
    </r>
  </si>
  <si>
    <t>DISPROPORTIONATION</t>
  </si>
  <si>
    <r>
      <t>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 --&gt;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Mn</t>
    </r>
    <r>
      <rPr>
        <vertAlign val="superscript"/>
        <sz val="11"/>
        <rFont val="Calibri"/>
        <family val="2"/>
        <scheme val="minor"/>
      </rPr>
      <t>2+</t>
    </r>
    <r>
      <rPr>
        <sz val="11"/>
        <rFont val="Calibri"/>
        <family val="2"/>
        <scheme val="minor"/>
      </rPr>
      <t xml:space="preserve"> </t>
    </r>
  </si>
  <si>
    <t>/12, kJ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</si>
  <si>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</si>
  <si>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+ 5H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>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 4NH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+ 3HCO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</si>
  <si>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+  3HS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+ 5H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</si>
  <si>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 --&gt; </t>
    </r>
    <r>
      <rPr>
        <sz val="11"/>
        <color theme="1"/>
        <rFont val="Calibri"/>
        <family val="2"/>
        <scheme val="minor"/>
      </rPr>
      <t>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Mn</t>
    </r>
    <r>
      <rPr>
        <vertAlign val="superscript"/>
        <sz val="11"/>
        <rFont val="Calibri"/>
        <family val="2"/>
        <scheme val="minor"/>
      </rPr>
      <t>2+</t>
    </r>
    <r>
      <rPr>
        <sz val="1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</si>
  <si>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2H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 xml:space="preserve"> ---&gt;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 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</si>
  <si>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3H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</si>
  <si>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+ 2NO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+ 3S</t>
    </r>
    <r>
      <rPr>
        <vertAlign val="superscript"/>
        <sz val="11"/>
        <color theme="1"/>
        <rFont val="Calibri"/>
        <family val="2"/>
        <scheme val="minor"/>
      </rPr>
      <t>0</t>
    </r>
  </si>
  <si>
    <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+ 4CO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--&gt; + 4CO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S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</si>
  <si>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</si>
  <si>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 H</t>
    </r>
    <r>
      <rPr>
        <vertAlign val="superscript"/>
        <sz val="11"/>
        <color theme="1"/>
        <rFont val="Calibri"/>
        <family val="2"/>
        <scheme val="minor"/>
      </rPr>
      <t xml:space="preserve">+  </t>
    </r>
    <r>
      <rPr>
        <sz val="11"/>
        <color theme="1"/>
        <rFont val="Calibri"/>
        <family val="2"/>
        <scheme val="minor"/>
      </rPr>
      <t xml:space="preserve"> ---&gt; </t>
    </r>
    <r>
      <rPr>
        <sz val="11"/>
        <color theme="1"/>
        <rFont val="Calibri"/>
        <family val="2"/>
        <scheme val="minor"/>
      </rPr>
      <t xml:space="preserve"> 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</si>
  <si>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3HS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+ 5H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+ 3S</t>
    </r>
    <r>
      <rPr>
        <vertAlign val="superscript"/>
        <sz val="11"/>
        <color theme="1"/>
        <rFont val="Calibri"/>
        <family val="2"/>
        <scheme val="minor"/>
      </rPr>
      <t>0</t>
    </r>
  </si>
  <si>
    <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 + 4CO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--&gt; 3H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+ 4HCO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 + HS</t>
    </r>
    <r>
      <rPr>
        <vertAlign val="superscript"/>
        <sz val="11"/>
        <rFont val="Calibri"/>
        <family val="2"/>
        <scheme val="minor"/>
      </rPr>
      <t>-</t>
    </r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</si>
  <si>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+ 8H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3CO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+ 10H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</si>
  <si>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r>
      <t>4H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>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---&gt;  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</si>
  <si>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t>HS-</t>
  </si>
  <si>
    <t>HCO3-</t>
  </si>
  <si>
    <r>
      <t>3CH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+ 5H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--&gt; 3HCO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</si>
  <si>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t>EXAMPLE of DGor vs DGr</t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</si>
  <si>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  </t>
    </r>
  </si>
  <si>
    <r>
      <t>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 ---&gt;  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</si>
  <si>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--&gt; 5H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+ 4HS-  </t>
    </r>
  </si>
  <si>
    <t>check this</t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</si>
  <si>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vertAlign val="superscript"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---&gt;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 CO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</si>
  <si>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t>3H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---&gt;   2NH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</si>
  <si>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 ---&gt;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+ HCO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</si>
  <si>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 + 3H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--&gt;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per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+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</si>
  <si>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</si>
  <si>
    <t>/ ED</t>
  </si>
  <si>
    <t>/EA</t>
  </si>
  <si>
    <t>Lesser</t>
  </si>
  <si>
    <t>Exergonicity</t>
  </si>
  <si>
    <t>mol HS-</t>
  </si>
  <si>
    <t>NA</t>
  </si>
  <si>
    <r>
      <t>mol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</si>
  <si>
    <r>
      <t>mol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</si>
  <si>
    <t>/ED</t>
  </si>
  <si>
    <r>
      <t>mol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</si>
  <si>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mol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</si>
  <si>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mol 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</si>
  <si>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r>
      <t>mol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</si>
  <si>
    <r>
      <t>mol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</t>
    </r>
  </si>
  <si>
    <r>
      <t>mol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</t>
    </r>
  </si>
  <si>
    <r>
      <t>mol Fe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</si>
  <si>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mol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</si>
  <si>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mol Mn</t>
    </r>
    <r>
      <rPr>
        <vertAlign val="superscript"/>
        <sz val="11"/>
        <color theme="1"/>
        <rFont val="Calibri"/>
        <family val="2"/>
        <scheme val="minor"/>
      </rPr>
      <t>2+</t>
    </r>
  </si>
  <si>
    <t>+/-</t>
  </si>
  <si>
    <t>Avg. H+L</t>
  </si>
  <si>
    <t>Plotting range:</t>
  </si>
  <si>
    <t>LR = limting reactant (either ED or EA)</t>
  </si>
  <si>
    <t>Min</t>
  </si>
  <si>
    <t>Max</t>
  </si>
  <si>
    <r>
      <t xml:space="preserve"> 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+ 2H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--&gt;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</si>
  <si>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t>CO oxidation / disproportionation</t>
  </si>
  <si>
    <r>
      <t xml:space="preserve"> 3MnO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+ 4H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  --&gt; 3Mn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+ 4H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</si>
  <si>
    <t>log (seawater J)</t>
  </si>
  <si>
    <t>Log midpoint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</si>
  <si>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: J / kg H2O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</si>
  <si>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: J / kg H2O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</si>
  <si>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: J / kg H2O</t>
    </r>
  </si>
  <si>
    <r>
      <t>S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J / kg H2O</t>
    </r>
  </si>
  <si>
    <r>
      <t>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: J / kg H2O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</si>
  <si>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: J / kg H2O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</si>
  <si>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: J / kg H2O</t>
    </r>
  </si>
  <si>
    <t>CO : J / kg H2O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</si>
  <si>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: J / kg H2O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</si>
</sst>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vertAlign val="subscript"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7" fillId="8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2" xfId="3" applyFont="1"/>
    <xf numFmtId="0" fontId="0" fillId="0" borderId="0" xfId="0" applyNumberForma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3" fillId="0" borderId="0" xfId="2" applyFill="1" applyBorder="1"/>
    <xf numFmtId="0" fontId="0" fillId="5" borderId="2" xfId="3" applyFont="1" applyFill="1"/>
    <xf numFmtId="0" fontId="2" fillId="0" borderId="0" xfId="1" quotePrefix="1" applyFill="1"/>
    <xf numFmtId="0" fontId="0" fillId="5" borderId="0" xfId="0" applyFill="1" applyBorder="1"/>
    <xf numFmtId="0" fontId="0" fillId="0" borderId="0" xfId="0" applyFont="1"/>
    <xf numFmtId="0" fontId="0" fillId="0" borderId="2" xfId="3" applyFont="1" applyFill="1"/>
    <xf numFmtId="0" fontId="0" fillId="5" borderId="0" xfId="0" applyFont="1" applyFill="1"/>
    <xf numFmtId="0" fontId="0" fillId="6" borderId="0" xfId="0" applyFill="1"/>
    <xf numFmtId="0" fontId="2" fillId="0" borderId="0" xfId="1" quotePrefix="1" applyFill="1" applyBorder="1"/>
    <xf numFmtId="0" fontId="0" fillId="7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7" fillId="8" borderId="0" xfId="4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7" fillId="8" borderId="0" xfId="4" applyNumberFormat="1"/>
    <xf numFmtId="166" fontId="0" fillId="0" borderId="0" xfId="0" applyNumberFormat="1"/>
    <xf numFmtId="2" fontId="0" fillId="0" borderId="0" xfId="0" applyNumberFormat="1"/>
  </cellXfs>
  <cellStyles count="7">
    <cellStyle name="Bad" xfId="4" builtinId="27"/>
    <cellStyle name="Followed Hyperlink" xfId="6" builtinId="9" hidden="1"/>
    <cellStyle name="Good" xfId="1" builtinId="26"/>
    <cellStyle name="Hyperlink" xfId="5" builtinId="8" hidden="1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95"/>
  <sheetViews>
    <sheetView tabSelected="1" topLeftCell="A55" workbookViewId="0">
      <selection activeCell="Q64" sqref="Q64"/>
    </sheetView>
  </sheetViews>
  <sheetFormatPr baseColWidth="10" defaultColWidth="8.83203125" defaultRowHeight="14" x14ac:dyDescent="0"/>
  <cols>
    <col min="1" max="1" width="16.6640625" customWidth="1"/>
    <col min="4" max="5" width="10.6640625" customWidth="1"/>
    <col min="6" max="6" width="11.6640625" customWidth="1"/>
    <col min="7" max="15" width="10.6640625" customWidth="1"/>
    <col min="17" max="17" width="14.6640625" style="27" customWidth="1"/>
    <col min="18" max="18" width="16.6640625" style="27" customWidth="1"/>
    <col min="19" max="19" width="14.6640625" customWidth="1"/>
    <col min="20" max="25" width="10.6640625" customWidth="1"/>
    <col min="26" max="26" width="16.6640625" customWidth="1"/>
    <col min="28" max="29" width="16.6640625" customWidth="1"/>
    <col min="30" max="33" width="10.6640625" customWidth="1"/>
    <col min="39" max="39" width="16.6640625" customWidth="1"/>
    <col min="42" max="46" width="10.6640625" customWidth="1"/>
    <col min="52" max="52" width="16.6640625" customWidth="1"/>
    <col min="55" max="59" width="10.6640625" customWidth="1"/>
    <col min="64" max="64" width="16.6640625" customWidth="1"/>
    <col min="67" max="70" width="10.6640625" customWidth="1"/>
    <col min="76" max="76" width="16.6640625" customWidth="1"/>
    <col min="78" max="78" width="11.6640625" customWidth="1"/>
    <col min="79" max="82" width="10.6640625" customWidth="1"/>
    <col min="83" max="83" width="12.6640625" customWidth="1"/>
    <col min="84" max="84" width="10.6640625" customWidth="1"/>
    <col min="88" max="88" width="16.6640625" customWidth="1"/>
    <col min="94" max="95" width="10.6640625" customWidth="1"/>
    <col min="101" max="101" width="16.6640625" customWidth="1"/>
    <col min="107" max="107" width="10.6640625" customWidth="1"/>
    <col min="113" max="116" width="14.6640625" customWidth="1"/>
    <col min="118" max="119" width="10.6640625" customWidth="1"/>
  </cols>
  <sheetData>
    <row r="1" spans="1:85">
      <c r="A1" t="s">
        <v>0</v>
      </c>
      <c r="H1" t="s">
        <v>1</v>
      </c>
      <c r="CA1" s="1"/>
    </row>
    <row r="2" spans="1:85">
      <c r="A2" t="s">
        <v>2</v>
      </c>
      <c r="CE2" s="2"/>
      <c r="CF2" s="2"/>
      <c r="CG2" s="3"/>
    </row>
    <row r="3" spans="1:85">
      <c r="A3" t="s">
        <v>3</v>
      </c>
      <c r="T3" s="4"/>
      <c r="CE3" s="5"/>
      <c r="CF3" s="6"/>
      <c r="CG3" s="3"/>
    </row>
    <row r="4" spans="1:85">
      <c r="A4" t="s">
        <v>4</v>
      </c>
      <c r="T4" s="4"/>
      <c r="CE4" s="5"/>
      <c r="CF4" s="6"/>
      <c r="CG4" s="3"/>
    </row>
    <row r="5" spans="1:85">
      <c r="A5" t="s">
        <v>5</v>
      </c>
    </row>
    <row r="6" spans="1:85" ht="16">
      <c r="C6" s="4" t="s">
        <v>10</v>
      </c>
      <c r="Q6" s="27" t="s">
        <v>193</v>
      </c>
    </row>
    <row r="7" spans="1:85" ht="17">
      <c r="D7" s="7" t="s">
        <v>111</v>
      </c>
      <c r="E7" s="7"/>
      <c r="F7" s="7"/>
      <c r="M7" t="s">
        <v>192</v>
      </c>
      <c r="Q7" s="27" t="s">
        <v>172</v>
      </c>
      <c r="R7" s="27" t="s">
        <v>173</v>
      </c>
      <c r="S7" t="s">
        <v>174</v>
      </c>
    </row>
    <row r="8" spans="1:85" ht="17">
      <c r="A8" t="s">
        <v>23</v>
      </c>
      <c r="B8" t="s">
        <v>24</v>
      </c>
      <c r="C8" t="s">
        <v>25</v>
      </c>
      <c r="D8" t="s">
        <v>26</v>
      </c>
      <c r="E8" t="s">
        <v>36</v>
      </c>
      <c r="F8" t="s">
        <v>28</v>
      </c>
      <c r="G8" t="s">
        <v>30</v>
      </c>
      <c r="I8" t="s">
        <v>31</v>
      </c>
      <c r="J8" t="s">
        <v>32</v>
      </c>
      <c r="K8" t="s">
        <v>33</v>
      </c>
      <c r="L8" t="s">
        <v>34</v>
      </c>
      <c r="M8" t="s">
        <v>191</v>
      </c>
      <c r="N8" s="1" t="s">
        <v>190</v>
      </c>
      <c r="Q8" s="27" t="s">
        <v>47</v>
      </c>
      <c r="R8" s="27" t="s">
        <v>47</v>
      </c>
      <c r="S8" t="s">
        <v>175</v>
      </c>
      <c r="T8" t="s">
        <v>195</v>
      </c>
      <c r="U8" t="s">
        <v>194</v>
      </c>
      <c r="V8" t="s">
        <v>200</v>
      </c>
      <c r="W8" s="1" t="s">
        <v>190</v>
      </c>
      <c r="X8" t="s">
        <v>199</v>
      </c>
    </row>
    <row r="9" spans="1:85">
      <c r="A9" t="s">
        <v>48</v>
      </c>
      <c r="B9">
        <v>54.7</v>
      </c>
      <c r="C9">
        <f t="shared" ref="C9:C15" si="0">B9+273</f>
        <v>327.7</v>
      </c>
      <c r="D9">
        <v>-8.32</v>
      </c>
      <c r="E9">
        <v>-6.11</v>
      </c>
      <c r="F9">
        <v>-3.0752000000000002</v>
      </c>
      <c r="G9">
        <v>-5.2</v>
      </c>
      <c r="I9">
        <f>F9-D9-2*E9</f>
        <v>17.4648</v>
      </c>
      <c r="J9">
        <v>136.42189999999999</v>
      </c>
      <c r="K9">
        <f>-2.303*8.314*C9*(J9-I9)</f>
        <v>-746398.51673380705</v>
      </c>
      <c r="L9">
        <f>K9/(8*1000)</f>
        <v>-93.299814591725877</v>
      </c>
      <c r="M9">
        <f>AVERAGE(MIN(L9:L14),MAX(L9:L14))</f>
        <v>-94.160480180331177</v>
      </c>
      <c r="N9">
        <f>ABS(MAX(L9:L14)-M9)</f>
        <v>2.9271536066341923</v>
      </c>
      <c r="Q9" s="27">
        <f t="shared" ref="Q9:Q15" si="1">10^D9*K9</f>
        <v>-3.572487909737816E-3</v>
      </c>
      <c r="R9" s="27">
        <f>(K9/2)*(10^E9)</f>
        <v>-0.28969484823527442</v>
      </c>
      <c r="S9">
        <f t="shared" ref="S9:S15" si="2">IF(Q9&gt;R9, Q9,R9)</f>
        <v>-3.572487909737816E-3</v>
      </c>
      <c r="T9">
        <f>(ABS(MIN(S9:S14)))</f>
        <v>0.61695559007646139</v>
      </c>
      <c r="U9">
        <f>(ABS(MAX(S9:S14)))</f>
        <v>3.0061518315760076E-3</v>
      </c>
      <c r="V9">
        <f>AVERAGE(LOG(T9),LOG(U9))</f>
        <v>-1.3658675923447681</v>
      </c>
      <c r="W9">
        <f>ABS(V9-LOG(T9))</f>
        <v>1.1561214959584323</v>
      </c>
    </row>
    <row r="10" spans="1:85">
      <c r="A10" t="s">
        <v>49</v>
      </c>
      <c r="B10">
        <v>60.3</v>
      </c>
      <c r="C10">
        <f t="shared" si="0"/>
        <v>333.3</v>
      </c>
      <c r="D10">
        <v>-5.27</v>
      </c>
      <c r="E10">
        <v>-6.22</v>
      </c>
      <c r="F10">
        <v>-2.7027000000000001</v>
      </c>
      <c r="G10">
        <v>-5.2</v>
      </c>
      <c r="I10">
        <f t="shared" ref="I10:I14" si="3">F10-D10-2*E10</f>
        <v>15.007299999999999</v>
      </c>
      <c r="J10">
        <v>134.3116</v>
      </c>
      <c r="K10">
        <f t="shared" ref="K10:K15" si="4">-2.303*8.314*C10*(J10-I10)</f>
        <v>-761369.31322442286</v>
      </c>
      <c r="L10">
        <f t="shared" ref="L10:L15" si="5">K10/(8*1000)</f>
        <v>-95.171164153052857</v>
      </c>
      <c r="Q10" s="27">
        <f t="shared" si="1"/>
        <v>-4.0887952998209762</v>
      </c>
      <c r="R10" s="27">
        <f t="shared" ref="R10:R15" si="6">(K10/2)*(10^E10)</f>
        <v>-0.22938518911311293</v>
      </c>
      <c r="S10">
        <f t="shared" si="2"/>
        <v>-0.22938518911311293</v>
      </c>
    </row>
    <row r="11" spans="1:85">
      <c r="A11" t="s">
        <v>50</v>
      </c>
      <c r="B11">
        <v>80.099999999999994</v>
      </c>
      <c r="C11">
        <f t="shared" si="0"/>
        <v>353.1</v>
      </c>
      <c r="D11">
        <v>-8.4</v>
      </c>
      <c r="E11">
        <v>-4.5999999999999996</v>
      </c>
      <c r="F11">
        <v>-2.8500999999999999</v>
      </c>
      <c r="G11">
        <v>-4.7</v>
      </c>
      <c r="I11">
        <f t="shared" si="3"/>
        <v>14.7499</v>
      </c>
      <c r="J11">
        <v>126.43859999999999</v>
      </c>
      <c r="K11">
        <f t="shared" si="4"/>
        <v>-755111.19967934571</v>
      </c>
      <c r="L11">
        <f t="shared" si="5"/>
        <v>-94.38889995991822</v>
      </c>
      <c r="Q11" s="27">
        <f t="shared" si="1"/>
        <v>-3.0061518315760076E-3</v>
      </c>
      <c r="R11" s="27">
        <f t="shared" si="6"/>
        <v>-9.4837678837773449</v>
      </c>
      <c r="S11">
        <f t="shared" si="2"/>
        <v>-3.0061518315760076E-3</v>
      </c>
    </row>
    <row r="12" spans="1:85">
      <c r="A12" t="s">
        <v>51</v>
      </c>
      <c r="B12">
        <v>96.6</v>
      </c>
      <c r="C12">
        <f t="shared" si="0"/>
        <v>369.6</v>
      </c>
      <c r="D12">
        <v>-6.1</v>
      </c>
      <c r="E12">
        <v>-3.62</v>
      </c>
      <c r="F12">
        <v>-2.71</v>
      </c>
      <c r="G12">
        <v>-5.6</v>
      </c>
      <c r="I12">
        <f t="shared" si="3"/>
        <v>10.629999999999999</v>
      </c>
      <c r="J12">
        <v>120.38339999999999</v>
      </c>
      <c r="K12">
        <f t="shared" si="4"/>
        <v>-776701.07029572292</v>
      </c>
      <c r="L12">
        <f t="shared" si="5"/>
        <v>-97.08763378696537</v>
      </c>
      <c r="Q12" s="27">
        <f t="shared" si="1"/>
        <v>-0.61695559007646139</v>
      </c>
      <c r="R12" s="27">
        <f t="shared" si="6"/>
        <v>-93.158804783152476</v>
      </c>
      <c r="S12">
        <f t="shared" si="2"/>
        <v>-0.61695559007646139</v>
      </c>
    </row>
    <row r="13" spans="1:85">
      <c r="A13" t="s">
        <v>52</v>
      </c>
      <c r="B13">
        <v>135</v>
      </c>
      <c r="C13">
        <f t="shared" si="0"/>
        <v>408</v>
      </c>
      <c r="D13">
        <v>-6.1</v>
      </c>
      <c r="E13">
        <v>-3.71</v>
      </c>
      <c r="F13">
        <v>-3.0543999999999998</v>
      </c>
      <c r="G13">
        <v>-2.9</v>
      </c>
      <c r="I13">
        <f t="shared" si="3"/>
        <v>10.4656</v>
      </c>
      <c r="J13">
        <v>108.586</v>
      </c>
      <c r="K13">
        <f t="shared" si="4"/>
        <v>-766519.8946138944</v>
      </c>
      <c r="L13">
        <f t="shared" si="5"/>
        <v>-95.814986826736799</v>
      </c>
      <c r="Q13" s="27">
        <f t="shared" si="1"/>
        <v>-0.60886839476969679</v>
      </c>
      <c r="R13" s="27">
        <f t="shared" si="6"/>
        <v>-74.729733856000394</v>
      </c>
      <c r="S13">
        <f t="shared" si="2"/>
        <v>-0.60886839476969679</v>
      </c>
    </row>
    <row r="14" spans="1:85">
      <c r="A14" t="s">
        <v>53</v>
      </c>
      <c r="B14">
        <v>135</v>
      </c>
      <c r="C14">
        <f t="shared" si="0"/>
        <v>408</v>
      </c>
      <c r="D14">
        <v>-5.26</v>
      </c>
      <c r="E14">
        <v>-6.25</v>
      </c>
      <c r="F14">
        <v>-2.6025</v>
      </c>
      <c r="G14">
        <v>-5</v>
      </c>
      <c r="I14">
        <f t="shared" si="3"/>
        <v>15.157499999999999</v>
      </c>
      <c r="J14">
        <v>108.586</v>
      </c>
      <c r="K14">
        <f t="shared" si="4"/>
        <v>-729866.61258957593</v>
      </c>
      <c r="L14">
        <f t="shared" si="5"/>
        <v>-91.233326573696985</v>
      </c>
      <c r="Q14" s="27">
        <f t="shared" si="1"/>
        <v>-4.0109153608197934</v>
      </c>
      <c r="R14" s="27">
        <f t="shared" si="6"/>
        <v>-0.20521707906790648</v>
      </c>
      <c r="S14">
        <f t="shared" si="2"/>
        <v>-0.20521707906790648</v>
      </c>
    </row>
    <row r="15" spans="1:85">
      <c r="A15" s="11" t="s">
        <v>54</v>
      </c>
      <c r="B15">
        <v>20</v>
      </c>
      <c r="C15">
        <f t="shared" si="0"/>
        <v>293</v>
      </c>
      <c r="D15">
        <v>-6.5</v>
      </c>
      <c r="E15" s="3">
        <v>-3.6</v>
      </c>
      <c r="F15">
        <v>-3</v>
      </c>
      <c r="G15">
        <v>-8.02</v>
      </c>
      <c r="H15" s="3"/>
      <c r="I15" s="11">
        <f>F15+G15-D15-2*E15</f>
        <v>2.6800000000000006</v>
      </c>
      <c r="J15">
        <v>146.71680000000001</v>
      </c>
      <c r="K15">
        <f t="shared" si="4"/>
        <v>-808062.66740790079</v>
      </c>
      <c r="L15">
        <f t="shared" si="5"/>
        <v>-101.0078334259876</v>
      </c>
      <c r="Q15" s="27">
        <f t="shared" si="1"/>
        <v>-0.2555318521160071</v>
      </c>
      <c r="R15" s="27">
        <f t="shared" si="6"/>
        <v>-101.48808250356711</v>
      </c>
      <c r="S15">
        <f t="shared" si="2"/>
        <v>-0.2555318521160071</v>
      </c>
      <c r="X15">
        <f>LOG(ABS(S15))</f>
        <v>-0.59255495722779294</v>
      </c>
    </row>
    <row r="16" spans="1:85" ht="17">
      <c r="B16" s="11" t="s">
        <v>123</v>
      </c>
      <c r="C16" s="16"/>
      <c r="D16" s="16"/>
      <c r="F16" t="s">
        <v>56</v>
      </c>
      <c r="G16" s="3"/>
      <c r="H16" s="3"/>
      <c r="I16" s="3"/>
      <c r="K16" s="1" t="s">
        <v>88</v>
      </c>
    </row>
    <row r="17" spans="1:124">
      <c r="K17" s="15"/>
    </row>
    <row r="18" spans="1:124" ht="17">
      <c r="D18" s="7" t="s">
        <v>61</v>
      </c>
      <c r="E18" s="7"/>
      <c r="F18" s="7"/>
      <c r="G18" s="7"/>
      <c r="H18" s="7"/>
      <c r="Q18" s="27" t="s">
        <v>172</v>
      </c>
      <c r="R18" s="27" t="s">
        <v>173</v>
      </c>
      <c r="S18" t="s">
        <v>174</v>
      </c>
    </row>
    <row r="19" spans="1:124" ht="17">
      <c r="A19" t="s">
        <v>23</v>
      </c>
      <c r="B19" t="s">
        <v>24</v>
      </c>
      <c r="C19" t="s">
        <v>25</v>
      </c>
      <c r="D19" t="s">
        <v>26</v>
      </c>
      <c r="E19" t="s">
        <v>67</v>
      </c>
      <c r="F19" t="s">
        <v>30</v>
      </c>
      <c r="G19" t="s">
        <v>28</v>
      </c>
      <c r="H19" t="s">
        <v>68</v>
      </c>
      <c r="I19" t="s">
        <v>31</v>
      </c>
      <c r="J19" t="s">
        <v>32</v>
      </c>
      <c r="K19" t="s">
        <v>33</v>
      </c>
      <c r="L19" t="s">
        <v>69</v>
      </c>
      <c r="M19" t="s">
        <v>191</v>
      </c>
      <c r="N19" s="1" t="s">
        <v>190</v>
      </c>
      <c r="P19" t="s">
        <v>178</v>
      </c>
      <c r="Q19" s="27" t="s">
        <v>47</v>
      </c>
      <c r="R19" s="27" t="s">
        <v>47</v>
      </c>
      <c r="S19" t="s">
        <v>175</v>
      </c>
      <c r="T19" t="s">
        <v>195</v>
      </c>
      <c r="U19" t="s">
        <v>194</v>
      </c>
      <c r="V19" t="s">
        <v>200</v>
      </c>
      <c r="W19" s="1" t="s">
        <v>190</v>
      </c>
      <c r="X19" t="s">
        <v>199</v>
      </c>
      <c r="DT19" s="1"/>
    </row>
    <row r="20" spans="1:124">
      <c r="A20" t="s">
        <v>48</v>
      </c>
      <c r="B20">
        <v>54.7</v>
      </c>
      <c r="C20">
        <f>B20+273</f>
        <v>327.7</v>
      </c>
      <c r="D20">
        <v>-8.32</v>
      </c>
      <c r="E20">
        <v>-4.7778</v>
      </c>
      <c r="F20">
        <v>-5.2</v>
      </c>
      <c r="G20">
        <v>-3.0752000000000002</v>
      </c>
      <c r="H20">
        <v>-5.6195000000000004</v>
      </c>
      <c r="I20">
        <f>5*G20+4*H20-5*D20-8*E20-8*F20</f>
        <v>83.568399999999997</v>
      </c>
      <c r="J20">
        <v>657.62630000000001</v>
      </c>
      <c r="K20">
        <f t="shared" ref="K20:K26" si="7">-2.303*8.314*C20*(J20-I20)</f>
        <v>-3601936.8753888938</v>
      </c>
      <c r="L20">
        <f t="shared" ref="L20:L26" si="8">K20/40000</f>
        <v>-90.048421884722345</v>
      </c>
      <c r="M20">
        <f t="shared" ref="M20:M64" si="9">AVERAGE(MIN(L20:L25),MAX(L20:L25))</f>
        <v>-92.528249440991374</v>
      </c>
      <c r="N20">
        <f t="shared" ref="N20" si="10">ABS(MAX(L20:L25)-M20)</f>
        <v>2.5594956165583227</v>
      </c>
      <c r="P20" s="23">
        <v>2.8059999999999999E-5</v>
      </c>
      <c r="Q20" s="27">
        <f>(10^D20)*(K20/5)</f>
        <v>-3.4479907584153953E-3</v>
      </c>
      <c r="R20" s="27">
        <f>(K20/8)*P20</f>
        <v>-12.633793590426544</v>
      </c>
      <c r="S20">
        <f t="shared" ref="S20:S26" si="11">IF(Q20&gt;R20, Q20,R20)</f>
        <v>-3.4479907584153953E-3</v>
      </c>
      <c r="T20">
        <f>(ABS(MIN(S20:S25)))</f>
        <v>4.0006421353495769</v>
      </c>
      <c r="U20">
        <f t="shared" ref="U20" si="12">(ABS(MAX(S20:S25)))</f>
        <v>2.8653764818615296E-3</v>
      </c>
      <c r="V20">
        <f t="shared" ref="V20" si="13">AVERAGE(LOG(T20),LOG(U20))</f>
        <v>-0.97034430164825869</v>
      </c>
      <c r="W20">
        <f t="shared" ref="W20" si="14">ABS(V20-LOG(T20))</f>
        <v>1.5724740063404328</v>
      </c>
    </row>
    <row r="21" spans="1:124">
      <c r="A21" t="s">
        <v>49</v>
      </c>
      <c r="B21">
        <v>60.3</v>
      </c>
      <c r="C21">
        <f t="shared" ref="C21:C26" si="15">B21+273</f>
        <v>333.3</v>
      </c>
      <c r="D21">
        <v>-5.27</v>
      </c>
      <c r="E21">
        <v>-4.7697000000000003</v>
      </c>
      <c r="F21">
        <v>-5.2</v>
      </c>
      <c r="G21">
        <v>-2.7027000000000001</v>
      </c>
      <c r="H21">
        <v>-5.8804999999999996</v>
      </c>
      <c r="I21">
        <f t="shared" ref="I21:I24" si="16">5*G21+4*H21-5*D21-8*E21-8*F21</f>
        <v>69.072100000000006</v>
      </c>
      <c r="J21">
        <v>648.19370000000004</v>
      </c>
      <c r="K21">
        <f t="shared" si="7"/>
        <v>-3695804.8860387178</v>
      </c>
      <c r="L21">
        <f t="shared" si="8"/>
        <v>-92.39512215096795</v>
      </c>
      <c r="P21" s="23">
        <v>2.7889999999999999E-5</v>
      </c>
      <c r="Q21" s="27">
        <f t="shared" ref="Q21:Q26" si="17">(10^D21)*(K21/5)</f>
        <v>-3.9695294739666616</v>
      </c>
      <c r="R21" s="27">
        <f t="shared" ref="R21:R26" si="18">(K21/8)*P21</f>
        <v>-12.88449978395248</v>
      </c>
      <c r="S21">
        <f t="shared" si="11"/>
        <v>-3.9695294739666616</v>
      </c>
    </row>
    <row r="22" spans="1:124">
      <c r="A22" t="s">
        <v>50</v>
      </c>
      <c r="B22">
        <v>80.099999999999994</v>
      </c>
      <c r="C22">
        <f t="shared" si="15"/>
        <v>353.1</v>
      </c>
      <c r="D22">
        <v>-8.4</v>
      </c>
      <c r="E22">
        <v>-4.7794999999999996</v>
      </c>
      <c r="F22">
        <v>-4.7</v>
      </c>
      <c r="G22">
        <v>-2.8500999999999999</v>
      </c>
      <c r="H22">
        <v>-5.63</v>
      </c>
      <c r="I22">
        <f t="shared" si="16"/>
        <v>81.0655</v>
      </c>
      <c r="J22">
        <v>613.35760000000005</v>
      </c>
      <c r="K22">
        <f t="shared" si="7"/>
        <v>-3598750.1529773222</v>
      </c>
      <c r="L22">
        <f t="shared" si="8"/>
        <v>-89.968753824433051</v>
      </c>
      <c r="P22" s="23">
        <v>2.8920000000000001E-5</v>
      </c>
      <c r="Q22" s="27">
        <f t="shared" si="17"/>
        <v>-2.8653764818615296E-3</v>
      </c>
      <c r="R22" s="27">
        <f t="shared" si="18"/>
        <v>-13.009481803013021</v>
      </c>
      <c r="S22">
        <f t="shared" si="11"/>
        <v>-2.8653764818615296E-3</v>
      </c>
    </row>
    <row r="23" spans="1:124">
      <c r="A23" t="s">
        <v>51</v>
      </c>
      <c r="B23">
        <v>96.6</v>
      </c>
      <c r="C23">
        <f t="shared" si="15"/>
        <v>369.6</v>
      </c>
      <c r="D23">
        <v>-6.1</v>
      </c>
      <c r="E23">
        <v>-4.6773999999999996</v>
      </c>
      <c r="F23">
        <v>-5.6</v>
      </c>
      <c r="G23">
        <v>-2.71</v>
      </c>
      <c r="H23">
        <v>-5.718</v>
      </c>
      <c r="I23">
        <f t="shared" si="16"/>
        <v>76.297200000000004</v>
      </c>
      <c r="J23">
        <v>586.96400000000006</v>
      </c>
      <c r="K23">
        <f t="shared" si="7"/>
        <v>-3613878.4777919585</v>
      </c>
      <c r="L23">
        <f t="shared" si="8"/>
        <v>-90.346961944798963</v>
      </c>
      <c r="P23" s="23">
        <v>3.6059999999999997E-5</v>
      </c>
      <c r="Q23" s="27">
        <f t="shared" si="17"/>
        <v>-0.57412114235451173</v>
      </c>
      <c r="R23" s="27">
        <f t="shared" si="18"/>
        <v>-16.289557238647252</v>
      </c>
      <c r="S23">
        <f t="shared" si="11"/>
        <v>-0.57412114235451173</v>
      </c>
    </row>
    <row r="24" spans="1:124">
      <c r="A24" t="s">
        <v>52</v>
      </c>
      <c r="B24">
        <v>135</v>
      </c>
      <c r="C24">
        <f t="shared" si="15"/>
        <v>408</v>
      </c>
      <c r="D24">
        <v>-6.1</v>
      </c>
      <c r="E24">
        <v>-4.2153</v>
      </c>
      <c r="F24">
        <v>-2.9</v>
      </c>
      <c r="G24">
        <v>-3.0543999999999998</v>
      </c>
      <c r="H24">
        <v>-5.5933999999999999</v>
      </c>
      <c r="I24">
        <f t="shared" si="16"/>
        <v>49.776799999999994</v>
      </c>
      <c r="J24">
        <v>536.65509999999995</v>
      </c>
      <c r="K24">
        <f t="shared" si="7"/>
        <v>-3803509.8023019885</v>
      </c>
      <c r="L24">
        <f t="shared" si="8"/>
        <v>-95.087745057549711</v>
      </c>
      <c r="P24">
        <v>1.147E-4</v>
      </c>
      <c r="Q24" s="27">
        <f t="shared" si="17"/>
        <v>-0.60424704540380758</v>
      </c>
      <c r="R24" s="27">
        <f t="shared" si="18"/>
        <v>-54.532821790504755</v>
      </c>
      <c r="S24">
        <f t="shared" si="11"/>
        <v>-0.60424704540380758</v>
      </c>
    </row>
    <row r="25" spans="1:124">
      <c r="A25" t="s">
        <v>53</v>
      </c>
      <c r="B25">
        <v>135</v>
      </c>
      <c r="C25">
        <f t="shared" si="15"/>
        <v>408</v>
      </c>
      <c r="D25">
        <v>-5.26</v>
      </c>
      <c r="E25">
        <v>-4.7927</v>
      </c>
      <c r="F25">
        <v>-5</v>
      </c>
      <c r="G25">
        <v>-2.6025</v>
      </c>
      <c r="H25">
        <v>-5.23</v>
      </c>
      <c r="I25">
        <f>5*G25+4*H25-5*D25-8*E25-8*F25</f>
        <v>70.709099999999992</v>
      </c>
      <c r="J25">
        <v>536.65509999999995</v>
      </c>
      <c r="K25">
        <f t="shared" si="7"/>
        <v>-3639985.9643434556</v>
      </c>
      <c r="L25">
        <f t="shared" si="8"/>
        <v>-90.999649108586397</v>
      </c>
      <c r="P25" s="23">
        <v>2.9649999999999999E-5</v>
      </c>
      <c r="Q25" s="27">
        <f t="shared" si="17"/>
        <v>-4.0006421353495769</v>
      </c>
      <c r="R25" s="27">
        <f t="shared" si="18"/>
        <v>-13.490697980347932</v>
      </c>
      <c r="S25">
        <f t="shared" si="11"/>
        <v>-4.0006421353495769</v>
      </c>
    </row>
    <row r="26" spans="1:124">
      <c r="A26" s="11" t="s">
        <v>54</v>
      </c>
      <c r="B26">
        <v>20</v>
      </c>
      <c r="C26">
        <f t="shared" si="15"/>
        <v>293</v>
      </c>
      <c r="D26">
        <v>-6.5</v>
      </c>
      <c r="E26">
        <v>-5.3</v>
      </c>
      <c r="F26">
        <v>-8.02</v>
      </c>
      <c r="G26">
        <v>-3</v>
      </c>
      <c r="H26">
        <v>-3.1</v>
      </c>
      <c r="I26">
        <f>5*G26+4*H26-5*D26-8*E26-3*F26</f>
        <v>71.56</v>
      </c>
      <c r="J26">
        <v>701.61609999999996</v>
      </c>
      <c r="K26">
        <f t="shared" si="7"/>
        <v>-3534685.6690971963</v>
      </c>
      <c r="L26" s="11">
        <f t="shared" si="8"/>
        <v>-88.36714172742991</v>
      </c>
      <c r="P26" s="23">
        <v>7.9170000000000006E-6</v>
      </c>
      <c r="Q26" s="27">
        <f t="shared" si="17"/>
        <v>-0.22355315054206726</v>
      </c>
      <c r="R26" s="27">
        <f t="shared" si="18"/>
        <v>-3.4980133052803133</v>
      </c>
      <c r="S26">
        <f t="shared" si="11"/>
        <v>-0.22355315054206726</v>
      </c>
      <c r="X26">
        <f>LOG(ABS(S26))</f>
        <v>-0.65061920522608463</v>
      </c>
    </row>
    <row r="27" spans="1:124" ht="17">
      <c r="B27" s="11" t="s">
        <v>82</v>
      </c>
      <c r="C27" s="11"/>
      <c r="D27" s="11"/>
      <c r="E27" s="11"/>
      <c r="G27" s="11" t="s">
        <v>56</v>
      </c>
      <c r="K27" s="1"/>
    </row>
    <row r="29" spans="1:124" ht="17">
      <c r="D29" s="7" t="s">
        <v>149</v>
      </c>
      <c r="E29" s="7"/>
      <c r="F29" s="7"/>
      <c r="G29" s="7"/>
      <c r="H29" s="7"/>
      <c r="Q29" s="27" t="s">
        <v>172</v>
      </c>
      <c r="R29" s="27" t="s">
        <v>173</v>
      </c>
      <c r="S29" t="s">
        <v>174</v>
      </c>
      <c r="AL29" t="s">
        <v>88</v>
      </c>
    </row>
    <row r="30" spans="1:124" ht="17">
      <c r="A30" t="s">
        <v>23</v>
      </c>
      <c r="B30" t="s">
        <v>24</v>
      </c>
      <c r="C30" t="s">
        <v>25</v>
      </c>
      <c r="D30" t="s">
        <v>26</v>
      </c>
      <c r="E30" t="s">
        <v>67</v>
      </c>
      <c r="F30" t="s">
        <v>30</v>
      </c>
      <c r="G30" t="s">
        <v>28</v>
      </c>
      <c r="H30" t="s">
        <v>93</v>
      </c>
      <c r="I30" t="s">
        <v>31</v>
      </c>
      <c r="J30" t="s">
        <v>32</v>
      </c>
      <c r="K30" t="s">
        <v>33</v>
      </c>
      <c r="L30" t="s">
        <v>34</v>
      </c>
      <c r="M30" t="s">
        <v>191</v>
      </c>
      <c r="N30" s="1" t="s">
        <v>190</v>
      </c>
      <c r="P30" t="s">
        <v>178</v>
      </c>
      <c r="Q30" s="27" t="s">
        <v>47</v>
      </c>
      <c r="R30" s="27" t="s">
        <v>47</v>
      </c>
      <c r="S30" t="s">
        <v>175</v>
      </c>
      <c r="T30" t="s">
        <v>195</v>
      </c>
      <c r="U30" t="s">
        <v>194</v>
      </c>
      <c r="V30" t="s">
        <v>200</v>
      </c>
      <c r="W30" s="1" t="s">
        <v>190</v>
      </c>
      <c r="X30" t="s">
        <v>199</v>
      </c>
      <c r="DE30" s="15"/>
      <c r="DS30" s="1"/>
    </row>
    <row r="31" spans="1:124">
      <c r="A31" t="s">
        <v>48</v>
      </c>
      <c r="B31">
        <v>54.7</v>
      </c>
      <c r="C31">
        <f t="shared" ref="C31:C37" si="19">B31+273</f>
        <v>327.7</v>
      </c>
      <c r="D31">
        <v>-8.32</v>
      </c>
      <c r="E31">
        <v>-4.7778</v>
      </c>
      <c r="F31">
        <v>-5.2</v>
      </c>
      <c r="G31">
        <v>-3.0752000000000002</v>
      </c>
      <c r="H31">
        <v>-3.0034000000000001</v>
      </c>
      <c r="I31">
        <f t="shared" ref="I31:I36" si="20">G31+H31-D31-E31-2*F31</f>
        <v>17.4192</v>
      </c>
      <c r="J31">
        <v>88.977599999999995</v>
      </c>
      <c r="K31">
        <f t="shared" ref="K31:K37" si="21">-2.303*8.314*C31*(J31-I31)</f>
        <v>-448994.49986461049</v>
      </c>
      <c r="L31">
        <f t="shared" ref="L31:L37" si="22">K31/8000</f>
        <v>-56.124312483076309</v>
      </c>
      <c r="M31">
        <f t="shared" si="9"/>
        <v>-58.397343701633176</v>
      </c>
      <c r="N31">
        <f t="shared" ref="N31" si="23">ABS(MAX(L31:L36)-M31)</f>
        <v>2.6414952051818119</v>
      </c>
      <c r="P31" s="23">
        <v>2.8059999999999999E-5</v>
      </c>
      <c r="Q31" s="27">
        <f t="shared" ref="Q31:Q37" si="24">10^D31*K31</f>
        <v>-2.1490227892255486E-3</v>
      </c>
      <c r="R31" s="27">
        <f t="shared" ref="R31:R37" si="25">(K31)*(P31)</f>
        <v>-12.598785666200969</v>
      </c>
      <c r="S31">
        <f t="shared" ref="S31:S37" si="26">IF(Q31&gt;R31, Q31,R31)</f>
        <v>-2.1490227892255486E-3</v>
      </c>
      <c r="T31">
        <f t="shared" ref="T31:T75" si="27">(ABS(MIN(S31:S36)))</f>
        <v>2.5364263122505375</v>
      </c>
      <c r="U31">
        <f t="shared" ref="U31" si="28">(ABS(MAX(S31:S36)))</f>
        <v>1.7757442469385346E-3</v>
      </c>
      <c r="V31">
        <f t="shared" ref="V31" si="29">AVERAGE(LOG(T31),LOG(U31))</f>
        <v>-1.1731986669409151</v>
      </c>
      <c r="W31">
        <f t="shared" ref="W31" si="30">ABS(V31-LOG(T31))</f>
        <v>1.5774209167412605</v>
      </c>
    </row>
    <row r="32" spans="1:124">
      <c r="A32" t="s">
        <v>49</v>
      </c>
      <c r="B32">
        <v>60.3</v>
      </c>
      <c r="C32">
        <f t="shared" si="19"/>
        <v>333.3</v>
      </c>
      <c r="D32">
        <v>-5.27</v>
      </c>
      <c r="E32">
        <v>-4.7697000000000003</v>
      </c>
      <c r="F32">
        <v>-5.2</v>
      </c>
      <c r="G32">
        <v>-2.7027000000000001</v>
      </c>
      <c r="H32">
        <v>-3.9658000000000002</v>
      </c>
      <c r="I32">
        <f t="shared" si="20"/>
        <v>13.7712</v>
      </c>
      <c r="J32">
        <v>87.705299999999994</v>
      </c>
      <c r="K32">
        <f t="shared" si="21"/>
        <v>-471828.38289035525</v>
      </c>
      <c r="L32">
        <f t="shared" si="22"/>
        <v>-58.978547861294409</v>
      </c>
      <c r="P32" s="23">
        <v>2.7889999999999999E-5</v>
      </c>
      <c r="Q32" s="27">
        <f t="shared" si="24"/>
        <v>-2.5338684404207901</v>
      </c>
      <c r="R32" s="27">
        <f t="shared" si="25"/>
        <v>-13.159293598812008</v>
      </c>
      <c r="S32">
        <f t="shared" si="26"/>
        <v>-2.5338684404207901</v>
      </c>
    </row>
    <row r="33" spans="1:111">
      <c r="A33" t="s">
        <v>50</v>
      </c>
      <c r="B33">
        <v>80.099999999999994</v>
      </c>
      <c r="C33">
        <f t="shared" si="19"/>
        <v>353.1</v>
      </c>
      <c r="D33">
        <v>-8.4</v>
      </c>
      <c r="E33">
        <v>-4.7794999999999996</v>
      </c>
      <c r="F33">
        <v>-4.7</v>
      </c>
      <c r="G33">
        <v>-2.8500999999999999</v>
      </c>
      <c r="H33">
        <v>-2.7109000000000001</v>
      </c>
      <c r="I33">
        <f t="shared" si="20"/>
        <v>17.0185</v>
      </c>
      <c r="J33">
        <v>82.993399999999994</v>
      </c>
      <c r="K33">
        <f t="shared" si="21"/>
        <v>-446046.7879716109</v>
      </c>
      <c r="L33">
        <f t="shared" si="22"/>
        <v>-55.755848496451364</v>
      </c>
      <c r="P33" s="23">
        <v>2.8920000000000001E-5</v>
      </c>
      <c r="Q33" s="27">
        <f t="shared" si="24"/>
        <v>-1.7757442469385346E-3</v>
      </c>
      <c r="R33" s="27">
        <f t="shared" si="25"/>
        <v>-12.899673108138987</v>
      </c>
      <c r="S33">
        <f t="shared" si="26"/>
        <v>-1.7757442469385346E-3</v>
      </c>
    </row>
    <row r="34" spans="1:111">
      <c r="A34" t="s">
        <v>51</v>
      </c>
      <c r="B34">
        <v>96.6</v>
      </c>
      <c r="C34">
        <f t="shared" si="19"/>
        <v>369.6</v>
      </c>
      <c r="D34">
        <v>-6.1</v>
      </c>
      <c r="E34">
        <v>-4.6773999999999996</v>
      </c>
      <c r="F34">
        <v>-5.6</v>
      </c>
      <c r="G34">
        <v>-2.71</v>
      </c>
      <c r="H34">
        <v>-5.7118000000000002</v>
      </c>
      <c r="I34">
        <f t="shared" si="20"/>
        <v>13.555599999999998</v>
      </c>
      <c r="J34">
        <v>79.408799999999999</v>
      </c>
      <c r="K34">
        <f t="shared" si="21"/>
        <v>-466028.85124650627</v>
      </c>
      <c r="L34">
        <f t="shared" si="22"/>
        <v>-58.253606405813287</v>
      </c>
      <c r="P34" s="23">
        <v>3.6059999999999997E-5</v>
      </c>
      <c r="Q34" s="27">
        <f t="shared" si="24"/>
        <v>-0.37017987474122194</v>
      </c>
      <c r="R34" s="27">
        <f t="shared" si="25"/>
        <v>-16.805000375949014</v>
      </c>
      <c r="S34">
        <f t="shared" si="26"/>
        <v>-0.37017987474122194</v>
      </c>
    </row>
    <row r="35" spans="1:111">
      <c r="A35" t="s">
        <v>52</v>
      </c>
      <c r="B35">
        <v>135</v>
      </c>
      <c r="C35">
        <f t="shared" si="19"/>
        <v>408</v>
      </c>
      <c r="D35">
        <v>-6.1</v>
      </c>
      <c r="E35">
        <v>-4.2153</v>
      </c>
      <c r="F35">
        <v>-2.9</v>
      </c>
      <c r="G35">
        <v>-3.0543999999999998</v>
      </c>
      <c r="H35">
        <v>-3.0333999999999999</v>
      </c>
      <c r="I35">
        <f t="shared" si="20"/>
        <v>10.0275</v>
      </c>
      <c r="J35">
        <v>72.534999999999997</v>
      </c>
      <c r="K35">
        <f t="shared" si="21"/>
        <v>-488310.71125451993</v>
      </c>
      <c r="L35">
        <f t="shared" si="22"/>
        <v>-61.038838906814995</v>
      </c>
      <c r="P35">
        <v>1.147E-4</v>
      </c>
      <c r="Q35" s="27">
        <f t="shared" si="24"/>
        <v>-0.38787898526776099</v>
      </c>
      <c r="R35" s="27">
        <f t="shared" si="25"/>
        <v>-56.009238580893438</v>
      </c>
      <c r="S35">
        <f t="shared" si="26"/>
        <v>-0.38787898526776099</v>
      </c>
    </row>
    <row r="36" spans="1:111">
      <c r="A36" t="s">
        <v>53</v>
      </c>
      <c r="B36">
        <v>135</v>
      </c>
      <c r="C36">
        <f t="shared" si="19"/>
        <v>408</v>
      </c>
      <c r="D36">
        <v>-5.26</v>
      </c>
      <c r="E36">
        <v>-4.7927</v>
      </c>
      <c r="F36">
        <v>-5</v>
      </c>
      <c r="G36">
        <v>-2.6025</v>
      </c>
      <c r="H36">
        <v>-3.9975999999999998</v>
      </c>
      <c r="I36">
        <f t="shared" si="20"/>
        <v>13.4526</v>
      </c>
      <c r="J36">
        <v>72.534999999999997</v>
      </c>
      <c r="K36">
        <f t="shared" si="21"/>
        <v>-461553.71382032632</v>
      </c>
      <c r="L36">
        <f t="shared" si="22"/>
        <v>-57.69421422754079</v>
      </c>
      <c r="P36" s="23">
        <v>2.9649999999999999E-5</v>
      </c>
      <c r="Q36" s="27">
        <f t="shared" si="24"/>
        <v>-2.5364263122505375</v>
      </c>
      <c r="R36" s="27">
        <f t="shared" si="25"/>
        <v>-13.685067614772676</v>
      </c>
      <c r="S36">
        <f t="shared" si="26"/>
        <v>-2.5364263122505375</v>
      </c>
    </row>
    <row r="37" spans="1:111">
      <c r="A37" s="11" t="s">
        <v>54</v>
      </c>
      <c r="B37">
        <v>20</v>
      </c>
      <c r="C37">
        <f t="shared" si="19"/>
        <v>293</v>
      </c>
      <c r="D37">
        <v>-6.5</v>
      </c>
      <c r="E37">
        <v>-5.3</v>
      </c>
      <c r="F37">
        <v>-8.02</v>
      </c>
      <c r="G37">
        <v>-3</v>
      </c>
      <c r="H37">
        <v>-6.5</v>
      </c>
      <c r="I37" s="11">
        <f>G37+H37-D37-E37-F37</f>
        <v>10.32</v>
      </c>
      <c r="J37" s="11">
        <v>92.785600000000002</v>
      </c>
      <c r="K37">
        <f t="shared" si="21"/>
        <v>-462641.30212135357</v>
      </c>
      <c r="L37">
        <f t="shared" si="22"/>
        <v>-57.830162765169199</v>
      </c>
      <c r="P37" s="23">
        <v>7.9170000000000006E-6</v>
      </c>
      <c r="Q37" s="27">
        <f t="shared" si="24"/>
        <v>-0.14630002543695636</v>
      </c>
      <c r="R37" s="27">
        <f t="shared" si="25"/>
        <v>-3.6627311888947567</v>
      </c>
      <c r="S37">
        <f t="shared" si="26"/>
        <v>-0.14630002543695636</v>
      </c>
      <c r="X37">
        <f>LOG(ABS(S37))</f>
        <v>-0.83475559836458102</v>
      </c>
    </row>
    <row r="38" spans="1:111" ht="17">
      <c r="A38" s="14" t="s">
        <v>154</v>
      </c>
      <c r="B38" s="14"/>
      <c r="C38" s="14"/>
      <c r="D38" s="14"/>
      <c r="G38" t="s">
        <v>56</v>
      </c>
      <c r="H38" s="11"/>
      <c r="I38" s="11"/>
      <c r="L38" s="1"/>
      <c r="O38" s="1"/>
    </row>
    <row r="39" spans="1:111">
      <c r="C39" s="3"/>
      <c r="D39" s="3"/>
      <c r="E39" s="3"/>
      <c r="F39" s="3"/>
      <c r="G39" s="3"/>
      <c r="H39" s="3"/>
      <c r="I39" s="3"/>
    </row>
    <row r="40" spans="1:111" ht="17">
      <c r="D40" s="7" t="s">
        <v>167</v>
      </c>
      <c r="E40" s="7"/>
      <c r="F40" s="7"/>
      <c r="G40" s="7"/>
      <c r="H40" s="7"/>
      <c r="Q40" s="27" t="s">
        <v>172</v>
      </c>
      <c r="R40" s="27" t="s">
        <v>173</v>
      </c>
      <c r="S40" t="s">
        <v>174</v>
      </c>
      <c r="CI40" s="12"/>
    </row>
    <row r="41" spans="1:111" ht="17">
      <c r="A41" t="s">
        <v>23</v>
      </c>
      <c r="B41" t="s">
        <v>24</v>
      </c>
      <c r="C41" t="s">
        <v>25</v>
      </c>
      <c r="D41" t="s">
        <v>26</v>
      </c>
      <c r="E41" t="s">
        <v>67</v>
      </c>
      <c r="F41" t="s">
        <v>30</v>
      </c>
      <c r="G41" t="s">
        <v>28</v>
      </c>
      <c r="H41" t="s">
        <v>73</v>
      </c>
      <c r="I41" t="s">
        <v>31</v>
      </c>
      <c r="J41" t="s">
        <v>32</v>
      </c>
      <c r="K41" t="s">
        <v>33</v>
      </c>
      <c r="L41" t="s">
        <v>34</v>
      </c>
      <c r="M41" t="s">
        <v>191</v>
      </c>
      <c r="N41" s="1" t="s">
        <v>190</v>
      </c>
      <c r="P41" t="s">
        <v>178</v>
      </c>
      <c r="Q41" s="27" t="s">
        <v>47</v>
      </c>
      <c r="R41" s="27" t="s">
        <v>47</v>
      </c>
      <c r="S41" t="s">
        <v>175</v>
      </c>
      <c r="T41" t="s">
        <v>195</v>
      </c>
      <c r="U41" t="s">
        <v>194</v>
      </c>
      <c r="V41" t="s">
        <v>200</v>
      </c>
      <c r="W41" s="1" t="s">
        <v>190</v>
      </c>
      <c r="BP41" s="12"/>
      <c r="BT41" s="15"/>
      <c r="DG41" s="1"/>
    </row>
    <row r="42" spans="1:111">
      <c r="A42" t="s">
        <v>48</v>
      </c>
      <c r="B42">
        <v>54.7</v>
      </c>
      <c r="C42">
        <f>B42+273</f>
        <v>327.7</v>
      </c>
      <c r="D42">
        <v>-8.32</v>
      </c>
      <c r="E42">
        <v>-4.7778</v>
      </c>
      <c r="F42">
        <v>-5.2</v>
      </c>
      <c r="G42">
        <v>-3.0752000000000002</v>
      </c>
      <c r="H42">
        <v>-6.9089999999999998</v>
      </c>
      <c r="I42">
        <f t="shared" ref="I42:I47" si="31">G42+4*H42-D42-4*E42</f>
        <v>-3.2799999999999976</v>
      </c>
      <c r="J42">
        <v>81.712900000000005</v>
      </c>
      <c r="K42">
        <f t="shared" ref="K42:K48" si="32">-2.303*8.314*C42*(J42-I42)</f>
        <v>-533289.51775812288</v>
      </c>
      <c r="L42">
        <f t="shared" ref="L42:L48" si="33">K42/8000</f>
        <v>-66.66118971976536</v>
      </c>
      <c r="M42">
        <f t="shared" si="9"/>
        <v>-68.752197089160916</v>
      </c>
      <c r="N42">
        <f t="shared" ref="N42:N64" si="34">ABS(MAX(L42:L47)-M42)</f>
        <v>2.6343643188555035</v>
      </c>
      <c r="P42" s="23">
        <v>2.8059999999999999E-5</v>
      </c>
      <c r="Q42" s="27">
        <f t="shared" ref="Q42:Q48" si="35">10^D42*K42</f>
        <v>-2.5524841111926508E-3</v>
      </c>
      <c r="R42" s="27">
        <f>(K42/4)*P42</f>
        <v>-3.7410259670732318</v>
      </c>
      <c r="S42">
        <f t="shared" ref="S42:S48" si="36">IF(Q42&gt;R42, Q42,R42)</f>
        <v>-2.5524841111926508E-3</v>
      </c>
      <c r="T42">
        <f t="shared" si="27"/>
        <v>2.94251389273848</v>
      </c>
      <c r="U42">
        <f t="shared" ref="U42" si="37">(ABS(MAX(S42:S47)))</f>
        <v>2.1312866002328825E-3</v>
      </c>
      <c r="V42">
        <f t="shared" ref="V42" si="38">AVERAGE(LOG(T42),LOG(U42))</f>
        <v>-1.1013198117702792</v>
      </c>
      <c r="W42">
        <f t="shared" ref="W42" si="39">ABS(V42-LOG(T42))</f>
        <v>1.570038333761679</v>
      </c>
    </row>
    <row r="43" spans="1:111">
      <c r="A43" t="s">
        <v>49</v>
      </c>
      <c r="B43">
        <v>60.3</v>
      </c>
      <c r="C43">
        <f t="shared" ref="C43:C48" si="40">B43+273</f>
        <v>333.3</v>
      </c>
      <c r="D43">
        <v>-5.27</v>
      </c>
      <c r="E43">
        <v>-4.7697000000000003</v>
      </c>
      <c r="F43">
        <v>-5.2</v>
      </c>
      <c r="G43">
        <v>-2.7027000000000001</v>
      </c>
      <c r="H43">
        <v>-6.7397</v>
      </c>
      <c r="I43">
        <f t="shared" si="31"/>
        <v>-5.3126999999999995</v>
      </c>
      <c r="J43">
        <v>80.545000000000002</v>
      </c>
      <c r="K43">
        <f t="shared" si="32"/>
        <v>-547921.72691201011</v>
      </c>
      <c r="L43">
        <f t="shared" si="33"/>
        <v>-68.490215864001257</v>
      </c>
      <c r="P43" s="23">
        <v>2.7889999999999999E-5</v>
      </c>
      <c r="Q43" s="27">
        <f t="shared" si="35"/>
        <v>-2.94251389273848</v>
      </c>
      <c r="R43" s="27">
        <f t="shared" ref="R43:R48" si="41">(K43/4)*P43</f>
        <v>-3.8203842408939903</v>
      </c>
      <c r="S43">
        <f t="shared" si="36"/>
        <v>-2.94251389273848</v>
      </c>
    </row>
    <row r="44" spans="1:111">
      <c r="A44" t="s">
        <v>50</v>
      </c>
      <c r="B44">
        <v>80.099999999999994</v>
      </c>
      <c r="C44">
        <f t="shared" si="40"/>
        <v>353.1</v>
      </c>
      <c r="D44">
        <v>-8.4</v>
      </c>
      <c r="E44">
        <v>-4.7794999999999996</v>
      </c>
      <c r="F44">
        <v>-4.7</v>
      </c>
      <c r="G44">
        <v>-2.8500999999999999</v>
      </c>
      <c r="H44">
        <v>-6.9115000000000002</v>
      </c>
      <c r="I44">
        <f t="shared" si="31"/>
        <v>-2.9781000000000013</v>
      </c>
      <c r="J44">
        <v>76.206400000000002</v>
      </c>
      <c r="K44">
        <f t="shared" si="32"/>
        <v>-535354.98927831685</v>
      </c>
      <c r="L44">
        <f t="shared" si="33"/>
        <v>-66.919373659789599</v>
      </c>
      <c r="P44" s="23">
        <v>2.8920000000000001E-5</v>
      </c>
      <c r="Q44" s="27">
        <f t="shared" si="35"/>
        <v>-2.1312866002328825E-3</v>
      </c>
      <c r="R44" s="27">
        <f t="shared" si="41"/>
        <v>-3.870616572482231</v>
      </c>
      <c r="S44">
        <f t="shared" si="36"/>
        <v>-2.1312866002328825E-3</v>
      </c>
    </row>
    <row r="45" spans="1:111">
      <c r="A45" t="s">
        <v>51</v>
      </c>
      <c r="B45">
        <v>96.6</v>
      </c>
      <c r="C45">
        <f t="shared" si="40"/>
        <v>369.6</v>
      </c>
      <c r="D45">
        <v>-6.1</v>
      </c>
      <c r="E45">
        <v>-4.6773999999999996</v>
      </c>
      <c r="F45">
        <v>-5.6</v>
      </c>
      <c r="G45">
        <v>-2.71</v>
      </c>
      <c r="H45">
        <v>-6.5316999999999998</v>
      </c>
      <c r="I45">
        <f t="shared" si="31"/>
        <v>-4.0272000000000041</v>
      </c>
      <c r="J45">
        <v>72.890699999999995</v>
      </c>
      <c r="K45">
        <f t="shared" si="32"/>
        <v>-544331.3396660093</v>
      </c>
      <c r="L45">
        <f t="shared" si="33"/>
        <v>-68.041417458251161</v>
      </c>
      <c r="P45" s="23">
        <v>3.6059999999999997E-5</v>
      </c>
      <c r="Q45" s="27">
        <f t="shared" si="35"/>
        <v>-0.43237775214200425</v>
      </c>
      <c r="R45" s="27">
        <f t="shared" si="41"/>
        <v>-4.9071470270890734</v>
      </c>
      <c r="S45">
        <f t="shared" si="36"/>
        <v>-0.43237775214200425</v>
      </c>
    </row>
    <row r="46" spans="1:111">
      <c r="A46" t="s">
        <v>52</v>
      </c>
      <c r="B46">
        <v>135</v>
      </c>
      <c r="C46">
        <f t="shared" si="40"/>
        <v>408</v>
      </c>
      <c r="D46">
        <v>-6.1</v>
      </c>
      <c r="E46">
        <v>-4.2153</v>
      </c>
      <c r="F46">
        <v>-2.9</v>
      </c>
      <c r="G46">
        <v>-3.0543999999999998</v>
      </c>
      <c r="H46">
        <v>-6.6307</v>
      </c>
      <c r="I46">
        <f t="shared" si="31"/>
        <v>-6.6160000000000032</v>
      </c>
      <c r="J46">
        <v>66.488200000000006</v>
      </c>
      <c r="K46">
        <f t="shared" si="32"/>
        <v>-571092.49126413127</v>
      </c>
      <c r="L46">
        <f t="shared" si="33"/>
        <v>-71.386561408016405</v>
      </c>
      <c r="P46">
        <v>1.147E-4</v>
      </c>
      <c r="Q46" s="27">
        <f t="shared" si="35"/>
        <v>-0.45363489045012934</v>
      </c>
      <c r="R46" s="27">
        <f t="shared" si="41"/>
        <v>-16.376077186998963</v>
      </c>
      <c r="S46">
        <f t="shared" si="36"/>
        <v>-0.45363489045012934</v>
      </c>
    </row>
    <row r="47" spans="1:111">
      <c r="A47" t="s">
        <v>53</v>
      </c>
      <c r="B47">
        <v>135</v>
      </c>
      <c r="C47">
        <f t="shared" si="40"/>
        <v>408</v>
      </c>
      <c r="D47">
        <v>-5.26</v>
      </c>
      <c r="E47">
        <v>-4.7927</v>
      </c>
      <c r="F47">
        <v>-5</v>
      </c>
      <c r="G47">
        <v>-2.6025</v>
      </c>
      <c r="H47">
        <v>-5.7622</v>
      </c>
      <c r="I47">
        <f t="shared" si="31"/>
        <v>-1.2205000000000013</v>
      </c>
      <c r="J47">
        <v>66.488200000000006</v>
      </c>
      <c r="K47">
        <f t="shared" si="32"/>
        <v>-528942.66216244327</v>
      </c>
      <c r="L47">
        <f t="shared" si="33"/>
        <v>-66.117832770305412</v>
      </c>
      <c r="P47" s="23">
        <v>2.9649999999999999E-5</v>
      </c>
      <c r="Q47" s="27">
        <f t="shared" si="35"/>
        <v>-2.9067561278532699</v>
      </c>
      <c r="R47" s="27">
        <f t="shared" si="41"/>
        <v>-3.9207874832791108</v>
      </c>
      <c r="S47">
        <f t="shared" si="36"/>
        <v>-2.9067561278532699</v>
      </c>
    </row>
    <row r="48" spans="1:111">
      <c r="A48" s="11" t="s">
        <v>54</v>
      </c>
      <c r="B48">
        <v>20</v>
      </c>
      <c r="C48">
        <f t="shared" si="40"/>
        <v>293</v>
      </c>
      <c r="D48">
        <v>-6.5</v>
      </c>
      <c r="E48">
        <v>-5.3</v>
      </c>
      <c r="F48">
        <v>-8.02</v>
      </c>
      <c r="G48">
        <v>-3</v>
      </c>
      <c r="H48">
        <v>-6.9</v>
      </c>
      <c r="I48" s="11">
        <f>G48+F48+4*H48-D48-4*E48</f>
        <v>-10.920000000000005</v>
      </c>
      <c r="J48" s="11">
        <v>84.631900000000002</v>
      </c>
      <c r="K48">
        <f t="shared" si="32"/>
        <v>-536056.91871725139</v>
      </c>
      <c r="L48">
        <f t="shared" si="33"/>
        <v>-67.007114839656424</v>
      </c>
      <c r="P48" s="23">
        <v>7.9170000000000006E-6</v>
      </c>
      <c r="Q48" s="27">
        <f t="shared" si="35"/>
        <v>-0.16951608186382577</v>
      </c>
      <c r="R48" s="27">
        <f t="shared" si="41"/>
        <v>-1.06099065637112</v>
      </c>
      <c r="S48">
        <f t="shared" si="36"/>
        <v>-0.16951608186382577</v>
      </c>
      <c r="X48">
        <f>LOG(ABS(S48))</f>
        <v>-0.77078909431392684</v>
      </c>
    </row>
    <row r="49" spans="1:24" ht="17">
      <c r="A49" s="14" t="s">
        <v>169</v>
      </c>
      <c r="B49" s="14"/>
      <c r="C49" s="14"/>
      <c r="G49" t="s">
        <v>56</v>
      </c>
      <c r="L49" s="1"/>
      <c r="O49" s="1"/>
    </row>
    <row r="50" spans="1:24">
      <c r="K50" s="1"/>
    </row>
    <row r="51" spans="1:24" ht="17">
      <c r="A51" s="20" t="s">
        <v>127</v>
      </c>
      <c r="B51" s="20"/>
      <c r="D51" s="7" t="s">
        <v>128</v>
      </c>
      <c r="E51" s="7"/>
      <c r="F51" s="7"/>
      <c r="G51" s="7"/>
      <c r="H51" s="7"/>
      <c r="Q51" s="27" t="s">
        <v>172</v>
      </c>
      <c r="R51" s="27" t="s">
        <v>173</v>
      </c>
      <c r="S51" t="s">
        <v>174</v>
      </c>
    </row>
    <row r="52" spans="1:24" ht="17">
      <c r="A52" t="s">
        <v>23</v>
      </c>
      <c r="B52" t="s">
        <v>24</v>
      </c>
      <c r="C52" t="s">
        <v>25</v>
      </c>
      <c r="D52" t="s">
        <v>26</v>
      </c>
      <c r="E52" t="s">
        <v>73</v>
      </c>
      <c r="F52" t="s">
        <v>28</v>
      </c>
      <c r="G52" t="s">
        <v>42</v>
      </c>
      <c r="H52" t="s">
        <v>68</v>
      </c>
      <c r="I52" t="s">
        <v>31</v>
      </c>
      <c r="J52" t="s">
        <v>32</v>
      </c>
      <c r="K52" t="s">
        <v>33</v>
      </c>
      <c r="L52" t="s">
        <v>131</v>
      </c>
      <c r="M52" t="s">
        <v>191</v>
      </c>
      <c r="N52" s="1" t="s">
        <v>190</v>
      </c>
      <c r="P52" t="s">
        <v>179</v>
      </c>
      <c r="Q52" s="27" t="s">
        <v>47</v>
      </c>
      <c r="R52" s="27" t="s">
        <v>47</v>
      </c>
      <c r="S52" t="s">
        <v>175</v>
      </c>
      <c r="T52" t="s">
        <v>195</v>
      </c>
      <c r="U52" t="s">
        <v>194</v>
      </c>
      <c r="V52" t="s">
        <v>200</v>
      </c>
      <c r="W52" s="1" t="s">
        <v>190</v>
      </c>
    </row>
    <row r="53" spans="1:24">
      <c r="A53" t="s">
        <v>48</v>
      </c>
      <c r="B53">
        <v>54.7</v>
      </c>
      <c r="C53">
        <f t="shared" ref="C53:C59" si="42">B53+273</f>
        <v>327.7</v>
      </c>
      <c r="D53">
        <v>-8.32</v>
      </c>
      <c r="E53">
        <v>-6.9089999999999998</v>
      </c>
      <c r="F53">
        <v>-3.0752000000000002</v>
      </c>
      <c r="G53">
        <v>-5.2</v>
      </c>
      <c r="H53">
        <v>-5.6195000000000004</v>
      </c>
      <c r="I53">
        <f>4*H53+3*F53-3*D53-8*E53-8*G53</f>
        <v>90.128399999999999</v>
      </c>
      <c r="J53">
        <v>494.2004</v>
      </c>
      <c r="K53">
        <f>-2.303*8.314*C53*(J53-I53)</f>
        <v>-2535357.2124208044</v>
      </c>
      <c r="L53">
        <f>K53/24000</f>
        <v>-105.63988385086685</v>
      </c>
      <c r="M53">
        <f t="shared" ref="M53" si="43">AVERAGE(MIN(L53:L58),MAX(L53:L58))</f>
        <v>-110.4711772015649</v>
      </c>
      <c r="N53">
        <f t="shared" ref="N53" si="44">ABS(MAX(L53:L58)-M53)</f>
        <v>5.2538522657340962</v>
      </c>
      <c r="P53" s="23">
        <v>2.0760000000000001E-7</v>
      </c>
      <c r="Q53" s="27">
        <f>10^D53*(K53/3)</f>
        <v>-4.0449941888394464E-3</v>
      </c>
      <c r="R53" s="27">
        <f>(K53/8)*(P53)</f>
        <v>-6.5792519662319873E-2</v>
      </c>
      <c r="S53">
        <f t="shared" ref="S53:S59" si="45">IF(Q53&gt;R53, Q53,R53)</f>
        <v>-4.0449941888394464E-3</v>
      </c>
      <c r="T53">
        <f t="shared" si="27"/>
        <v>1.1043639562064345</v>
      </c>
      <c r="U53">
        <f t="shared" ref="U53" si="46">(ABS(MAX(S53:S58)))</f>
        <v>3.3547688390988986E-3</v>
      </c>
      <c r="V53">
        <f t="shared" ref="V53" si="47">AVERAGE(LOG(T53),LOG(U53))</f>
        <v>-1.2156125878649455</v>
      </c>
      <c r="W53">
        <f t="shared" ref="W53" si="48">ABS(V53-LOG(T53))</f>
        <v>1.2587248117321186</v>
      </c>
    </row>
    <row r="54" spans="1:24">
      <c r="A54" t="s">
        <v>49</v>
      </c>
      <c r="B54">
        <v>60.3</v>
      </c>
      <c r="C54">
        <f t="shared" si="42"/>
        <v>333.3</v>
      </c>
      <c r="D54">
        <v>-5.27</v>
      </c>
      <c r="E54">
        <v>-6.7397</v>
      </c>
      <c r="F54">
        <v>-2.7027000000000001</v>
      </c>
      <c r="G54">
        <v>-5.2</v>
      </c>
      <c r="H54">
        <v>-5.8804999999999996</v>
      </c>
      <c r="I54">
        <f t="shared" ref="I54:I57" si="49">4*H54+3*F54-3*D54-8*E54-8*G54</f>
        <v>79.697499999999991</v>
      </c>
      <c r="J54">
        <v>487.1037</v>
      </c>
      <c r="K54">
        <f t="shared" ref="K54:K59" si="50">-2.303*8.314*C54*(J54-I54)</f>
        <v>-2599961.4322146974</v>
      </c>
      <c r="L54">
        <f t="shared" ref="L54:L59" si="51">K54/24000</f>
        <v>-108.33172634227905</v>
      </c>
      <c r="P54" s="23">
        <v>2.9849999999999998E-7</v>
      </c>
      <c r="Q54" s="27">
        <f t="shared" ref="Q54:Q59" si="52">10^D54*(K54/3)</f>
        <v>-4.6542065281187828</v>
      </c>
      <c r="R54" s="27">
        <f t="shared" ref="R54:R59" si="53">(K54/8)*(P54)</f>
        <v>-9.7011060939510882E-2</v>
      </c>
      <c r="S54">
        <f t="shared" si="45"/>
        <v>-9.7011060939510882E-2</v>
      </c>
    </row>
    <row r="55" spans="1:24">
      <c r="A55" t="s">
        <v>50</v>
      </c>
      <c r="B55">
        <v>80.099999999999994</v>
      </c>
      <c r="C55">
        <f t="shared" si="42"/>
        <v>353.1</v>
      </c>
      <c r="D55">
        <v>-8.4</v>
      </c>
      <c r="E55">
        <v>-6.9115000000000002</v>
      </c>
      <c r="F55">
        <v>-2.8500999999999999</v>
      </c>
      <c r="G55">
        <v>-4.7</v>
      </c>
      <c r="H55">
        <v>-5.63</v>
      </c>
      <c r="I55">
        <f t="shared" si="49"/>
        <v>87.02170000000001</v>
      </c>
      <c r="J55">
        <v>460.94470000000001</v>
      </c>
      <c r="K55">
        <f t="shared" si="50"/>
        <v>-2528039.4983351044</v>
      </c>
      <c r="L55">
        <f t="shared" si="51"/>
        <v>-105.33497909729601</v>
      </c>
      <c r="P55" s="23">
        <v>2.132E-7</v>
      </c>
      <c r="Q55" s="27">
        <f t="shared" si="52"/>
        <v>-3.3547688390988986E-3</v>
      </c>
      <c r="R55" s="27">
        <f t="shared" si="53"/>
        <v>-6.7372252630630527E-2</v>
      </c>
      <c r="S55">
        <f t="shared" si="45"/>
        <v>-3.3547688390988986E-3</v>
      </c>
    </row>
    <row r="56" spans="1:24">
      <c r="A56" t="s">
        <v>51</v>
      </c>
      <c r="B56">
        <v>96.6</v>
      </c>
      <c r="C56">
        <f t="shared" si="42"/>
        <v>369.6</v>
      </c>
      <c r="D56">
        <v>-6.1</v>
      </c>
      <c r="E56">
        <v>-6.5316999999999998</v>
      </c>
      <c r="F56">
        <v>-2.71</v>
      </c>
      <c r="G56">
        <v>-5.6</v>
      </c>
      <c r="H56">
        <v>-5.718</v>
      </c>
      <c r="I56">
        <f t="shared" si="49"/>
        <v>84.351599999999991</v>
      </c>
      <c r="J56">
        <v>441.18259999999998</v>
      </c>
      <c r="K56">
        <f t="shared" si="50"/>
        <v>-2525215.7984599392</v>
      </c>
      <c r="L56">
        <f t="shared" si="51"/>
        <v>-105.2173249358308</v>
      </c>
      <c r="P56" s="23">
        <v>5.0949999999999995E-7</v>
      </c>
      <c r="Q56" s="27">
        <f t="shared" si="52"/>
        <v>-0.66861673582951653</v>
      </c>
      <c r="R56" s="27">
        <f t="shared" si="53"/>
        <v>-0.16082468116441737</v>
      </c>
      <c r="S56">
        <f t="shared" si="45"/>
        <v>-0.16082468116441737</v>
      </c>
    </row>
    <row r="57" spans="1:24">
      <c r="A57" t="s">
        <v>52</v>
      </c>
      <c r="B57">
        <v>135</v>
      </c>
      <c r="C57">
        <f t="shared" si="42"/>
        <v>408</v>
      </c>
      <c r="D57">
        <v>-6.1</v>
      </c>
      <c r="E57">
        <v>-6.6307</v>
      </c>
      <c r="F57">
        <v>-3.0543999999999998</v>
      </c>
      <c r="G57">
        <v>-2.9</v>
      </c>
      <c r="H57">
        <v>-5.5933999999999999</v>
      </c>
      <c r="I57">
        <f t="shared" si="49"/>
        <v>63.008799999999994</v>
      </c>
      <c r="J57">
        <v>403.67860000000002</v>
      </c>
      <c r="K57">
        <f t="shared" si="50"/>
        <v>-2661324.0385703328</v>
      </c>
      <c r="L57">
        <f t="shared" si="51"/>
        <v>-110.8885016070972</v>
      </c>
      <c r="P57" s="23">
        <v>4.221E-7</v>
      </c>
      <c r="Q57" s="27">
        <f t="shared" si="52"/>
        <v>-0.70465494186228905</v>
      </c>
      <c r="R57" s="27">
        <f t="shared" si="53"/>
        <v>-0.14041810958506717</v>
      </c>
      <c r="S57">
        <f t="shared" si="45"/>
        <v>-0.14041810958506717</v>
      </c>
    </row>
    <row r="58" spans="1:24">
      <c r="A58" t="s">
        <v>53</v>
      </c>
      <c r="B58">
        <v>135</v>
      </c>
      <c r="C58">
        <f t="shared" si="42"/>
        <v>408</v>
      </c>
      <c r="D58">
        <v>-5.26</v>
      </c>
      <c r="E58">
        <v>-5.7622</v>
      </c>
      <c r="F58">
        <v>-2.6025</v>
      </c>
      <c r="G58">
        <v>-5</v>
      </c>
      <c r="H58">
        <v>-5.23</v>
      </c>
      <c r="I58">
        <f t="shared" ref="I58" si="54">4*H58+3*F58-3*D58-8*E58-3*G58</f>
        <v>48.150099999999995</v>
      </c>
      <c r="J58">
        <v>403.67860000000002</v>
      </c>
      <c r="K58">
        <f t="shared" si="50"/>
        <v>-2777400.707215176</v>
      </c>
      <c r="L58">
        <f t="shared" si="51"/>
        <v>-115.725029467299</v>
      </c>
      <c r="P58" s="23">
        <v>3.1810000000000001E-6</v>
      </c>
      <c r="Q58" s="27">
        <f t="shared" si="52"/>
        <v>-5.0876507056527007</v>
      </c>
      <c r="R58" s="27">
        <f t="shared" si="53"/>
        <v>-1.1043639562064345</v>
      </c>
      <c r="S58">
        <f t="shared" si="45"/>
        <v>-1.1043639562064345</v>
      </c>
    </row>
    <row r="59" spans="1:24">
      <c r="A59" s="11" t="s">
        <v>54</v>
      </c>
      <c r="B59">
        <v>20</v>
      </c>
      <c r="C59">
        <f t="shared" si="42"/>
        <v>293</v>
      </c>
      <c r="D59">
        <v>-6.5</v>
      </c>
      <c r="E59" s="3">
        <v>-6.9</v>
      </c>
      <c r="F59">
        <v>-3</v>
      </c>
      <c r="G59">
        <v>-8.02</v>
      </c>
      <c r="H59" s="3">
        <v>-3.1</v>
      </c>
      <c r="I59" s="11">
        <f>4*H59+3*F59-3*D59-8*E59-5*G59</f>
        <v>93.4</v>
      </c>
      <c r="J59" s="11">
        <v>532.35220000000004</v>
      </c>
      <c r="K59">
        <f t="shared" si="50"/>
        <v>-2462571.2706514336</v>
      </c>
      <c r="L59">
        <f t="shared" si="51"/>
        <v>-102.60713627714307</v>
      </c>
      <c r="P59" s="23">
        <v>1.9999999999999999E-7</v>
      </c>
      <c r="Q59" s="27">
        <f t="shared" si="52"/>
        <v>-0.25957780385844914</v>
      </c>
      <c r="R59" s="27">
        <f t="shared" si="53"/>
        <v>-6.1564281766285839E-2</v>
      </c>
      <c r="S59">
        <f t="shared" si="45"/>
        <v>-6.1564281766285839E-2</v>
      </c>
      <c r="X59">
        <f>LOG(ABS(S59))</f>
        <v>-1.2106711828171033</v>
      </c>
    </row>
    <row r="60" spans="1:24" ht="17">
      <c r="A60" s="14" t="s">
        <v>136</v>
      </c>
      <c r="B60" s="11"/>
      <c r="C60" s="16"/>
      <c r="D60" s="16"/>
      <c r="E60" s="3"/>
      <c r="F60" t="s">
        <v>56</v>
      </c>
      <c r="G60" s="3"/>
      <c r="H60" s="3"/>
      <c r="I60" s="3"/>
      <c r="K60" s="1"/>
    </row>
    <row r="62" spans="1:24" ht="17">
      <c r="D62" s="7" t="s">
        <v>140</v>
      </c>
      <c r="E62" s="7"/>
      <c r="F62" s="7"/>
      <c r="G62" s="7"/>
      <c r="H62" s="7"/>
      <c r="Q62" s="27" t="s">
        <v>172</v>
      </c>
      <c r="R62" s="27" t="s">
        <v>173</v>
      </c>
      <c r="S62" t="s">
        <v>174</v>
      </c>
    </row>
    <row r="63" spans="1:24" ht="17">
      <c r="A63" t="s">
        <v>23</v>
      </c>
      <c r="B63" t="s">
        <v>24</v>
      </c>
      <c r="C63" t="s">
        <v>25</v>
      </c>
      <c r="D63" t="s">
        <v>26</v>
      </c>
      <c r="E63" t="s">
        <v>73</v>
      </c>
      <c r="F63" t="s">
        <v>28</v>
      </c>
      <c r="G63" t="s">
        <v>42</v>
      </c>
      <c r="H63" t="s">
        <v>93</v>
      </c>
      <c r="I63" t="s">
        <v>31</v>
      </c>
      <c r="J63" t="s">
        <v>32</v>
      </c>
      <c r="K63" t="s">
        <v>33</v>
      </c>
      <c r="L63" t="s">
        <v>131</v>
      </c>
      <c r="M63" t="s">
        <v>191</v>
      </c>
      <c r="N63" s="1" t="s">
        <v>190</v>
      </c>
      <c r="P63" t="s">
        <v>179</v>
      </c>
      <c r="Q63" s="27" t="s">
        <v>47</v>
      </c>
      <c r="R63" s="27" t="s">
        <v>47</v>
      </c>
      <c r="S63" t="s">
        <v>175</v>
      </c>
      <c r="T63" t="s">
        <v>195</v>
      </c>
      <c r="U63" t="s">
        <v>194</v>
      </c>
      <c r="V63" t="s">
        <v>200</v>
      </c>
      <c r="W63" s="1" t="s">
        <v>190</v>
      </c>
    </row>
    <row r="64" spans="1:24">
      <c r="A64" t="s">
        <v>48</v>
      </c>
      <c r="B64">
        <v>54.7</v>
      </c>
      <c r="C64">
        <f t="shared" ref="C64:C70" si="55">B64+273</f>
        <v>327.7</v>
      </c>
      <c r="D64">
        <v>-8.32</v>
      </c>
      <c r="E64">
        <v>-6.9089999999999998</v>
      </c>
      <c r="F64">
        <v>-3.0752000000000002</v>
      </c>
      <c r="G64">
        <v>-5.2</v>
      </c>
      <c r="H64">
        <v>-3.0034000000000001</v>
      </c>
      <c r="I64">
        <f>4*H64+3*F64-3*D64-4*E64-8*G64</f>
        <v>72.956800000000001</v>
      </c>
      <c r="J64">
        <v>274.19760000000002</v>
      </c>
      <c r="K64">
        <f t="shared" ref="K64:K70" si="56">-2.303*8.314*C64*(J64-I64)</f>
        <v>-1262689.1091521629</v>
      </c>
      <c r="L64">
        <f>K64/24000</f>
        <v>-52.612046214673455</v>
      </c>
      <c r="M64">
        <f t="shared" si="9"/>
        <v>-54.812149842659579</v>
      </c>
      <c r="N64">
        <f t="shared" si="34"/>
        <v>2.7774482304216193</v>
      </c>
      <c r="P64" s="23">
        <v>2.0760000000000001E-7</v>
      </c>
      <c r="Q64" s="27">
        <f>10^D64*(K64/3)</f>
        <v>-2.0145366829609612E-3</v>
      </c>
      <c r="R64" s="27">
        <f>(K64/4)*(P64)</f>
        <v>-6.5533564764997262E-2</v>
      </c>
      <c r="S64">
        <f t="shared" ref="S64:S70" si="57">IF(Q64&gt;R64, Q64,R64)</f>
        <v>-2.0145366829609612E-3</v>
      </c>
      <c r="T64">
        <f t="shared" si="27"/>
        <v>1.0475607115777754</v>
      </c>
      <c r="U64">
        <f t="shared" ref="U64" si="58">(ABS(MAX(S64:S69)))</f>
        <v>1.6572310263554819E-3</v>
      </c>
      <c r="V64">
        <f t="shared" ref="V64" si="59">AVERAGE(LOG(T64),LOG(U64))</f>
        <v>-1.3802188712676089</v>
      </c>
      <c r="W64">
        <f t="shared" ref="W64" si="60">ABS(V64-LOG(T64))</f>
        <v>1.4003980732535859</v>
      </c>
    </row>
    <row r="65" spans="1:85">
      <c r="A65" t="s">
        <v>49</v>
      </c>
      <c r="B65">
        <v>60.3</v>
      </c>
      <c r="C65">
        <f t="shared" si="55"/>
        <v>333.3</v>
      </c>
      <c r="D65">
        <v>-5.27</v>
      </c>
      <c r="E65">
        <v>-6.7397</v>
      </c>
      <c r="F65">
        <v>-2.7027000000000001</v>
      </c>
      <c r="G65">
        <v>-5.2</v>
      </c>
      <c r="H65">
        <v>-3.9658000000000002</v>
      </c>
      <c r="I65">
        <f t="shared" ref="I65:I69" si="61">4*H65+3*F65-3*D65-4*E65-8*G65</f>
        <v>60.397500000000001</v>
      </c>
      <c r="J65">
        <v>270.27620000000002</v>
      </c>
      <c r="K65">
        <f t="shared" si="56"/>
        <v>-1339391.8046494108</v>
      </c>
      <c r="L65">
        <f t="shared" ref="L65:L70" si="62">K65/24000</f>
        <v>-55.807991860392114</v>
      </c>
      <c r="P65" s="23">
        <v>2.9849999999999998E-7</v>
      </c>
      <c r="Q65" s="27">
        <f t="shared" ref="Q65:Q70" si="63">10^D65*(K65/3)</f>
        <v>-2.3976532896482268</v>
      </c>
      <c r="R65" s="27">
        <f t="shared" ref="R65:R70" si="64">(K65/4)*(P65)</f>
        <v>-9.9952113421962266E-2</v>
      </c>
      <c r="S65">
        <f t="shared" si="57"/>
        <v>-9.9952113421962266E-2</v>
      </c>
    </row>
    <row r="66" spans="1:85">
      <c r="A66" t="s">
        <v>50</v>
      </c>
      <c r="B66">
        <v>80.099999999999994</v>
      </c>
      <c r="C66">
        <f t="shared" si="55"/>
        <v>353.1</v>
      </c>
      <c r="D66">
        <v>-8.4</v>
      </c>
      <c r="E66">
        <v>-6.9115000000000002</v>
      </c>
      <c r="F66">
        <v>-2.8500999999999999</v>
      </c>
      <c r="G66">
        <v>-4.7</v>
      </c>
      <c r="H66">
        <v>-2.7109000000000001</v>
      </c>
      <c r="I66">
        <f t="shared" si="61"/>
        <v>71.052099999999996</v>
      </c>
      <c r="J66">
        <v>255.76730000000001</v>
      </c>
      <c r="K66">
        <f t="shared" si="56"/>
        <v>-1248832.838693711</v>
      </c>
      <c r="L66">
        <f t="shared" si="62"/>
        <v>-52.03470161223796</v>
      </c>
      <c r="P66" s="23">
        <v>2.132E-7</v>
      </c>
      <c r="Q66" s="27">
        <f t="shared" si="63"/>
        <v>-1.6572310263554819E-3</v>
      </c>
      <c r="R66" s="27">
        <f t="shared" si="64"/>
        <v>-6.6562790302374802E-2</v>
      </c>
      <c r="S66">
        <f t="shared" si="57"/>
        <v>-1.6572310263554819E-3</v>
      </c>
    </row>
    <row r="67" spans="1:85">
      <c r="A67" t="s">
        <v>51</v>
      </c>
      <c r="B67">
        <v>96.6</v>
      </c>
      <c r="C67">
        <f t="shared" si="55"/>
        <v>369.6</v>
      </c>
      <c r="D67">
        <v>-6.1</v>
      </c>
      <c r="E67">
        <v>-6.5316999999999998</v>
      </c>
      <c r="F67">
        <v>-2.71</v>
      </c>
      <c r="G67">
        <v>-5.6</v>
      </c>
      <c r="H67">
        <v>-5.7118000000000002</v>
      </c>
      <c r="I67">
        <f t="shared" si="61"/>
        <v>58.249599999999994</v>
      </c>
      <c r="J67">
        <v>244.74459999999999</v>
      </c>
      <c r="K67">
        <f t="shared" si="56"/>
        <v>-1319784.772998384</v>
      </c>
      <c r="L67">
        <f t="shared" si="62"/>
        <v>-54.991032208265999</v>
      </c>
      <c r="P67" s="23">
        <v>5.0949999999999995E-7</v>
      </c>
      <c r="Q67" s="27">
        <f t="shared" si="63"/>
        <v>-0.34944743631726416</v>
      </c>
      <c r="R67" s="27">
        <f t="shared" si="64"/>
        <v>-0.16810758546066915</v>
      </c>
      <c r="S67">
        <f t="shared" si="57"/>
        <v>-0.16810758546066915</v>
      </c>
    </row>
    <row r="68" spans="1:85">
      <c r="A68" t="s">
        <v>52</v>
      </c>
      <c r="B68">
        <v>135</v>
      </c>
      <c r="C68">
        <f t="shared" si="55"/>
        <v>408</v>
      </c>
      <c r="D68">
        <v>-6.1</v>
      </c>
      <c r="E68">
        <v>-6.6307</v>
      </c>
      <c r="F68">
        <v>-3.0543999999999998</v>
      </c>
      <c r="G68">
        <v>-2.9</v>
      </c>
      <c r="H68">
        <v>-3.0333999999999999</v>
      </c>
      <c r="I68">
        <f t="shared" si="61"/>
        <v>46.725999999999999</v>
      </c>
      <c r="J68">
        <v>223.65180000000001</v>
      </c>
      <c r="K68">
        <f t="shared" si="56"/>
        <v>-1382150.3537539488</v>
      </c>
      <c r="L68">
        <f t="shared" si="62"/>
        <v>-57.589598073081198</v>
      </c>
      <c r="P68" s="23">
        <v>4.221E-7</v>
      </c>
      <c r="Q68" s="27">
        <f t="shared" si="63"/>
        <v>-0.3659603502069716</v>
      </c>
      <c r="R68" s="27">
        <f t="shared" si="64"/>
        <v>-0.14585141607988544</v>
      </c>
      <c r="S68">
        <f t="shared" si="57"/>
        <v>-0.14585141607988544</v>
      </c>
    </row>
    <row r="69" spans="1:85">
      <c r="A69" t="s">
        <v>53</v>
      </c>
      <c r="B69">
        <v>135</v>
      </c>
      <c r="C69">
        <f t="shared" si="55"/>
        <v>408</v>
      </c>
      <c r="D69">
        <v>-5.26</v>
      </c>
      <c r="E69">
        <v>-5.7622</v>
      </c>
      <c r="F69">
        <v>-2.6025</v>
      </c>
      <c r="G69">
        <v>-5</v>
      </c>
      <c r="H69">
        <v>-3.9975999999999998</v>
      </c>
      <c r="I69">
        <f t="shared" si="61"/>
        <v>55.030900000000003</v>
      </c>
      <c r="J69">
        <v>223.65180000000001</v>
      </c>
      <c r="K69">
        <f t="shared" si="56"/>
        <v>-1317272.1931188623</v>
      </c>
      <c r="L69">
        <f t="shared" si="62"/>
        <v>-54.886341379952597</v>
      </c>
      <c r="P69" s="23">
        <v>3.1810000000000001E-6</v>
      </c>
      <c r="Q69" s="27">
        <f t="shared" si="63"/>
        <v>-2.4129830403829606</v>
      </c>
      <c r="R69" s="27">
        <f t="shared" si="64"/>
        <v>-1.0475607115777754</v>
      </c>
      <c r="S69">
        <f t="shared" si="57"/>
        <v>-1.0475607115777754</v>
      </c>
    </row>
    <row r="70" spans="1:85">
      <c r="A70" s="11" t="s">
        <v>54</v>
      </c>
      <c r="B70">
        <v>20</v>
      </c>
      <c r="C70">
        <f t="shared" si="55"/>
        <v>293</v>
      </c>
      <c r="D70">
        <v>-6.5</v>
      </c>
      <c r="E70" s="3">
        <v>-6.9</v>
      </c>
      <c r="F70">
        <v>-3</v>
      </c>
      <c r="G70">
        <v>-8.02</v>
      </c>
      <c r="H70" s="3">
        <v>-6.5</v>
      </c>
      <c r="I70" s="11"/>
      <c r="J70" s="11">
        <v>286.51049999999998</v>
      </c>
      <c r="K70">
        <f t="shared" si="56"/>
        <v>-1607356.1678013627</v>
      </c>
      <c r="L70">
        <f t="shared" si="62"/>
        <v>-66.97317365839011</v>
      </c>
      <c r="P70" s="23">
        <v>1.9999999999999999E-7</v>
      </c>
      <c r="Q70" s="27">
        <f t="shared" si="63"/>
        <v>-0.16943021671240321</v>
      </c>
      <c r="R70" s="27">
        <f t="shared" si="64"/>
        <v>-8.0367808390068129E-2</v>
      </c>
      <c r="S70">
        <f t="shared" si="57"/>
        <v>-8.0367808390068129E-2</v>
      </c>
      <c r="X70">
        <f>LOG(ABS(S70))</f>
        <v>-1.0949178746120005</v>
      </c>
    </row>
    <row r="71" spans="1:85" ht="17">
      <c r="A71" s="14" t="s">
        <v>146</v>
      </c>
      <c r="B71" s="14"/>
      <c r="C71" s="14"/>
      <c r="D71" s="14"/>
      <c r="E71" s="3"/>
      <c r="F71" t="s">
        <v>56</v>
      </c>
      <c r="G71" s="3"/>
      <c r="H71" s="3"/>
      <c r="I71" s="3"/>
      <c r="K71" s="1"/>
    </row>
    <row r="73" spans="1:85" ht="17">
      <c r="D73" s="7" t="s">
        <v>100</v>
      </c>
      <c r="E73" s="7"/>
      <c r="F73" s="7"/>
      <c r="G73" s="7"/>
      <c r="H73" s="7"/>
      <c r="Q73" s="27" t="s">
        <v>47</v>
      </c>
      <c r="R73" s="27" t="s">
        <v>47</v>
      </c>
      <c r="S73" t="s">
        <v>174</v>
      </c>
    </row>
    <row r="74" spans="1:85" ht="17">
      <c r="A74" t="s">
        <v>23</v>
      </c>
      <c r="B74" t="s">
        <v>24</v>
      </c>
      <c r="C74" t="s">
        <v>25</v>
      </c>
      <c r="D74" t="s">
        <v>26</v>
      </c>
      <c r="E74" t="s">
        <v>30</v>
      </c>
      <c r="F74" t="s">
        <v>28</v>
      </c>
      <c r="G74" t="s">
        <v>39</v>
      </c>
      <c r="I74" t="s">
        <v>31</v>
      </c>
      <c r="J74" t="s">
        <v>32</v>
      </c>
      <c r="K74" t="s">
        <v>33</v>
      </c>
      <c r="L74" t="s">
        <v>34</v>
      </c>
      <c r="M74" t="s">
        <v>191</v>
      </c>
      <c r="N74" s="1" t="s">
        <v>190</v>
      </c>
      <c r="Q74" s="27" t="s">
        <v>47</v>
      </c>
      <c r="S74" t="s">
        <v>175</v>
      </c>
      <c r="T74" t="s">
        <v>195</v>
      </c>
      <c r="U74" t="s">
        <v>194</v>
      </c>
      <c r="V74" t="s">
        <v>200</v>
      </c>
      <c r="W74" s="1" t="s">
        <v>190</v>
      </c>
    </row>
    <row r="75" spans="1:85">
      <c r="A75" t="s">
        <v>48</v>
      </c>
      <c r="B75">
        <v>54.7</v>
      </c>
      <c r="C75">
        <f t="shared" ref="C75:C81" si="65">B75+273</f>
        <v>327.7</v>
      </c>
      <c r="D75">
        <v>-8.32</v>
      </c>
      <c r="E75">
        <v>-5.2</v>
      </c>
      <c r="F75">
        <v>-3.0752000000000002</v>
      </c>
      <c r="G75">
        <v>-2.8990999999999998</v>
      </c>
      <c r="I75">
        <f t="shared" ref="I75:I80" si="66">F75+4*G75-D75-8*E75</f>
        <v>35.248400000000004</v>
      </c>
      <c r="J75">
        <v>133.17070000000001</v>
      </c>
      <c r="K75">
        <f t="shared" ref="K75:K81" si="67">-2.303*8.314*C75*(J75-I75)</f>
        <v>-614415.27639092482</v>
      </c>
      <c r="L75">
        <f t="shared" ref="L75:L81" si="68">K75/(8*1000)</f>
        <v>-76.801909548865609</v>
      </c>
      <c r="M75">
        <f t="shared" ref="M75:M134" si="69">AVERAGE(MIN(L75:L80),MAX(L75:L80))</f>
        <v>-83.009563409999942</v>
      </c>
      <c r="N75">
        <f t="shared" ref="N75" si="70">ABS(MAX(L75:L80)-M75)</f>
        <v>8.3002234458456456</v>
      </c>
      <c r="Q75" s="27">
        <f t="shared" ref="Q75:Q81" si="71">10^D75*K75</f>
        <v>-2.9407764046342705E-3</v>
      </c>
      <c r="R75" s="28" t="s">
        <v>177</v>
      </c>
      <c r="S75" s="23">
        <f>Q75</f>
        <v>-2.9407764046342705E-3</v>
      </c>
      <c r="T75">
        <f t="shared" si="27"/>
        <v>3.7875171252567221</v>
      </c>
      <c r="U75">
        <f t="shared" ref="U75" si="72">(ABS(MAX(S75:S80)))</f>
        <v>2.4811767086302E-3</v>
      </c>
      <c r="V75">
        <f t="shared" ref="V75" si="73">AVERAGE(LOG(T75),LOG(U75))</f>
        <v>-1.0134938495659442</v>
      </c>
      <c r="W75">
        <f t="shared" ref="W75" si="74">ABS(V75-LOG(T75))</f>
        <v>1.5918484547430203</v>
      </c>
    </row>
    <row r="76" spans="1:85">
      <c r="A76" t="s">
        <v>49</v>
      </c>
      <c r="B76">
        <v>60.3</v>
      </c>
      <c r="C76">
        <f t="shared" si="65"/>
        <v>333.3</v>
      </c>
      <c r="D76">
        <v>-5.27</v>
      </c>
      <c r="E76">
        <v>-5.2</v>
      </c>
      <c r="F76">
        <v>-2.7027000000000001</v>
      </c>
      <c r="G76">
        <v>-5.8804999999999996</v>
      </c>
      <c r="H76" s="10"/>
      <c r="I76">
        <f t="shared" si="66"/>
        <v>20.645300000000002</v>
      </c>
      <c r="J76">
        <v>131.15880000000001</v>
      </c>
      <c r="K76">
        <f t="shared" si="67"/>
        <v>-705268.69188308611</v>
      </c>
      <c r="L76">
        <f t="shared" si="68"/>
        <v>-88.158586485385769</v>
      </c>
      <c r="Q76" s="27">
        <f t="shared" si="71"/>
        <v>-3.7875171252567221</v>
      </c>
      <c r="R76" s="28" t="s">
        <v>177</v>
      </c>
      <c r="S76" s="23">
        <f t="shared" ref="S76:S81" si="75">Q76</f>
        <v>-3.7875171252567221</v>
      </c>
      <c r="BI76" s="1"/>
      <c r="BJ76" s="1"/>
      <c r="CG76" s="1"/>
    </row>
    <row r="77" spans="1:85">
      <c r="A77" t="s">
        <v>50</v>
      </c>
      <c r="B77">
        <v>80.099999999999994</v>
      </c>
      <c r="C77">
        <f t="shared" si="65"/>
        <v>353.1</v>
      </c>
      <c r="D77">
        <v>-8.4</v>
      </c>
      <c r="E77">
        <v>-4.7</v>
      </c>
      <c r="F77">
        <v>-2.8500999999999999</v>
      </c>
      <c r="G77">
        <v>-2.9089999999999998</v>
      </c>
      <c r="I77">
        <f t="shared" si="66"/>
        <v>31.513900000000003</v>
      </c>
      <c r="J77">
        <v>123.69799999999999</v>
      </c>
      <c r="K77">
        <f t="shared" si="67"/>
        <v>-623243.41085858073</v>
      </c>
      <c r="L77">
        <f t="shared" si="68"/>
        <v>-77.905426357322597</v>
      </c>
      <c r="Q77" s="27">
        <f t="shared" si="71"/>
        <v>-2.4811767086302E-3</v>
      </c>
      <c r="R77" s="28" t="s">
        <v>177</v>
      </c>
      <c r="S77" s="23">
        <f t="shared" si="75"/>
        <v>-2.4811767086302E-3</v>
      </c>
    </row>
    <row r="78" spans="1:85">
      <c r="A78" t="s">
        <v>51</v>
      </c>
      <c r="B78">
        <v>96.6</v>
      </c>
      <c r="C78">
        <f t="shared" si="65"/>
        <v>369.6</v>
      </c>
      <c r="D78">
        <v>-6.1</v>
      </c>
      <c r="E78">
        <v>-5.6</v>
      </c>
      <c r="F78">
        <v>-2.71</v>
      </c>
      <c r="G78">
        <v>-3.6594000000000002</v>
      </c>
      <c r="I78">
        <f t="shared" si="66"/>
        <v>33.552399999999999</v>
      </c>
      <c r="J78">
        <v>118.0081</v>
      </c>
      <c r="K78">
        <f t="shared" si="67"/>
        <v>-597674.71971323434</v>
      </c>
      <c r="L78">
        <f t="shared" si="68"/>
        <v>-74.709339964154296</v>
      </c>
      <c r="Q78" s="27">
        <f t="shared" si="71"/>
        <v>-0.47474990504914294</v>
      </c>
      <c r="R78" s="28" t="s">
        <v>177</v>
      </c>
      <c r="S78" s="23">
        <f t="shared" si="75"/>
        <v>-0.47474990504914294</v>
      </c>
    </row>
    <row r="79" spans="1:85">
      <c r="A79" t="s">
        <v>52</v>
      </c>
      <c r="B79">
        <v>135</v>
      </c>
      <c r="C79">
        <f t="shared" si="65"/>
        <v>408</v>
      </c>
      <c r="D79">
        <v>-6.1</v>
      </c>
      <c r="E79">
        <v>-2.9</v>
      </c>
      <c r="F79">
        <v>-3.0543999999999998</v>
      </c>
      <c r="G79">
        <v>-3.1783999999999999</v>
      </c>
      <c r="I79">
        <f t="shared" si="66"/>
        <v>13.532</v>
      </c>
      <c r="J79">
        <v>107.03879999999999</v>
      </c>
      <c r="K79">
        <f t="shared" si="67"/>
        <v>-730478.29484676477</v>
      </c>
      <c r="L79">
        <f t="shared" si="68"/>
        <v>-91.309786855845601</v>
      </c>
      <c r="Q79" s="27">
        <f t="shared" si="71"/>
        <v>-0.58023953445003362</v>
      </c>
      <c r="R79" s="28" t="s">
        <v>177</v>
      </c>
      <c r="S79" s="23">
        <f t="shared" si="75"/>
        <v>-0.58023953445003362</v>
      </c>
    </row>
    <row r="80" spans="1:85">
      <c r="A80" t="s">
        <v>53</v>
      </c>
      <c r="B80">
        <v>135</v>
      </c>
      <c r="C80">
        <f t="shared" si="65"/>
        <v>408</v>
      </c>
      <c r="D80">
        <v>-5.26</v>
      </c>
      <c r="E80">
        <v>-5</v>
      </c>
      <c r="F80">
        <v>-2.6025</v>
      </c>
      <c r="G80">
        <v>-3.5276999999999998</v>
      </c>
      <c r="I80">
        <f t="shared" si="66"/>
        <v>28.546700000000001</v>
      </c>
      <c r="J80">
        <v>107.03879999999999</v>
      </c>
      <c r="K80">
        <f t="shared" si="67"/>
        <v>-613182.94890790549</v>
      </c>
      <c r="L80">
        <f t="shared" si="68"/>
        <v>-76.647868613488185</v>
      </c>
      <c r="Q80" s="27">
        <f t="shared" si="71"/>
        <v>-3.3696909357744507</v>
      </c>
      <c r="R80" s="28" t="s">
        <v>177</v>
      </c>
      <c r="S80" s="23">
        <f t="shared" si="75"/>
        <v>-3.3696909357744507</v>
      </c>
    </row>
    <row r="81" spans="1:48">
      <c r="A81" s="11" t="s">
        <v>54</v>
      </c>
      <c r="B81">
        <v>20</v>
      </c>
      <c r="C81">
        <f t="shared" si="65"/>
        <v>293</v>
      </c>
      <c r="D81">
        <v>-6.5</v>
      </c>
      <c r="E81">
        <v>-8.02</v>
      </c>
      <c r="F81">
        <v>-3</v>
      </c>
      <c r="G81">
        <v>-10</v>
      </c>
      <c r="I81" s="11">
        <f>F81+4*G81-D81-7*E81</f>
        <v>19.64</v>
      </c>
      <c r="J81" s="11">
        <v>142.86199999999999</v>
      </c>
      <c r="K81">
        <f t="shared" si="67"/>
        <v>-691289.29553653195</v>
      </c>
      <c r="L81">
        <f t="shared" si="68"/>
        <v>-86.411161942066499</v>
      </c>
      <c r="Q81" s="27">
        <f t="shared" si="71"/>
        <v>-0.21860486959887074</v>
      </c>
      <c r="R81" s="28" t="s">
        <v>177</v>
      </c>
      <c r="S81" s="23">
        <f t="shared" si="75"/>
        <v>-0.21860486959887074</v>
      </c>
      <c r="X81">
        <f>LOG(ABS(S81))</f>
        <v>-0.66034016802051732</v>
      </c>
    </row>
    <row r="82" spans="1:48" ht="17">
      <c r="B82" s="16" t="s">
        <v>109</v>
      </c>
      <c r="C82" s="11"/>
      <c r="D82" s="11"/>
      <c r="E82" s="11"/>
      <c r="F82" t="s">
        <v>56</v>
      </c>
      <c r="K82" s="1"/>
    </row>
    <row r="84" spans="1:48">
      <c r="K84" s="1"/>
      <c r="Q84" s="27" t="s">
        <v>172</v>
      </c>
      <c r="R84" s="27" t="s">
        <v>173</v>
      </c>
    </row>
    <row r="85" spans="1:48" ht="17">
      <c r="D85" s="7" t="s">
        <v>84</v>
      </c>
      <c r="E85" s="7"/>
      <c r="F85" s="7"/>
      <c r="G85" s="7"/>
      <c r="H85" s="7"/>
      <c r="I85" t="s">
        <v>85</v>
      </c>
      <c r="Q85" s="27" t="s">
        <v>47</v>
      </c>
      <c r="R85" s="27" t="s">
        <v>47</v>
      </c>
      <c r="S85" t="s">
        <v>174</v>
      </c>
    </row>
    <row r="86" spans="1:48" ht="17">
      <c r="A86" t="s">
        <v>23</v>
      </c>
      <c r="B86" t="s">
        <v>24</v>
      </c>
      <c r="C86" t="s">
        <v>25</v>
      </c>
      <c r="D86" t="s">
        <v>26</v>
      </c>
      <c r="E86" t="s">
        <v>30</v>
      </c>
      <c r="F86" t="s">
        <v>28</v>
      </c>
      <c r="G86" t="s">
        <v>44</v>
      </c>
      <c r="I86" t="s">
        <v>31</v>
      </c>
      <c r="J86" t="s">
        <v>32</v>
      </c>
      <c r="K86" t="s">
        <v>33</v>
      </c>
      <c r="L86" t="s">
        <v>34</v>
      </c>
      <c r="M86" t="s">
        <v>191</v>
      </c>
      <c r="N86" s="1" t="s">
        <v>190</v>
      </c>
      <c r="Q86" s="27" t="s">
        <v>47</v>
      </c>
      <c r="S86" t="s">
        <v>175</v>
      </c>
      <c r="T86" t="s">
        <v>195</v>
      </c>
      <c r="U86" t="s">
        <v>194</v>
      </c>
      <c r="V86" t="s">
        <v>200</v>
      </c>
      <c r="W86" s="1" t="s">
        <v>190</v>
      </c>
      <c r="AV86" s="15"/>
    </row>
    <row r="87" spans="1:48">
      <c r="A87" t="s">
        <v>48</v>
      </c>
      <c r="B87">
        <v>54.7</v>
      </c>
      <c r="C87">
        <f t="shared" ref="C87:C93" si="76">B87+273</f>
        <v>327.7</v>
      </c>
      <c r="D87">
        <v>-8.32</v>
      </c>
      <c r="E87">
        <v>-5.2</v>
      </c>
      <c r="F87">
        <v>-3.0752000000000002</v>
      </c>
      <c r="G87">
        <v>-6.1745999999999999</v>
      </c>
      <c r="I87">
        <f>F87+8*G87-D87-16*E87</f>
        <v>39.048000000000002</v>
      </c>
      <c r="J87">
        <v>75.103899999999996</v>
      </c>
      <c r="K87">
        <f t="shared" ref="K87:K93" si="77">-2.303*8.314*C87*(J87-I87)</f>
        <v>-226233.40918282702</v>
      </c>
      <c r="L87">
        <f>K87/(8*1000)</f>
        <v>-28.279176147853377</v>
      </c>
      <c r="M87">
        <f t="shared" si="69"/>
        <v>-34.479852981914348</v>
      </c>
      <c r="N87">
        <f t="shared" ref="N87" si="78">ABS(MAX(L87:L92)-M87)</f>
        <v>18.032346184605064</v>
      </c>
      <c r="Q87" s="27">
        <f t="shared" ref="Q87:Q93" si="79">10^D87*K87</f>
        <v>-1.0828211752364147E-3</v>
      </c>
      <c r="R87" s="28" t="s">
        <v>177</v>
      </c>
      <c r="S87" s="25">
        <f>Q87</f>
        <v>-1.0828211752364147E-3</v>
      </c>
      <c r="T87">
        <f t="shared" ref="T87:T144" si="80">(ABS(MIN(S87:S92)))</f>
        <v>1.2836058278020568</v>
      </c>
      <c r="U87">
        <f t="shared" ref="U87:U98" si="81">(ABS(MAX(S87:S92)))</f>
        <v>1.0473448301486026E-3</v>
      </c>
      <c r="V87">
        <f t="shared" ref="V87" si="82">AVERAGE(LOG(T87),LOG(U87))</f>
        <v>-1.4357393132448546</v>
      </c>
      <c r="W87">
        <f t="shared" ref="W87" si="83">ABS(V87-LOG(T87))</f>
        <v>1.544170993448104</v>
      </c>
    </row>
    <row r="88" spans="1:48">
      <c r="A88" t="s">
        <v>49</v>
      </c>
      <c r="B88">
        <v>60.3</v>
      </c>
      <c r="C88">
        <f t="shared" si="76"/>
        <v>333.3</v>
      </c>
      <c r="D88">
        <v>-5.27</v>
      </c>
      <c r="E88">
        <v>-5.2</v>
      </c>
      <c r="F88">
        <v>-2.7027000000000001</v>
      </c>
      <c r="G88">
        <v>-6.1958000000000002</v>
      </c>
      <c r="I88">
        <f>F88+8*G88-D88-16*E88</f>
        <v>36.200900000000004</v>
      </c>
      <c r="J88">
        <v>73.654399999999995</v>
      </c>
      <c r="K88">
        <f t="shared" si="77"/>
        <v>-239018.59004957002</v>
      </c>
      <c r="L88">
        <f t="shared" ref="L88:L93" si="84">K88/(8*1000)</f>
        <v>-29.877323756196251</v>
      </c>
      <c r="Q88" s="27">
        <f t="shared" si="79"/>
        <v>-1.2836058278020568</v>
      </c>
      <c r="R88" s="28" t="s">
        <v>177</v>
      </c>
      <c r="S88" s="25">
        <f t="shared" ref="S88:S93" si="85">Q88</f>
        <v>-1.2836058278020568</v>
      </c>
    </row>
    <row r="89" spans="1:48">
      <c r="A89" t="s">
        <v>50</v>
      </c>
      <c r="B89">
        <v>80.099999999999994</v>
      </c>
      <c r="C89">
        <f t="shared" si="76"/>
        <v>353.1</v>
      </c>
      <c r="D89">
        <v>-8.4</v>
      </c>
      <c r="E89">
        <v>-4.7</v>
      </c>
      <c r="F89">
        <v>-2.8500999999999999</v>
      </c>
      <c r="G89">
        <v>-6.4217000000000004</v>
      </c>
      <c r="I89">
        <f t="shared" ref="I89:I92" si="86">F89+8*G89-D89-16*E89</f>
        <v>29.376300000000001</v>
      </c>
      <c r="J89">
        <v>68.288700000000006</v>
      </c>
      <c r="K89">
        <f t="shared" si="77"/>
        <v>-263081.12679619848</v>
      </c>
      <c r="L89">
        <f t="shared" si="84"/>
        <v>-32.885140849524809</v>
      </c>
      <c r="Q89" s="27">
        <f t="shared" si="79"/>
        <v>-1.0473448301486026E-3</v>
      </c>
      <c r="R89" s="28" t="s">
        <v>177</v>
      </c>
      <c r="S89" s="25">
        <f t="shared" si="85"/>
        <v>-1.0473448301486026E-3</v>
      </c>
    </row>
    <row r="90" spans="1:48">
      <c r="A90" t="s">
        <v>51</v>
      </c>
      <c r="B90">
        <v>96.6</v>
      </c>
      <c r="C90">
        <f t="shared" si="76"/>
        <v>369.6</v>
      </c>
      <c r="D90">
        <v>-6.1</v>
      </c>
      <c r="E90">
        <v>-5.6</v>
      </c>
      <c r="F90">
        <v>-2.71</v>
      </c>
      <c r="G90">
        <v>-5.9225000000000003</v>
      </c>
      <c r="I90">
        <f t="shared" si="86"/>
        <v>45.609999999999992</v>
      </c>
      <c r="J90">
        <v>64.203199999999995</v>
      </c>
      <c r="K90">
        <f t="shared" si="77"/>
        <v>-131580.05437847428</v>
      </c>
      <c r="L90">
        <f t="shared" si="84"/>
        <v>-16.447506797309284</v>
      </c>
      <c r="Q90" s="27">
        <f t="shared" si="79"/>
        <v>-0.10451775231937839</v>
      </c>
      <c r="R90" s="28" t="s">
        <v>177</v>
      </c>
      <c r="S90" s="25">
        <f t="shared" si="85"/>
        <v>-0.10451775231937839</v>
      </c>
    </row>
    <row r="91" spans="1:48">
      <c r="A91" t="s">
        <v>52</v>
      </c>
      <c r="B91">
        <v>135</v>
      </c>
      <c r="C91">
        <f t="shared" si="76"/>
        <v>408</v>
      </c>
      <c r="D91">
        <v>-6.1</v>
      </c>
      <c r="E91">
        <v>-2.9</v>
      </c>
      <c r="F91">
        <v>-3.0543999999999998</v>
      </c>
      <c r="G91">
        <v>-5.8630000000000004</v>
      </c>
      <c r="I91">
        <f t="shared" si="86"/>
        <v>2.5415999999999954</v>
      </c>
      <c r="J91">
        <v>56.317300000000003</v>
      </c>
      <c r="K91">
        <f t="shared" si="77"/>
        <v>-420097.59333215526</v>
      </c>
      <c r="L91">
        <f t="shared" si="84"/>
        <v>-52.512199166519409</v>
      </c>
      <c r="Q91" s="27">
        <f t="shared" si="79"/>
        <v>-0.33369537972344981</v>
      </c>
      <c r="R91" s="28" t="s">
        <v>177</v>
      </c>
      <c r="S91" s="25">
        <f t="shared" si="85"/>
        <v>-0.33369537972344981</v>
      </c>
    </row>
    <row r="92" spans="1:48">
      <c r="A92" t="s">
        <v>53</v>
      </c>
      <c r="B92">
        <v>135</v>
      </c>
      <c r="C92">
        <f t="shared" si="76"/>
        <v>408</v>
      </c>
      <c r="D92">
        <v>-5.26</v>
      </c>
      <c r="E92">
        <v>-5</v>
      </c>
      <c r="F92">
        <v>-2.6025</v>
      </c>
      <c r="G92">
        <v>-6.7366999999999999</v>
      </c>
      <c r="I92">
        <f t="shared" si="86"/>
        <v>28.7639</v>
      </c>
      <c r="J92">
        <v>56.317300000000003</v>
      </c>
      <c r="K92">
        <f t="shared" si="77"/>
        <v>-215248.09585218242</v>
      </c>
      <c r="L92">
        <f t="shared" si="84"/>
        <v>-26.906011981522802</v>
      </c>
      <c r="Q92" s="27">
        <f t="shared" si="79"/>
        <v>-1.1828762669079791</v>
      </c>
      <c r="R92" s="28" t="s">
        <v>177</v>
      </c>
      <c r="S92" s="25">
        <f t="shared" si="85"/>
        <v>-1.1828762669079791</v>
      </c>
    </row>
    <row r="93" spans="1:48">
      <c r="A93" s="11" t="s">
        <v>54</v>
      </c>
      <c r="B93">
        <v>20</v>
      </c>
      <c r="C93">
        <f t="shared" si="76"/>
        <v>293</v>
      </c>
      <c r="D93">
        <v>-6.5</v>
      </c>
      <c r="E93">
        <v>-8.02</v>
      </c>
      <c r="F93">
        <v>-3</v>
      </c>
      <c r="G93">
        <v>-20.29</v>
      </c>
      <c r="I93" s="11">
        <f>F93+8*G93-D93-15*E93</f>
        <v>-38.519999999999996</v>
      </c>
      <c r="J93" s="11">
        <v>80.343599999999995</v>
      </c>
      <c r="K93">
        <f t="shared" si="77"/>
        <v>-666838.18075454154</v>
      </c>
      <c r="L93">
        <f t="shared" si="84"/>
        <v>-83.354772594317694</v>
      </c>
      <c r="Q93" s="27">
        <f t="shared" si="79"/>
        <v>-0.21087274819474064</v>
      </c>
      <c r="R93" s="28" t="s">
        <v>177</v>
      </c>
      <c r="S93" s="25">
        <f t="shared" si="85"/>
        <v>-0.21087274819474064</v>
      </c>
      <c r="X93">
        <f>LOG(ABS(S93))</f>
        <v>-0.6759795419929544</v>
      </c>
    </row>
    <row r="94" spans="1:48" ht="17">
      <c r="A94" s="16" t="s">
        <v>98</v>
      </c>
      <c r="B94" s="11"/>
      <c r="C94" s="11"/>
      <c r="D94" s="11"/>
      <c r="F94" t="s">
        <v>56</v>
      </c>
      <c r="K94" s="1"/>
    </row>
    <row r="96" spans="1:48" ht="17">
      <c r="D96" s="7" t="s">
        <v>13</v>
      </c>
      <c r="E96" s="7"/>
      <c r="F96" s="7"/>
      <c r="K96" s="1" t="s">
        <v>14</v>
      </c>
      <c r="Q96" s="27" t="s">
        <v>172</v>
      </c>
      <c r="R96" s="27" t="s">
        <v>173</v>
      </c>
      <c r="S96" t="s">
        <v>174</v>
      </c>
    </row>
    <row r="97" spans="1:24" ht="17">
      <c r="A97" t="s">
        <v>23</v>
      </c>
      <c r="B97" t="s">
        <v>24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30</v>
      </c>
      <c r="I97" t="s">
        <v>31</v>
      </c>
      <c r="J97" t="s">
        <v>32</v>
      </c>
      <c r="K97" t="s">
        <v>33</v>
      </c>
      <c r="L97" t="s">
        <v>34</v>
      </c>
      <c r="M97" t="s">
        <v>191</v>
      </c>
      <c r="N97" s="1" t="s">
        <v>190</v>
      </c>
      <c r="P97" t="s">
        <v>182</v>
      </c>
      <c r="Q97" s="27" t="s">
        <v>47</v>
      </c>
      <c r="R97" s="27" t="s">
        <v>47</v>
      </c>
      <c r="S97" t="s">
        <v>175</v>
      </c>
      <c r="T97" t="s">
        <v>195</v>
      </c>
      <c r="U97" t="s">
        <v>194</v>
      </c>
      <c r="V97" t="s">
        <v>200</v>
      </c>
      <c r="W97" s="1" t="s">
        <v>190</v>
      </c>
    </row>
    <row r="98" spans="1:24">
      <c r="A98" t="s">
        <v>48</v>
      </c>
      <c r="B98">
        <v>54.7</v>
      </c>
      <c r="C98">
        <f>B98+273</f>
        <v>327.7</v>
      </c>
      <c r="D98">
        <v>-8.32</v>
      </c>
      <c r="E98">
        <v>-3.0996999999999999</v>
      </c>
      <c r="F98">
        <v>-3.0752000000000002</v>
      </c>
      <c r="G98">
        <v>-3.2303999999999999</v>
      </c>
      <c r="H98">
        <v>-5.2</v>
      </c>
      <c r="I98">
        <f>F98+G98-D98-E98-2*H98</f>
        <v>15.514100000000001</v>
      </c>
      <c r="J98">
        <v>18.845300000000002</v>
      </c>
      <c r="K98">
        <f t="shared" ref="K98:K104" si="87">-2.303*8.314*C98*(J98-I98)</f>
        <v>-20901.675805342085</v>
      </c>
      <c r="L98">
        <f t="shared" ref="L98:L104" si="88">K98/8000</f>
        <v>-2.6127094756677605</v>
      </c>
      <c r="M98">
        <f t="shared" si="69"/>
        <v>-6.2668003401294374</v>
      </c>
      <c r="N98">
        <f t="shared" ref="N98" si="89">ABS(MAX(L98:L103)-M98)</f>
        <v>3.8574003400781631</v>
      </c>
      <c r="P98">
        <v>5.7790000000000003E-3</v>
      </c>
      <c r="Q98" s="27">
        <f t="shared" ref="Q98:Q104" si="90">10^D98*K98</f>
        <v>-1.0004171020408716E-4</v>
      </c>
      <c r="R98" s="27">
        <f>(10^E98)*K98</f>
        <v>-16.614264009219699</v>
      </c>
      <c r="S98">
        <f t="shared" ref="S98:S104" si="91">IF(Q98&gt;R98, Q98,R98)</f>
        <v>-1.0004171020408716E-4</v>
      </c>
      <c r="T98">
        <f t="shared" si="80"/>
        <v>0.31300066686504702</v>
      </c>
      <c r="U98">
        <f t="shared" si="81"/>
        <v>7.6735953340160602E-5</v>
      </c>
      <c r="V98">
        <f t="shared" ref="V98" si="92">AVERAGE(LOG(T98),LOG(U98))</f>
        <v>-2.309727922078713</v>
      </c>
      <c r="W98">
        <f t="shared" ref="W98" si="93">ABS(V98-LOG(T98))</f>
        <v>1.805273184914304</v>
      </c>
    </row>
    <row r="99" spans="1:24">
      <c r="A99" t="s">
        <v>49</v>
      </c>
      <c r="B99">
        <v>60.3</v>
      </c>
      <c r="C99">
        <f t="shared" ref="C99:C104" si="94">B99+273</f>
        <v>333.3</v>
      </c>
      <c r="D99">
        <v>-5.27</v>
      </c>
      <c r="E99">
        <v>-2.6000999999999999</v>
      </c>
      <c r="F99">
        <v>-2.7027000000000001</v>
      </c>
      <c r="G99">
        <v>-3.8155999999999999</v>
      </c>
      <c r="H99">
        <v>-5.2</v>
      </c>
      <c r="I99">
        <f t="shared" ref="I99:I103" si="95">F99+G99-D99-E99-2*H99</f>
        <v>11.751799999999999</v>
      </c>
      <c r="J99">
        <v>18.82</v>
      </c>
      <c r="K99">
        <f t="shared" si="87"/>
        <v>-45107.431833830524</v>
      </c>
      <c r="L99">
        <f t="shared" si="88"/>
        <v>-5.6384289792288156</v>
      </c>
      <c r="P99">
        <v>1.504E-2</v>
      </c>
      <c r="Q99" s="27">
        <f t="shared" si="90"/>
        <v>-0.24224125147370743</v>
      </c>
      <c r="R99" s="27">
        <f t="shared" ref="R99:R104" si="96">(10^E99)*K99</f>
        <v>-113.27865960515601</v>
      </c>
      <c r="S99">
        <f t="shared" si="91"/>
        <v>-0.24224125147370743</v>
      </c>
    </row>
    <row r="100" spans="1:24">
      <c r="A100" t="s">
        <v>50</v>
      </c>
      <c r="B100">
        <v>80.099999999999994</v>
      </c>
      <c r="C100">
        <f t="shared" si="94"/>
        <v>353.1</v>
      </c>
      <c r="D100">
        <v>-8.4</v>
      </c>
      <c r="E100">
        <v>-3.76</v>
      </c>
      <c r="F100">
        <v>-2.8500999999999999</v>
      </c>
      <c r="G100">
        <v>-2.7831999999999999</v>
      </c>
      <c r="H100">
        <v>-4.7</v>
      </c>
      <c r="I100">
        <f t="shared" si="95"/>
        <v>15.9267</v>
      </c>
      <c r="J100">
        <v>18.777699999999999</v>
      </c>
      <c r="K100">
        <f t="shared" si="87"/>
        <v>-19275.200000410194</v>
      </c>
      <c r="L100">
        <f t="shared" si="88"/>
        <v>-2.4094000000512743</v>
      </c>
      <c r="P100">
        <v>1.7260000000000001E-3</v>
      </c>
      <c r="Q100" s="27">
        <f t="shared" si="90"/>
        <v>-7.6735953340160602E-5</v>
      </c>
      <c r="R100" s="27">
        <f t="shared" si="96"/>
        <v>-3.3496458535022806</v>
      </c>
      <c r="S100">
        <f t="shared" si="91"/>
        <v>-7.6735953340160602E-5</v>
      </c>
    </row>
    <row r="101" spans="1:24">
      <c r="A101" t="s">
        <v>51</v>
      </c>
      <c r="B101">
        <v>96.6</v>
      </c>
      <c r="C101">
        <f t="shared" si="94"/>
        <v>369.6</v>
      </c>
      <c r="D101">
        <v>-6.1</v>
      </c>
      <c r="E101">
        <v>-2.73</v>
      </c>
      <c r="F101">
        <v>-2.71</v>
      </c>
      <c r="G101">
        <v>-4.0804999999999998</v>
      </c>
      <c r="H101">
        <v>-5.6</v>
      </c>
      <c r="I101">
        <f t="shared" si="95"/>
        <v>13.2395</v>
      </c>
      <c r="J101">
        <v>18.805</v>
      </c>
      <c r="K101">
        <f t="shared" si="87"/>
        <v>-39385.839588849602</v>
      </c>
      <c r="L101">
        <f t="shared" si="88"/>
        <v>-4.9232299486061999</v>
      </c>
      <c r="P101">
        <v>1.43E-2</v>
      </c>
      <c r="Q101" s="27">
        <f t="shared" si="90"/>
        <v>-3.1285284433744613E-2</v>
      </c>
      <c r="R101" s="27">
        <f t="shared" si="96"/>
        <v>-73.339865265063921</v>
      </c>
      <c r="S101">
        <f t="shared" si="91"/>
        <v>-3.1285284433744613E-2</v>
      </c>
    </row>
    <row r="102" spans="1:24">
      <c r="A102" t="s">
        <v>52</v>
      </c>
      <c r="B102">
        <v>135</v>
      </c>
      <c r="C102">
        <f t="shared" si="94"/>
        <v>408</v>
      </c>
      <c r="D102">
        <v>-6.1</v>
      </c>
      <c r="E102">
        <v>-3.5977000000000001</v>
      </c>
      <c r="F102">
        <v>-3.0543999999999998</v>
      </c>
      <c r="G102">
        <v>-3.7812000000000001</v>
      </c>
      <c r="H102">
        <v>-2.9</v>
      </c>
      <c r="I102">
        <f t="shared" si="95"/>
        <v>8.6621000000000006</v>
      </c>
      <c r="J102">
        <v>19.029900000000001</v>
      </c>
      <c r="K102">
        <f t="shared" si="87"/>
        <v>-80993.605441660809</v>
      </c>
      <c r="L102">
        <f t="shared" si="88"/>
        <v>-10.124200680207601</v>
      </c>
      <c r="P102">
        <v>2.6210000000000001E-3</v>
      </c>
      <c r="Q102" s="27">
        <f t="shared" si="90"/>
        <v>-6.4335507634429356E-2</v>
      </c>
      <c r="R102" s="27">
        <f t="shared" si="96"/>
        <v>-20.452703951366381</v>
      </c>
      <c r="S102">
        <f t="shared" si="91"/>
        <v>-6.4335507634429356E-2</v>
      </c>
    </row>
    <row r="103" spans="1:24">
      <c r="A103" t="s">
        <v>53</v>
      </c>
      <c r="B103">
        <v>135</v>
      </c>
      <c r="C103">
        <f t="shared" si="94"/>
        <v>408</v>
      </c>
      <c r="D103">
        <v>-5.26</v>
      </c>
      <c r="E103">
        <v>-3.1202000000000001</v>
      </c>
      <c r="F103">
        <v>-2.6025</v>
      </c>
      <c r="G103">
        <v>-4.0387000000000004</v>
      </c>
      <c r="H103">
        <v>-5</v>
      </c>
      <c r="I103">
        <f t="shared" si="95"/>
        <v>11.738999999999999</v>
      </c>
      <c r="J103">
        <v>19.029900000000001</v>
      </c>
      <c r="K103">
        <f t="shared" si="87"/>
        <v>-56956.758223982419</v>
      </c>
      <c r="L103">
        <f t="shared" si="88"/>
        <v>-7.1195947779978024</v>
      </c>
      <c r="P103">
        <v>7.5709999999999996E-3</v>
      </c>
      <c r="Q103" s="27">
        <f t="shared" si="90"/>
        <v>-0.31300066686504702</v>
      </c>
      <c r="R103" s="27">
        <f t="shared" si="96"/>
        <v>-43.186226962504236</v>
      </c>
      <c r="S103">
        <f t="shared" si="91"/>
        <v>-0.31300066686504702</v>
      </c>
    </row>
    <row r="104" spans="1:24">
      <c r="A104" s="11" t="s">
        <v>54</v>
      </c>
      <c r="B104">
        <v>20</v>
      </c>
      <c r="C104">
        <f t="shared" si="94"/>
        <v>293</v>
      </c>
      <c r="D104">
        <v>-6.5</v>
      </c>
      <c r="E104">
        <v>-2.5</v>
      </c>
      <c r="F104">
        <v>-3</v>
      </c>
      <c r="G104">
        <v>-8.9</v>
      </c>
      <c r="H104">
        <v>-8.02</v>
      </c>
      <c r="I104" s="11">
        <f>F104+G104-D104-E104-H104</f>
        <v>5.1199999999999992</v>
      </c>
      <c r="J104" s="11">
        <v>5.8075000000000001</v>
      </c>
      <c r="K104">
        <f t="shared" si="87"/>
        <v>-3856.9524166250048</v>
      </c>
      <c r="L104" s="11">
        <f t="shared" si="88"/>
        <v>-0.48211905207812561</v>
      </c>
      <c r="P104">
        <v>1.8100000000000002E-2</v>
      </c>
      <c r="Q104" s="27">
        <f t="shared" si="90"/>
        <v>-1.2196754463425674E-3</v>
      </c>
      <c r="R104" s="27">
        <f t="shared" si="96"/>
        <v>-12.196754463425686</v>
      </c>
      <c r="S104">
        <f t="shared" si="91"/>
        <v>-1.2196754463425674E-3</v>
      </c>
      <c r="X104">
        <f>LOG(ABS(S104))</f>
        <v>-2.9137557190091634</v>
      </c>
    </row>
    <row r="105" spans="1:24" ht="17">
      <c r="B105" s="11" t="s">
        <v>55</v>
      </c>
      <c r="C105" s="11"/>
      <c r="D105" s="11"/>
      <c r="E105" s="11"/>
      <c r="F105" s="11" t="s">
        <v>56</v>
      </c>
      <c r="G105" s="11" t="s">
        <v>57</v>
      </c>
      <c r="I105" s="12"/>
      <c r="K105" s="13"/>
    </row>
    <row r="108" spans="1:24" ht="17">
      <c r="D108" s="7" t="s">
        <v>157</v>
      </c>
      <c r="E108" s="7"/>
      <c r="F108" s="7"/>
      <c r="G108" s="7"/>
      <c r="H108" s="7"/>
      <c r="Q108" s="27" t="s">
        <v>172</v>
      </c>
      <c r="R108" s="27" t="s">
        <v>173</v>
      </c>
      <c r="S108" t="s">
        <v>174</v>
      </c>
    </row>
    <row r="109" spans="1:24" ht="17">
      <c r="A109" t="s">
        <v>23</v>
      </c>
      <c r="B109" t="s">
        <v>24</v>
      </c>
      <c r="C109" t="s">
        <v>25</v>
      </c>
      <c r="D109" t="s">
        <v>26</v>
      </c>
      <c r="E109" t="s">
        <v>27</v>
      </c>
      <c r="F109" t="s">
        <v>28</v>
      </c>
      <c r="G109" t="s">
        <v>30</v>
      </c>
      <c r="I109" t="s">
        <v>31</v>
      </c>
      <c r="J109" t="s">
        <v>32</v>
      </c>
      <c r="K109" t="s">
        <v>33</v>
      </c>
      <c r="L109" t="s">
        <v>94</v>
      </c>
      <c r="M109" t="s">
        <v>191</v>
      </c>
      <c r="N109" s="1" t="s">
        <v>190</v>
      </c>
      <c r="P109" t="s">
        <v>182</v>
      </c>
      <c r="Q109" s="27" t="s">
        <v>47</v>
      </c>
      <c r="R109" s="27" t="s">
        <v>47</v>
      </c>
      <c r="S109" t="s">
        <v>175</v>
      </c>
      <c r="T109" t="s">
        <v>195</v>
      </c>
      <c r="U109" t="s">
        <v>194</v>
      </c>
      <c r="V109" t="s">
        <v>200</v>
      </c>
      <c r="W109" s="1" t="s">
        <v>190</v>
      </c>
    </row>
    <row r="110" spans="1:24">
      <c r="A110" t="s">
        <v>48</v>
      </c>
      <c r="B110">
        <v>54.7</v>
      </c>
      <c r="C110">
        <f>B110+273</f>
        <v>327.7</v>
      </c>
      <c r="D110">
        <v>-8.32</v>
      </c>
      <c r="E110">
        <v>-3.0996999999999999</v>
      </c>
      <c r="F110">
        <v>-3.0752000000000002</v>
      </c>
      <c r="G110">
        <v>-5.2</v>
      </c>
      <c r="I110">
        <f t="shared" ref="I110:I115" si="97">3*F110-3*D110-4*E110-8*G110</f>
        <v>69.733200000000011</v>
      </c>
      <c r="J110">
        <v>75.802800000000005</v>
      </c>
      <c r="K110">
        <f t="shared" ref="K110:K116" si="98">-2.303*8.314*C110*(J110-I110)</f>
        <v>-38083.8170833646</v>
      </c>
      <c r="L110">
        <f t="shared" ref="L110:L116" si="99">K110/24000</f>
        <v>-1.5868257118068583</v>
      </c>
      <c r="M110">
        <f t="shared" si="69"/>
        <v>-4.9936141365473379</v>
      </c>
      <c r="N110">
        <f t="shared" ref="N110" si="100">ABS(MAX(L110:L115)-M110)</f>
        <v>3.568960959853865</v>
      </c>
      <c r="P110">
        <v>5.7790000000000003E-3</v>
      </c>
      <c r="Q110" s="27">
        <f>10^D110*(K110/3)</f>
        <v>-6.0760202955364098E-5</v>
      </c>
      <c r="R110" s="27">
        <f>(K110/4)*(P110)</f>
        <v>-55.021594731191009</v>
      </c>
      <c r="S110">
        <f t="shared" ref="S110:S116" si="101">IF(Q110&gt;R110, Q110,R110)</f>
        <v>-6.0760202955364098E-5</v>
      </c>
      <c r="T110">
        <f t="shared" si="80"/>
        <v>0.18002257102364941</v>
      </c>
      <c r="U110">
        <f t="shared" ref="U110" si="102">(ABS(MAX(S110:S115)))</f>
        <v>4.5373171615479139E-5</v>
      </c>
      <c r="V110">
        <f t="shared" ref="V110" si="103">AVERAGE(LOG(T110),LOG(U110))</f>
        <v>-2.5439369511662218</v>
      </c>
      <c r="W110">
        <f t="shared" ref="W110" si="104">ABS(V110-LOG(T110))</f>
        <v>1.7992639110277771</v>
      </c>
    </row>
    <row r="111" spans="1:24">
      <c r="A111" t="s">
        <v>49</v>
      </c>
      <c r="B111">
        <v>60.3</v>
      </c>
      <c r="C111">
        <f t="shared" ref="C111:C116" si="105">B111+273</f>
        <v>333.3</v>
      </c>
      <c r="D111">
        <v>-5.27</v>
      </c>
      <c r="E111">
        <v>-2.6000999999999999</v>
      </c>
      <c r="F111">
        <v>-2.7027000000000001</v>
      </c>
      <c r="G111">
        <v>-5.2</v>
      </c>
      <c r="I111">
        <f t="shared" si="97"/>
        <v>59.702300000000001</v>
      </c>
      <c r="J111">
        <v>75.457499999999996</v>
      </c>
      <c r="K111">
        <f t="shared" si="98"/>
        <v>-100545.62831107868</v>
      </c>
      <c r="L111">
        <f t="shared" si="99"/>
        <v>-4.1894011796282777</v>
      </c>
      <c r="P111">
        <v>1.504E-2</v>
      </c>
      <c r="Q111" s="27">
        <f t="shared" ref="Q111:Q116" si="106">10^D111*(K111/3)</f>
        <v>-0.17998733129691452</v>
      </c>
      <c r="R111" s="27">
        <f t="shared" ref="R111:R115" si="107">(K111/4)*(P111)</f>
        <v>-378.05156244965582</v>
      </c>
      <c r="S111">
        <f t="shared" si="101"/>
        <v>-0.17998733129691452</v>
      </c>
    </row>
    <row r="112" spans="1:24">
      <c r="A112" t="s">
        <v>50</v>
      </c>
      <c r="B112">
        <v>80.099999999999994</v>
      </c>
      <c r="C112">
        <f t="shared" si="105"/>
        <v>353.1</v>
      </c>
      <c r="D112">
        <v>-8.4</v>
      </c>
      <c r="E112">
        <v>-3.76</v>
      </c>
      <c r="F112">
        <v>-2.8500999999999999</v>
      </c>
      <c r="G112">
        <v>-4.7</v>
      </c>
      <c r="I112">
        <f t="shared" si="97"/>
        <v>69.289700000000011</v>
      </c>
      <c r="J112">
        <v>74.346999999999994</v>
      </c>
      <c r="K112">
        <f t="shared" si="98"/>
        <v>-34191.676240643348</v>
      </c>
      <c r="L112">
        <f t="shared" si="99"/>
        <v>-1.4246531766934729</v>
      </c>
      <c r="P112">
        <v>1.7260000000000001E-3</v>
      </c>
      <c r="Q112" s="27">
        <f t="shared" si="106"/>
        <v>-4.5373171615479139E-5</v>
      </c>
      <c r="R112" s="27">
        <f t="shared" si="107"/>
        <v>-14.753708297837605</v>
      </c>
      <c r="S112">
        <f t="shared" si="101"/>
        <v>-4.5373171615479139E-5</v>
      </c>
    </row>
    <row r="113" spans="1:27">
      <c r="A113" t="s">
        <v>51</v>
      </c>
      <c r="B113">
        <v>96.6</v>
      </c>
      <c r="C113">
        <f t="shared" si="105"/>
        <v>369.6</v>
      </c>
      <c r="D113">
        <v>-6.1</v>
      </c>
      <c r="E113">
        <v>-2.73</v>
      </c>
      <c r="F113">
        <v>-2.71</v>
      </c>
      <c r="G113">
        <v>-5.6</v>
      </c>
      <c r="I113">
        <f t="shared" si="97"/>
        <v>65.889999999999986</v>
      </c>
      <c r="J113">
        <v>73.6982</v>
      </c>
      <c r="K113">
        <f t="shared" si="98"/>
        <v>-55256.94235516234</v>
      </c>
      <c r="L113">
        <f t="shared" si="99"/>
        <v>-2.3023725981317642</v>
      </c>
      <c r="P113">
        <v>1.43E-2</v>
      </c>
      <c r="Q113" s="27">
        <f t="shared" si="106"/>
        <v>-1.4630716492412489E-2</v>
      </c>
      <c r="R113" s="27">
        <f t="shared" si="107"/>
        <v>-197.54356891970536</v>
      </c>
      <c r="S113">
        <f t="shared" si="101"/>
        <v>-1.4630716492412489E-2</v>
      </c>
    </row>
    <row r="114" spans="1:27">
      <c r="A114" t="s">
        <v>52</v>
      </c>
      <c r="B114">
        <v>135</v>
      </c>
      <c r="C114">
        <f t="shared" si="105"/>
        <v>408</v>
      </c>
      <c r="D114">
        <v>-6.1</v>
      </c>
      <c r="E114">
        <v>-3.5977000000000001</v>
      </c>
      <c r="F114">
        <v>-3.0543999999999998</v>
      </c>
      <c r="G114">
        <v>-2.9</v>
      </c>
      <c r="I114">
        <f t="shared" si="97"/>
        <v>46.727599999999995</v>
      </c>
      <c r="J114">
        <v>73.0334</v>
      </c>
      <c r="K114">
        <f t="shared" si="98"/>
        <v>-205501.80231362884</v>
      </c>
      <c r="L114">
        <f t="shared" si="99"/>
        <v>-8.5625750964012024</v>
      </c>
      <c r="P114">
        <v>2.6210000000000001E-3</v>
      </c>
      <c r="Q114" s="27">
        <f t="shared" si="106"/>
        <v>-5.4411961288147667E-2</v>
      </c>
      <c r="R114" s="27">
        <f t="shared" si="107"/>
        <v>-134.65505596600531</v>
      </c>
      <c r="S114">
        <f t="shared" si="101"/>
        <v>-5.4411961288147667E-2</v>
      </c>
    </row>
    <row r="115" spans="1:27">
      <c r="A115" t="s">
        <v>53</v>
      </c>
      <c r="B115">
        <v>135</v>
      </c>
      <c r="C115">
        <f t="shared" si="105"/>
        <v>408</v>
      </c>
      <c r="D115">
        <v>-5.26</v>
      </c>
      <c r="E115">
        <v>-3.1202000000000001</v>
      </c>
      <c r="F115">
        <v>-2.6025</v>
      </c>
      <c r="G115">
        <v>-5</v>
      </c>
      <c r="I115">
        <f t="shared" si="97"/>
        <v>60.453299999999999</v>
      </c>
      <c r="J115">
        <v>73.0334</v>
      </c>
      <c r="K115">
        <f t="shared" si="98"/>
        <v>-98276.168118273607</v>
      </c>
      <c r="L115">
        <f t="shared" si="99"/>
        <v>-4.0948403382614007</v>
      </c>
      <c r="P115">
        <v>7.5709999999999996E-3</v>
      </c>
      <c r="Q115" s="27">
        <f t="shared" si="106"/>
        <v>-0.18002257102364941</v>
      </c>
      <c r="R115" s="27">
        <f t="shared" si="107"/>
        <v>-186.01221720586236</v>
      </c>
      <c r="S115">
        <f t="shared" si="101"/>
        <v>-0.18002257102364941</v>
      </c>
    </row>
    <row r="116" spans="1:27">
      <c r="A116" s="11" t="s">
        <v>54</v>
      </c>
      <c r="B116">
        <v>20</v>
      </c>
      <c r="C116">
        <f t="shared" si="105"/>
        <v>293</v>
      </c>
      <c r="D116">
        <v>-6.5</v>
      </c>
      <c r="E116">
        <v>-2.5</v>
      </c>
      <c r="F116">
        <v>-3</v>
      </c>
      <c r="G116">
        <v>-8.02</v>
      </c>
      <c r="I116" s="11">
        <f>F116-3*D116-4*E116-5*G116</f>
        <v>66.599999999999994</v>
      </c>
      <c r="J116" s="11">
        <v>60.059100000000001</v>
      </c>
      <c r="K116">
        <f t="shared" si="98"/>
        <v>36695.185544585358</v>
      </c>
      <c r="L116" s="26">
        <f t="shared" si="99"/>
        <v>1.5289660643577232</v>
      </c>
      <c r="P116">
        <v>1.8100000000000002E-2</v>
      </c>
      <c r="Q116" s="27">
        <f t="shared" si="106"/>
        <v>3.8680121827791903E-3</v>
      </c>
      <c r="R116" s="27">
        <f>(K116/4)*(P116)</f>
        <v>166.04571458924875</v>
      </c>
      <c r="S116" s="26">
        <f t="shared" si="101"/>
        <v>166.04571458924875</v>
      </c>
      <c r="X116" s="26">
        <f>LOG(ABS(S116))</f>
        <v>2.2202276715377867</v>
      </c>
    </row>
    <row r="117" spans="1:27" ht="17">
      <c r="A117" s="14" t="s">
        <v>161</v>
      </c>
      <c r="B117" s="11"/>
      <c r="C117" s="11"/>
      <c r="F117" t="s">
        <v>56</v>
      </c>
      <c r="L117" s="1"/>
      <c r="O117" s="1"/>
    </row>
    <row r="118" spans="1:27">
      <c r="C118" s="12"/>
      <c r="L118" s="1"/>
      <c r="O118" s="1"/>
    </row>
    <row r="119" spans="1:27" ht="17">
      <c r="A119" s="22" t="s">
        <v>162</v>
      </c>
      <c r="D119" s="7" t="s">
        <v>163</v>
      </c>
      <c r="E119" s="7"/>
      <c r="F119" s="7"/>
      <c r="G119" s="7"/>
      <c r="H119" s="7"/>
      <c r="Q119" s="27" t="s">
        <v>172</v>
      </c>
      <c r="R119" s="27" t="s">
        <v>173</v>
      </c>
      <c r="S119" t="s">
        <v>174</v>
      </c>
    </row>
    <row r="120" spans="1:27" ht="17">
      <c r="A120" t="s">
        <v>23</v>
      </c>
      <c r="B120" t="s">
        <v>24</v>
      </c>
      <c r="C120" t="s">
        <v>25</v>
      </c>
      <c r="D120" t="s">
        <v>26</v>
      </c>
      <c r="E120" t="s">
        <v>30</v>
      </c>
      <c r="F120" t="s">
        <v>28</v>
      </c>
      <c r="G120" t="s">
        <v>29</v>
      </c>
      <c r="I120" t="s">
        <v>31</v>
      </c>
      <c r="J120" t="s">
        <v>32</v>
      </c>
      <c r="K120" t="s">
        <v>33</v>
      </c>
      <c r="L120" t="s">
        <v>34</v>
      </c>
      <c r="M120" t="s">
        <v>191</v>
      </c>
      <c r="N120" s="1" t="s">
        <v>190</v>
      </c>
      <c r="Q120" s="27" t="s">
        <v>47</v>
      </c>
      <c r="R120" s="27" t="s">
        <v>47</v>
      </c>
      <c r="S120" t="s">
        <v>175</v>
      </c>
      <c r="T120" t="s">
        <v>195</v>
      </c>
      <c r="U120" t="s">
        <v>194</v>
      </c>
      <c r="V120" t="s">
        <v>200</v>
      </c>
      <c r="W120" s="1" t="s">
        <v>190</v>
      </c>
      <c r="Z120" t="s">
        <v>201</v>
      </c>
    </row>
    <row r="121" spans="1:27">
      <c r="A121" t="s">
        <v>48</v>
      </c>
      <c r="B121">
        <v>54.7</v>
      </c>
      <c r="C121">
        <f>B121+273</f>
        <v>327.7</v>
      </c>
      <c r="D121">
        <v>-8.32</v>
      </c>
      <c r="E121">
        <v>-5.2</v>
      </c>
      <c r="F121">
        <v>-3.0752000000000002</v>
      </c>
      <c r="G121">
        <v>-3.2303999999999999</v>
      </c>
      <c r="I121">
        <f t="shared" ref="I121:I126" si="108">F121+4*G121-D121</f>
        <v>-7.6768000000000001</v>
      </c>
      <c r="J121">
        <v>-0.4214</v>
      </c>
      <c r="K121">
        <f t="shared" ref="K121:K127" si="109">-2.303*8.314*C121*(J121-I121)</f>
        <v>-45524.141041690353</v>
      </c>
      <c r="L121">
        <f t="shared" ref="L121:L127" si="110">K121/8000</f>
        <v>-5.6905176302112945</v>
      </c>
      <c r="M121">
        <f t="shared" si="69"/>
        <v>-10.778749283665835</v>
      </c>
      <c r="N121">
        <f t="shared" ref="N121" si="111">ABS(MAX(L121:L126)-M121)</f>
        <v>5.4151088135411687</v>
      </c>
      <c r="Q121" s="27">
        <f t="shared" ref="Q121:Q127" si="112">10^D121*K121</f>
        <v>-2.1789223829693014E-4</v>
      </c>
      <c r="R121" s="28" t="s">
        <v>177</v>
      </c>
      <c r="S121" s="23">
        <f>Q121</f>
        <v>-2.1789223829693014E-4</v>
      </c>
      <c r="T121">
        <f t="shared" si="80"/>
        <v>0.71193495438923948</v>
      </c>
      <c r="U121">
        <f t="shared" ref="U121" si="113">(ABS(MAX(S121:S126)))</f>
        <v>1.708242985142046E-4</v>
      </c>
      <c r="V121">
        <f t="shared" ref="V121" si="114">AVERAGE(LOG(T121),LOG(U121))</f>
        <v>-1.9575050188440715</v>
      </c>
      <c r="W121">
        <f t="shared" ref="W121" si="115">ABS(V121-LOG(T121))</f>
        <v>1.8099453351771888</v>
      </c>
      <c r="Z121" s="31">
        <f>S9+S20+S31+S42+S53+S64+S87+S98+S110</f>
        <v>-1.9025139528767686E-2</v>
      </c>
      <c r="AA121" s="31">
        <f>-Z121</f>
        <v>1.9025139528767686E-2</v>
      </c>
    </row>
    <row r="122" spans="1:27">
      <c r="A122" t="s">
        <v>49</v>
      </c>
      <c r="B122">
        <v>60.3</v>
      </c>
      <c r="C122">
        <f t="shared" ref="C122:C127" si="116">B122+273</f>
        <v>333.3</v>
      </c>
      <c r="D122">
        <v>-5.27</v>
      </c>
      <c r="E122">
        <v>-5.2</v>
      </c>
      <c r="F122">
        <v>-2.7027000000000001</v>
      </c>
      <c r="G122">
        <v>-3.8155999999999999</v>
      </c>
      <c r="I122">
        <f t="shared" si="108"/>
        <v>-12.6951</v>
      </c>
      <c r="J122">
        <v>-0.1774</v>
      </c>
      <c r="K122">
        <f t="shared" si="109"/>
        <v>-79884.737198486211</v>
      </c>
      <c r="L122">
        <f t="shared" si="110"/>
        <v>-9.9855921498107758</v>
      </c>
      <c r="Q122" s="27">
        <f t="shared" si="112"/>
        <v>-0.42900643920268622</v>
      </c>
      <c r="R122" s="28" t="s">
        <v>177</v>
      </c>
      <c r="S122" s="23">
        <f t="shared" ref="S122:S127" si="117">Q122</f>
        <v>-0.42900643920268622</v>
      </c>
      <c r="Z122" s="31">
        <f t="shared" ref="Z122:Z126" si="118">S10+S21+S32+S43+S54+S65+S88+S99+S111</f>
        <v>-11.578094581173197</v>
      </c>
      <c r="AA122" s="31">
        <f t="shared" ref="AA122:AA126" si="119">-Z122</f>
        <v>11.578094581173197</v>
      </c>
    </row>
    <row r="123" spans="1:27">
      <c r="A123" t="s">
        <v>50</v>
      </c>
      <c r="B123">
        <v>80.099999999999994</v>
      </c>
      <c r="C123">
        <f t="shared" si="116"/>
        <v>353.1</v>
      </c>
      <c r="D123">
        <v>-8.4</v>
      </c>
      <c r="E123">
        <v>-4.7</v>
      </c>
      <c r="F123">
        <v>-2.8500999999999999</v>
      </c>
      <c r="G123">
        <v>-2.7831999999999999</v>
      </c>
      <c r="I123">
        <f t="shared" si="108"/>
        <v>-5.5828999999999986</v>
      </c>
      <c r="J123">
        <v>0.76380000000000003</v>
      </c>
      <c r="K123">
        <f t="shared" si="109"/>
        <v>-42909.123760997332</v>
      </c>
      <c r="L123">
        <f t="shared" si="110"/>
        <v>-5.3636404701246665</v>
      </c>
      <c r="Q123" s="27">
        <f t="shared" si="112"/>
        <v>-1.708242985142046E-4</v>
      </c>
      <c r="R123" s="28" t="s">
        <v>177</v>
      </c>
      <c r="S123" s="23">
        <f t="shared" si="117"/>
        <v>-1.708242985142046E-4</v>
      </c>
      <c r="Z123" s="31">
        <f t="shared" si="118"/>
        <v>-1.596001298116758E-2</v>
      </c>
      <c r="AA123" s="31">
        <f t="shared" si="119"/>
        <v>1.596001298116758E-2</v>
      </c>
    </row>
    <row r="124" spans="1:27">
      <c r="A124" t="s">
        <v>51</v>
      </c>
      <c r="B124">
        <v>96.6</v>
      </c>
      <c r="C124">
        <f t="shared" si="116"/>
        <v>369.6</v>
      </c>
      <c r="D124">
        <v>-6.1</v>
      </c>
      <c r="E124">
        <v>-5.6</v>
      </c>
      <c r="F124">
        <v>-2.71</v>
      </c>
      <c r="G124">
        <v>-4.0804999999999998</v>
      </c>
      <c r="I124">
        <f t="shared" si="108"/>
        <v>-12.932</v>
      </c>
      <c r="J124">
        <v>1.5216000000000001</v>
      </c>
      <c r="K124">
        <f t="shared" si="109"/>
        <v>-102285.00064349952</v>
      </c>
      <c r="L124">
        <f t="shared" si="110"/>
        <v>-12.785625080437439</v>
      </c>
      <c r="Q124" s="27">
        <f t="shared" si="112"/>
        <v>-8.1247863999922926E-2</v>
      </c>
      <c r="R124" s="28" t="s">
        <v>177</v>
      </c>
      <c r="S124" s="23">
        <f t="shared" si="117"/>
        <v>-8.1247863999922926E-2</v>
      </c>
      <c r="Z124" s="31">
        <f t="shared" si="118"/>
        <v>-2.4730003791848212</v>
      </c>
      <c r="AA124" s="31">
        <f t="shared" si="119"/>
        <v>2.4730003791848212</v>
      </c>
    </row>
    <row r="125" spans="1:27">
      <c r="A125" t="s">
        <v>52</v>
      </c>
      <c r="B125">
        <v>135</v>
      </c>
      <c r="C125">
        <f t="shared" si="116"/>
        <v>408</v>
      </c>
      <c r="D125">
        <v>-6.1</v>
      </c>
      <c r="E125">
        <v>-2.9</v>
      </c>
      <c r="F125">
        <v>-3.0543999999999998</v>
      </c>
      <c r="G125">
        <v>-3.7812000000000001</v>
      </c>
      <c r="I125">
        <f t="shared" si="108"/>
        <v>-12.079200000000002</v>
      </c>
      <c r="J125">
        <v>3.0861999999999998</v>
      </c>
      <c r="K125">
        <f t="shared" si="109"/>
        <v>-118472.61945301441</v>
      </c>
      <c r="L125">
        <f t="shared" si="110"/>
        <v>-14.809077431626802</v>
      </c>
      <c r="Q125" s="27">
        <f t="shared" si="112"/>
        <v>-9.4106146673274466E-2</v>
      </c>
      <c r="R125" s="28" t="s">
        <v>177</v>
      </c>
      <c r="S125" s="23">
        <f t="shared" si="117"/>
        <v>-9.4106146673274466E-2</v>
      </c>
      <c r="Z125" s="31">
        <f t="shared" si="118"/>
        <v>-2.7933416902023742</v>
      </c>
      <c r="AA125" s="31">
        <f t="shared" si="119"/>
        <v>2.7933416902023742</v>
      </c>
    </row>
    <row r="126" spans="1:27">
      <c r="A126" t="s">
        <v>53</v>
      </c>
      <c r="B126">
        <v>135</v>
      </c>
      <c r="C126">
        <f t="shared" si="116"/>
        <v>408</v>
      </c>
      <c r="D126">
        <v>-5.26</v>
      </c>
      <c r="E126">
        <v>-5</v>
      </c>
      <c r="F126">
        <v>-2.6025</v>
      </c>
      <c r="G126">
        <v>-4.0387000000000004</v>
      </c>
      <c r="I126">
        <f t="shared" si="108"/>
        <v>-13.497300000000001</v>
      </c>
      <c r="J126">
        <v>3.0861999999999998</v>
      </c>
      <c r="K126">
        <f t="shared" si="109"/>
        <v>-129550.86477765601</v>
      </c>
      <c r="L126">
        <f t="shared" si="110"/>
        <v>-16.193858097207002</v>
      </c>
      <c r="Q126" s="27">
        <f t="shared" si="112"/>
        <v>-0.71193495438923948</v>
      </c>
      <c r="R126" s="28" t="s">
        <v>177</v>
      </c>
      <c r="S126" s="23">
        <f t="shared" si="117"/>
        <v>-0.71193495438923948</v>
      </c>
      <c r="Z126" s="31">
        <f t="shared" si="118"/>
        <v>-13.476865827102175</v>
      </c>
      <c r="AA126" s="31">
        <f t="shared" si="119"/>
        <v>13.476865827102175</v>
      </c>
    </row>
    <row r="127" spans="1:27">
      <c r="A127" s="11" t="s">
        <v>54</v>
      </c>
      <c r="B127">
        <v>20</v>
      </c>
      <c r="C127">
        <f t="shared" si="116"/>
        <v>293</v>
      </c>
      <c r="D127">
        <v>-6.5</v>
      </c>
      <c r="E127">
        <v>-8.02</v>
      </c>
      <c r="F127">
        <v>-3</v>
      </c>
      <c r="G127">
        <v>-8.9</v>
      </c>
      <c r="I127" s="11">
        <f>5*E127+F127+4*G127-D127</f>
        <v>-72.199999999999989</v>
      </c>
      <c r="J127" s="11">
        <v>-36.829099999999997</v>
      </c>
      <c r="K127">
        <f t="shared" si="109"/>
        <v>-198434.73197556534</v>
      </c>
      <c r="L127">
        <f t="shared" si="110"/>
        <v>-24.804341496945668</v>
      </c>
      <c r="Q127" s="27">
        <f t="shared" si="112"/>
        <v>-6.2750571992782903E-2</v>
      </c>
      <c r="R127" s="28" t="s">
        <v>177</v>
      </c>
      <c r="S127" s="23">
        <f t="shared" si="117"/>
        <v>-6.2750571992782903E-2</v>
      </c>
      <c r="X127">
        <f>LOG(ABS(S127))</f>
        <v>-1.2023823110871297</v>
      </c>
      <c r="AA127" s="31"/>
    </row>
    <row r="128" spans="1:27" ht="17">
      <c r="A128" s="14" t="s">
        <v>165</v>
      </c>
      <c r="B128" s="14"/>
      <c r="C128" s="14"/>
      <c r="F128" t="s">
        <v>56</v>
      </c>
      <c r="G128" t="s">
        <v>57</v>
      </c>
      <c r="I128" t="s">
        <v>166</v>
      </c>
      <c r="K128" s="1"/>
      <c r="AA128" s="31"/>
    </row>
    <row r="129" spans="1:27">
      <c r="AA129" s="31"/>
    </row>
    <row r="130" spans="1:27">
      <c r="AA130" s="31"/>
    </row>
    <row r="131" spans="1:27" ht="16">
      <c r="D131" s="4" t="s">
        <v>11</v>
      </c>
      <c r="AA131" s="31"/>
    </row>
    <row r="132" spans="1:27" ht="16">
      <c r="D132" s="7" t="s">
        <v>15</v>
      </c>
      <c r="E132" s="7"/>
      <c r="H132" s="1" t="s">
        <v>14</v>
      </c>
      <c r="Q132" s="27" t="s">
        <v>172</v>
      </c>
      <c r="R132" s="27" t="s">
        <v>173</v>
      </c>
      <c r="S132" t="s">
        <v>174</v>
      </c>
      <c r="AA132" s="31"/>
    </row>
    <row r="133" spans="1:27" ht="16">
      <c r="A133" t="s">
        <v>23</v>
      </c>
      <c r="B133" t="s">
        <v>24</v>
      </c>
      <c r="C133" t="s">
        <v>25</v>
      </c>
      <c r="D133" t="s">
        <v>35</v>
      </c>
      <c r="E133" t="s">
        <v>36</v>
      </c>
      <c r="F133" t="s">
        <v>31</v>
      </c>
      <c r="G133" t="s">
        <v>32</v>
      </c>
      <c r="H133" t="s">
        <v>33</v>
      </c>
      <c r="L133" t="s">
        <v>37</v>
      </c>
      <c r="M133" t="s">
        <v>191</v>
      </c>
      <c r="N133" t="s">
        <v>190</v>
      </c>
      <c r="Q133" s="27" t="s">
        <v>47</v>
      </c>
      <c r="R133" s="27" t="s">
        <v>47</v>
      </c>
      <c r="S133" t="s">
        <v>175</v>
      </c>
      <c r="T133" t="s">
        <v>195</v>
      </c>
      <c r="U133" t="s">
        <v>194</v>
      </c>
      <c r="V133" t="s">
        <v>200</v>
      </c>
      <c r="W133" s="1" t="s">
        <v>190</v>
      </c>
      <c r="AA133" s="31"/>
    </row>
    <row r="134" spans="1:27">
      <c r="A134" t="s">
        <v>48</v>
      </c>
      <c r="B134">
        <v>54.7</v>
      </c>
      <c r="C134">
        <f>B134+273</f>
        <v>327.7</v>
      </c>
      <c r="D134">
        <v>-7.7</v>
      </c>
      <c r="E134">
        <v>-6.11</v>
      </c>
      <c r="F134">
        <f>-D134-0.5*E134</f>
        <v>10.755000000000001</v>
      </c>
      <c r="G134">
        <v>41.644799999999996</v>
      </c>
      <c r="H134">
        <f>-2.303*8.314*C134*(G134-F134)</f>
        <v>-193818.61950403926</v>
      </c>
      <c r="L134">
        <f t="shared" ref="L134:L140" si="120">H134/(2*1000)</f>
        <v>-96.909309752019638</v>
      </c>
      <c r="M134">
        <f t="shared" si="69"/>
        <v>-95.786160852323647</v>
      </c>
      <c r="N134">
        <f t="shared" ref="N134" si="121">ABS(MAX(L134:L139)-M134)</f>
        <v>4.6997981670476463</v>
      </c>
      <c r="Q134" s="27">
        <f>H134*(10^D134)</f>
        <v>-3.8671898743570139E-3</v>
      </c>
      <c r="R134" s="27">
        <f>(2*H134)*(10^E134)</f>
        <v>-0.30090228907792738</v>
      </c>
      <c r="S134">
        <f t="shared" ref="S134:S137" si="122">IF(Q134&gt;R134, Q134,R134)</f>
        <v>-3.8671898743570139E-3</v>
      </c>
      <c r="T134">
        <f t="shared" si="80"/>
        <v>0.10575072551395708</v>
      </c>
      <c r="U134">
        <f t="shared" ref="U134" si="123">(ABS(MAX(S134:S139)))</f>
        <v>3.8671898743570139E-3</v>
      </c>
      <c r="V134">
        <f t="shared" ref="V134" si="124">AVERAGE(LOG(T134),LOG(U134))</f>
        <v>-1.6941605742440824</v>
      </c>
      <c r="W134">
        <f t="shared" ref="W134" si="125">ABS(V134-LOG(T134))</f>
        <v>0.71844392982428062</v>
      </c>
      <c r="AA134" s="31"/>
    </row>
    <row r="135" spans="1:27">
      <c r="A135" t="s">
        <v>49</v>
      </c>
      <c r="B135">
        <v>60.3</v>
      </c>
      <c r="C135">
        <f t="shared" ref="C135:C140" si="126">B135+273</f>
        <v>333.3</v>
      </c>
      <c r="D135">
        <v>-6.37</v>
      </c>
      <c r="E135">
        <v>-6.22</v>
      </c>
      <c r="F135">
        <f t="shared" ref="F135:F140" si="127">-D135-0.5*E135</f>
        <v>9.48</v>
      </c>
      <c r="G135">
        <v>40.971699999999998</v>
      </c>
      <c r="H135">
        <f t="shared" ref="H135:H140" si="128">-2.303*8.314*C135*(G135-F135)</f>
        <v>-200971.91803874259</v>
      </c>
      <c r="L135">
        <f t="shared" si="120"/>
        <v>-100.48595901937129</v>
      </c>
      <c r="Q135" s="27">
        <f t="shared" ref="Q135:Q140" si="129">H135*(10^D135)</f>
        <v>-8.5730504089599827E-2</v>
      </c>
      <c r="R135" s="27">
        <f t="shared" ref="R135:R140" si="130">(2*H135)*(10^E135)</f>
        <v>-0.24219511149198875</v>
      </c>
      <c r="S135">
        <f t="shared" si="122"/>
        <v>-8.5730504089599827E-2</v>
      </c>
      <c r="AA135" s="31"/>
    </row>
    <row r="136" spans="1:27">
      <c r="A136" t="s">
        <v>50</v>
      </c>
      <c r="B136">
        <v>80.099999999999994</v>
      </c>
      <c r="C136">
        <f t="shared" si="126"/>
        <v>353.1</v>
      </c>
      <c r="D136">
        <v>-7.22</v>
      </c>
      <c r="E136">
        <v>-4.5999999999999996</v>
      </c>
      <c r="F136">
        <f t="shared" si="127"/>
        <v>9.52</v>
      </c>
      <c r="G136">
        <v>38.451599999999999</v>
      </c>
      <c r="H136">
        <f t="shared" si="128"/>
        <v>-195602.37682633032</v>
      </c>
      <c r="L136">
        <f t="shared" si="120"/>
        <v>-97.801188413165164</v>
      </c>
      <c r="Q136" s="27">
        <f t="shared" si="129"/>
        <v>-1.178620872156339E-2</v>
      </c>
      <c r="R136" s="27">
        <f t="shared" si="130"/>
        <v>-9.826619126421658</v>
      </c>
      <c r="S136">
        <f t="shared" si="122"/>
        <v>-1.178620872156339E-2</v>
      </c>
      <c r="AA136" s="31"/>
    </row>
    <row r="137" spans="1:27">
      <c r="A137" t="s">
        <v>51</v>
      </c>
      <c r="B137">
        <v>96.6</v>
      </c>
      <c r="C137">
        <f t="shared" si="126"/>
        <v>369.6</v>
      </c>
      <c r="D137">
        <v>-7.22</v>
      </c>
      <c r="E137">
        <v>-3.62</v>
      </c>
      <c r="F137">
        <f t="shared" si="127"/>
        <v>9.0299999999999994</v>
      </c>
      <c r="G137">
        <v>36.503399999999999</v>
      </c>
      <c r="H137">
        <f t="shared" si="128"/>
        <v>-194423.30884202686</v>
      </c>
      <c r="L137">
        <f t="shared" si="120"/>
        <v>-97.211654421013435</v>
      </c>
      <c r="Q137" s="27">
        <f t="shared" si="129"/>
        <v>-1.1715162849905848E-2</v>
      </c>
      <c r="R137" s="27">
        <f t="shared" si="130"/>
        <v>-93.277806694989351</v>
      </c>
      <c r="S137">
        <f t="shared" si="122"/>
        <v>-1.1715162849905848E-2</v>
      </c>
      <c r="AA137" s="31"/>
    </row>
    <row r="138" spans="1:27">
      <c r="A138" t="s">
        <v>52</v>
      </c>
      <c r="B138">
        <v>135</v>
      </c>
      <c r="C138">
        <f t="shared" si="126"/>
        <v>408</v>
      </c>
      <c r="D138">
        <v>-7.19</v>
      </c>
      <c r="E138">
        <v>-3.71</v>
      </c>
      <c r="F138">
        <f t="shared" si="127"/>
        <v>9.0449999999999999</v>
      </c>
      <c r="G138">
        <v>32.680700000000002</v>
      </c>
      <c r="H138">
        <f t="shared" si="128"/>
        <v>-184642.89050111521</v>
      </c>
      <c r="L138">
        <f t="shared" si="120"/>
        <v>-92.321445250557602</v>
      </c>
      <c r="Q138" s="27">
        <f t="shared" si="129"/>
        <v>-1.1921546311322757E-2</v>
      </c>
      <c r="R138" s="27">
        <f t="shared" si="130"/>
        <v>-72.00498858546311</v>
      </c>
      <c r="S138">
        <f t="shared" ref="S138:S140" si="131">IF(Q138&gt;R138, Q138,R138)</f>
        <v>-1.1921546311322757E-2</v>
      </c>
      <c r="AA138" s="31"/>
    </row>
    <row r="139" spans="1:27">
      <c r="A139" t="s">
        <v>53</v>
      </c>
      <c r="B139">
        <v>135</v>
      </c>
      <c r="C139">
        <f t="shared" si="126"/>
        <v>408</v>
      </c>
      <c r="D139">
        <v>-6.2362000000000002</v>
      </c>
      <c r="E139">
        <v>-6.25</v>
      </c>
      <c r="F139">
        <f t="shared" si="127"/>
        <v>9.3612000000000002</v>
      </c>
      <c r="G139">
        <v>32.680700000000002</v>
      </c>
      <c r="H139">
        <f t="shared" si="128"/>
        <v>-182172.72537055201</v>
      </c>
      <c r="L139">
        <f t="shared" si="120"/>
        <v>-91.086362685276001</v>
      </c>
      <c r="Q139" s="27">
        <f t="shared" si="129"/>
        <v>-0.10575072551395708</v>
      </c>
      <c r="R139" s="27">
        <f t="shared" si="130"/>
        <v>-0.20488650359682736</v>
      </c>
      <c r="S139">
        <f t="shared" si="131"/>
        <v>-0.10575072551395708</v>
      </c>
      <c r="AA139" s="31"/>
    </row>
    <row r="140" spans="1:27">
      <c r="A140" s="11" t="s">
        <v>54</v>
      </c>
      <c r="B140">
        <v>20</v>
      </c>
      <c r="C140">
        <f t="shared" si="126"/>
        <v>293</v>
      </c>
      <c r="D140">
        <v>-6.4</v>
      </c>
      <c r="E140">
        <v>-3.6</v>
      </c>
      <c r="F140">
        <f t="shared" si="127"/>
        <v>8.2000000000000011</v>
      </c>
      <c r="G140">
        <v>46.929099999999998</v>
      </c>
      <c r="H140">
        <f t="shared" si="128"/>
        <v>-217274.61212903456</v>
      </c>
      <c r="L140">
        <f t="shared" si="120"/>
        <v>-108.63730606451728</v>
      </c>
      <c r="Q140" s="27">
        <f t="shared" si="129"/>
        <v>-8.6498581067798286E-2</v>
      </c>
      <c r="R140" s="27">
        <f t="shared" si="130"/>
        <v>-109.15383002368563</v>
      </c>
      <c r="S140">
        <f t="shared" si="131"/>
        <v>-8.6498581067798286E-2</v>
      </c>
      <c r="X140">
        <f>LOG(ABS(S140))</f>
        <v>-1.0629910166910213</v>
      </c>
      <c r="AA140" s="31"/>
    </row>
    <row r="141" spans="1:27">
      <c r="AA141" s="31"/>
    </row>
    <row r="142" spans="1:27" ht="17">
      <c r="D142" s="7" t="s">
        <v>86</v>
      </c>
      <c r="E142" s="7"/>
      <c r="F142" s="7"/>
      <c r="Q142" s="27" t="s">
        <v>172</v>
      </c>
      <c r="R142" s="27" t="s">
        <v>173</v>
      </c>
      <c r="S142" t="s">
        <v>174</v>
      </c>
      <c r="AA142" s="31"/>
    </row>
    <row r="143" spans="1:27" ht="17">
      <c r="A143" t="s">
        <v>23</v>
      </c>
      <c r="B143" t="s">
        <v>24</v>
      </c>
      <c r="C143" t="s">
        <v>25</v>
      </c>
      <c r="D143" t="s">
        <v>35</v>
      </c>
      <c r="E143" t="s">
        <v>67</v>
      </c>
      <c r="F143" t="s">
        <v>30</v>
      </c>
      <c r="G143" t="s">
        <v>68</v>
      </c>
      <c r="H143" t="s">
        <v>31</v>
      </c>
      <c r="I143" t="s">
        <v>32</v>
      </c>
      <c r="J143" t="s">
        <v>33</v>
      </c>
      <c r="L143" t="s">
        <v>90</v>
      </c>
      <c r="M143" t="s">
        <v>191</v>
      </c>
      <c r="N143" s="1" t="s">
        <v>190</v>
      </c>
      <c r="P143" t="s">
        <v>178</v>
      </c>
      <c r="Q143" s="27" t="s">
        <v>47</v>
      </c>
      <c r="R143" s="27" t="s">
        <v>47</v>
      </c>
      <c r="S143" t="s">
        <v>175</v>
      </c>
      <c r="T143" t="s">
        <v>195</v>
      </c>
      <c r="U143" t="s">
        <v>194</v>
      </c>
      <c r="V143" t="s">
        <v>200</v>
      </c>
      <c r="W143" s="1" t="s">
        <v>190</v>
      </c>
      <c r="AA143" s="31"/>
    </row>
    <row r="144" spans="1:27">
      <c r="A144" t="s">
        <v>48</v>
      </c>
      <c r="B144">
        <v>54.7</v>
      </c>
      <c r="C144">
        <f>B144+273</f>
        <v>327.7</v>
      </c>
      <c r="D144">
        <v>-7.7</v>
      </c>
      <c r="E144">
        <v>-4.7778</v>
      </c>
      <c r="F144">
        <v>-5.2</v>
      </c>
      <c r="G144">
        <v>-5.6195000000000004</v>
      </c>
      <c r="H144">
        <f>G144-5*D144-2*E144-2*F144</f>
        <v>52.836099999999995</v>
      </c>
      <c r="I144">
        <v>202.10339999999999</v>
      </c>
      <c r="J144">
        <f>-2.303*8.314*C144*(I144-H144)</f>
        <v>-936580.42535384779</v>
      </c>
      <c r="L144">
        <f t="shared" ref="L144:L150" si="132">J144/10000</f>
        <v>-93.65804253538478</v>
      </c>
      <c r="M144">
        <f t="shared" ref="M144:M196" si="133">AVERAGE(MIN(L144:L149),MAX(L144:L149))</f>
        <v>-94.090424128929442</v>
      </c>
      <c r="N144">
        <f t="shared" ref="N144" si="134">ABS(MAX(L144:L149)-M144)</f>
        <v>3.6194769340008435</v>
      </c>
      <c r="P144" s="23">
        <v>2.8059999999999999E-5</v>
      </c>
      <c r="Q144" s="27">
        <f t="shared" ref="Q144:Q150" si="135">(J144/5)*(10^D144)</f>
        <v>-3.7374472552921083E-3</v>
      </c>
      <c r="R144" s="27">
        <f t="shared" ref="R144:R150" si="136">(J144/2)*P144</f>
        <v>-13.140223367714484</v>
      </c>
      <c r="S144">
        <f t="shared" ref="S144:S150" si="137">IF(Q144&gt;R144, Q144,R144)</f>
        <v>-3.7374472552921083E-3</v>
      </c>
      <c r="T144">
        <f t="shared" si="80"/>
        <v>0.10547954073787978</v>
      </c>
      <c r="U144">
        <f t="shared" ref="U144" si="138">(ABS(MAX(S144:S149)))</f>
        <v>3.7374472552921083E-3</v>
      </c>
      <c r="V144">
        <f t="shared" ref="V144" si="139">AVERAGE(LOG(T144),LOG(U144))</f>
        <v>-1.7021283487065892</v>
      </c>
      <c r="W144">
        <f t="shared" ref="W144" si="140">ABS(V144-LOG(T144))</f>
        <v>0.72529657889663623</v>
      </c>
      <c r="AA144" s="31"/>
    </row>
    <row r="145" spans="1:27">
      <c r="A145" t="s">
        <v>49</v>
      </c>
      <c r="B145">
        <v>60.3</v>
      </c>
      <c r="C145">
        <f t="shared" ref="C145:C150" si="141">B145+273</f>
        <v>333.3</v>
      </c>
      <c r="D145">
        <v>-6.37</v>
      </c>
      <c r="E145">
        <v>-4.7697000000000003</v>
      </c>
      <c r="F145">
        <v>-5.2</v>
      </c>
      <c r="G145">
        <v>-5.8804999999999996</v>
      </c>
      <c r="H145">
        <f t="shared" ref="H145:H150" si="142">G145-5*D145-2*E145-2*F145</f>
        <v>45.908900000000003</v>
      </c>
      <c r="I145">
        <v>199.01740000000001</v>
      </c>
      <c r="J145">
        <f>-2.303*8.314*C145*(I145-H145)</f>
        <v>-977099.01062930294</v>
      </c>
      <c r="L145">
        <f t="shared" si="132"/>
        <v>-97.7099010629303</v>
      </c>
      <c r="P145" s="23">
        <v>2.7889999999999999E-5</v>
      </c>
      <c r="Q145" s="27">
        <f t="shared" si="135"/>
        <v>-8.3362085155151963E-2</v>
      </c>
      <c r="R145" s="27">
        <f t="shared" si="136"/>
        <v>-13.625645703225629</v>
      </c>
      <c r="S145">
        <f t="shared" si="137"/>
        <v>-8.3362085155151963E-2</v>
      </c>
      <c r="AA145" s="31"/>
    </row>
    <row r="146" spans="1:27">
      <c r="A146" t="s">
        <v>50</v>
      </c>
      <c r="B146">
        <v>80.099999999999994</v>
      </c>
      <c r="C146">
        <f t="shared" si="141"/>
        <v>353.1</v>
      </c>
      <c r="D146">
        <v>-7.22</v>
      </c>
      <c r="E146">
        <v>-4.7794999999999996</v>
      </c>
      <c r="F146">
        <v>-4.7</v>
      </c>
      <c r="G146">
        <v>-5.63</v>
      </c>
      <c r="H146">
        <f t="shared" si="142"/>
        <v>49.429000000000002</v>
      </c>
      <c r="I146">
        <v>187.54900000000001</v>
      </c>
      <c r="J146">
        <f t="shared" ref="J146:J150" si="143">-2.303*8.314*C146*(I146-H146)</f>
        <v>-933809.40864842397</v>
      </c>
      <c r="L146">
        <f t="shared" si="132"/>
        <v>-93.380940864842401</v>
      </c>
      <c r="P146" s="23">
        <v>2.8920000000000001E-5</v>
      </c>
      <c r="Q146" s="27">
        <f t="shared" si="135"/>
        <v>-1.125351621495068E-2</v>
      </c>
      <c r="R146" s="27">
        <f t="shared" si="136"/>
        <v>-13.502884049056211</v>
      </c>
      <c r="S146">
        <f t="shared" si="137"/>
        <v>-1.125351621495068E-2</v>
      </c>
      <c r="AA146" s="31"/>
    </row>
    <row r="147" spans="1:27">
      <c r="A147" t="s">
        <v>51</v>
      </c>
      <c r="B147">
        <v>96.6</v>
      </c>
      <c r="C147">
        <f t="shared" si="141"/>
        <v>369.6</v>
      </c>
      <c r="D147">
        <v>-7.22</v>
      </c>
      <c r="E147">
        <v>-4.6773999999999996</v>
      </c>
      <c r="F147">
        <v>-5.6</v>
      </c>
      <c r="G147">
        <v>-5.718</v>
      </c>
      <c r="H147">
        <f t="shared" si="142"/>
        <v>50.936800000000005</v>
      </c>
      <c r="I147">
        <v>178.77869999999999</v>
      </c>
      <c r="J147">
        <f>-2.303*8.314*C147*(I147-H147)</f>
        <v>-904709.47194928594</v>
      </c>
      <c r="L147">
        <f t="shared" si="132"/>
        <v>-90.470947194928598</v>
      </c>
      <c r="P147" s="23">
        <v>3.6059999999999997E-5</v>
      </c>
      <c r="Q147" s="27">
        <f t="shared" si="135"/>
        <v>-1.0902827298706227E-2</v>
      </c>
      <c r="R147" s="27">
        <f t="shared" si="136"/>
        <v>-16.311911779245623</v>
      </c>
      <c r="S147">
        <f t="shared" si="137"/>
        <v>-1.0902827298706227E-2</v>
      </c>
      <c r="AA147" s="31"/>
    </row>
    <row r="148" spans="1:27">
      <c r="A148" t="s">
        <v>52</v>
      </c>
      <c r="B148">
        <v>135</v>
      </c>
      <c r="C148">
        <f t="shared" si="141"/>
        <v>408</v>
      </c>
      <c r="D148">
        <v>-7.19</v>
      </c>
      <c r="E148">
        <v>-4.2153</v>
      </c>
      <c r="F148">
        <v>-2.9</v>
      </c>
      <c r="G148">
        <v>-5.5933999999999999</v>
      </c>
      <c r="H148">
        <f t="shared" si="142"/>
        <v>44.587200000000003</v>
      </c>
      <c r="I148">
        <v>161.8349</v>
      </c>
      <c r="J148">
        <f t="shared" si="143"/>
        <v>-915943.0113179473</v>
      </c>
      <c r="L148">
        <f t="shared" si="132"/>
        <v>-91.594301131794737</v>
      </c>
      <c r="P148">
        <v>1.147E-4</v>
      </c>
      <c r="Q148" s="27">
        <f t="shared" si="135"/>
        <v>-1.1827649576243372E-2</v>
      </c>
      <c r="R148" s="27">
        <f t="shared" si="136"/>
        <v>-52.529331699084274</v>
      </c>
      <c r="S148">
        <f t="shared" si="137"/>
        <v>-1.1827649576243372E-2</v>
      </c>
      <c r="AA148" s="31"/>
    </row>
    <row r="149" spans="1:27">
      <c r="A149" t="s">
        <v>53</v>
      </c>
      <c r="B149">
        <v>135</v>
      </c>
      <c r="C149">
        <f t="shared" si="141"/>
        <v>408</v>
      </c>
      <c r="D149">
        <v>-6.2362000000000002</v>
      </c>
      <c r="E149">
        <v>-4.7927</v>
      </c>
      <c r="F149">
        <v>-5</v>
      </c>
      <c r="G149">
        <v>-5.23</v>
      </c>
      <c r="H149">
        <f t="shared" si="142"/>
        <v>45.5364</v>
      </c>
      <c r="I149">
        <v>161.8349</v>
      </c>
      <c r="J149">
        <f t="shared" si="143"/>
        <v>-908527.82870589604</v>
      </c>
      <c r="L149">
        <f t="shared" si="132"/>
        <v>-90.852782870589607</v>
      </c>
      <c r="P149" s="23">
        <v>2.9649999999999999E-5</v>
      </c>
      <c r="Q149" s="27">
        <f t="shared" si="135"/>
        <v>-0.10547954073787978</v>
      </c>
      <c r="R149" s="27">
        <f t="shared" si="136"/>
        <v>-13.468925060564908</v>
      </c>
      <c r="S149">
        <f t="shared" si="137"/>
        <v>-0.10547954073787978</v>
      </c>
      <c r="AA149" s="31"/>
    </row>
    <row r="150" spans="1:27">
      <c r="A150" s="11" t="s">
        <v>54</v>
      </c>
      <c r="B150">
        <v>20</v>
      </c>
      <c r="C150">
        <f t="shared" si="141"/>
        <v>293</v>
      </c>
      <c r="D150">
        <v>-6.4</v>
      </c>
      <c r="E150">
        <v>-5.3</v>
      </c>
      <c r="F150">
        <v>-8.02</v>
      </c>
      <c r="G150">
        <v>-3.1</v>
      </c>
      <c r="H150">
        <f t="shared" si="142"/>
        <v>55.54</v>
      </c>
      <c r="I150">
        <v>226.65369999999999</v>
      </c>
      <c r="J150">
        <f t="shared" si="143"/>
        <v>-959967.1254293021</v>
      </c>
      <c r="L150">
        <f t="shared" si="132"/>
        <v>-95.996712542930211</v>
      </c>
      <c r="P150" s="23">
        <v>7.9170000000000006E-6</v>
      </c>
      <c r="Q150" s="27">
        <f t="shared" si="135"/>
        <v>-7.6433959225806522E-2</v>
      </c>
      <c r="R150" s="27">
        <f t="shared" si="136"/>
        <v>-3.8000298660118927</v>
      </c>
      <c r="S150">
        <f t="shared" si="137"/>
        <v>-7.6433959225806522E-2</v>
      </c>
      <c r="X150">
        <f>LOG(ABS(S150))</f>
        <v>-1.1167136436809433</v>
      </c>
      <c r="AA150" s="31"/>
    </row>
    <row r="151" spans="1:27">
      <c r="AA151" s="31"/>
    </row>
    <row r="152" spans="1:27" ht="17">
      <c r="D152" s="7" t="s">
        <v>158</v>
      </c>
      <c r="E152" s="7"/>
      <c r="F152" s="7"/>
      <c r="Q152" s="27" t="s">
        <v>172</v>
      </c>
      <c r="R152" s="27" t="s">
        <v>173</v>
      </c>
      <c r="S152" t="s">
        <v>174</v>
      </c>
      <c r="AA152" s="31"/>
    </row>
    <row r="153" spans="1:27" ht="17">
      <c r="A153" t="s">
        <v>23</v>
      </c>
      <c r="B153" t="s">
        <v>24</v>
      </c>
      <c r="C153" t="s">
        <v>25</v>
      </c>
      <c r="D153" t="s">
        <v>35</v>
      </c>
      <c r="E153" t="s">
        <v>67</v>
      </c>
      <c r="F153" t="s">
        <v>30</v>
      </c>
      <c r="G153" t="s">
        <v>104</v>
      </c>
      <c r="H153" t="s">
        <v>31</v>
      </c>
      <c r="I153" t="s">
        <v>32</v>
      </c>
      <c r="J153" t="s">
        <v>33</v>
      </c>
      <c r="L153" t="s">
        <v>34</v>
      </c>
      <c r="M153" t="s">
        <v>191</v>
      </c>
      <c r="N153" s="1" t="s">
        <v>190</v>
      </c>
      <c r="P153" t="s">
        <v>178</v>
      </c>
      <c r="Q153" s="27" t="s">
        <v>47</v>
      </c>
      <c r="R153" s="27" t="s">
        <v>47</v>
      </c>
      <c r="S153" t="s">
        <v>175</v>
      </c>
      <c r="T153" t="s">
        <v>195</v>
      </c>
      <c r="U153" t="s">
        <v>194</v>
      </c>
      <c r="V153" t="s">
        <v>200</v>
      </c>
      <c r="W153" s="1" t="s">
        <v>190</v>
      </c>
      <c r="AA153" s="31"/>
    </row>
    <row r="154" spans="1:27">
      <c r="A154" t="s">
        <v>48</v>
      </c>
      <c r="B154">
        <v>54.7</v>
      </c>
      <c r="C154">
        <f>B154+273</f>
        <v>327.7</v>
      </c>
      <c r="D154">
        <v>-7.7</v>
      </c>
      <c r="E154">
        <v>-4.7778</v>
      </c>
      <c r="F154">
        <v>-5.2</v>
      </c>
      <c r="G154">
        <v>-3.0034000000000001</v>
      </c>
      <c r="H154">
        <f>G154-4*D154-E154-2*F154</f>
        <v>42.974400000000003</v>
      </c>
      <c r="I154">
        <v>119.13509999999999</v>
      </c>
      <c r="J154">
        <f>-2.303*8.314*C154*(I154-H154)</f>
        <v>-477871.71605064732</v>
      </c>
      <c r="L154">
        <f t="shared" ref="L154:L160" si="144">J154/8000</f>
        <v>-59.733964506330913</v>
      </c>
      <c r="M154">
        <f>AVERAGE(MIN(L154:L159),MAX(L154:L159))</f>
        <v>-60.919368854336412</v>
      </c>
      <c r="N154">
        <f t="shared" ref="N154:N166" si="145">ABS(MAX(L154:L159)-M154)</f>
        <v>3.3739738732764266</v>
      </c>
      <c r="P154" s="23">
        <v>2.8059999999999999E-5</v>
      </c>
      <c r="Q154" s="27">
        <f t="shared" ref="Q154:Q160" si="146">(J154/4)*(10^D154)</f>
        <v>-2.3836985660634115E-3</v>
      </c>
      <c r="R154" s="27">
        <f>(J154)*P154</f>
        <v>-13.409080352381164</v>
      </c>
      <c r="S154">
        <f t="shared" ref="S154:S160" si="147">IF(Q154&gt;R154, Q154,R154)</f>
        <v>-2.3836985660634115E-3</v>
      </c>
      <c r="T154">
        <f t="shared" ref="T154:T206" si="148">(ABS(MIN(S154:S159)))</f>
        <v>6.6812128861988007E-2</v>
      </c>
      <c r="U154">
        <f t="shared" ref="U154:U166" si="149">(ABS(MAX(S154:S159)))</f>
        <v>2.3836985660634115E-3</v>
      </c>
      <c r="V154">
        <f t="shared" ref="V154:V166" si="150">AVERAGE(LOG(T154),LOG(U154))</f>
        <v>-1.8989466773501451</v>
      </c>
      <c r="W154">
        <f t="shared" ref="W154:W166" si="151">ABS(V154-LOG(T154))</f>
        <v>0.72380198742571777</v>
      </c>
      <c r="AA154" s="31"/>
    </row>
    <row r="155" spans="1:27">
      <c r="A155" t="s">
        <v>49</v>
      </c>
      <c r="B155">
        <v>60.3</v>
      </c>
      <c r="C155">
        <f t="shared" ref="C155:C160" si="152">B155+273</f>
        <v>333.3</v>
      </c>
      <c r="D155">
        <v>-6.37</v>
      </c>
      <c r="E155">
        <v>-4.7697000000000003</v>
      </c>
      <c r="F155">
        <v>-5.2</v>
      </c>
      <c r="G155">
        <v>-3.9658000000000002</v>
      </c>
      <c r="H155">
        <f t="shared" ref="H155:H160" si="153">G155-4*D155-E155-2*F155</f>
        <v>36.683900000000001</v>
      </c>
      <c r="I155">
        <v>117.2805</v>
      </c>
      <c r="J155">
        <f t="shared" ref="J155:J160" si="154">-2.303*8.314*C155*(I155-H155)</f>
        <v>-514346.74182090268</v>
      </c>
      <c r="L155">
        <f t="shared" si="144"/>
        <v>-64.293342727612838</v>
      </c>
      <c r="P155" s="23">
        <v>2.7889999999999999E-5</v>
      </c>
      <c r="Q155" s="27">
        <f t="shared" si="146"/>
        <v>-5.4852446405781852E-2</v>
      </c>
      <c r="R155" s="27">
        <f t="shared" ref="R155:R160" si="155">(J155)*P155</f>
        <v>-14.345130629384975</v>
      </c>
      <c r="S155">
        <f t="shared" si="147"/>
        <v>-5.4852446405781852E-2</v>
      </c>
      <c r="AA155" s="31"/>
    </row>
    <row r="156" spans="1:27">
      <c r="A156" t="s">
        <v>50</v>
      </c>
      <c r="B156">
        <v>80.099999999999994</v>
      </c>
      <c r="C156">
        <f t="shared" si="152"/>
        <v>353.1</v>
      </c>
      <c r="D156">
        <v>-7.22</v>
      </c>
      <c r="E156">
        <v>-4.7794999999999996</v>
      </c>
      <c r="F156">
        <v>-4.7</v>
      </c>
      <c r="G156">
        <v>-2.7109000000000001</v>
      </c>
      <c r="H156">
        <f t="shared" si="153"/>
        <v>40.348599999999998</v>
      </c>
      <c r="I156">
        <v>110.36109999999999</v>
      </c>
      <c r="J156">
        <f t="shared" si="154"/>
        <v>-473344.41951200244</v>
      </c>
      <c r="L156">
        <f t="shared" si="144"/>
        <v>-59.168052439000306</v>
      </c>
      <c r="P156" s="23">
        <v>2.8920000000000001E-5</v>
      </c>
      <c r="Q156" s="27">
        <f t="shared" si="146"/>
        <v>-7.1304554372939684E-3</v>
      </c>
      <c r="R156" s="27">
        <f t="shared" si="155"/>
        <v>-13.689120612287111</v>
      </c>
      <c r="S156">
        <f t="shared" si="147"/>
        <v>-7.1304554372939684E-3</v>
      </c>
      <c r="AA156" s="31"/>
    </row>
    <row r="157" spans="1:27">
      <c r="A157" t="s">
        <v>51</v>
      </c>
      <c r="B157">
        <v>96.6</v>
      </c>
      <c r="C157">
        <f t="shared" si="152"/>
        <v>369.6</v>
      </c>
      <c r="D157">
        <v>-7.22</v>
      </c>
      <c r="E157">
        <v>-4.6773999999999996</v>
      </c>
      <c r="F157">
        <v>-5.6</v>
      </c>
      <c r="G157">
        <v>-5.7118000000000002</v>
      </c>
      <c r="H157">
        <f t="shared" si="153"/>
        <v>39.045599999999993</v>
      </c>
      <c r="I157">
        <v>105.0389</v>
      </c>
      <c r="J157">
        <f t="shared" si="154"/>
        <v>-467020.30864052259</v>
      </c>
      <c r="L157">
        <f t="shared" si="144"/>
        <v>-58.377538580065327</v>
      </c>
      <c r="P157" s="23">
        <v>3.6059999999999997E-5</v>
      </c>
      <c r="Q157" s="27">
        <f t="shared" si="146"/>
        <v>-7.0351890965687875E-3</v>
      </c>
      <c r="R157" s="27">
        <f t="shared" si="155"/>
        <v>-16.840752329577242</v>
      </c>
      <c r="S157">
        <f t="shared" si="147"/>
        <v>-7.0351890965687875E-3</v>
      </c>
      <c r="AA157" s="31"/>
    </row>
    <row r="158" spans="1:27">
      <c r="A158" t="s">
        <v>52</v>
      </c>
      <c r="B158">
        <v>135</v>
      </c>
      <c r="C158">
        <f t="shared" si="152"/>
        <v>408</v>
      </c>
      <c r="D158">
        <v>-7.19</v>
      </c>
      <c r="E158">
        <v>-4.2153</v>
      </c>
      <c r="F158">
        <v>-2.9</v>
      </c>
      <c r="G158">
        <v>-3.0333999999999999</v>
      </c>
      <c r="H158">
        <f t="shared" si="153"/>
        <v>35.741900000000001</v>
      </c>
      <c r="I158">
        <v>94.671899999999994</v>
      </c>
      <c r="J158">
        <f t="shared" si="154"/>
        <v>-460363.1598484799</v>
      </c>
      <c r="L158">
        <f t="shared" si="144"/>
        <v>-57.545394981059985</v>
      </c>
      <c r="P158">
        <v>1.147E-4</v>
      </c>
      <c r="Q158" s="27">
        <f t="shared" si="146"/>
        <v>-7.4308855261981865E-3</v>
      </c>
      <c r="R158" s="27">
        <f t="shared" si="155"/>
        <v>-52.80365443462064</v>
      </c>
      <c r="S158">
        <f t="shared" si="147"/>
        <v>-7.4308855261981865E-3</v>
      </c>
      <c r="AA158" s="31"/>
    </row>
    <row r="159" spans="1:27">
      <c r="A159" t="s">
        <v>53</v>
      </c>
      <c r="B159">
        <v>135</v>
      </c>
      <c r="C159">
        <f t="shared" si="152"/>
        <v>408</v>
      </c>
      <c r="D159">
        <v>-6.2362000000000002</v>
      </c>
      <c r="E159">
        <v>-4.7927</v>
      </c>
      <c r="F159">
        <v>-5</v>
      </c>
      <c r="G159">
        <v>-3.9975999999999998</v>
      </c>
      <c r="H159">
        <f t="shared" si="153"/>
        <v>35.739900000000006</v>
      </c>
      <c r="I159">
        <v>94.671899999999994</v>
      </c>
      <c r="J159">
        <f t="shared" si="154"/>
        <v>-460378.78391635191</v>
      </c>
      <c r="L159">
        <f t="shared" si="144"/>
        <v>-57.547347989543987</v>
      </c>
      <c r="P159" s="23">
        <v>2.9649999999999999E-5</v>
      </c>
      <c r="Q159" s="27">
        <f t="shared" si="146"/>
        <v>-6.6812128861988007E-2</v>
      </c>
      <c r="R159" s="27">
        <f t="shared" si="155"/>
        <v>-13.650230943119833</v>
      </c>
      <c r="S159">
        <f t="shared" si="147"/>
        <v>-6.6812128861988007E-2</v>
      </c>
      <c r="AA159" s="31"/>
    </row>
    <row r="160" spans="1:27">
      <c r="A160" s="11" t="s">
        <v>54</v>
      </c>
      <c r="B160">
        <v>20</v>
      </c>
      <c r="C160">
        <f t="shared" si="152"/>
        <v>293</v>
      </c>
      <c r="D160">
        <v>-6.4</v>
      </c>
      <c r="E160">
        <v>-5.3</v>
      </c>
      <c r="F160">
        <v>-8.02</v>
      </c>
      <c r="G160">
        <v>-6.5</v>
      </c>
      <c r="H160">
        <f t="shared" si="153"/>
        <v>40.44</v>
      </c>
      <c r="I160">
        <v>133.78530000000001</v>
      </c>
      <c r="J160">
        <f t="shared" si="154"/>
        <v>-523677.64424085181</v>
      </c>
      <c r="L160">
        <f t="shared" si="144"/>
        <v>-65.459705530106476</v>
      </c>
      <c r="P160" s="23">
        <v>7.9170000000000006E-6</v>
      </c>
      <c r="Q160" s="27">
        <f t="shared" si="146"/>
        <v>-5.2119956307711469E-2</v>
      </c>
      <c r="R160" s="27">
        <f t="shared" si="155"/>
        <v>-4.1459559094548242</v>
      </c>
      <c r="S160">
        <f t="shared" si="147"/>
        <v>-5.2119956307711469E-2</v>
      </c>
      <c r="X160">
        <f>LOG(ABS(S160))</f>
        <v>-1.2829959570294407</v>
      </c>
      <c r="AA160" s="31"/>
    </row>
    <row r="161" spans="1:27">
      <c r="J161" s="1"/>
      <c r="AA161" s="31"/>
    </row>
    <row r="162" spans="1:27">
      <c r="J162" s="1"/>
      <c r="AA162" s="31"/>
    </row>
    <row r="163" spans="1:27">
      <c r="AA163" s="31"/>
    </row>
    <row r="164" spans="1:27" ht="17">
      <c r="D164" s="7" t="s">
        <v>164</v>
      </c>
      <c r="E164" s="7"/>
      <c r="F164" s="7"/>
      <c r="Q164" s="27" t="s">
        <v>172</v>
      </c>
      <c r="R164" s="27" t="s">
        <v>173</v>
      </c>
      <c r="S164" t="s">
        <v>174</v>
      </c>
      <c r="AA164" s="31"/>
    </row>
    <row r="165" spans="1:27" ht="17">
      <c r="A165" t="s">
        <v>23</v>
      </c>
      <c r="B165" t="s">
        <v>24</v>
      </c>
      <c r="C165" t="s">
        <v>25</v>
      </c>
      <c r="D165" t="s">
        <v>35</v>
      </c>
      <c r="E165" t="s">
        <v>67</v>
      </c>
      <c r="G165" t="s">
        <v>70</v>
      </c>
      <c r="H165" t="s">
        <v>31</v>
      </c>
      <c r="I165" t="s">
        <v>32</v>
      </c>
      <c r="J165" t="s">
        <v>33</v>
      </c>
      <c r="L165" t="s">
        <v>37</v>
      </c>
      <c r="M165" t="s">
        <v>191</v>
      </c>
      <c r="N165" s="1" t="s">
        <v>190</v>
      </c>
      <c r="P165" t="s">
        <v>178</v>
      </c>
      <c r="Q165" s="27" t="s">
        <v>47</v>
      </c>
      <c r="R165" s="27" t="s">
        <v>47</v>
      </c>
      <c r="S165" t="s">
        <v>175</v>
      </c>
      <c r="T165" t="s">
        <v>195</v>
      </c>
      <c r="U165" t="s">
        <v>194</v>
      </c>
      <c r="V165" t="s">
        <v>200</v>
      </c>
      <c r="W165" s="1" t="s">
        <v>190</v>
      </c>
      <c r="AA165" s="31"/>
    </row>
    <row r="166" spans="1:27">
      <c r="A166" t="s">
        <v>48</v>
      </c>
      <c r="B166">
        <v>54.7</v>
      </c>
      <c r="C166">
        <f>B166+273</f>
        <v>327.7</v>
      </c>
      <c r="D166">
        <v>-7.7</v>
      </c>
      <c r="E166">
        <v>-4.7778</v>
      </c>
      <c r="G166">
        <v>-6.9089999999999998</v>
      </c>
      <c r="H166">
        <f>G166-D166-E166</f>
        <v>5.5688000000000004</v>
      </c>
      <c r="I166">
        <v>27.967600000000001</v>
      </c>
      <c r="J166">
        <f>-2.303*8.314*C166*(I166-H166)</f>
        <v>-140541.68348603992</v>
      </c>
      <c r="L166">
        <f t="shared" ref="L166:L172" si="156">J166/2000</f>
        <v>-70.270841743019957</v>
      </c>
      <c r="M166">
        <f t="shared" si="133"/>
        <v>-69.887957684745899</v>
      </c>
      <c r="N166">
        <f t="shared" si="145"/>
        <v>3.9168935020130959</v>
      </c>
      <c r="P166" s="23">
        <v>2.8059999999999999E-5</v>
      </c>
      <c r="Q166" s="27">
        <f t="shared" ref="Q166:Q172" si="157">(J166)*(10^D166)</f>
        <v>-2.8041752474197925E-3</v>
      </c>
      <c r="R166" s="27">
        <f>(J166)*P166</f>
        <v>-3.9435996386182803</v>
      </c>
      <c r="S166">
        <f t="shared" ref="S166:S172" si="158">IF(Q166&gt;R166, Q166,R166)</f>
        <v>-2.8041752474197925E-3</v>
      </c>
      <c r="T166">
        <f t="shared" si="148"/>
        <v>7.6592013278180479E-2</v>
      </c>
      <c r="U166">
        <f t="shared" si="149"/>
        <v>2.8041752474197925E-3</v>
      </c>
      <c r="V166">
        <f t="shared" si="150"/>
        <v>-1.8340056815599102</v>
      </c>
      <c r="W166">
        <f t="shared" si="151"/>
        <v>0.71818916698815349</v>
      </c>
      <c r="AA166" s="31"/>
    </row>
    <row r="167" spans="1:27">
      <c r="A167" t="s">
        <v>49</v>
      </c>
      <c r="B167">
        <v>60.3</v>
      </c>
      <c r="C167">
        <f t="shared" ref="C167:C172" si="159">B167+273</f>
        <v>333.3</v>
      </c>
      <c r="D167">
        <v>-6.37</v>
      </c>
      <c r="E167">
        <v>-4.7697000000000003</v>
      </c>
      <c r="G167">
        <v>-6.7397</v>
      </c>
      <c r="H167">
        <f t="shared" ref="H167:H172" si="160">G167-D167-E167</f>
        <v>4.4000000000000004</v>
      </c>
      <c r="I167">
        <v>27.53</v>
      </c>
      <c r="J167">
        <f t="shared" ref="J167:J172" si="161">-2.303*8.314*C167*(I167-H167)</f>
        <v>-147609.702373518</v>
      </c>
      <c r="L167">
        <f t="shared" si="156"/>
        <v>-73.804851186758995</v>
      </c>
      <c r="P167" s="23">
        <v>2.7889999999999999E-5</v>
      </c>
      <c r="Q167" s="27">
        <f t="shared" si="157"/>
        <v>-6.2967275808941542E-2</v>
      </c>
      <c r="R167" s="27">
        <f t="shared" ref="R167:R172" si="162">(J167)*P167</f>
        <v>-4.1168345991974169</v>
      </c>
      <c r="S167">
        <f t="shared" si="158"/>
        <v>-6.2967275808941542E-2</v>
      </c>
      <c r="AA167" s="31"/>
    </row>
    <row r="168" spans="1:27">
      <c r="A168" t="s">
        <v>50</v>
      </c>
      <c r="B168">
        <v>80.099999999999994</v>
      </c>
      <c r="C168">
        <f t="shared" si="159"/>
        <v>353.1</v>
      </c>
      <c r="D168">
        <v>-7.22</v>
      </c>
      <c r="E168">
        <v>-4.7794999999999996</v>
      </c>
      <c r="G168">
        <v>-6.9115000000000002</v>
      </c>
      <c r="H168">
        <f t="shared" si="160"/>
        <v>5.0879999999999992</v>
      </c>
      <c r="I168">
        <v>25.8935</v>
      </c>
      <c r="J168">
        <f t="shared" si="161"/>
        <v>-140662.98618328111</v>
      </c>
      <c r="L168">
        <f t="shared" si="156"/>
        <v>-70.331493091640553</v>
      </c>
      <c r="P168" s="23">
        <v>2.8920000000000001E-5</v>
      </c>
      <c r="Q168" s="27">
        <f t="shared" si="157"/>
        <v>-8.4757830730580793E-3</v>
      </c>
      <c r="R168" s="27">
        <f t="shared" si="162"/>
        <v>-4.0679735604204899</v>
      </c>
      <c r="S168">
        <f t="shared" si="158"/>
        <v>-8.4757830730580793E-3</v>
      </c>
      <c r="AA168" s="31"/>
    </row>
    <row r="169" spans="1:27">
      <c r="A169" t="s">
        <v>51</v>
      </c>
      <c r="B169">
        <v>96.6</v>
      </c>
      <c r="C169">
        <f t="shared" si="159"/>
        <v>369.6</v>
      </c>
      <c r="D169">
        <v>-7.22</v>
      </c>
      <c r="E169">
        <v>-4.6773999999999996</v>
      </c>
      <c r="G169">
        <v>-6.5316999999999998</v>
      </c>
      <c r="H169">
        <f t="shared" si="160"/>
        <v>5.3656999999999995</v>
      </c>
      <c r="I169">
        <v>24.630199999999999</v>
      </c>
      <c r="J169">
        <f t="shared" si="161"/>
        <v>-136330.69926500641</v>
      </c>
      <c r="L169">
        <f t="shared" si="156"/>
        <v>-68.165349632503208</v>
      </c>
      <c r="P169" s="23">
        <v>3.6059999999999997E-5</v>
      </c>
      <c r="Q169" s="27">
        <f t="shared" si="157"/>
        <v>-8.2147369718349843E-3</v>
      </c>
      <c r="R169" s="27">
        <f t="shared" si="162"/>
        <v>-4.9160850154961304</v>
      </c>
      <c r="S169">
        <f t="shared" si="158"/>
        <v>-8.2147369718349843E-3</v>
      </c>
      <c r="AA169" s="31"/>
    </row>
    <row r="170" spans="1:27">
      <c r="A170" t="s">
        <v>52</v>
      </c>
      <c r="B170">
        <v>135</v>
      </c>
      <c r="C170">
        <f t="shared" si="159"/>
        <v>408</v>
      </c>
      <c r="D170">
        <v>-7.19</v>
      </c>
      <c r="E170">
        <v>-4.2153</v>
      </c>
      <c r="G170">
        <v>-6.6307</v>
      </c>
      <c r="H170">
        <f t="shared" si="160"/>
        <v>4.7746000000000004</v>
      </c>
      <c r="I170">
        <v>22.156300000000002</v>
      </c>
      <c r="J170">
        <f t="shared" si="161"/>
        <v>-135786.43026537122</v>
      </c>
      <c r="L170">
        <f t="shared" si="156"/>
        <v>-67.893215132685611</v>
      </c>
      <c r="P170">
        <v>1.147E-4</v>
      </c>
      <c r="Q170" s="27">
        <f t="shared" si="157"/>
        <v>-8.7671082946356067E-3</v>
      </c>
      <c r="R170" s="27">
        <f t="shared" si="162"/>
        <v>-15.574703551438079</v>
      </c>
      <c r="S170">
        <f t="shared" si="158"/>
        <v>-8.7671082946356067E-3</v>
      </c>
      <c r="AA170" s="31"/>
    </row>
    <row r="171" spans="1:27">
      <c r="A171" t="s">
        <v>53</v>
      </c>
      <c r="B171">
        <v>135</v>
      </c>
      <c r="C171">
        <f t="shared" si="159"/>
        <v>408</v>
      </c>
      <c r="D171">
        <v>-6.2362000000000002</v>
      </c>
      <c r="E171">
        <v>-4.7927</v>
      </c>
      <c r="G171">
        <v>-5.7622</v>
      </c>
      <c r="H171">
        <f t="shared" si="160"/>
        <v>5.2667000000000002</v>
      </c>
      <c r="I171">
        <v>22.156300000000002</v>
      </c>
      <c r="J171">
        <f t="shared" si="161"/>
        <v>-131942.12836546561</v>
      </c>
      <c r="L171">
        <f t="shared" si="156"/>
        <v>-65.971064182732803</v>
      </c>
      <c r="P171" s="23">
        <v>2.9649999999999999E-5</v>
      </c>
      <c r="Q171" s="27">
        <f t="shared" si="157"/>
        <v>-7.6592013278180479E-2</v>
      </c>
      <c r="R171" s="27">
        <f t="shared" si="162"/>
        <v>-3.9120841060360552</v>
      </c>
      <c r="S171">
        <f t="shared" si="158"/>
        <v>-7.6592013278180479E-2</v>
      </c>
      <c r="AA171" s="31"/>
    </row>
    <row r="172" spans="1:27">
      <c r="A172" s="11" t="s">
        <v>54</v>
      </c>
      <c r="B172">
        <v>20</v>
      </c>
      <c r="C172">
        <f t="shared" si="159"/>
        <v>293</v>
      </c>
      <c r="D172">
        <v>-6.4</v>
      </c>
      <c r="E172">
        <v>-5.3</v>
      </c>
      <c r="G172">
        <v>-6.9</v>
      </c>
      <c r="H172">
        <f t="shared" si="160"/>
        <v>4.8</v>
      </c>
      <c r="I172">
        <v>31.407900000000001</v>
      </c>
      <c r="J172">
        <f t="shared" si="161"/>
        <v>-149273.31520918739</v>
      </c>
      <c r="L172">
        <f t="shared" si="156"/>
        <v>-74.636657604593694</v>
      </c>
      <c r="P172" s="23">
        <v>7.9170000000000006E-6</v>
      </c>
      <c r="Q172" s="27">
        <f t="shared" si="157"/>
        <v>-5.942677715706976E-2</v>
      </c>
      <c r="R172" s="27">
        <f t="shared" si="162"/>
        <v>-1.1817968365111367</v>
      </c>
      <c r="S172">
        <f t="shared" si="158"/>
        <v>-5.942677715706976E-2</v>
      </c>
      <c r="X172">
        <f>LOG(ABS(S172))</f>
        <v>-1.2260178218342241</v>
      </c>
      <c r="AA172" s="31"/>
    </row>
    <row r="173" spans="1:27">
      <c r="AA173" s="31"/>
    </row>
    <row r="174" spans="1:27" ht="17">
      <c r="D174" s="7" t="s">
        <v>62</v>
      </c>
      <c r="E174" s="7"/>
      <c r="F174" s="7"/>
      <c r="J174" s="1"/>
      <c r="Q174" s="27" t="s">
        <v>172</v>
      </c>
      <c r="R174" s="27" t="s">
        <v>173</v>
      </c>
      <c r="S174" t="s">
        <v>174</v>
      </c>
      <c r="AA174" s="31"/>
    </row>
    <row r="175" spans="1:27" ht="17">
      <c r="A175" t="s">
        <v>23</v>
      </c>
      <c r="B175" t="s">
        <v>24</v>
      </c>
      <c r="C175" t="s">
        <v>25</v>
      </c>
      <c r="D175" t="s">
        <v>35</v>
      </c>
      <c r="E175" t="s">
        <v>70</v>
      </c>
      <c r="F175" t="s">
        <v>30</v>
      </c>
      <c r="G175" t="s">
        <v>68</v>
      </c>
      <c r="H175" t="s">
        <v>31</v>
      </c>
      <c r="I175" t="s">
        <v>32</v>
      </c>
      <c r="J175" t="s">
        <v>33</v>
      </c>
      <c r="L175" t="s">
        <v>38</v>
      </c>
      <c r="M175" t="s">
        <v>191</v>
      </c>
      <c r="N175" s="1" t="s">
        <v>190</v>
      </c>
      <c r="P175" t="s">
        <v>179</v>
      </c>
      <c r="Q175" s="27" t="s">
        <v>47</v>
      </c>
      <c r="R175" s="27" t="s">
        <v>47</v>
      </c>
      <c r="S175" t="s">
        <v>175</v>
      </c>
      <c r="T175" t="s">
        <v>195</v>
      </c>
      <c r="U175" t="s">
        <v>194</v>
      </c>
      <c r="V175" t="s">
        <v>200</v>
      </c>
      <c r="W175" s="1" t="s">
        <v>190</v>
      </c>
      <c r="AA175" s="31"/>
    </row>
    <row r="176" spans="1:27">
      <c r="A176" t="s">
        <v>48</v>
      </c>
      <c r="B176">
        <v>54.7</v>
      </c>
      <c r="C176">
        <f>B176+273</f>
        <v>327.7</v>
      </c>
      <c r="D176">
        <v>-7.7</v>
      </c>
      <c r="E176">
        <v>-6.9089999999999998</v>
      </c>
      <c r="F176">
        <v>-5.2</v>
      </c>
      <c r="G176">
        <v>-5.6195000000000004</v>
      </c>
      <c r="H176">
        <f>G176-3*D176-2*E176-2*F176</f>
        <v>41.698499999999996</v>
      </c>
      <c r="I176">
        <v>146.16820000000001</v>
      </c>
      <c r="J176">
        <f>-2.303*8.314*C176*(I176-H176)</f>
        <v>-655497.05838176806</v>
      </c>
      <c r="L176">
        <f t="shared" ref="L176:L182" si="163">J176/6000</f>
        <v>-109.24950973029468</v>
      </c>
      <c r="M176">
        <f t="shared" si="133"/>
        <v>-109.49392009394145</v>
      </c>
      <c r="N176">
        <f t="shared" ref="N176:N196" si="164">ABS(MAX(L176:L181)-M176)</f>
        <v>4.1525745240625582</v>
      </c>
      <c r="P176" s="23">
        <v>2.0760000000000001E-7</v>
      </c>
      <c r="Q176" s="27">
        <f t="shared" ref="Q176:Q182" si="165">(J176/3)*(10^D176)</f>
        <v>-4.3596285938736533E-3</v>
      </c>
      <c r="R176" s="27">
        <f t="shared" ref="R176:R182" si="166">(J176/2)*P176</f>
        <v>-6.8040594660027529E-2</v>
      </c>
      <c r="S176">
        <f t="shared" ref="S176:S181" si="167">IF(Q176&gt;R176, Q176,R176)</f>
        <v>-4.3596285938736533E-3</v>
      </c>
      <c r="T176">
        <f t="shared" si="148"/>
        <v>0.12473804353976185</v>
      </c>
      <c r="U176">
        <f t="shared" ref="U176" si="168">(ABS(MAX(S176:S181)))</f>
        <v>4.3596285938736533E-3</v>
      </c>
      <c r="V176">
        <f t="shared" ref="V176" si="169">AVERAGE(LOG(T176),LOG(U176))</f>
        <v>-1.6322757897905091</v>
      </c>
      <c r="W176">
        <f t="shared" ref="W176" si="170">ABS(V176-LOG(T176))</f>
        <v>0.72827471784497677</v>
      </c>
      <c r="AA176" s="31"/>
    </row>
    <row r="177" spans="1:32">
      <c r="A177" t="s">
        <v>49</v>
      </c>
      <c r="B177">
        <v>60.3</v>
      </c>
      <c r="C177">
        <f t="shared" ref="C177:C182" si="171">B177+273</f>
        <v>333.3</v>
      </c>
      <c r="D177">
        <v>-6.37</v>
      </c>
      <c r="E177">
        <v>-6.7397</v>
      </c>
      <c r="F177">
        <v>-5.2</v>
      </c>
      <c r="G177">
        <v>-5.8804999999999996</v>
      </c>
      <c r="H177">
        <f t="shared" ref="H177:H182" si="172">G177-3*D177-2*E177-2*F177</f>
        <v>37.108899999999998</v>
      </c>
      <c r="I177">
        <v>143.9573</v>
      </c>
      <c r="J177">
        <f t="shared" ref="J177:J182" si="173">-2.303*8.314*C177*(I177-H177)</f>
        <v>-681878.9677080242</v>
      </c>
      <c r="L177">
        <f t="shared" si="163"/>
        <v>-113.64649461800403</v>
      </c>
      <c r="P177" s="23">
        <v>2.9849999999999998E-7</v>
      </c>
      <c r="Q177" s="27">
        <f t="shared" si="165"/>
        <v>-9.695853397527178E-2</v>
      </c>
      <c r="R177" s="27">
        <f t="shared" si="166"/>
        <v>-0.10177043593042261</v>
      </c>
      <c r="S177">
        <f t="shared" si="167"/>
        <v>-9.695853397527178E-2</v>
      </c>
      <c r="AA177" s="31"/>
    </row>
    <row r="178" spans="1:32">
      <c r="A178" t="s">
        <v>50</v>
      </c>
      <c r="B178">
        <v>80.099999999999994</v>
      </c>
      <c r="C178">
        <f t="shared" si="171"/>
        <v>353.1</v>
      </c>
      <c r="D178">
        <v>-7.22</v>
      </c>
      <c r="E178">
        <v>-6.9115000000000002</v>
      </c>
      <c r="F178">
        <v>-4.7</v>
      </c>
      <c r="G178">
        <v>-5.63</v>
      </c>
      <c r="H178">
        <f t="shared" si="172"/>
        <v>39.253</v>
      </c>
      <c r="I178">
        <v>135.7619</v>
      </c>
      <c r="J178">
        <f t="shared" si="173"/>
        <v>-652482.76019627776</v>
      </c>
      <c r="L178">
        <f t="shared" si="163"/>
        <v>-108.74712669937962</v>
      </c>
      <c r="P178" s="23">
        <v>2.132E-7</v>
      </c>
      <c r="Q178" s="27">
        <f t="shared" si="165"/>
        <v>-1.3105324730150759E-2</v>
      </c>
      <c r="R178" s="27">
        <f t="shared" si="166"/>
        <v>-6.9554662236923206E-2</v>
      </c>
      <c r="S178">
        <f t="shared" si="167"/>
        <v>-1.3105324730150759E-2</v>
      </c>
      <c r="AA178" s="31"/>
    </row>
    <row r="179" spans="1:32">
      <c r="A179" t="s">
        <v>51</v>
      </c>
      <c r="B179">
        <v>96.6</v>
      </c>
      <c r="C179">
        <f t="shared" si="171"/>
        <v>369.6</v>
      </c>
      <c r="D179">
        <v>-7.22</v>
      </c>
      <c r="E179">
        <v>-6.5316999999999998</v>
      </c>
      <c r="F179">
        <v>-5.6</v>
      </c>
      <c r="G179">
        <v>-5.718</v>
      </c>
      <c r="H179">
        <f t="shared" si="172"/>
        <v>40.205399999999997</v>
      </c>
      <c r="I179">
        <v>129.51830000000001</v>
      </c>
      <c r="J179">
        <f t="shared" si="173"/>
        <v>-632048.07341927337</v>
      </c>
      <c r="L179">
        <f t="shared" si="163"/>
        <v>-105.3413455698789</v>
      </c>
      <c r="P179" s="23">
        <v>5.0949999999999995E-7</v>
      </c>
      <c r="Q179" s="27">
        <f t="shared" si="165"/>
        <v>-1.2694887516620394E-2</v>
      </c>
      <c r="R179" s="27">
        <f t="shared" si="166"/>
        <v>-0.16101424670355988</v>
      </c>
      <c r="S179">
        <f t="shared" si="167"/>
        <v>-1.2694887516620394E-2</v>
      </c>
      <c r="AA179" s="31"/>
    </row>
    <row r="180" spans="1:32">
      <c r="A180" t="s">
        <v>52</v>
      </c>
      <c r="B180">
        <v>135</v>
      </c>
      <c r="C180">
        <f t="shared" si="171"/>
        <v>408</v>
      </c>
      <c r="D180">
        <v>-7.19</v>
      </c>
      <c r="E180">
        <v>-6.6307</v>
      </c>
      <c r="F180">
        <v>-2.9</v>
      </c>
      <c r="G180">
        <v>-5.5933999999999999</v>
      </c>
      <c r="H180">
        <f t="shared" si="172"/>
        <v>35.037999999999997</v>
      </c>
      <c r="I180">
        <v>117.5224</v>
      </c>
      <c r="J180">
        <f t="shared" si="173"/>
        <v>-644370.93199059844</v>
      </c>
      <c r="L180">
        <f t="shared" si="163"/>
        <v>-107.3951553317664</v>
      </c>
      <c r="P180" s="23">
        <v>4.221E-7</v>
      </c>
      <c r="Q180" s="27">
        <f t="shared" si="165"/>
        <v>-1.386802724355771E-2</v>
      </c>
      <c r="R180" s="27">
        <f t="shared" si="166"/>
        <v>-0.13599448519661581</v>
      </c>
      <c r="S180">
        <f t="shared" si="167"/>
        <v>-1.386802724355771E-2</v>
      </c>
      <c r="AA180" s="31"/>
    </row>
    <row r="181" spans="1:32">
      <c r="A181" t="s">
        <v>53</v>
      </c>
      <c r="B181">
        <v>135</v>
      </c>
      <c r="C181">
        <f t="shared" si="171"/>
        <v>408</v>
      </c>
      <c r="D181">
        <v>-6.2362000000000002</v>
      </c>
      <c r="E181">
        <v>-5.7622</v>
      </c>
      <c r="F181">
        <v>-5</v>
      </c>
      <c r="G181">
        <v>-5.23</v>
      </c>
      <c r="H181">
        <f t="shared" si="172"/>
        <v>35.003</v>
      </c>
      <c r="I181">
        <v>117.5224</v>
      </c>
      <c r="J181">
        <f t="shared" si="173"/>
        <v>-644644.3531783584</v>
      </c>
      <c r="L181">
        <f t="shared" si="163"/>
        <v>-107.44072552972641</v>
      </c>
      <c r="P181" s="23">
        <v>3.1810000000000001E-6</v>
      </c>
      <c r="Q181" s="27">
        <f t="shared" si="165"/>
        <v>-0.12473804353976185</v>
      </c>
      <c r="R181" s="27">
        <f t="shared" si="166"/>
        <v>-1.0253068437301791</v>
      </c>
      <c r="S181">
        <f t="shared" si="167"/>
        <v>-0.12473804353976185</v>
      </c>
      <c r="AA181" s="31"/>
    </row>
    <row r="182" spans="1:32">
      <c r="A182" s="11" t="s">
        <v>54</v>
      </c>
      <c r="B182">
        <v>20</v>
      </c>
      <c r="C182">
        <f t="shared" si="171"/>
        <v>293</v>
      </c>
      <c r="D182">
        <v>-6.4</v>
      </c>
      <c r="E182">
        <v>-6.9</v>
      </c>
      <c r="F182">
        <v>-8.02</v>
      </c>
      <c r="G182">
        <v>-3.1</v>
      </c>
      <c r="H182">
        <f t="shared" si="172"/>
        <v>45.94</v>
      </c>
      <c r="I182">
        <v>163.83779999999999</v>
      </c>
      <c r="J182">
        <f t="shared" si="173"/>
        <v>-661419.93399966671</v>
      </c>
      <c r="L182">
        <f t="shared" si="163"/>
        <v>-110.23665566661111</v>
      </c>
      <c r="P182" s="23">
        <v>1.9999999999999999E-7</v>
      </c>
      <c r="Q182" s="27">
        <f t="shared" si="165"/>
        <v>-8.7772006157429167E-2</v>
      </c>
      <c r="R182" s="27">
        <f t="shared" si="166"/>
        <v>-6.6141993399966667E-2</v>
      </c>
      <c r="S182">
        <f>IF(Q182&gt;R182, Q182,R182)</f>
        <v>-6.6141993399966667E-2</v>
      </c>
      <c r="X182">
        <f>LOG(ABS(S182))</f>
        <v>-1.1795227203754461</v>
      </c>
      <c r="AA182" s="31"/>
    </row>
    <row r="183" spans="1:32">
      <c r="AA183" s="31"/>
    </row>
    <row r="184" spans="1:32" ht="17">
      <c r="D184" s="7" t="s">
        <v>150</v>
      </c>
      <c r="E184" s="7"/>
      <c r="F184" s="7"/>
      <c r="J184" s="1" t="s">
        <v>14</v>
      </c>
      <c r="Q184" s="27" t="s">
        <v>172</v>
      </c>
      <c r="R184" s="27" t="s">
        <v>173</v>
      </c>
      <c r="S184" t="s">
        <v>174</v>
      </c>
      <c r="AA184" s="31"/>
    </row>
    <row r="185" spans="1:32" ht="17">
      <c r="A185" t="s">
        <v>23</v>
      </c>
      <c r="B185" t="s">
        <v>24</v>
      </c>
      <c r="C185" t="s">
        <v>25</v>
      </c>
      <c r="D185" t="s">
        <v>35</v>
      </c>
      <c r="E185" t="s">
        <v>70</v>
      </c>
      <c r="F185" t="s">
        <v>30</v>
      </c>
      <c r="G185" t="s">
        <v>104</v>
      </c>
      <c r="H185" t="s">
        <v>31</v>
      </c>
      <c r="I185" t="s">
        <v>32</v>
      </c>
      <c r="J185" t="s">
        <v>33</v>
      </c>
      <c r="L185" t="s">
        <v>38</v>
      </c>
      <c r="M185" t="s">
        <v>191</v>
      </c>
      <c r="N185" s="1" t="s">
        <v>190</v>
      </c>
      <c r="P185" t="s">
        <v>179</v>
      </c>
      <c r="Q185" s="27" t="s">
        <v>47</v>
      </c>
      <c r="R185" s="27" t="s">
        <v>47</v>
      </c>
      <c r="S185" t="s">
        <v>175</v>
      </c>
      <c r="T185" t="s">
        <v>195</v>
      </c>
      <c r="U185" t="s">
        <v>194</v>
      </c>
      <c r="V185" t="s">
        <v>200</v>
      </c>
      <c r="W185" s="1" t="s">
        <v>190</v>
      </c>
      <c r="AA185" s="31"/>
      <c r="AF185" s="23"/>
    </row>
    <row r="186" spans="1:32">
      <c r="A186" t="s">
        <v>48</v>
      </c>
      <c r="B186">
        <v>54.7</v>
      </c>
      <c r="C186">
        <f>B186+273</f>
        <v>327.7</v>
      </c>
      <c r="D186">
        <v>-7.7</v>
      </c>
      <c r="E186">
        <v>-6.9089999999999998</v>
      </c>
      <c r="F186">
        <v>-5.2</v>
      </c>
      <c r="G186">
        <v>-5.1806000000000001</v>
      </c>
      <c r="H186">
        <f>G186-3*D186-E186-2*F186</f>
        <v>35.228400000000001</v>
      </c>
      <c r="I186">
        <v>91.167500000000004</v>
      </c>
      <c r="J186">
        <f>-2.303*8.314*C186*(I186-H186)</f>
        <v>-350990.91409780591</v>
      </c>
      <c r="L186">
        <f t="shared" ref="L186:L192" si="174">J186/6000</f>
        <v>-58.498485682967654</v>
      </c>
      <c r="M186">
        <f t="shared" si="133"/>
        <v>-58.590538184908731</v>
      </c>
      <c r="N186">
        <f t="shared" si="164"/>
        <v>3.468290612516725</v>
      </c>
      <c r="P186" s="23">
        <v>2.0760000000000001E-7</v>
      </c>
      <c r="Q186" s="27">
        <f t="shared" ref="Q186:Q192" si="175">(J186/3)*(10^D186)</f>
        <v>-2.3343964793194351E-3</v>
      </c>
      <c r="R186" s="27">
        <f>(J186)*P186</f>
        <v>-7.2865713766704504E-2</v>
      </c>
      <c r="S186">
        <f t="shared" ref="S186:S192" si="176">IF(Q186&gt;R186, Q186,R186)</f>
        <v>-2.3343964793194351E-3</v>
      </c>
      <c r="T186">
        <f t="shared" si="148"/>
        <v>6.4641743680874358E-2</v>
      </c>
      <c r="U186">
        <f t="shared" ref="U186" si="177">(ABS(MAX(S186:S191)))</f>
        <v>2.3343964793194351E-3</v>
      </c>
      <c r="V186">
        <f t="shared" ref="V186" si="178">AVERAGE(LOG(T186),LOG(U186))</f>
        <v>-1.9106561588135329</v>
      </c>
      <c r="W186">
        <f t="shared" ref="W186" si="179">ABS(V186-LOG(T186))</f>
        <v>0.72116922162907771</v>
      </c>
      <c r="AA186" s="31"/>
    </row>
    <row r="187" spans="1:32">
      <c r="A187" t="s">
        <v>49</v>
      </c>
      <c r="B187">
        <v>60.3</v>
      </c>
      <c r="C187">
        <f t="shared" ref="C187:C192" si="180">B187+273</f>
        <v>333.3</v>
      </c>
      <c r="D187">
        <v>-6.37</v>
      </c>
      <c r="E187">
        <v>-6.7397</v>
      </c>
      <c r="F187">
        <v>-5.2</v>
      </c>
      <c r="G187">
        <v>-4.8459000000000003</v>
      </c>
      <c r="H187">
        <f t="shared" ref="H187:H192" si="181">G187-3*D187-E187-2*F187</f>
        <v>31.403799999999997</v>
      </c>
      <c r="I187">
        <v>89.750399999999999</v>
      </c>
      <c r="J187">
        <f t="shared" ref="J187:J192" si="182">-2.303*8.314*C187*(I187-H187)</f>
        <v>-372352.97278455272</v>
      </c>
      <c r="L187">
        <f t="shared" si="174"/>
        <v>-62.058828797425456</v>
      </c>
      <c r="P187" s="23">
        <v>2.9849999999999998E-7</v>
      </c>
      <c r="Q187" s="27">
        <f t="shared" si="175"/>
        <v>-5.2946050651592275E-2</v>
      </c>
      <c r="R187" s="27">
        <f t="shared" ref="R187:R192" si="183">(J187)*P187</f>
        <v>-0.11114736237618898</v>
      </c>
      <c r="S187">
        <f t="shared" si="176"/>
        <v>-5.2946050651592275E-2</v>
      </c>
      <c r="AA187" s="31"/>
    </row>
    <row r="188" spans="1:32">
      <c r="A188" t="s">
        <v>50</v>
      </c>
      <c r="B188">
        <v>80.099999999999994</v>
      </c>
      <c r="C188">
        <f t="shared" si="180"/>
        <v>353.1</v>
      </c>
      <c r="D188">
        <v>-7.22</v>
      </c>
      <c r="E188">
        <v>-6.9115000000000002</v>
      </c>
      <c r="F188">
        <v>-4.7</v>
      </c>
      <c r="G188">
        <v>-5.2152000000000003</v>
      </c>
      <c r="H188">
        <f t="shared" si="181"/>
        <v>32.756300000000003</v>
      </c>
      <c r="I188">
        <v>84.467600000000004</v>
      </c>
      <c r="J188">
        <f t="shared" si="182"/>
        <v>-349612.64460933424</v>
      </c>
      <c r="L188">
        <f t="shared" si="174"/>
        <v>-58.268774101555707</v>
      </c>
      <c r="P188" s="23">
        <v>2.132E-7</v>
      </c>
      <c r="Q188" s="27">
        <f t="shared" si="175"/>
        <v>-7.0220816807387175E-3</v>
      </c>
      <c r="R188" s="27">
        <f t="shared" si="183"/>
        <v>-7.4537415830710066E-2</v>
      </c>
      <c r="S188">
        <f t="shared" si="176"/>
        <v>-7.0220816807387175E-3</v>
      </c>
      <c r="AA188" s="31"/>
    </row>
    <row r="189" spans="1:32">
      <c r="A189" t="s">
        <v>51</v>
      </c>
      <c r="B189">
        <v>96.6</v>
      </c>
      <c r="C189">
        <f t="shared" si="180"/>
        <v>369.6</v>
      </c>
      <c r="D189">
        <v>-7.22</v>
      </c>
      <c r="E189">
        <v>-6.5316999999999998</v>
      </c>
      <c r="F189">
        <v>-5.6</v>
      </c>
      <c r="G189">
        <v>-5.718</v>
      </c>
      <c r="H189">
        <f t="shared" si="181"/>
        <v>33.673699999999997</v>
      </c>
      <c r="I189">
        <v>80.408699999999996</v>
      </c>
      <c r="J189">
        <f t="shared" si="182"/>
        <v>-330733.48543435201</v>
      </c>
      <c r="L189">
        <f t="shared" si="174"/>
        <v>-55.122247572392006</v>
      </c>
      <c r="P189" s="23">
        <v>5.0949999999999995E-7</v>
      </c>
      <c r="Q189" s="27">
        <f t="shared" si="175"/>
        <v>-6.6428877361417449E-3</v>
      </c>
      <c r="R189" s="27">
        <f t="shared" si="183"/>
        <v>-0.16850871082880234</v>
      </c>
      <c r="S189">
        <f t="shared" si="176"/>
        <v>-6.6428877361417449E-3</v>
      </c>
      <c r="AA189" s="31"/>
    </row>
    <row r="190" spans="1:32">
      <c r="A190" t="s">
        <v>52</v>
      </c>
      <c r="B190">
        <v>135</v>
      </c>
      <c r="C190">
        <f t="shared" si="180"/>
        <v>408</v>
      </c>
      <c r="D190">
        <v>-7.19</v>
      </c>
      <c r="E190">
        <v>-6.6307</v>
      </c>
      <c r="F190">
        <v>-2.9</v>
      </c>
      <c r="G190">
        <v>-5.5933999999999999</v>
      </c>
      <c r="H190">
        <f t="shared" si="181"/>
        <v>28.407300000000003</v>
      </c>
      <c r="I190">
        <v>72.515600000000006</v>
      </c>
      <c r="J190">
        <f t="shared" si="182"/>
        <v>-344575.53645926877</v>
      </c>
      <c r="L190">
        <f t="shared" si="174"/>
        <v>-57.429256076544796</v>
      </c>
      <c r="P190" s="23">
        <v>4.221E-7</v>
      </c>
      <c r="Q190" s="27">
        <f t="shared" si="175"/>
        <v>-7.4158884112270488E-3</v>
      </c>
      <c r="R190" s="27">
        <f t="shared" si="183"/>
        <v>-0.14544533393945736</v>
      </c>
      <c r="S190">
        <f t="shared" si="176"/>
        <v>-7.4158884112270488E-3</v>
      </c>
      <c r="AA190" s="31"/>
    </row>
    <row r="191" spans="1:32">
      <c r="A191" t="s">
        <v>53</v>
      </c>
      <c r="B191">
        <v>135</v>
      </c>
      <c r="C191">
        <f t="shared" si="180"/>
        <v>408</v>
      </c>
      <c r="D191">
        <v>-6.2362000000000002</v>
      </c>
      <c r="E191">
        <v>-5.7622</v>
      </c>
      <c r="F191">
        <v>-5</v>
      </c>
      <c r="G191">
        <v>-4.7183999999999999</v>
      </c>
      <c r="H191">
        <f t="shared" si="181"/>
        <v>29.752400000000002</v>
      </c>
      <c r="I191">
        <v>72.515600000000006</v>
      </c>
      <c r="J191">
        <f t="shared" si="182"/>
        <v>-334067.5696119552</v>
      </c>
      <c r="L191">
        <f t="shared" si="174"/>
        <v>-55.677928268659201</v>
      </c>
      <c r="P191" s="23">
        <v>3.1810000000000001E-6</v>
      </c>
      <c r="Q191" s="27">
        <f t="shared" si="175"/>
        <v>-6.4641743680874358E-2</v>
      </c>
      <c r="R191" s="27">
        <f t="shared" si="183"/>
        <v>-1.0626689389356296</v>
      </c>
      <c r="S191">
        <f t="shared" si="176"/>
        <v>-6.4641743680874358E-2</v>
      </c>
      <c r="AA191" s="31"/>
    </row>
    <row r="192" spans="1:32">
      <c r="A192" s="11" t="s">
        <v>54</v>
      </c>
      <c r="B192">
        <v>20</v>
      </c>
      <c r="C192">
        <f t="shared" si="180"/>
        <v>293</v>
      </c>
      <c r="D192">
        <v>-6.4</v>
      </c>
      <c r="E192">
        <v>-6.9</v>
      </c>
      <c r="F192">
        <v>-8.02</v>
      </c>
      <c r="G192">
        <v>-6.5</v>
      </c>
      <c r="H192">
        <f t="shared" si="181"/>
        <v>35.64</v>
      </c>
      <c r="I192">
        <v>102.37739999999999</v>
      </c>
      <c r="J192">
        <f t="shared" si="182"/>
        <v>-374404.32903166435</v>
      </c>
      <c r="L192">
        <f t="shared" si="174"/>
        <v>-62.400721505277396</v>
      </c>
      <c r="P192" s="23">
        <v>1.9999999999999999E-7</v>
      </c>
      <c r="Q192" s="27">
        <f t="shared" si="175"/>
        <v>-4.9684349357925366E-2</v>
      </c>
      <c r="R192" s="27">
        <f t="shared" si="183"/>
        <v>-7.4880865806332866E-2</v>
      </c>
      <c r="S192">
        <f t="shared" si="176"/>
        <v>-4.9684349357925366E-2</v>
      </c>
      <c r="X192">
        <f>LOG(ABS(S192))</f>
        <v>-1.3037803931159502</v>
      </c>
      <c r="AA192" s="31"/>
    </row>
    <row r="193" spans="1:32">
      <c r="AA193" s="31"/>
    </row>
    <row r="194" spans="1:32" ht="17">
      <c r="D194" s="7" t="s">
        <v>168</v>
      </c>
      <c r="E194" s="7"/>
      <c r="F194" s="7"/>
      <c r="Q194" s="27" t="s">
        <v>172</v>
      </c>
      <c r="R194" s="27" t="s">
        <v>173</v>
      </c>
      <c r="S194" t="s">
        <v>174</v>
      </c>
      <c r="AA194" s="31"/>
    </row>
    <row r="195" spans="1:32" ht="17">
      <c r="A195" t="s">
        <v>23</v>
      </c>
      <c r="B195" t="s">
        <v>24</v>
      </c>
      <c r="C195" t="s">
        <v>25</v>
      </c>
      <c r="D195" t="s">
        <v>35</v>
      </c>
      <c r="E195" t="s">
        <v>104</v>
      </c>
      <c r="F195" t="s">
        <v>30</v>
      </c>
      <c r="G195" t="s">
        <v>68</v>
      </c>
      <c r="H195" t="s">
        <v>31</v>
      </c>
      <c r="I195" t="s">
        <v>32</v>
      </c>
      <c r="J195" t="s">
        <v>33</v>
      </c>
      <c r="L195" t="s">
        <v>38</v>
      </c>
      <c r="M195" t="s">
        <v>191</v>
      </c>
      <c r="N195" s="1" t="s">
        <v>190</v>
      </c>
      <c r="Q195" s="27" t="s">
        <v>47</v>
      </c>
      <c r="R195" s="27" t="s">
        <v>47</v>
      </c>
      <c r="S195" t="s">
        <v>175</v>
      </c>
      <c r="T195" t="s">
        <v>195</v>
      </c>
      <c r="U195" t="s">
        <v>194</v>
      </c>
      <c r="V195" t="s">
        <v>200</v>
      </c>
      <c r="W195" s="1" t="s">
        <v>190</v>
      </c>
      <c r="AA195" s="31"/>
    </row>
    <row r="196" spans="1:32">
      <c r="A196" t="s">
        <v>48</v>
      </c>
      <c r="B196">
        <v>54.7</v>
      </c>
      <c r="C196">
        <f>B196+273</f>
        <v>327.7</v>
      </c>
      <c r="D196">
        <v>-7.7</v>
      </c>
      <c r="E196">
        <v>-3.0034000000000001</v>
      </c>
      <c r="F196">
        <v>-5.2</v>
      </c>
      <c r="G196">
        <v>-5.6195000000000004</v>
      </c>
      <c r="H196">
        <f>2*E196-3*D196-G196-2*F196</f>
        <v>33.112700000000004</v>
      </c>
      <c r="I196">
        <v>36.166800000000002</v>
      </c>
      <c r="J196">
        <f>-2.303*8.314*C196*(I196-H196)</f>
        <v>-19163.006747446929</v>
      </c>
      <c r="L196">
        <f t="shared" ref="L196:L202" si="184">J196/6000</f>
        <v>-3.1938344579078213</v>
      </c>
      <c r="M196">
        <f t="shared" si="133"/>
        <v>-4.6980952681060311</v>
      </c>
      <c r="N196">
        <f t="shared" si="164"/>
        <v>3.9008772049372293</v>
      </c>
      <c r="Q196" s="27">
        <f t="shared" ref="Q196:Q202" si="185">(J196/3)*(10^D196)</f>
        <v>-1.2745075068225058E-4</v>
      </c>
      <c r="R196" s="27">
        <f>(J196)*10^G196</f>
        <v>-4.6021805486136838E-2</v>
      </c>
      <c r="S196">
        <f t="shared" ref="S196:S202" si="186">IF(Q196&gt;R196, Q196,R196)</f>
        <v>-1.2745075068225058E-4</v>
      </c>
      <c r="T196">
        <f t="shared" si="148"/>
        <v>7.3362910794778618E-3</v>
      </c>
      <c r="U196">
        <f t="shared" ref="U196" si="187">(ABS(MAX(S196:S201)))</f>
        <v>1.0294544278955053E-4</v>
      </c>
      <c r="V196">
        <f t="shared" ref="V196" si="188">AVERAGE(LOG(T196),LOG(U196))</f>
        <v>-3.0609581598521038</v>
      </c>
      <c r="W196">
        <f t="shared" ref="W196" si="189">ABS(V196-LOG(T196))</f>
        <v>0.92643471420751888</v>
      </c>
      <c r="AA196" s="31"/>
    </row>
    <row r="197" spans="1:32">
      <c r="A197" t="s">
        <v>49</v>
      </c>
      <c r="B197">
        <v>60.3</v>
      </c>
      <c r="C197">
        <f t="shared" ref="C197:C202" si="190">B197+273</f>
        <v>333.3</v>
      </c>
      <c r="D197">
        <v>-6.37</v>
      </c>
      <c r="E197">
        <v>-3.9658000000000002</v>
      </c>
      <c r="F197">
        <v>-5.2</v>
      </c>
      <c r="G197">
        <v>-5.8804999999999996</v>
      </c>
      <c r="H197">
        <f t="shared" ref="H197:H202" si="191">2*E197-3*D197-G197-2*F197</f>
        <v>27.4589</v>
      </c>
      <c r="I197">
        <v>35.543500000000002</v>
      </c>
      <c r="J197">
        <f t="shared" ref="J197:J202" si="192">-2.303*8.314*C197*(I197-H197)</f>
        <v>-51593.834838259565</v>
      </c>
      <c r="L197">
        <f t="shared" si="184"/>
        <v>-8.5989724730432613</v>
      </c>
      <c r="Q197" s="27">
        <f t="shared" si="185"/>
        <v>-7.3362910794778618E-3</v>
      </c>
      <c r="R197" s="27">
        <f t="shared" ref="R197:R202" si="193">(J197)*10^G197</f>
        <v>-6.7935661581903478E-2</v>
      </c>
      <c r="S197">
        <f t="shared" si="186"/>
        <v>-7.3362910794778618E-3</v>
      </c>
      <c r="AA197" s="31"/>
    </row>
    <row r="198" spans="1:32">
      <c r="A198" t="s">
        <v>50</v>
      </c>
      <c r="B198">
        <v>80.099999999999994</v>
      </c>
      <c r="C198">
        <f t="shared" si="190"/>
        <v>353.1</v>
      </c>
      <c r="D198">
        <v>-7.22</v>
      </c>
      <c r="E198">
        <v>-2.7109000000000001</v>
      </c>
      <c r="F198">
        <v>-4.7</v>
      </c>
      <c r="G198">
        <v>-5.63</v>
      </c>
      <c r="H198">
        <f t="shared" si="191"/>
        <v>31.2682</v>
      </c>
      <c r="I198">
        <v>33.173200000000001</v>
      </c>
      <c r="J198">
        <f t="shared" si="192"/>
        <v>-12879.430375581007</v>
      </c>
      <c r="L198">
        <f t="shared" si="184"/>
        <v>-2.1465717292635014</v>
      </c>
      <c r="Q198" s="27">
        <f t="shared" si="185"/>
        <v>-2.5868747453278618E-4</v>
      </c>
      <c r="R198" s="27">
        <f t="shared" si="193"/>
        <v>-3.0192331811343648E-2</v>
      </c>
      <c r="S198">
        <f t="shared" si="186"/>
        <v>-2.5868747453278618E-4</v>
      </c>
      <c r="AA198" s="31"/>
    </row>
    <row r="199" spans="1:32">
      <c r="A199" t="s">
        <v>51</v>
      </c>
      <c r="B199">
        <v>96.6</v>
      </c>
      <c r="C199">
        <f t="shared" si="190"/>
        <v>369.6</v>
      </c>
      <c r="D199">
        <v>-7.22</v>
      </c>
      <c r="E199">
        <v>-5.7118000000000002</v>
      </c>
      <c r="F199">
        <v>-5.6</v>
      </c>
      <c r="G199">
        <v>-5.718</v>
      </c>
      <c r="H199">
        <f t="shared" si="191"/>
        <v>27.154399999999999</v>
      </c>
      <c r="I199">
        <v>31.299199999999999</v>
      </c>
      <c r="J199">
        <f t="shared" si="192"/>
        <v>-29331.853010127361</v>
      </c>
      <c r="L199">
        <f t="shared" si="184"/>
        <v>-4.8886421683545604</v>
      </c>
      <c r="Q199" s="27">
        <f t="shared" si="185"/>
        <v>-5.8913964028587372E-4</v>
      </c>
      <c r="R199" s="27">
        <f t="shared" si="193"/>
        <v>-5.6148673416483823E-2</v>
      </c>
      <c r="S199">
        <f t="shared" si="186"/>
        <v>-5.8913964028587372E-4</v>
      </c>
      <c r="AA199" s="31"/>
    </row>
    <row r="200" spans="1:32">
      <c r="A200" t="s">
        <v>52</v>
      </c>
      <c r="B200">
        <v>135</v>
      </c>
      <c r="C200">
        <f t="shared" si="190"/>
        <v>408</v>
      </c>
      <c r="D200">
        <v>-7.19</v>
      </c>
      <c r="E200">
        <v>-3.0333999999999999</v>
      </c>
      <c r="F200">
        <v>-2.9</v>
      </c>
      <c r="G200">
        <v>-5.5933999999999999</v>
      </c>
      <c r="H200">
        <f t="shared" si="191"/>
        <v>26.896599999999999</v>
      </c>
      <c r="I200">
        <v>27.508900000000001</v>
      </c>
      <c r="J200">
        <f t="shared" si="192"/>
        <v>-4783.3083790128094</v>
      </c>
      <c r="L200">
        <f t="shared" si="184"/>
        <v>-0.79721806316880162</v>
      </c>
      <c r="Q200" s="27">
        <f t="shared" si="185"/>
        <v>-1.0294544278955053E-4</v>
      </c>
      <c r="R200" s="27">
        <f t="shared" si="193"/>
        <v>-1.2199116552700904E-2</v>
      </c>
      <c r="S200">
        <f t="shared" si="186"/>
        <v>-1.0294544278955053E-4</v>
      </c>
      <c r="AA200" s="31"/>
    </row>
    <row r="201" spans="1:32">
      <c r="A201" t="s">
        <v>53</v>
      </c>
      <c r="B201">
        <v>135</v>
      </c>
      <c r="C201">
        <f t="shared" si="190"/>
        <v>408</v>
      </c>
      <c r="D201">
        <v>-6.2362000000000002</v>
      </c>
      <c r="E201">
        <v>-3.9975999999999998</v>
      </c>
      <c r="F201">
        <v>-5</v>
      </c>
      <c r="G201">
        <v>-5.23</v>
      </c>
      <c r="H201">
        <f t="shared" si="191"/>
        <v>25.9434</v>
      </c>
      <c r="I201">
        <v>27.508900000000001</v>
      </c>
      <c r="J201">
        <f t="shared" si="192"/>
        <v>-12229.739126808001</v>
      </c>
      <c r="L201">
        <f t="shared" si="184"/>
        <v>-2.0382898544680002</v>
      </c>
      <c r="Q201" s="27">
        <f t="shared" si="185"/>
        <v>-2.3664424021684256E-3</v>
      </c>
      <c r="R201" s="27">
        <f t="shared" si="193"/>
        <v>-7.2014042914748805E-2</v>
      </c>
      <c r="S201">
        <f t="shared" si="186"/>
        <v>-2.3664424021684256E-3</v>
      </c>
      <c r="AA201" s="31"/>
    </row>
    <row r="202" spans="1:32">
      <c r="A202" s="11" t="s">
        <v>54</v>
      </c>
      <c r="B202">
        <v>20</v>
      </c>
      <c r="C202">
        <f t="shared" si="190"/>
        <v>293</v>
      </c>
      <c r="D202">
        <v>-6.4</v>
      </c>
      <c r="E202">
        <v>-6.5</v>
      </c>
      <c r="F202">
        <v>-8.02</v>
      </c>
      <c r="G202">
        <v>-3.1</v>
      </c>
      <c r="H202">
        <f t="shared" si="191"/>
        <v>25.340000000000003</v>
      </c>
      <c r="I202">
        <v>40.917000000000002</v>
      </c>
      <c r="J202">
        <f t="shared" si="192"/>
        <v>-87388.724063661983</v>
      </c>
      <c r="L202">
        <f t="shared" si="184"/>
        <v>-14.564787343943664</v>
      </c>
      <c r="Q202" s="27">
        <f t="shared" si="185"/>
        <v>-1.1596692558421566E-2</v>
      </c>
      <c r="R202" s="27">
        <f t="shared" si="193"/>
        <v>-69.415330920295915</v>
      </c>
      <c r="S202">
        <f t="shared" si="186"/>
        <v>-1.1596692558421566E-2</v>
      </c>
      <c r="X202">
        <f>LOG(ABS(S202))</f>
        <v>-1.9356658563284639</v>
      </c>
      <c r="AA202" s="31"/>
    </row>
    <row r="203" spans="1:32">
      <c r="AA203" s="31"/>
    </row>
    <row r="204" spans="1:32" ht="17">
      <c r="D204" s="7" t="s">
        <v>138</v>
      </c>
      <c r="E204" s="7"/>
      <c r="F204" s="7"/>
      <c r="Q204" s="27" t="s">
        <v>172</v>
      </c>
      <c r="R204" s="27" t="s">
        <v>173</v>
      </c>
      <c r="S204" t="s">
        <v>174</v>
      </c>
      <c r="AA204" s="31"/>
    </row>
    <row r="205" spans="1:32" ht="17">
      <c r="A205" t="s">
        <v>23</v>
      </c>
      <c r="B205" t="s">
        <v>24</v>
      </c>
      <c r="C205" t="s">
        <v>25</v>
      </c>
      <c r="D205" t="s">
        <v>35</v>
      </c>
      <c r="E205" t="s">
        <v>30</v>
      </c>
      <c r="F205" t="s">
        <v>39</v>
      </c>
      <c r="G205" t="s">
        <v>31</v>
      </c>
      <c r="H205" t="s">
        <v>32</v>
      </c>
      <c r="J205" t="s">
        <v>33</v>
      </c>
      <c r="L205" t="s">
        <v>37</v>
      </c>
      <c r="M205" t="s">
        <v>191</v>
      </c>
      <c r="N205" s="1" t="s">
        <v>190</v>
      </c>
      <c r="Q205" s="27" t="s">
        <v>47</v>
      </c>
      <c r="R205" s="27" t="s">
        <v>47</v>
      </c>
      <c r="S205" t="s">
        <v>175</v>
      </c>
      <c r="T205" t="s">
        <v>195</v>
      </c>
      <c r="U205" t="s">
        <v>194</v>
      </c>
      <c r="V205" t="s">
        <v>200</v>
      </c>
      <c r="W205" s="1" t="s">
        <v>190</v>
      </c>
      <c r="AA205" s="31"/>
    </row>
    <row r="206" spans="1:32">
      <c r="A206" t="s">
        <v>48</v>
      </c>
      <c r="B206">
        <v>54.7</v>
      </c>
      <c r="C206">
        <f>B206+273</f>
        <v>327.7</v>
      </c>
      <c r="D206">
        <v>-7.7</v>
      </c>
      <c r="E206">
        <v>-5.2</v>
      </c>
      <c r="F206">
        <v>-3.0697999999999999</v>
      </c>
      <c r="G206">
        <f>F206-D206-2*E206</f>
        <v>15.030200000000001</v>
      </c>
      <c r="H206">
        <v>40.832000000000001</v>
      </c>
      <c r="J206">
        <f t="shared" ref="J206:J212" si="194">-2.303*8.134*C206*(H206-G206)</f>
        <v>-158388.83043793571</v>
      </c>
      <c r="L206">
        <f t="shared" ref="L206:L212" si="195">J206/(2*1000)</f>
        <v>-79.194415218967862</v>
      </c>
      <c r="M206">
        <f t="shared" ref="M206:M261" si="196">AVERAGE(MIN(L206:L211),MAX(L206:L211))</f>
        <v>-83.145416159743888</v>
      </c>
      <c r="N206">
        <f t="shared" ref="N206:N227" si="197">ABS(MAX(L206:L211)-M206)</f>
        <v>8.3026842301446777</v>
      </c>
      <c r="Q206" s="27">
        <f t="shared" ref="Q206:Q212" si="198">(J206)*(10^D206)</f>
        <v>-3.1602726448480859E-3</v>
      </c>
      <c r="R206" s="28" t="s">
        <v>177</v>
      </c>
      <c r="S206" s="23">
        <f>Q206</f>
        <v>-3.1602726448480859E-3</v>
      </c>
      <c r="T206">
        <f t="shared" si="148"/>
        <v>8.6891966784849048E-2</v>
      </c>
      <c r="U206">
        <f t="shared" ref="U206" si="199">(ABS(MAX(S206:S211)))</f>
        <v>3.1602726448480859E-3</v>
      </c>
      <c r="V206">
        <f t="shared" ref="V206" si="200">AVERAGE(LOG(T206),LOG(U206))</f>
        <v>-1.7806479102739088</v>
      </c>
      <c r="W206">
        <f t="shared" ref="W206" si="201">ABS(V206-LOG(T206))</f>
        <v>0.71962753778958333</v>
      </c>
      <c r="AA206" s="31"/>
    </row>
    <row r="207" spans="1:32">
      <c r="A207" t="s">
        <v>49</v>
      </c>
      <c r="B207">
        <v>60.3</v>
      </c>
      <c r="C207">
        <f t="shared" ref="C207:C212" si="202">B207+273</f>
        <v>333.3</v>
      </c>
      <c r="D207">
        <v>-6.37</v>
      </c>
      <c r="E207">
        <v>-5.2</v>
      </c>
      <c r="F207">
        <v>-5.88</v>
      </c>
      <c r="G207">
        <f t="shared" ref="G207:G212" si="203">F207-D207-2*E207</f>
        <v>10.89</v>
      </c>
      <c r="H207">
        <v>40.183500000000002</v>
      </c>
      <c r="J207">
        <f t="shared" si="194"/>
        <v>-182896.20077977714</v>
      </c>
      <c r="L207">
        <f t="shared" si="195"/>
        <v>-91.448100389888566</v>
      </c>
      <c r="Q207" s="27">
        <f t="shared" si="198"/>
        <v>-7.8019773319276703E-2</v>
      </c>
      <c r="R207" s="28" t="s">
        <v>177</v>
      </c>
      <c r="S207" s="23">
        <f t="shared" ref="S207:S212" si="204">Q207</f>
        <v>-7.8019773319276703E-2</v>
      </c>
      <c r="AA207" s="31"/>
      <c r="AF207" s="23"/>
    </row>
    <row r="208" spans="1:32">
      <c r="A208" t="s">
        <v>50</v>
      </c>
      <c r="B208">
        <v>80.099999999999994</v>
      </c>
      <c r="C208">
        <f t="shared" si="202"/>
        <v>353.1</v>
      </c>
      <c r="D208">
        <v>-7.22</v>
      </c>
      <c r="E208">
        <v>-4.7</v>
      </c>
      <c r="F208">
        <v>-2.8056999999999999</v>
      </c>
      <c r="G208">
        <f t="shared" si="203"/>
        <v>13.814299999999999</v>
      </c>
      <c r="H208">
        <v>37.766399999999997</v>
      </c>
      <c r="J208">
        <f t="shared" si="194"/>
        <v>-158430.72871219902</v>
      </c>
      <c r="L208">
        <f t="shared" si="195"/>
        <v>-79.215364356099514</v>
      </c>
      <c r="Q208" s="27">
        <f t="shared" si="198"/>
        <v>-9.5463954314281303E-3</v>
      </c>
      <c r="R208" s="28" t="s">
        <v>177</v>
      </c>
      <c r="S208" s="23">
        <f t="shared" si="204"/>
        <v>-9.5463954314281303E-3</v>
      </c>
      <c r="AA208" s="31"/>
      <c r="AF208" s="23"/>
    </row>
    <row r="209" spans="1:27">
      <c r="A209" t="s">
        <v>51</v>
      </c>
      <c r="B209">
        <v>96.6</v>
      </c>
      <c r="C209">
        <f t="shared" si="202"/>
        <v>369.6</v>
      </c>
      <c r="D209">
        <v>-7.22</v>
      </c>
      <c r="E209">
        <v>-5.6</v>
      </c>
      <c r="F209">
        <v>-4.84</v>
      </c>
      <c r="G209">
        <f t="shared" si="203"/>
        <v>13.579999999999998</v>
      </c>
      <c r="H209">
        <v>35.909599999999998</v>
      </c>
      <c r="J209">
        <f t="shared" si="194"/>
        <v>-154600.54195525631</v>
      </c>
      <c r="L209">
        <f t="shared" si="195"/>
        <v>-77.300270977628159</v>
      </c>
      <c r="Q209" s="27">
        <f t="shared" si="198"/>
        <v>-9.3156038567430433E-3</v>
      </c>
      <c r="R209" s="28" t="s">
        <v>177</v>
      </c>
      <c r="S209" s="23">
        <f t="shared" si="204"/>
        <v>-9.3156038567430433E-3</v>
      </c>
      <c r="AA209" s="31"/>
    </row>
    <row r="210" spans="1:27">
      <c r="A210" t="s">
        <v>52</v>
      </c>
      <c r="B210">
        <v>135</v>
      </c>
      <c r="C210">
        <f t="shared" si="202"/>
        <v>408</v>
      </c>
      <c r="D210">
        <v>-7.19</v>
      </c>
      <c r="E210">
        <v>-2.9</v>
      </c>
      <c r="F210">
        <v>-3.2307000000000001</v>
      </c>
      <c r="G210">
        <f t="shared" si="203"/>
        <v>9.7592999999999996</v>
      </c>
      <c r="H210">
        <v>32.293900000000001</v>
      </c>
      <c r="J210">
        <f t="shared" si="194"/>
        <v>-172229.73075591362</v>
      </c>
      <c r="L210">
        <f t="shared" si="195"/>
        <v>-86.114865377956818</v>
      </c>
      <c r="Q210" s="27">
        <f t="shared" si="198"/>
        <v>-1.1120085402805544E-2</v>
      </c>
      <c r="R210" s="28" t="s">
        <v>177</v>
      </c>
      <c r="S210" s="23">
        <f t="shared" si="204"/>
        <v>-1.1120085402805544E-2</v>
      </c>
      <c r="AA210" s="31"/>
    </row>
    <row r="211" spans="1:27">
      <c r="A211" t="s">
        <v>53</v>
      </c>
      <c r="B211">
        <v>135</v>
      </c>
      <c r="C211">
        <f t="shared" si="202"/>
        <v>408</v>
      </c>
      <c r="D211">
        <v>-6.2362000000000002</v>
      </c>
      <c r="E211">
        <v>-5</v>
      </c>
      <c r="F211">
        <v>-3.5272000000000001</v>
      </c>
      <c r="G211">
        <f t="shared" si="203"/>
        <v>12.709</v>
      </c>
      <c r="H211">
        <v>32.293900000000001</v>
      </c>
      <c r="J211">
        <f t="shared" si="194"/>
        <v>-149685.46385919841</v>
      </c>
      <c r="L211">
        <f t="shared" si="195"/>
        <v>-74.842731929599211</v>
      </c>
      <c r="Q211" s="27">
        <f t="shared" si="198"/>
        <v>-8.6891966784849048E-2</v>
      </c>
      <c r="R211" s="28" t="s">
        <v>177</v>
      </c>
      <c r="S211" s="23">
        <f t="shared" si="204"/>
        <v>-8.6891966784849048E-2</v>
      </c>
      <c r="AA211" s="31"/>
    </row>
    <row r="212" spans="1:27">
      <c r="A212" s="11" t="s">
        <v>54</v>
      </c>
      <c r="B212">
        <v>20</v>
      </c>
      <c r="C212">
        <f t="shared" si="202"/>
        <v>293</v>
      </c>
      <c r="D212">
        <v>-6.4</v>
      </c>
      <c r="E212">
        <v>-8.02</v>
      </c>
      <c r="F212">
        <v>-10</v>
      </c>
      <c r="G212">
        <f t="shared" si="203"/>
        <v>12.44</v>
      </c>
      <c r="H212">
        <v>45.965400000000002</v>
      </c>
      <c r="J212">
        <f t="shared" si="194"/>
        <v>-184009.26670160441</v>
      </c>
      <c r="L212">
        <f t="shared" si="195"/>
        <v>-92.004633350802209</v>
      </c>
      <c r="Q212" s="27">
        <f t="shared" si="198"/>
        <v>-7.3255408522199389E-2</v>
      </c>
      <c r="R212" s="28" t="s">
        <v>177</v>
      </c>
      <c r="S212" s="23">
        <f t="shared" si="204"/>
        <v>-7.3255408522199389E-2</v>
      </c>
      <c r="X212">
        <f>LOG(ABS(S212))</f>
        <v>-1.1351603053815829</v>
      </c>
      <c r="AA212" s="31"/>
    </row>
    <row r="213" spans="1:27">
      <c r="AA213" s="31"/>
    </row>
    <row r="214" spans="1:27" ht="17">
      <c r="D214" s="7" t="s">
        <v>101</v>
      </c>
      <c r="E214" s="7"/>
      <c r="F214" s="7"/>
      <c r="Q214" s="27" t="s">
        <v>172</v>
      </c>
      <c r="R214" s="27" t="s">
        <v>173</v>
      </c>
      <c r="S214" t="s">
        <v>174</v>
      </c>
      <c r="AA214" s="31"/>
    </row>
    <row r="215" spans="1:27" ht="17">
      <c r="A215" t="s">
        <v>23</v>
      </c>
      <c r="B215" t="s">
        <v>24</v>
      </c>
      <c r="C215" t="s">
        <v>25</v>
      </c>
      <c r="D215" t="s">
        <v>35</v>
      </c>
      <c r="E215" t="s">
        <v>27</v>
      </c>
      <c r="F215" t="s">
        <v>30</v>
      </c>
      <c r="G215" t="s">
        <v>29</v>
      </c>
      <c r="H215" t="s">
        <v>31</v>
      </c>
      <c r="I215" t="s">
        <v>32</v>
      </c>
      <c r="J215" t="s">
        <v>33</v>
      </c>
      <c r="L215" t="s">
        <v>34</v>
      </c>
      <c r="M215" t="s">
        <v>191</v>
      </c>
      <c r="N215" s="1" t="s">
        <v>190</v>
      </c>
      <c r="P215" t="s">
        <v>182</v>
      </c>
      <c r="Q215" s="27" t="s">
        <v>47</v>
      </c>
      <c r="R215" s="27" t="s">
        <v>47</v>
      </c>
      <c r="S215" t="s">
        <v>175</v>
      </c>
      <c r="T215" t="s">
        <v>195</v>
      </c>
      <c r="U215" t="s">
        <v>194</v>
      </c>
      <c r="V215" t="s">
        <v>200</v>
      </c>
      <c r="W215" s="1" t="s">
        <v>190</v>
      </c>
      <c r="AA215" s="31"/>
    </row>
    <row r="216" spans="1:27">
      <c r="A216" t="s">
        <v>48</v>
      </c>
      <c r="B216">
        <v>54.7</v>
      </c>
      <c r="C216">
        <f>B216+273</f>
        <v>327.7</v>
      </c>
      <c r="D216">
        <v>-7.7</v>
      </c>
      <c r="E216">
        <v>-3.0996999999999999</v>
      </c>
      <c r="F216">
        <v>-5.2</v>
      </c>
      <c r="G216">
        <v>-3.2303999999999999</v>
      </c>
      <c r="H216">
        <f>G216-4*D216-E216-2*F216</f>
        <v>41.069299999999998</v>
      </c>
      <c r="I216">
        <v>49.002800000000001</v>
      </c>
      <c r="J216">
        <f>-2.303*8.314*C216*(I216-H216)</f>
        <v>-49778.891991378914</v>
      </c>
      <c r="L216">
        <f t="shared" ref="L216:L222" si="205">J216/8000</f>
        <v>-6.2223614989223641</v>
      </c>
      <c r="M216">
        <f t="shared" si="196"/>
        <v>-8.0001929842027444</v>
      </c>
      <c r="N216">
        <f t="shared" si="197"/>
        <v>2.9530308613445069</v>
      </c>
      <c r="P216">
        <v>5.7790000000000003E-3</v>
      </c>
      <c r="Q216" s="27">
        <f t="shared" ref="Q216:Q222" si="206">(J216/4)*(10^D216)</f>
        <v>-2.4830486817826103E-4</v>
      </c>
      <c r="R216" s="27">
        <f>(J216)*P216</f>
        <v>-287.67221681817875</v>
      </c>
      <c r="S216">
        <f t="shared" ref="S216:S222" si="207">IF(Q216&gt;R216, Q216,R216)</f>
        <v>-2.4830486817826103E-4</v>
      </c>
      <c r="T216">
        <f>ABS(MIN(S216:S221))</f>
        <v>9.3448419147193415E-3</v>
      </c>
      <c r="U216">
        <f>ABS(MAX(S216:S221))</f>
        <v>2.4830486817826103E-4</v>
      </c>
      <c r="V216">
        <f t="shared" ref="V216" si="208">AVERAGE(LOG(T216),LOG(U216))</f>
        <v>-2.8172214034268608</v>
      </c>
      <c r="W216">
        <f t="shared" ref="W216" si="209">ABS(V216-LOG(T216))</f>
        <v>0.78779336230963315</v>
      </c>
      <c r="AA216" s="31"/>
    </row>
    <row r="217" spans="1:27">
      <c r="A217" t="s">
        <v>49</v>
      </c>
      <c r="B217">
        <v>60.3</v>
      </c>
      <c r="C217">
        <f t="shared" ref="C217:C222" si="210">B217+273</f>
        <v>333.3</v>
      </c>
      <c r="D217">
        <v>-6.37</v>
      </c>
      <c r="E217">
        <v>-2.6000999999999999</v>
      </c>
      <c r="F217">
        <v>-5.2</v>
      </c>
      <c r="G217">
        <v>-3.8155999999999999</v>
      </c>
      <c r="H217">
        <f t="shared" ref="H217:H221" si="211">G217-4*D217-E217-2*F217</f>
        <v>34.664500000000004</v>
      </c>
      <c r="I217">
        <v>48.395200000000003</v>
      </c>
      <c r="J217">
        <f t="shared" ref="J217:J222" si="212">-2.303*8.314*C217*(I217-H217)</f>
        <v>-87625.790764378005</v>
      </c>
      <c r="L217">
        <f t="shared" si="205"/>
        <v>-10.953223845547251</v>
      </c>
      <c r="P217">
        <v>1.504E-2</v>
      </c>
      <c r="Q217" s="27">
        <f t="shared" si="206"/>
        <v>-9.3448419147193415E-3</v>
      </c>
      <c r="R217" s="27">
        <f t="shared" ref="R217:R222" si="213">(J217)*P217</f>
        <v>-1317.8918930962452</v>
      </c>
      <c r="S217">
        <f t="shared" si="207"/>
        <v>-9.3448419147193415E-3</v>
      </c>
      <c r="AA217" s="31"/>
    </row>
    <row r="218" spans="1:27">
      <c r="A218" t="s">
        <v>50</v>
      </c>
      <c r="B218">
        <v>80.099999999999994</v>
      </c>
      <c r="C218">
        <f t="shared" si="210"/>
        <v>353.1</v>
      </c>
      <c r="D218">
        <v>-7.22</v>
      </c>
      <c r="E218">
        <v>-3.76</v>
      </c>
      <c r="F218">
        <v>-4.7</v>
      </c>
      <c r="G218">
        <v>-2.7831999999999999</v>
      </c>
      <c r="H218">
        <f t="shared" si="211"/>
        <v>39.256799999999998</v>
      </c>
      <c r="I218">
        <v>46.145400000000002</v>
      </c>
      <c r="J218">
        <f t="shared" si="212"/>
        <v>-46572.831540801744</v>
      </c>
      <c r="L218">
        <f t="shared" si="205"/>
        <v>-5.821603942600218</v>
      </c>
      <c r="P218">
        <v>1.7260000000000001E-3</v>
      </c>
      <c r="Q218" s="27">
        <f t="shared" si="206"/>
        <v>-7.015726523884058E-4</v>
      </c>
      <c r="R218" s="27">
        <f t="shared" si="213"/>
        <v>-80.384707239423818</v>
      </c>
      <c r="S218">
        <f t="shared" si="207"/>
        <v>-7.015726523884058E-4</v>
      </c>
      <c r="AA218" s="31"/>
    </row>
    <row r="219" spans="1:27">
      <c r="A219" t="s">
        <v>51</v>
      </c>
      <c r="B219">
        <v>96.6</v>
      </c>
      <c r="C219">
        <f t="shared" si="210"/>
        <v>369.6</v>
      </c>
      <c r="D219">
        <v>-7.22</v>
      </c>
      <c r="E219">
        <v>-2.73</v>
      </c>
      <c r="F219">
        <v>-5.6</v>
      </c>
      <c r="G219">
        <v>-4.0804999999999998</v>
      </c>
      <c r="H219">
        <f t="shared" si="211"/>
        <v>38.729500000000002</v>
      </c>
      <c r="I219">
        <v>44.435099999999998</v>
      </c>
      <c r="J219">
        <f t="shared" si="212"/>
        <v>-40377.296982865897</v>
      </c>
      <c r="L219">
        <f t="shared" si="205"/>
        <v>-5.0471621228582375</v>
      </c>
      <c r="P219">
        <v>1.43E-2</v>
      </c>
      <c r="Q219" s="27">
        <f t="shared" si="206"/>
        <v>-6.082431839199259E-4</v>
      </c>
      <c r="R219" s="27">
        <f t="shared" si="213"/>
        <v>-577.39534685498234</v>
      </c>
      <c r="S219">
        <f t="shared" si="207"/>
        <v>-6.082431839199259E-4</v>
      </c>
      <c r="AA219" s="31"/>
    </row>
    <row r="220" spans="1:27">
      <c r="A220" t="s">
        <v>52</v>
      </c>
      <c r="B220">
        <v>135</v>
      </c>
      <c r="C220">
        <f t="shared" si="210"/>
        <v>408</v>
      </c>
      <c r="D220">
        <v>-7.19</v>
      </c>
      <c r="E220">
        <v>-3.5977000000000001</v>
      </c>
      <c r="F220">
        <v>-2.9</v>
      </c>
      <c r="G220">
        <v>-3.7812000000000001</v>
      </c>
      <c r="H220">
        <f t="shared" si="211"/>
        <v>34.3765</v>
      </c>
      <c r="I220">
        <v>41.166800000000002</v>
      </c>
      <c r="J220">
        <f t="shared" si="212"/>
        <v>-53046.054035620815</v>
      </c>
      <c r="L220">
        <f t="shared" si="205"/>
        <v>-6.6307567544526016</v>
      </c>
      <c r="P220">
        <v>2.6210000000000001E-3</v>
      </c>
      <c r="Q220" s="27">
        <f t="shared" si="206"/>
        <v>-8.5623522804248377E-4</v>
      </c>
      <c r="R220" s="27">
        <f t="shared" si="213"/>
        <v>-139.03370762736216</v>
      </c>
      <c r="S220">
        <f t="shared" si="207"/>
        <v>-8.5623522804248377E-4</v>
      </c>
      <c r="AA220" s="31"/>
    </row>
    <row r="221" spans="1:27">
      <c r="A221" t="s">
        <v>53</v>
      </c>
      <c r="B221">
        <v>135</v>
      </c>
      <c r="C221">
        <f t="shared" si="210"/>
        <v>408</v>
      </c>
      <c r="D221">
        <v>-6.2362000000000002</v>
      </c>
      <c r="E221">
        <v>-3.1202000000000001</v>
      </c>
      <c r="F221">
        <v>-5</v>
      </c>
      <c r="G221">
        <v>-4.0387000000000004</v>
      </c>
      <c r="H221">
        <f t="shared" si="211"/>
        <v>34.026300000000006</v>
      </c>
      <c r="I221">
        <v>41.166800000000002</v>
      </c>
      <c r="J221">
        <f t="shared" si="212"/>
        <v>-55781.828320007968</v>
      </c>
      <c r="L221">
        <f t="shared" si="205"/>
        <v>-6.972728540000996</v>
      </c>
      <c r="P221">
        <v>7.5709999999999996E-3</v>
      </c>
      <c r="Q221" s="27">
        <f t="shared" si="206"/>
        <v>-8.095296377842686E-3</v>
      </c>
      <c r="R221" s="27">
        <f t="shared" si="213"/>
        <v>-422.32422221078031</v>
      </c>
      <c r="S221">
        <f t="shared" si="207"/>
        <v>-8.095296377842686E-3</v>
      </c>
      <c r="AA221" s="31"/>
    </row>
    <row r="222" spans="1:27">
      <c r="A222" s="11" t="s">
        <v>54</v>
      </c>
      <c r="B222">
        <v>20</v>
      </c>
      <c r="C222">
        <f t="shared" si="210"/>
        <v>293</v>
      </c>
      <c r="D222">
        <v>-6.4</v>
      </c>
      <c r="E222">
        <v>-2.5</v>
      </c>
      <c r="F222">
        <v>-8.02</v>
      </c>
      <c r="G222">
        <v>-8.9</v>
      </c>
      <c r="H222">
        <f>G222-F222-E222-4*D222</f>
        <v>27.22</v>
      </c>
      <c r="I222">
        <v>46.807200000000002</v>
      </c>
      <c r="J222">
        <f t="shared" si="212"/>
        <v>-109886.39763624321</v>
      </c>
      <c r="L222">
        <f t="shared" si="205"/>
        <v>-13.735799704530402</v>
      </c>
      <c r="P222">
        <v>1.8100000000000002E-2</v>
      </c>
      <c r="Q222" s="27">
        <f t="shared" si="206"/>
        <v>-1.0936640711320294E-2</v>
      </c>
      <c r="R222" s="27">
        <f t="shared" si="213"/>
        <v>-1988.9437972160024</v>
      </c>
      <c r="S222">
        <f t="shared" si="207"/>
        <v>-1.0936640711320294E-2</v>
      </c>
      <c r="X222">
        <f>LOG(ABS(S222))</f>
        <v>-1.9611160550203335</v>
      </c>
      <c r="AA222" s="31"/>
    </row>
    <row r="223" spans="1:27" ht="17">
      <c r="A223" s="14" t="s">
        <v>110</v>
      </c>
      <c r="B223" s="11"/>
      <c r="C223" s="11"/>
      <c r="G223" t="s">
        <v>57</v>
      </c>
      <c r="J223" s="1"/>
      <c r="AA223" s="31"/>
    </row>
    <row r="224" spans="1:27">
      <c r="AA224" s="31"/>
    </row>
    <row r="225" spans="1:27" ht="17">
      <c r="D225" s="7" t="s">
        <v>126</v>
      </c>
      <c r="E225" s="7"/>
      <c r="Q225" s="27" t="s">
        <v>172</v>
      </c>
      <c r="R225" s="27" t="s">
        <v>173</v>
      </c>
      <c r="S225" t="s">
        <v>174</v>
      </c>
      <c r="AA225" s="31"/>
    </row>
    <row r="226" spans="1:27" ht="17">
      <c r="A226" t="s">
        <v>23</v>
      </c>
      <c r="B226" t="s">
        <v>24</v>
      </c>
      <c r="C226" t="s">
        <v>25</v>
      </c>
      <c r="D226" t="s">
        <v>35</v>
      </c>
      <c r="E226" t="s">
        <v>29</v>
      </c>
      <c r="F226" t="s">
        <v>30</v>
      </c>
      <c r="G226" t="s">
        <v>31</v>
      </c>
      <c r="H226" t="s">
        <v>32</v>
      </c>
      <c r="J226" t="s">
        <v>33</v>
      </c>
      <c r="L226" t="s">
        <v>37</v>
      </c>
      <c r="M226" t="s">
        <v>191</v>
      </c>
      <c r="N226" s="1" t="s">
        <v>190</v>
      </c>
      <c r="Q226" s="27" t="s">
        <v>47</v>
      </c>
      <c r="R226" s="27" t="s">
        <v>47</v>
      </c>
      <c r="S226" t="s">
        <v>175</v>
      </c>
      <c r="T226" t="s">
        <v>195</v>
      </c>
      <c r="U226" t="s">
        <v>194</v>
      </c>
      <c r="V226" t="s">
        <v>200</v>
      </c>
      <c r="W226" s="1" t="s">
        <v>190</v>
      </c>
      <c r="AA226" s="31"/>
    </row>
    <row r="227" spans="1:27">
      <c r="A227" t="s">
        <v>48</v>
      </c>
      <c r="B227">
        <v>54.7</v>
      </c>
      <c r="C227">
        <f>B227+273</f>
        <v>327.7</v>
      </c>
      <c r="D227">
        <v>-7.7</v>
      </c>
      <c r="E227">
        <v>-3.2303999999999999</v>
      </c>
      <c r="F227">
        <v>-5.2</v>
      </c>
      <c r="G227">
        <f>E227-D227</f>
        <v>4.4695999999999998</v>
      </c>
      <c r="H227">
        <v>7.4340000000000002</v>
      </c>
      <c r="J227">
        <f t="shared" ref="J227:J233" si="214">-2.303*8.314*C227*(H227-G227)</f>
        <v>-18600.18244397096</v>
      </c>
      <c r="L227">
        <f t="shared" ref="L227:L233" si="215">J227/2000</f>
        <v>-9.3000912219854808</v>
      </c>
      <c r="M227">
        <f t="shared" si="196"/>
        <v>-12.411509216503006</v>
      </c>
      <c r="N227">
        <f t="shared" si="197"/>
        <v>3.6355802931313956</v>
      </c>
      <c r="Q227" s="27">
        <f t="shared" ref="Q227:Q233" si="216">(J227)*(10^D227)</f>
        <v>-3.711224308200097E-4</v>
      </c>
      <c r="R227" s="28" t="s">
        <v>177</v>
      </c>
      <c r="S227" s="23">
        <f>Q227</f>
        <v>-3.711224308200097E-4</v>
      </c>
      <c r="T227">
        <f>ABS(MIN(S227:S232))</f>
        <v>1.8630575511009662E-2</v>
      </c>
      <c r="U227">
        <f>ABS(MAX(S227:S232))</f>
        <v>3.711224308200097E-4</v>
      </c>
      <c r="V227">
        <f t="shared" ref="V227:V238" si="217">AVERAGE(LOG(T227),LOG(U227))</f>
        <v>-2.5801282625681661</v>
      </c>
      <c r="W227">
        <f t="shared" ref="W227:W238" si="218">ABS(V227-LOG(T227))</f>
        <v>0.85035453332030264</v>
      </c>
      <c r="AA227" s="31"/>
    </row>
    <row r="228" spans="1:27">
      <c r="A228" t="s">
        <v>49</v>
      </c>
      <c r="B228">
        <v>60.3</v>
      </c>
      <c r="C228">
        <f t="shared" ref="C228:C233" si="219">B228+273</f>
        <v>333.3</v>
      </c>
      <c r="D228">
        <v>-6.37</v>
      </c>
      <c r="E228">
        <v>-3.8155999999999999</v>
      </c>
      <c r="F228">
        <v>-5.2</v>
      </c>
      <c r="G228">
        <f t="shared" ref="G228:G232" si="220">E228-D228</f>
        <v>2.5544000000000002</v>
      </c>
      <c r="H228">
        <v>7.3494000000000002</v>
      </c>
      <c r="J228">
        <f t="shared" si="214"/>
        <v>-30600.454945136997</v>
      </c>
      <c r="L228">
        <f t="shared" si="215"/>
        <v>-15.300227472568498</v>
      </c>
      <c r="Q228" s="27">
        <f t="shared" si="216"/>
        <v>-1.3053527345606339E-2</v>
      </c>
      <c r="R228" s="28" t="s">
        <v>177</v>
      </c>
      <c r="S228" s="23">
        <f t="shared" ref="S228:S233" si="221">Q228</f>
        <v>-1.3053527345606339E-2</v>
      </c>
      <c r="AA228" s="31"/>
    </row>
    <row r="229" spans="1:27">
      <c r="A229" t="s">
        <v>50</v>
      </c>
      <c r="B229">
        <v>80.099999999999994</v>
      </c>
      <c r="C229">
        <f t="shared" si="219"/>
        <v>353.1</v>
      </c>
      <c r="D229">
        <v>-7.22</v>
      </c>
      <c r="E229">
        <v>-2.7831999999999999</v>
      </c>
      <c r="F229">
        <v>-4.7</v>
      </c>
      <c r="G229">
        <f t="shared" si="220"/>
        <v>4.4367999999999999</v>
      </c>
      <c r="H229">
        <v>7.0328999999999997</v>
      </c>
      <c r="J229">
        <f t="shared" si="214"/>
        <v>-17551.85784674322</v>
      </c>
      <c r="L229">
        <f t="shared" si="215"/>
        <v>-8.7759289233716107</v>
      </c>
      <c r="Q229" s="27">
        <f t="shared" si="216"/>
        <v>-1.0576040198969541E-3</v>
      </c>
      <c r="R229" s="28" t="s">
        <v>177</v>
      </c>
      <c r="S229" s="23">
        <f t="shared" si="221"/>
        <v>-1.0576040198969541E-3</v>
      </c>
      <c r="AA229" s="31"/>
    </row>
    <row r="230" spans="1:27">
      <c r="A230" t="s">
        <v>51</v>
      </c>
      <c r="B230">
        <v>96.6</v>
      </c>
      <c r="C230">
        <f t="shared" si="219"/>
        <v>369.6</v>
      </c>
      <c r="D230">
        <v>-7.22</v>
      </c>
      <c r="E230">
        <v>-4.0804999999999998</v>
      </c>
      <c r="F230">
        <v>-5.6</v>
      </c>
      <c r="G230">
        <f t="shared" si="220"/>
        <v>3.1395</v>
      </c>
      <c r="H230">
        <v>6.7878999999999996</v>
      </c>
      <c r="J230">
        <f t="shared" si="214"/>
        <v>-25818.937589786878</v>
      </c>
      <c r="L230">
        <f t="shared" si="215"/>
        <v>-12.909468794893439</v>
      </c>
      <c r="Q230" s="27">
        <f t="shared" si="216"/>
        <v>-1.5557448346981625E-3</v>
      </c>
      <c r="R230" s="28" t="s">
        <v>177</v>
      </c>
      <c r="S230" s="23">
        <f t="shared" si="221"/>
        <v>-1.5557448346981625E-3</v>
      </c>
      <c r="AA230" s="31"/>
    </row>
    <row r="231" spans="1:27">
      <c r="A231" t="s">
        <v>52</v>
      </c>
      <c r="B231">
        <v>135</v>
      </c>
      <c r="C231">
        <f t="shared" si="219"/>
        <v>408</v>
      </c>
      <c r="D231">
        <v>-7.19</v>
      </c>
      <c r="E231">
        <v>-3.7812000000000001</v>
      </c>
      <c r="F231">
        <v>-2.9</v>
      </c>
      <c r="G231">
        <f t="shared" si="220"/>
        <v>3.4088000000000003</v>
      </c>
      <c r="H231">
        <v>6.3057999999999996</v>
      </c>
      <c r="J231">
        <f t="shared" si="214"/>
        <v>-22631.462312591993</v>
      </c>
      <c r="L231">
        <f t="shared" si="215"/>
        <v>-11.315731156295996</v>
      </c>
      <c r="Q231" s="27">
        <f t="shared" si="216"/>
        <v>-1.461209935136341E-3</v>
      </c>
      <c r="R231" s="28" t="s">
        <v>177</v>
      </c>
      <c r="S231" s="23">
        <f t="shared" si="221"/>
        <v>-1.461209935136341E-3</v>
      </c>
      <c r="AA231" s="31"/>
    </row>
    <row r="232" spans="1:27">
      <c r="A232" t="s">
        <v>53</v>
      </c>
      <c r="B232">
        <v>135</v>
      </c>
      <c r="C232">
        <f t="shared" si="219"/>
        <v>408</v>
      </c>
      <c r="D232">
        <v>-6.2362000000000002</v>
      </c>
      <c r="E232">
        <v>-4.0387000000000004</v>
      </c>
      <c r="F232">
        <v>-5</v>
      </c>
      <c r="G232">
        <f t="shared" si="220"/>
        <v>2.1974999999999998</v>
      </c>
      <c r="H232">
        <v>6.3057999999999996</v>
      </c>
      <c r="J232">
        <f t="shared" si="214"/>
        <v>-32094.179019268799</v>
      </c>
      <c r="L232">
        <f t="shared" si="215"/>
        <v>-16.0470895096344</v>
      </c>
      <c r="Q232" s="27">
        <f t="shared" si="216"/>
        <v>-1.8630575511009662E-2</v>
      </c>
      <c r="R232" s="28" t="s">
        <v>177</v>
      </c>
      <c r="S232" s="23">
        <f t="shared" si="221"/>
        <v>-1.8630575511009662E-2</v>
      </c>
      <c r="AA232" s="31"/>
    </row>
    <row r="233" spans="1:27">
      <c r="A233" s="11" t="s">
        <v>54</v>
      </c>
      <c r="B233">
        <v>20</v>
      </c>
      <c r="C233">
        <f t="shared" si="219"/>
        <v>293</v>
      </c>
      <c r="D233">
        <v>-6.4</v>
      </c>
      <c r="E233">
        <v>-8.9</v>
      </c>
      <c r="F233">
        <v>-8.02</v>
      </c>
      <c r="G233">
        <f>E233+F233-D233</f>
        <v>-10.520000000000001</v>
      </c>
      <c r="H233" s="11">
        <v>1.0427</v>
      </c>
      <c r="J233" s="11">
        <f t="shared" si="214"/>
        <v>-64868.049029396207</v>
      </c>
      <c r="L233" s="11">
        <f t="shared" si="215"/>
        <v>-32.434024514698102</v>
      </c>
      <c r="Q233" s="27">
        <f t="shared" si="216"/>
        <v>-2.5824435458418386E-2</v>
      </c>
      <c r="R233" s="28" t="s">
        <v>177</v>
      </c>
      <c r="S233" s="23">
        <f t="shared" si="221"/>
        <v>-2.5824435458418386E-2</v>
      </c>
      <c r="X233">
        <f>LOG(ABS(S233))</f>
        <v>-1.5879691637085764</v>
      </c>
      <c r="AA233" s="31"/>
    </row>
    <row r="234" spans="1:27" ht="17">
      <c r="A234" s="14" t="s">
        <v>135</v>
      </c>
      <c r="E234" t="s">
        <v>57</v>
      </c>
      <c r="I234" s="1"/>
      <c r="AA234" s="31"/>
    </row>
    <row r="235" spans="1:27">
      <c r="AA235" s="31"/>
    </row>
    <row r="236" spans="1:27" ht="16">
      <c r="D236" s="7" t="s">
        <v>112</v>
      </c>
      <c r="E236" s="7"/>
      <c r="F236" s="7"/>
      <c r="H236" s="17"/>
      <c r="I236" s="17"/>
      <c r="J236" s="17"/>
      <c r="L236" s="17"/>
      <c r="Q236" s="27" t="s">
        <v>172</v>
      </c>
      <c r="R236" s="27" t="s">
        <v>173</v>
      </c>
      <c r="S236" t="s">
        <v>174</v>
      </c>
      <c r="AA236" s="31"/>
    </row>
    <row r="237" spans="1:27" ht="17">
      <c r="A237" t="s">
        <v>23</v>
      </c>
      <c r="B237" t="s">
        <v>24</v>
      </c>
      <c r="C237" t="s">
        <v>25</v>
      </c>
      <c r="D237" t="s">
        <v>35</v>
      </c>
      <c r="E237" t="s">
        <v>114</v>
      </c>
      <c r="F237" t="s">
        <v>115</v>
      </c>
      <c r="G237" t="s">
        <v>30</v>
      </c>
      <c r="H237" t="s">
        <v>116</v>
      </c>
      <c r="I237" t="s">
        <v>32</v>
      </c>
      <c r="J237" t="s">
        <v>33</v>
      </c>
      <c r="L237" t="s">
        <v>34</v>
      </c>
      <c r="M237" t="s">
        <v>191</v>
      </c>
      <c r="N237" s="1" t="s">
        <v>190</v>
      </c>
      <c r="Q237" s="27" t="s">
        <v>47</v>
      </c>
      <c r="R237" s="27" t="s">
        <v>47</v>
      </c>
      <c r="S237" t="s">
        <v>175</v>
      </c>
      <c r="T237" t="s">
        <v>195</v>
      </c>
      <c r="U237" t="s">
        <v>194</v>
      </c>
      <c r="V237" t="s">
        <v>200</v>
      </c>
      <c r="W237" s="1" t="s">
        <v>190</v>
      </c>
      <c r="AA237" s="31"/>
    </row>
    <row r="238" spans="1:27">
      <c r="A238" t="s">
        <v>48</v>
      </c>
      <c r="B238">
        <v>54.7</v>
      </c>
      <c r="C238">
        <f>B238+273</f>
        <v>327.7</v>
      </c>
      <c r="D238">
        <v>-7.7</v>
      </c>
      <c r="E238">
        <v>-3.0752000000000002</v>
      </c>
      <c r="F238">
        <v>-8.32</v>
      </c>
      <c r="G238">
        <v>-5.2</v>
      </c>
      <c r="H238">
        <f t="shared" ref="H238:H243" si="222">F238-E238-4*D238</f>
        <v>25.555199999999999</v>
      </c>
      <c r="I238">
        <v>30.157399999999999</v>
      </c>
      <c r="J238">
        <f>-2.303*8.314*C238*(I238-H238)</f>
        <v>-28876.588734193476</v>
      </c>
      <c r="L238">
        <f t="shared" ref="L238:L244" si="223">J238/8000</f>
        <v>-3.6095735917741845</v>
      </c>
      <c r="M238">
        <f>AVERAGE(MIN(L238:L243),MAX(L238:L243))</f>
        <v>-0.91067547028171703</v>
      </c>
      <c r="N238">
        <f t="shared" ref="N238:N261" si="224">ABS(MAX(L238:L243)-M238)</f>
        <v>4.4041193960367178</v>
      </c>
      <c r="Q238" s="27">
        <f t="shared" ref="Q238:Q244" si="225">(J238/4)*(10^D238)</f>
        <v>-1.4404092321547768E-4</v>
      </c>
      <c r="R238" s="27">
        <f>J238*10^E238</f>
        <v>-24.285435036524952</v>
      </c>
      <c r="S238">
        <f t="shared" ref="S238:S244" si="226">IF(Q238&gt;R238, Q238,R238)</f>
        <v>-1.4404092321547768E-4</v>
      </c>
      <c r="T238">
        <f>ABS(MIN(S238:S243))</f>
        <v>4.53436527320658E-3</v>
      </c>
      <c r="U238">
        <f>ABS(MAX(S238:S243))</f>
        <v>1.4935303923720885E-5</v>
      </c>
      <c r="V238">
        <f t="shared" si="217"/>
        <v>-3.5846347164290346</v>
      </c>
      <c r="W238">
        <f t="shared" si="218"/>
        <v>1.2411512189306575</v>
      </c>
      <c r="AA238" s="31"/>
    </row>
    <row r="239" spans="1:27">
      <c r="A239" t="s">
        <v>49</v>
      </c>
      <c r="B239">
        <v>60.3</v>
      </c>
      <c r="C239">
        <f t="shared" ref="C239:C244" si="227">B239+273</f>
        <v>333.3</v>
      </c>
      <c r="D239">
        <v>-6.37</v>
      </c>
      <c r="E239">
        <v>-2.7027000000000001</v>
      </c>
      <c r="F239">
        <v>-5.27</v>
      </c>
      <c r="G239">
        <v>-5.2</v>
      </c>
      <c r="H239">
        <f t="shared" si="222"/>
        <v>22.912700000000001</v>
      </c>
      <c r="I239">
        <v>29.575199999999999</v>
      </c>
      <c r="J239">
        <f t="shared" ref="J239:J242" si="228">-2.303*8.314*C239*(I239-H239)</f>
        <v>-42518.358930547482</v>
      </c>
      <c r="L239">
        <f t="shared" si="223"/>
        <v>-5.3147948663184348</v>
      </c>
      <c r="Q239" s="27">
        <f t="shared" si="225"/>
        <v>-4.53436527320658E-3</v>
      </c>
      <c r="R239" s="27">
        <f t="shared" ref="R239:R244" si="229">J239*10^E239</f>
        <v>-84.309496140079048</v>
      </c>
      <c r="S239">
        <f t="shared" si="226"/>
        <v>-4.53436527320658E-3</v>
      </c>
      <c r="AA239" s="31"/>
    </row>
    <row r="240" spans="1:27">
      <c r="A240" t="s">
        <v>50</v>
      </c>
      <c r="B240">
        <v>80.099999999999994</v>
      </c>
      <c r="C240">
        <f t="shared" si="227"/>
        <v>353.1</v>
      </c>
      <c r="D240">
        <v>-7.22</v>
      </c>
      <c r="E240">
        <v>-2.8500999999999999</v>
      </c>
      <c r="F240">
        <v>-8.4</v>
      </c>
      <c r="G240">
        <v>-4.7</v>
      </c>
      <c r="H240">
        <f t="shared" si="222"/>
        <v>23.330099999999998</v>
      </c>
      <c r="I240">
        <v>27.367699999999999</v>
      </c>
      <c r="J240">
        <f t="shared" si="228"/>
        <v>-27297.631540391529</v>
      </c>
      <c r="L240">
        <f t="shared" si="223"/>
        <v>-3.412203942548941</v>
      </c>
      <c r="Q240" s="27">
        <f t="shared" si="225"/>
        <v>-4.1121123904471542E-4</v>
      </c>
      <c r="R240" s="27">
        <f t="shared" si="229"/>
        <v>-38.550051930569666</v>
      </c>
      <c r="S240">
        <f t="shared" si="226"/>
        <v>-4.1121123904471542E-4</v>
      </c>
      <c r="AA240" s="31"/>
    </row>
    <row r="241" spans="1:27">
      <c r="A241" t="s">
        <v>51</v>
      </c>
      <c r="B241">
        <v>96.6</v>
      </c>
      <c r="C241">
        <f t="shared" si="227"/>
        <v>369.6</v>
      </c>
      <c r="D241">
        <v>-7.22</v>
      </c>
      <c r="E241">
        <v>-2.71</v>
      </c>
      <c r="F241">
        <v>-6.1</v>
      </c>
      <c r="G241">
        <v>-5.6</v>
      </c>
      <c r="H241">
        <f t="shared" si="222"/>
        <v>25.49</v>
      </c>
      <c r="I241">
        <v>25.630099999999999</v>
      </c>
      <c r="J241">
        <f t="shared" si="228"/>
        <v>-991.45739401632238</v>
      </c>
      <c r="L241">
        <f t="shared" si="223"/>
        <v>-0.1239321742520403</v>
      </c>
      <c r="Q241" s="27">
        <f t="shared" si="225"/>
        <v>-1.4935303923720885E-5</v>
      </c>
      <c r="R241" s="27">
        <f t="shared" si="229"/>
        <v>-1.9331878456129095</v>
      </c>
      <c r="S241">
        <f t="shared" si="226"/>
        <v>-1.4935303923720885E-5</v>
      </c>
      <c r="AA241" s="31"/>
    </row>
    <row r="242" spans="1:27">
      <c r="A242" t="s">
        <v>52</v>
      </c>
      <c r="B242">
        <v>135</v>
      </c>
      <c r="C242">
        <f t="shared" si="227"/>
        <v>408</v>
      </c>
      <c r="D242">
        <v>-7.19</v>
      </c>
      <c r="E242">
        <v>-3.0543999999999998</v>
      </c>
      <c r="F242">
        <v>-6.1</v>
      </c>
      <c r="G242">
        <v>-2.9</v>
      </c>
      <c r="H242">
        <f t="shared" si="222"/>
        <v>25.714400000000001</v>
      </c>
      <c r="I242">
        <v>22.136900000000001</v>
      </c>
      <c r="J242">
        <f t="shared" si="228"/>
        <v>27947.551406040006</v>
      </c>
      <c r="L242">
        <f t="shared" si="223"/>
        <v>3.4934439257550007</v>
      </c>
      <c r="AA242" s="31"/>
    </row>
    <row r="243" spans="1:27">
      <c r="A243" t="s">
        <v>53</v>
      </c>
      <c r="B243">
        <v>135</v>
      </c>
      <c r="C243">
        <f t="shared" si="227"/>
        <v>408</v>
      </c>
      <c r="D243">
        <v>-6.2362000000000002</v>
      </c>
      <c r="E243">
        <v>-2.6025</v>
      </c>
      <c r="F243">
        <v>-5.26</v>
      </c>
      <c r="G243">
        <v>-5</v>
      </c>
      <c r="H243">
        <f t="shared" si="222"/>
        <v>22.287300000000002</v>
      </c>
      <c r="I243">
        <v>22.136900000000001</v>
      </c>
      <c r="J243">
        <f>-2.303*8.314*C243*(I243-H243)</f>
        <v>1174.9299039744094</v>
      </c>
      <c r="L243">
        <f t="shared" si="223"/>
        <v>0.14686623799680118</v>
      </c>
      <c r="AA243" s="31"/>
    </row>
    <row r="244" spans="1:27">
      <c r="A244" s="11" t="s">
        <v>54</v>
      </c>
      <c r="B244">
        <v>20</v>
      </c>
      <c r="C244">
        <f t="shared" si="227"/>
        <v>293</v>
      </c>
      <c r="D244">
        <v>-6.4</v>
      </c>
      <c r="E244">
        <v>-3</v>
      </c>
      <c r="F244">
        <v>-6.5</v>
      </c>
      <c r="G244">
        <v>-8.02</v>
      </c>
      <c r="H244">
        <f>F244-G244-4*D244-E244</f>
        <v>30.12</v>
      </c>
      <c r="I244">
        <v>40.999699999999997</v>
      </c>
      <c r="J244">
        <f>-2.303*8.314*C244*(I244-H244)</f>
        <v>-61036.342119498178</v>
      </c>
      <c r="L244">
        <f t="shared" si="223"/>
        <v>-7.6295427649372725</v>
      </c>
      <c r="Q244" s="27">
        <f t="shared" si="225"/>
        <v>-6.0747513655321512E-3</v>
      </c>
      <c r="R244" s="27">
        <f t="shared" si="229"/>
        <v>-61.03634211949818</v>
      </c>
      <c r="S244">
        <f t="shared" si="226"/>
        <v>-6.0747513655321512E-3</v>
      </c>
      <c r="X244">
        <f>LOG(ABS(S244))</f>
        <v>-2.2164714926740361</v>
      </c>
      <c r="AA244" s="31"/>
    </row>
    <row r="245" spans="1:27" ht="17">
      <c r="A245" s="19" t="s">
        <v>124</v>
      </c>
      <c r="B245" s="11"/>
      <c r="C245" s="11"/>
      <c r="D245" t="s">
        <v>56</v>
      </c>
      <c r="J245" s="1"/>
      <c r="AA245" s="31"/>
    </row>
    <row r="246" spans="1:27">
      <c r="AA246" s="31"/>
    </row>
    <row r="247" spans="1:27" ht="17">
      <c r="D247" s="7" t="s">
        <v>170</v>
      </c>
      <c r="E247" s="7"/>
      <c r="F247" s="7"/>
      <c r="Q247" s="27" t="s">
        <v>172</v>
      </c>
      <c r="R247" s="27" t="s">
        <v>173</v>
      </c>
      <c r="S247" t="s">
        <v>174</v>
      </c>
      <c r="AA247" s="31"/>
    </row>
    <row r="248" spans="1:27" ht="16">
      <c r="A248" t="s">
        <v>23</v>
      </c>
      <c r="B248" t="s">
        <v>24</v>
      </c>
      <c r="C248" t="s">
        <v>25</v>
      </c>
      <c r="D248" t="s">
        <v>171</v>
      </c>
      <c r="E248" t="s">
        <v>46</v>
      </c>
      <c r="F248" t="s">
        <v>45</v>
      </c>
      <c r="H248" t="s">
        <v>31</v>
      </c>
      <c r="I248" t="s">
        <v>32</v>
      </c>
      <c r="J248" t="s">
        <v>33</v>
      </c>
      <c r="L248" t="s">
        <v>38</v>
      </c>
      <c r="M248" t="s">
        <v>191</v>
      </c>
      <c r="N248" s="1" t="s">
        <v>190</v>
      </c>
      <c r="Q248" s="27" t="s">
        <v>47</v>
      </c>
      <c r="R248" s="27" t="s">
        <v>47</v>
      </c>
      <c r="S248" t="s">
        <v>175</v>
      </c>
      <c r="T248" t="s">
        <v>195</v>
      </c>
      <c r="U248" t="s">
        <v>194</v>
      </c>
      <c r="V248" t="s">
        <v>200</v>
      </c>
      <c r="W248" s="1" t="s">
        <v>190</v>
      </c>
      <c r="Z248" t="s">
        <v>202</v>
      </c>
      <c r="AA248" s="31"/>
    </row>
    <row r="249" spans="1:27">
      <c r="A249" t="s">
        <v>48</v>
      </c>
      <c r="B249">
        <v>54.7</v>
      </c>
      <c r="C249">
        <f>B249+273</f>
        <v>327.7</v>
      </c>
      <c r="D249">
        <v>-7.18</v>
      </c>
      <c r="E249">
        <v>-8.32</v>
      </c>
      <c r="F249">
        <v>-8.5</v>
      </c>
      <c r="H249">
        <f t="shared" ref="H249:H255" si="230">E249-F249-3*D249</f>
        <v>21.72</v>
      </c>
      <c r="I249">
        <v>31.976500000000001</v>
      </c>
      <c r="J249">
        <f t="shared" ref="J249:J255" si="231">-2.303*8.314*C249*(I249-H249)</f>
        <v>-64354.598312167109</v>
      </c>
      <c r="L249">
        <f t="shared" ref="L249:L255" si="232">J249/6000</f>
        <v>-10.725766385361185</v>
      </c>
      <c r="M249">
        <f t="shared" si="196"/>
        <v>-5.1405006266357907</v>
      </c>
      <c r="N249">
        <f t="shared" si="224"/>
        <v>5.5852657587253951</v>
      </c>
      <c r="Q249" s="27">
        <f t="shared" ref="Q249:Q255" si="233">(J249/3)*(10^D249)</f>
        <v>-1.4172887151336466E-3</v>
      </c>
      <c r="R249" s="27">
        <f>(J249)*10^F249</f>
        <v>-2.0350710857167565E-4</v>
      </c>
      <c r="S249">
        <f t="shared" ref="S249:S255" si="234">IF(Q249&gt;R249, Q249,R249)</f>
        <v>-2.0350710857167565E-4</v>
      </c>
      <c r="T249">
        <f>ABS(MIN(S249:S254))</f>
        <v>2.0350710857167565E-4</v>
      </c>
      <c r="U249">
        <f>ABS(MAX(S249:S254))</f>
        <v>2.661606415249543E-5</v>
      </c>
      <c r="V249">
        <f t="shared" ref="V249" si="235">AVERAGE(LOG(T249),LOG(U249))</f>
        <v>-4.1331382907414769</v>
      </c>
      <c r="W249">
        <f t="shared" ref="W249" si="236">ABS(V249-LOG(T249))</f>
        <v>0.44171787461983403</v>
      </c>
      <c r="Z249" s="31">
        <f>S134+S144+S154+S166+S176+S186+S196+S216+S227+S238+S249</f>
        <v>-2.0580962097793084E-2</v>
      </c>
      <c r="AA249" s="31">
        <f t="shared" ref="AA249" si="237">-Z249</f>
        <v>2.0580962097793084E-2</v>
      </c>
    </row>
    <row r="250" spans="1:27">
      <c r="A250" t="s">
        <v>49</v>
      </c>
      <c r="B250">
        <v>60.3</v>
      </c>
      <c r="C250">
        <f t="shared" ref="C250:C255" si="238">B250+273</f>
        <v>333.3</v>
      </c>
      <c r="D250">
        <v>-5.96</v>
      </c>
      <c r="E250">
        <v>-5.27</v>
      </c>
      <c r="F250">
        <v>-8.76</v>
      </c>
      <c r="H250">
        <f t="shared" si="230"/>
        <v>21.369999999999997</v>
      </c>
      <c r="I250">
        <v>31.372299999999999</v>
      </c>
      <c r="J250">
        <f t="shared" si="231"/>
        <v>-63832.102293585784</v>
      </c>
      <c r="L250">
        <f t="shared" si="232"/>
        <v>-10.638683715597631</v>
      </c>
      <c r="Q250" s="27">
        <f t="shared" si="233"/>
        <v>-2.3330169459632694E-2</v>
      </c>
      <c r="R250" s="27">
        <f t="shared" ref="R250:R255" si="239">(J250)*10^F250</f>
        <v>-1.1092748026660812E-4</v>
      </c>
      <c r="S250">
        <f t="shared" si="234"/>
        <v>-1.1092748026660812E-4</v>
      </c>
      <c r="Z250" s="31">
        <f t="shared" ref="Z250:Z254" si="240">S135+S145+S155+S167+S177+S187+S197+S217+S228+S239+S250</f>
        <v>-0.47119684917961591</v>
      </c>
      <c r="AA250" s="31">
        <f t="shared" ref="AA250:AA254" si="241">-Z250</f>
        <v>0.47119684917961591</v>
      </c>
    </row>
    <row r="251" spans="1:27">
      <c r="A251" t="s">
        <v>50</v>
      </c>
      <c r="B251">
        <v>80.099999999999994</v>
      </c>
      <c r="C251">
        <f t="shared" si="238"/>
        <v>353.1</v>
      </c>
      <c r="D251">
        <v>-7.21</v>
      </c>
      <c r="E251">
        <v>-8.4</v>
      </c>
      <c r="F251">
        <v>-8.5</v>
      </c>
      <c r="H251">
        <f t="shared" si="230"/>
        <v>21.729999999999997</v>
      </c>
      <c r="I251">
        <v>29.088100000000001</v>
      </c>
      <c r="J251">
        <f t="shared" si="231"/>
        <v>-49747.053357775643</v>
      </c>
      <c r="L251">
        <f t="shared" si="232"/>
        <v>-8.2911755596292736</v>
      </c>
      <c r="Q251" s="27">
        <f t="shared" si="233"/>
        <v>-1.0224594819246953E-3</v>
      </c>
      <c r="R251" s="27">
        <f t="shared" si="239"/>
        <v>-1.5731399549249821E-4</v>
      </c>
      <c r="S251">
        <f t="shared" si="234"/>
        <v>-1.5731399549249821E-4</v>
      </c>
      <c r="Z251" s="31">
        <f t="shared" si="240"/>
        <v>-6.135975923911096E-2</v>
      </c>
      <c r="AA251" s="31">
        <f t="shared" si="241"/>
        <v>6.135975923911096E-2</v>
      </c>
    </row>
    <row r="252" spans="1:27">
      <c r="A252" t="s">
        <v>51</v>
      </c>
      <c r="B252">
        <v>96.6</v>
      </c>
      <c r="C252">
        <f t="shared" si="238"/>
        <v>369.6</v>
      </c>
      <c r="D252">
        <v>-7.17</v>
      </c>
      <c r="E252">
        <v>-6.1</v>
      </c>
      <c r="F252">
        <v>-8.9</v>
      </c>
      <c r="H252">
        <f t="shared" si="230"/>
        <v>24.31</v>
      </c>
      <c r="I252">
        <v>27.297499999999999</v>
      </c>
      <c r="J252">
        <f t="shared" si="231"/>
        <v>-21141.891253560007</v>
      </c>
      <c r="L252">
        <f t="shared" si="232"/>
        <v>-3.523648542260001</v>
      </c>
      <c r="Q252" s="27">
        <f t="shared" si="233"/>
        <v>-4.7645575813735089E-4</v>
      </c>
      <c r="R252" s="27">
        <f t="shared" si="239"/>
        <v>-2.661606415249543E-5</v>
      </c>
      <c r="S252">
        <f t="shared" si="234"/>
        <v>-2.661606415249543E-5</v>
      </c>
      <c r="Z252" s="31">
        <f t="shared" si="240"/>
        <v>-6.0000370496758174E-2</v>
      </c>
      <c r="AA252" s="31">
        <f t="shared" si="241"/>
        <v>6.0000370496758174E-2</v>
      </c>
    </row>
    <row r="253" spans="1:27">
      <c r="A253" t="s">
        <v>52</v>
      </c>
      <c r="B253">
        <v>135</v>
      </c>
      <c r="C253">
        <f t="shared" si="238"/>
        <v>408</v>
      </c>
      <c r="D253">
        <v>-7.12</v>
      </c>
      <c r="E253">
        <v>-6.1</v>
      </c>
      <c r="F253">
        <v>-8.8000000000000007</v>
      </c>
      <c r="H253">
        <f t="shared" si="230"/>
        <v>24.060000000000002</v>
      </c>
      <c r="I253">
        <v>23.718399999999999</v>
      </c>
      <c r="J253">
        <f t="shared" si="231"/>
        <v>2668.590792537625</v>
      </c>
      <c r="L253">
        <f t="shared" si="232"/>
        <v>0.44476513208960416</v>
      </c>
      <c r="Z253" s="31">
        <f t="shared" si="240"/>
        <v>-6.3651495969153052E-2</v>
      </c>
      <c r="AA253" s="31">
        <f t="shared" si="241"/>
        <v>6.3651495969153052E-2</v>
      </c>
    </row>
    <row r="254" spans="1:27">
      <c r="A254" t="s">
        <v>53</v>
      </c>
      <c r="B254">
        <v>135</v>
      </c>
      <c r="C254">
        <f t="shared" si="238"/>
        <v>408</v>
      </c>
      <c r="D254">
        <v>-5.33</v>
      </c>
      <c r="E254">
        <v>-5.26</v>
      </c>
      <c r="F254">
        <v>-8.76</v>
      </c>
      <c r="H254">
        <f t="shared" si="230"/>
        <v>19.490000000000002</v>
      </c>
      <c r="I254">
        <v>23.718399999999999</v>
      </c>
      <c r="J254">
        <f t="shared" si="231"/>
        <v>-33032.404294982378</v>
      </c>
      <c r="L254">
        <f t="shared" si="232"/>
        <v>-5.5054007158303966</v>
      </c>
      <c r="Q254" s="27">
        <f t="shared" si="233"/>
        <v>-5.1501387633231414E-2</v>
      </c>
      <c r="R254" s="27">
        <f t="shared" si="239"/>
        <v>-5.7403739559404716E-5</v>
      </c>
      <c r="S254">
        <f t="shared" si="234"/>
        <v>-5.7403739559404716E-5</v>
      </c>
      <c r="Z254" s="31">
        <f t="shared" si="240"/>
        <v>-0.57316391364322183</v>
      </c>
      <c r="AA254" s="31">
        <f t="shared" si="241"/>
        <v>0.57316391364322183</v>
      </c>
    </row>
    <row r="255" spans="1:27">
      <c r="A255" s="11" t="s">
        <v>54</v>
      </c>
      <c r="B255">
        <v>20</v>
      </c>
      <c r="C255">
        <f t="shared" si="238"/>
        <v>293</v>
      </c>
      <c r="D255">
        <v>-6.4</v>
      </c>
      <c r="E255">
        <v>-6.5</v>
      </c>
      <c r="F255">
        <v>-9.5</v>
      </c>
      <c r="H255">
        <f t="shared" si="230"/>
        <v>22.200000000000003</v>
      </c>
      <c r="I255">
        <v>36.633099999999999</v>
      </c>
      <c r="J255">
        <f t="shared" si="231"/>
        <v>-80971.316253658573</v>
      </c>
      <c r="L255">
        <f t="shared" si="232"/>
        <v>-13.495219375609762</v>
      </c>
      <c r="Q255" s="27">
        <f t="shared" si="233"/>
        <v>-1.0745087203245443E-2</v>
      </c>
      <c r="R255" s="27">
        <f t="shared" si="239"/>
        <v>-2.5605378450337288E-5</v>
      </c>
      <c r="S255">
        <f t="shared" si="234"/>
        <v>-2.5605378450337288E-5</v>
      </c>
      <c r="X255">
        <f>LOG(ABS(S255))</f>
        <v>-4.5916688008614726</v>
      </c>
      <c r="AA255" s="31"/>
    </row>
    <row r="256" spans="1:27">
      <c r="AA256" s="31"/>
    </row>
    <row r="257" spans="1:27" ht="16">
      <c r="D257" s="4" t="s">
        <v>6</v>
      </c>
      <c r="AA257" s="31"/>
    </row>
    <row r="258" spans="1:27">
      <c r="AA258" s="31"/>
    </row>
    <row r="259" spans="1:27" ht="17">
      <c r="D259" s="7" t="s">
        <v>16</v>
      </c>
      <c r="E259" s="7"/>
      <c r="Q259" s="27" t="s">
        <v>172</v>
      </c>
      <c r="R259" s="27" t="s">
        <v>173</v>
      </c>
      <c r="S259" t="s">
        <v>174</v>
      </c>
      <c r="AA259" s="31"/>
    </row>
    <row r="260" spans="1:27" ht="17">
      <c r="A260" t="s">
        <v>23</v>
      </c>
      <c r="B260" t="s">
        <v>24</v>
      </c>
      <c r="C260" t="s">
        <v>25</v>
      </c>
      <c r="D260" t="s">
        <v>29</v>
      </c>
      <c r="E260" t="s">
        <v>27</v>
      </c>
      <c r="F260" t="s">
        <v>36</v>
      </c>
      <c r="G260" t="s">
        <v>30</v>
      </c>
      <c r="H260" t="s">
        <v>31</v>
      </c>
      <c r="I260" t="s">
        <v>32</v>
      </c>
      <c r="K260" t="s">
        <v>33</v>
      </c>
      <c r="L260" t="s">
        <v>34</v>
      </c>
      <c r="M260" t="s">
        <v>191</v>
      </c>
      <c r="N260" s="1" t="s">
        <v>190</v>
      </c>
      <c r="O260" t="s">
        <v>176</v>
      </c>
      <c r="Q260" s="27" t="s">
        <v>47</v>
      </c>
      <c r="R260" s="27" t="s">
        <v>47</v>
      </c>
      <c r="S260" t="s">
        <v>175</v>
      </c>
      <c r="T260" t="s">
        <v>195</v>
      </c>
      <c r="U260" t="s">
        <v>194</v>
      </c>
      <c r="V260" t="s">
        <v>200</v>
      </c>
      <c r="W260" s="1" t="s">
        <v>190</v>
      </c>
      <c r="AA260" s="31"/>
    </row>
    <row r="261" spans="1:27">
      <c r="A261" t="s">
        <v>48</v>
      </c>
      <c r="B261">
        <v>54.7</v>
      </c>
      <c r="C261">
        <f>B261+273</f>
        <v>327.7</v>
      </c>
      <c r="D261">
        <v>-3.2303999999999999</v>
      </c>
      <c r="E261">
        <v>-3.0996999999999999</v>
      </c>
      <c r="F261">
        <v>-6.11</v>
      </c>
      <c r="G261">
        <v>-5.2</v>
      </c>
      <c r="H261">
        <f t="shared" ref="H261:H266" si="242">E261+2*G261-2*F261-D261</f>
        <v>1.9506999999999999</v>
      </c>
      <c r="I261">
        <v>117.5766</v>
      </c>
      <c r="K261">
        <f t="shared" ref="K261:K267" si="243">-2.303*8.314*C261*(I261-H261)</f>
        <v>-725496.84092846501</v>
      </c>
      <c r="L261">
        <f t="shared" ref="L261:L267" si="244">K261/8000</f>
        <v>-90.68710511605812</v>
      </c>
      <c r="M261">
        <f t="shared" si="196"/>
        <v>-88.139067817029186</v>
      </c>
      <c r="N261">
        <f t="shared" si="224"/>
        <v>4.0253360213299771</v>
      </c>
      <c r="Q261" s="27">
        <f>(K261)*(10^D261)</f>
        <v>-426.81092328522186</v>
      </c>
      <c r="R261" s="27">
        <f>(K261/2)*10^F261</f>
        <v>-0.28158241544697221</v>
      </c>
      <c r="S261">
        <f>IF(Q261&gt;R261, Q261,R261)</f>
        <v>-0.28158241544697221</v>
      </c>
      <c r="T261">
        <f>ABS(MIN(S261:S266))</f>
        <v>66.833486646732581</v>
      </c>
      <c r="U261">
        <f>ABS(MAX(S261:S266))</f>
        <v>0.18920250961879626</v>
      </c>
      <c r="V261">
        <f t="shared" ref="V261" si="245">AVERAGE(LOG(T261),LOG(U261))</f>
        <v>0.55096050558122567</v>
      </c>
      <c r="W261">
        <f t="shared" ref="W261" si="246">ABS(V261-LOG(T261))</f>
        <v>1.2740336129109777</v>
      </c>
      <c r="AA261" s="31"/>
    </row>
    <row r="262" spans="1:27">
      <c r="A262" t="s">
        <v>49</v>
      </c>
      <c r="B262">
        <v>60.3</v>
      </c>
      <c r="C262">
        <f t="shared" ref="C262:C267" si="247">B262+273</f>
        <v>333.3</v>
      </c>
      <c r="D262">
        <v>-3.8155999999999999</v>
      </c>
      <c r="E262">
        <v>-2.6000999999999999</v>
      </c>
      <c r="F262">
        <v>-6.22</v>
      </c>
      <c r="G262">
        <v>-5.2</v>
      </c>
      <c r="H262">
        <f t="shared" si="242"/>
        <v>3.2554999999999996</v>
      </c>
      <c r="I262">
        <v>115.4915</v>
      </c>
      <c r="K262">
        <f t="shared" si="243"/>
        <v>-716261.24321634963</v>
      </c>
      <c r="L262">
        <f t="shared" si="244"/>
        <v>-89.532655402043702</v>
      </c>
      <c r="Q262" s="27">
        <f t="shared" ref="Q262:Q266" si="248">(K262)*(10^D262)</f>
        <v>-109.51445650237224</v>
      </c>
      <c r="R262" s="27">
        <f t="shared" ref="R262:R267" si="249">(K262/2)*10^F262</f>
        <v>-0.21579503911677406</v>
      </c>
      <c r="S262">
        <f t="shared" ref="S262:S267" si="250">IF(Q262&gt;R262, Q262,R262)</f>
        <v>-0.21579503911677406</v>
      </c>
      <c r="AA262" s="31"/>
    </row>
    <row r="263" spans="1:27">
      <c r="A263" t="s">
        <v>50</v>
      </c>
      <c r="B263">
        <v>80.099999999999994</v>
      </c>
      <c r="C263">
        <f t="shared" si="247"/>
        <v>353.1</v>
      </c>
      <c r="D263">
        <v>-2.7831999999999999</v>
      </c>
      <c r="E263">
        <v>-3.76</v>
      </c>
      <c r="F263">
        <v>-4.5999999999999996</v>
      </c>
      <c r="G263">
        <v>-4.7</v>
      </c>
      <c r="H263">
        <f t="shared" si="242"/>
        <v>-1.176800000000001</v>
      </c>
      <c r="I263">
        <v>107.6609</v>
      </c>
      <c r="K263">
        <f t="shared" si="243"/>
        <v>-735835.99967893551</v>
      </c>
      <c r="L263">
        <f t="shared" si="244"/>
        <v>-91.979499959866942</v>
      </c>
      <c r="Q263" s="27">
        <f t="shared" si="248"/>
        <v>-1212.2188450320432</v>
      </c>
      <c r="R263" s="27">
        <f t="shared" si="249"/>
        <v>-9.2416823170490261</v>
      </c>
      <c r="S263">
        <f t="shared" si="250"/>
        <v>-9.2416823170490261</v>
      </c>
      <c r="AA263" s="31"/>
    </row>
    <row r="264" spans="1:27">
      <c r="A264" t="s">
        <v>51</v>
      </c>
      <c r="B264">
        <v>96.6</v>
      </c>
      <c r="C264">
        <f t="shared" si="247"/>
        <v>369.6</v>
      </c>
      <c r="D264">
        <v>-4.0804999999999998</v>
      </c>
      <c r="E264">
        <v>-2.73</v>
      </c>
      <c r="F264">
        <v>-3.62</v>
      </c>
      <c r="G264">
        <v>-5.6</v>
      </c>
      <c r="H264">
        <f t="shared" si="242"/>
        <v>-2.6094999999999997</v>
      </c>
      <c r="I264">
        <v>101.5784</v>
      </c>
      <c r="K264">
        <f t="shared" si="243"/>
        <v>-737315.23070687335</v>
      </c>
      <c r="L264">
        <f t="shared" si="244"/>
        <v>-92.164403838359164</v>
      </c>
      <c r="Q264" s="27">
        <f t="shared" si="248"/>
        <v>-61.25664474725221</v>
      </c>
      <c r="R264" s="27">
        <f t="shared" si="249"/>
        <v>-88.434802355704818</v>
      </c>
      <c r="S264">
        <f t="shared" si="250"/>
        <v>-61.25664474725221</v>
      </c>
      <c r="AA264" s="31"/>
    </row>
    <row r="265" spans="1:27">
      <c r="A265" t="s">
        <v>52</v>
      </c>
      <c r="B265">
        <v>135</v>
      </c>
      <c r="C265">
        <f t="shared" si="247"/>
        <v>408</v>
      </c>
      <c r="D265">
        <v>-3.7812000000000001</v>
      </c>
      <c r="E265">
        <v>-3.5977000000000001</v>
      </c>
      <c r="F265">
        <v>-3.71</v>
      </c>
      <c r="G265">
        <v>-2.9</v>
      </c>
      <c r="H265">
        <f t="shared" si="242"/>
        <v>1.8034999999999997</v>
      </c>
      <c r="I265">
        <v>89.556100000000001</v>
      </c>
      <c r="K265">
        <f t="shared" si="243"/>
        <v>-685526.28917223355</v>
      </c>
      <c r="L265">
        <f t="shared" si="244"/>
        <v>-85.690786146529192</v>
      </c>
      <c r="Q265" s="27">
        <f t="shared" si="248"/>
        <v>-113.45512383024283</v>
      </c>
      <c r="R265" s="27">
        <f t="shared" si="249"/>
        <v>-66.833486646732581</v>
      </c>
      <c r="S265">
        <f t="shared" si="250"/>
        <v>-66.833486646732581</v>
      </c>
      <c r="AA265" s="31"/>
    </row>
    <row r="266" spans="1:27">
      <c r="A266" t="s">
        <v>53</v>
      </c>
      <c r="B266">
        <v>135</v>
      </c>
      <c r="C266">
        <f t="shared" si="247"/>
        <v>408</v>
      </c>
      <c r="D266">
        <v>-4.0387000000000004</v>
      </c>
      <c r="E266">
        <v>-3.1202000000000001</v>
      </c>
      <c r="F266">
        <v>-6.25</v>
      </c>
      <c r="G266">
        <v>-5</v>
      </c>
      <c r="H266">
        <f t="shared" si="242"/>
        <v>3.4184999999999999</v>
      </c>
      <c r="I266">
        <v>89.556100000000001</v>
      </c>
      <c r="K266">
        <f t="shared" si="243"/>
        <v>-672909.85436559364</v>
      </c>
      <c r="L266">
        <f t="shared" si="244"/>
        <v>-84.113731795699209</v>
      </c>
      <c r="Q266" s="27">
        <f t="shared" si="248"/>
        <v>-61.554086192998632</v>
      </c>
      <c r="R266" s="27">
        <f t="shared" si="249"/>
        <v>-0.18920250961879626</v>
      </c>
      <c r="S266">
        <f t="shared" si="250"/>
        <v>-0.18920250961879626</v>
      </c>
      <c r="AA266" s="31"/>
    </row>
    <row r="267" spans="1:27">
      <c r="A267" s="11" t="s">
        <v>54</v>
      </c>
      <c r="B267">
        <v>20</v>
      </c>
      <c r="C267">
        <f t="shared" si="247"/>
        <v>293</v>
      </c>
      <c r="D267">
        <v>-8.9</v>
      </c>
      <c r="E267">
        <v>-2.5</v>
      </c>
      <c r="F267">
        <v>-3.6</v>
      </c>
      <c r="G267">
        <v>-8.02</v>
      </c>
      <c r="H267">
        <f>E267+G267-D267-2*F267</f>
        <v>5.580000000000001</v>
      </c>
      <c r="I267">
        <v>140.9093</v>
      </c>
      <c r="K267">
        <f t="shared" si="243"/>
        <v>-759212.61189115571</v>
      </c>
      <c r="L267">
        <f t="shared" si="244"/>
        <v>-94.901576486394461</v>
      </c>
      <c r="O267" s="23">
        <v>1.848E-9</v>
      </c>
      <c r="Q267" s="27">
        <f>(K267)*O267</f>
        <v>-1.4030249067748558E-3</v>
      </c>
      <c r="R267" s="27">
        <f t="shared" si="249"/>
        <v>-95.352792922017045</v>
      </c>
      <c r="S267">
        <f t="shared" si="250"/>
        <v>-1.4030249067748558E-3</v>
      </c>
      <c r="X267">
        <f>LOG(ABS(S267))</f>
        <v>-2.8529346192219114</v>
      </c>
      <c r="AA267" s="31"/>
    </row>
    <row r="268" spans="1:27" ht="17">
      <c r="A268" s="14" t="s">
        <v>58</v>
      </c>
      <c r="B268" s="11"/>
      <c r="D268" t="s">
        <v>57</v>
      </c>
      <c r="AA268" s="31"/>
    </row>
    <row r="269" spans="1:27">
      <c r="J269" s="15"/>
      <c r="AA269" s="31"/>
    </row>
    <row r="270" spans="1:27" ht="17">
      <c r="D270" s="7" t="s">
        <v>87</v>
      </c>
      <c r="E270" s="7"/>
      <c r="F270" s="7"/>
      <c r="G270" s="7"/>
      <c r="Q270" s="27" t="s">
        <v>172</v>
      </c>
      <c r="R270" s="27" t="s">
        <v>173</v>
      </c>
      <c r="S270" t="s">
        <v>174</v>
      </c>
      <c r="AA270" s="31"/>
    </row>
    <row r="271" spans="1:27" ht="17">
      <c r="A271" t="s">
        <v>23</v>
      </c>
      <c r="B271" t="s">
        <v>24</v>
      </c>
      <c r="C271" t="s">
        <v>25</v>
      </c>
      <c r="D271" t="s">
        <v>29</v>
      </c>
      <c r="E271" t="s">
        <v>67</v>
      </c>
      <c r="F271" t="s">
        <v>30</v>
      </c>
      <c r="G271" t="s">
        <v>27</v>
      </c>
      <c r="H271" t="s">
        <v>68</v>
      </c>
      <c r="I271" t="s">
        <v>31</v>
      </c>
      <c r="J271" t="s">
        <v>32</v>
      </c>
      <c r="K271" t="s">
        <v>33</v>
      </c>
      <c r="L271" t="s">
        <v>69</v>
      </c>
      <c r="M271" t="s">
        <v>191</v>
      </c>
      <c r="N271" s="1" t="s">
        <v>190</v>
      </c>
      <c r="O271" t="s">
        <v>176</v>
      </c>
      <c r="P271" t="s">
        <v>178</v>
      </c>
      <c r="Q271" s="27" t="s">
        <v>47</v>
      </c>
      <c r="R271" s="27" t="s">
        <v>47</v>
      </c>
      <c r="S271" t="s">
        <v>175</v>
      </c>
      <c r="V271" t="s">
        <v>200</v>
      </c>
      <c r="W271" s="1" t="s">
        <v>190</v>
      </c>
      <c r="AA271" s="31"/>
    </row>
    <row r="272" spans="1:27">
      <c r="A272" t="s">
        <v>48</v>
      </c>
      <c r="B272">
        <v>54.7</v>
      </c>
      <c r="C272">
        <f>B272+273</f>
        <v>327.7</v>
      </c>
      <c r="D272">
        <v>-3.2303999999999999</v>
      </c>
      <c r="E272">
        <v>-4.7778</v>
      </c>
      <c r="F272">
        <v>-5.2</v>
      </c>
      <c r="G272">
        <v>-3.0996999999999999</v>
      </c>
      <c r="H272">
        <v>-5.6195000000000004</v>
      </c>
      <c r="I272">
        <f>2*F272+4*H272+5*G272-5*D272-8*E272</f>
        <v>5.9979000000000013</v>
      </c>
      <c r="J272">
        <v>563.39949999999999</v>
      </c>
      <c r="K272">
        <f>-2.303*8.314*C272*(J272-I272)</f>
        <v>-3497426.6140066534</v>
      </c>
      <c r="L272">
        <f t="shared" ref="L272:L278" si="251">K272/40000</f>
        <v>-87.435665350166332</v>
      </c>
      <c r="M272">
        <f t="shared" ref="M272:M319" si="252">AVERAGE(MIN(L272:L277),MAX(L272:L277))</f>
        <v>-85.719704077485204</v>
      </c>
      <c r="N272">
        <f t="shared" ref="N272:N295" si="253">ABS(MAX(L272:L277)-M272)</f>
        <v>1.8396497468965975</v>
      </c>
      <c r="P272" s="23">
        <v>2.8059999999999999E-5</v>
      </c>
      <c r="Q272" s="27">
        <f>(K272/5)*10^D272</f>
        <v>-411.50830659334963</v>
      </c>
      <c r="R272" s="27">
        <f>(K272/8)*P272</f>
        <v>-12.267223848628337</v>
      </c>
      <c r="S272">
        <f t="shared" ref="S272:S278" si="254">IF(Q272&gt;R272, Q272,R272)</f>
        <v>-12.267223848628337</v>
      </c>
      <c r="T272">
        <f t="shared" ref="T272" si="255">ABS(MIN(S272:S277))</f>
        <v>48.726592700405703</v>
      </c>
      <c r="U272">
        <f t="shared" ref="U272" si="256">ABS(MAX(S272:S277))</f>
        <v>12.09821641312911</v>
      </c>
      <c r="V272">
        <f t="shared" ref="V272" si="257">AVERAGE(LOG(T272),LOG(U272))</f>
        <v>1.3852436962424863</v>
      </c>
      <c r="W272">
        <f t="shared" ref="W272" si="258">ABS(V272-LOG(T272))</f>
        <v>0.30252234733358141</v>
      </c>
      <c r="AA272" s="31"/>
    </row>
    <row r="273" spans="1:27">
      <c r="A273" t="s">
        <v>49</v>
      </c>
      <c r="B273">
        <v>60.3</v>
      </c>
      <c r="C273">
        <f t="shared" ref="C273:C278" si="259">B273+273</f>
        <v>333.3</v>
      </c>
      <c r="D273">
        <v>-3.8155999999999999</v>
      </c>
      <c r="E273">
        <v>-4.7697000000000003</v>
      </c>
      <c r="F273">
        <v>-5.2</v>
      </c>
      <c r="G273">
        <v>-2.6000999999999999</v>
      </c>
      <c r="H273">
        <v>-5.8804999999999996</v>
      </c>
      <c r="I273">
        <f t="shared" ref="I273:I277" si="260">2*F273+4*H273+5*G273-5*D273-8*E273</f>
        <v>10.313100000000002</v>
      </c>
      <c r="J273">
        <v>554.09349999999995</v>
      </c>
      <c r="K273">
        <f t="shared" ref="K273:K278" si="261">-2.303*8.314*C273*(J273-I273)</f>
        <v>-3470266.4505210789</v>
      </c>
      <c r="L273">
        <f t="shared" si="251"/>
        <v>-86.75666126302697</v>
      </c>
      <c r="P273" s="23">
        <v>2.7889999999999999E-5</v>
      </c>
      <c r="Q273" s="27">
        <f t="shared" ref="Q273:Q277" si="262">(K273/5)*10^D273</f>
        <v>-106.11891899683268</v>
      </c>
      <c r="R273" s="27">
        <f t="shared" ref="R273:R278" si="263">(K273/8)*P273</f>
        <v>-12.09821641312911</v>
      </c>
      <c r="S273">
        <f t="shared" si="254"/>
        <v>-12.09821641312911</v>
      </c>
      <c r="AA273" s="31"/>
    </row>
    <row r="274" spans="1:27">
      <c r="A274" t="s">
        <v>50</v>
      </c>
      <c r="B274">
        <v>80.099999999999994</v>
      </c>
      <c r="C274">
        <f t="shared" si="259"/>
        <v>353.1</v>
      </c>
      <c r="D274">
        <v>-2.7831999999999999</v>
      </c>
      <c r="E274">
        <v>-4.7794999999999996</v>
      </c>
      <c r="F274">
        <v>-4.7</v>
      </c>
      <c r="G274">
        <v>-3.76</v>
      </c>
      <c r="H274">
        <v>-5.63</v>
      </c>
      <c r="I274">
        <f t="shared" si="260"/>
        <v>1.4319999999999951</v>
      </c>
      <c r="J274">
        <v>519.46910000000003</v>
      </c>
      <c r="K274">
        <f t="shared" si="261"/>
        <v>-3502374.1529752715</v>
      </c>
      <c r="L274">
        <f t="shared" si="251"/>
        <v>-87.559353824381787</v>
      </c>
      <c r="P274" s="23">
        <v>2.8920000000000001E-5</v>
      </c>
      <c r="Q274" s="27">
        <f>(K274/5)*10^D274</f>
        <v>-1153.9647292174479</v>
      </c>
      <c r="R274" s="27">
        <f t="shared" si="263"/>
        <v>-12.661082563005607</v>
      </c>
      <c r="S274">
        <f t="shared" si="254"/>
        <v>-12.661082563005607</v>
      </c>
      <c r="AA274" s="31"/>
    </row>
    <row r="275" spans="1:27">
      <c r="A275" t="s">
        <v>51</v>
      </c>
      <c r="B275">
        <v>96.6</v>
      </c>
      <c r="C275">
        <f t="shared" si="259"/>
        <v>369.6</v>
      </c>
      <c r="D275">
        <v>-4.0804999999999998</v>
      </c>
      <c r="E275">
        <v>-4.6773999999999996</v>
      </c>
      <c r="F275">
        <v>-5.6</v>
      </c>
      <c r="G275">
        <v>-2.73</v>
      </c>
      <c r="H275">
        <v>-5.718</v>
      </c>
      <c r="I275">
        <f t="shared" si="260"/>
        <v>10.099699999999995</v>
      </c>
      <c r="J275">
        <v>492.93920000000003</v>
      </c>
      <c r="K275">
        <f t="shared" si="261"/>
        <v>-3416950.695204447</v>
      </c>
      <c r="L275">
        <f t="shared" si="251"/>
        <v>-85.423767380111173</v>
      </c>
      <c r="P275" s="23">
        <v>3.6059999999999997E-5</v>
      </c>
      <c r="Q275" s="27">
        <f t="shared" si="262"/>
        <v>-56.776511900980609</v>
      </c>
      <c r="R275" s="27">
        <f t="shared" si="263"/>
        <v>-15.401905258634043</v>
      </c>
      <c r="S275">
        <f t="shared" si="254"/>
        <v>-15.401905258634043</v>
      </c>
      <c r="AA275" s="31"/>
    </row>
    <row r="276" spans="1:27">
      <c r="A276" t="s">
        <v>52</v>
      </c>
      <c r="B276">
        <v>135</v>
      </c>
      <c r="C276">
        <f t="shared" si="259"/>
        <v>408</v>
      </c>
      <c r="D276">
        <v>-3.7812000000000001</v>
      </c>
      <c r="E276">
        <v>-4.2153</v>
      </c>
      <c r="F276">
        <v>-2.9</v>
      </c>
      <c r="G276">
        <v>-3.5977000000000001</v>
      </c>
      <c r="H276">
        <v>-5.5933999999999999</v>
      </c>
      <c r="I276">
        <f t="shared" si="260"/>
        <v>6.4662999999999968</v>
      </c>
      <c r="J276">
        <v>441.50560000000002</v>
      </c>
      <c r="K276">
        <f t="shared" si="261"/>
        <v>-3398541.7750936849</v>
      </c>
      <c r="L276">
        <f t="shared" si="251"/>
        <v>-84.963544377342117</v>
      </c>
      <c r="P276">
        <v>1.147E-4</v>
      </c>
      <c r="Q276" s="27">
        <f t="shared" si="262"/>
        <v>-112.49225128947101</v>
      </c>
      <c r="R276" s="27">
        <f t="shared" si="263"/>
        <v>-48.726592700405703</v>
      </c>
      <c r="S276">
        <f t="shared" si="254"/>
        <v>-48.726592700405703</v>
      </c>
      <c r="AA276" s="31"/>
    </row>
    <row r="277" spans="1:27">
      <c r="A277" t="s">
        <v>53</v>
      </c>
      <c r="B277">
        <v>135</v>
      </c>
      <c r="C277">
        <f t="shared" si="259"/>
        <v>408</v>
      </c>
      <c r="D277">
        <v>-4.0387000000000004</v>
      </c>
      <c r="E277">
        <v>-4.7927</v>
      </c>
      <c r="F277">
        <v>-5</v>
      </c>
      <c r="G277">
        <v>-3.1202000000000001</v>
      </c>
      <c r="H277">
        <v>-5.23</v>
      </c>
      <c r="I277">
        <f t="shared" si="260"/>
        <v>12.014099999999999</v>
      </c>
      <c r="J277">
        <v>441.50560000000002</v>
      </c>
      <c r="K277">
        <f t="shared" si="261"/>
        <v>-3355202.1732235444</v>
      </c>
      <c r="L277">
        <f t="shared" si="251"/>
        <v>-83.880054330588607</v>
      </c>
      <c r="P277" s="23">
        <v>2.9649999999999999E-5</v>
      </c>
      <c r="Q277" s="27">
        <f t="shared" si="262"/>
        <v>-61.383081976187576</v>
      </c>
      <c r="R277" s="27">
        <f t="shared" si="263"/>
        <v>-12.435218054509761</v>
      </c>
      <c r="S277">
        <f t="shared" si="254"/>
        <v>-12.435218054509761</v>
      </c>
      <c r="AA277" s="31"/>
    </row>
    <row r="278" spans="1:27">
      <c r="A278" s="11" t="s">
        <v>54</v>
      </c>
      <c r="B278">
        <v>20</v>
      </c>
      <c r="C278">
        <f t="shared" si="259"/>
        <v>293</v>
      </c>
      <c r="D278">
        <v>-8.9</v>
      </c>
      <c r="E278">
        <v>-5.3</v>
      </c>
      <c r="F278">
        <v>-8.02</v>
      </c>
      <c r="G278">
        <v>-2.5</v>
      </c>
      <c r="H278">
        <v>-3.1</v>
      </c>
      <c r="I278">
        <f>4*H278+5*G278-5*D278-8*E278-3*F278</f>
        <v>86.06</v>
      </c>
      <c r="J278">
        <v>672.57860000000005</v>
      </c>
      <c r="K278">
        <f t="shared" si="261"/>
        <v>-3290435.391513472</v>
      </c>
      <c r="L278">
        <f t="shared" si="251"/>
        <v>-82.260884787836801</v>
      </c>
      <c r="O278" s="23">
        <v>1.848E-9</v>
      </c>
      <c r="P278" s="23">
        <v>7.9170000000000006E-6</v>
      </c>
      <c r="Q278" s="27">
        <f>(K278/5)*O278</f>
        <v>-1.2161449207033792E-3</v>
      </c>
      <c r="R278" s="27">
        <f t="shared" si="263"/>
        <v>-3.2562971243265197</v>
      </c>
      <c r="S278">
        <f t="shared" si="254"/>
        <v>-1.2161449207033792E-3</v>
      </c>
      <c r="X278">
        <f>LOG(ABS(S278))</f>
        <v>-2.915014669708305</v>
      </c>
      <c r="AA278" s="31"/>
    </row>
    <row r="279" spans="1:27" ht="16">
      <c r="D279" t="s">
        <v>57</v>
      </c>
      <c r="K279" s="15"/>
      <c r="AA279" s="31"/>
    </row>
    <row r="280" spans="1:27" ht="17">
      <c r="A280" s="14" t="s">
        <v>99</v>
      </c>
      <c r="B280" s="11"/>
      <c r="C280" s="11"/>
      <c r="D280" s="11"/>
      <c r="K280" s="15"/>
      <c r="AA280" s="31"/>
    </row>
    <row r="281" spans="1:27">
      <c r="AA281" s="31"/>
    </row>
    <row r="282" spans="1:27" ht="17">
      <c r="D282" s="7" t="s">
        <v>117</v>
      </c>
      <c r="E282" s="7"/>
      <c r="F282" s="7"/>
      <c r="G282" s="18"/>
      <c r="Q282" s="27" t="s">
        <v>172</v>
      </c>
      <c r="R282" s="27" t="s">
        <v>173</v>
      </c>
      <c r="S282" t="s">
        <v>174</v>
      </c>
      <c r="AA282" s="31"/>
    </row>
    <row r="283" spans="1:27" ht="17">
      <c r="A283" t="s">
        <v>23</v>
      </c>
      <c r="B283" t="s">
        <v>24</v>
      </c>
      <c r="C283" t="s">
        <v>25</v>
      </c>
      <c r="D283" t="s">
        <v>29</v>
      </c>
      <c r="E283" t="s">
        <v>67</v>
      </c>
      <c r="F283" t="s">
        <v>30</v>
      </c>
      <c r="G283" t="s">
        <v>27</v>
      </c>
      <c r="H283" t="s">
        <v>104</v>
      </c>
      <c r="I283" t="s">
        <v>31</v>
      </c>
      <c r="J283" t="s">
        <v>32</v>
      </c>
      <c r="K283" t="s">
        <v>33</v>
      </c>
      <c r="L283" t="s">
        <v>34</v>
      </c>
      <c r="M283" t="s">
        <v>191</v>
      </c>
      <c r="N283" s="1" t="s">
        <v>190</v>
      </c>
      <c r="O283" t="s">
        <v>176</v>
      </c>
      <c r="P283" t="s">
        <v>178</v>
      </c>
      <c r="Q283" s="27" t="s">
        <v>47</v>
      </c>
      <c r="R283" s="27" t="s">
        <v>47</v>
      </c>
      <c r="S283" t="s">
        <v>175</v>
      </c>
      <c r="T283" t="s">
        <v>195</v>
      </c>
      <c r="U283" t="s">
        <v>194</v>
      </c>
      <c r="V283" t="s">
        <v>200</v>
      </c>
      <c r="W283" s="1" t="s">
        <v>190</v>
      </c>
      <c r="AA283" s="31"/>
    </row>
    <row r="284" spans="1:27">
      <c r="A284" t="s">
        <v>48</v>
      </c>
      <c r="B284">
        <v>54.7</v>
      </c>
      <c r="C284">
        <f>B284+273</f>
        <v>327.7</v>
      </c>
      <c r="D284">
        <v>-3.2303999999999999</v>
      </c>
      <c r="E284">
        <v>-4.7778</v>
      </c>
      <c r="F284">
        <v>-5.2</v>
      </c>
      <c r="G284">
        <v>-3.0996999999999999</v>
      </c>
      <c r="H284">
        <v>-3.0034000000000001</v>
      </c>
      <c r="I284">
        <f>H284+G284-D284-E284</f>
        <v>1.9051000000000005</v>
      </c>
      <c r="J284">
        <v>70.132300000000001</v>
      </c>
      <c r="K284">
        <f>-2.303*8.314*C284*(J284-I284)</f>
        <v>-428092.8240592684</v>
      </c>
      <c r="L284">
        <f t="shared" ref="L284:L290" si="264">K284/8000</f>
        <v>-53.511603007408553</v>
      </c>
      <c r="M284">
        <f t="shared" si="252"/>
        <v>-52.043111228475773</v>
      </c>
      <c r="N284">
        <f t="shared" si="253"/>
        <v>1.4684917789327798</v>
      </c>
      <c r="P284" s="23">
        <v>2.8059999999999999E-5</v>
      </c>
      <c r="Q284" s="27">
        <f>(K284)*(10^D284)</f>
        <v>-251.84767621411365</v>
      </c>
      <c r="R284" s="27">
        <f>(K284)*P284</f>
        <v>-12.012284643103071</v>
      </c>
      <c r="S284">
        <f t="shared" ref="S284:S290" si="265">IF(Q284&gt;R284, Q284,R284)</f>
        <v>-12.012284643103071</v>
      </c>
      <c r="T284">
        <f>ABS(MIN(S284:S289))</f>
        <v>46.719272036734949</v>
      </c>
      <c r="U284">
        <f>ABS(MAX(S284:S289))</f>
        <v>11.901247324966473</v>
      </c>
      <c r="V284">
        <f t="shared" ref="V284" si="266">AVERAGE(LOG(T284),LOG(U284))</f>
        <v>1.3725442738410969</v>
      </c>
      <c r="W284">
        <f t="shared" ref="W284" si="267">ABS(V284-LOG(T284))</f>
        <v>0.29695179329209687</v>
      </c>
      <c r="AA284" s="31"/>
    </row>
    <row r="285" spans="1:27">
      <c r="A285" t="s">
        <v>49</v>
      </c>
      <c r="B285">
        <v>60.3</v>
      </c>
      <c r="C285">
        <f t="shared" ref="C285:C290" si="268">B285+273</f>
        <v>333.3</v>
      </c>
      <c r="D285">
        <v>-3.8155999999999999</v>
      </c>
      <c r="E285">
        <v>-4.7697000000000003</v>
      </c>
      <c r="F285">
        <v>-5.2</v>
      </c>
      <c r="G285">
        <v>-2.6000999999999999</v>
      </c>
      <c r="H285">
        <v>-3.9658000000000002</v>
      </c>
      <c r="I285">
        <f t="shared" ref="I285:I289" si="269">H285+G285-D285-E285</f>
        <v>2.0194000000000001</v>
      </c>
      <c r="J285">
        <v>68.885300000000001</v>
      </c>
      <c r="K285">
        <f t="shared" ref="K285:K288" si="270">-2.303*8.314*C285*(J285-I285)</f>
        <v>-426720.9510565247</v>
      </c>
      <c r="L285">
        <f t="shared" si="264"/>
        <v>-53.340118882065589</v>
      </c>
      <c r="P285" s="23">
        <v>2.7889999999999999E-5</v>
      </c>
      <c r="Q285" s="27">
        <f t="shared" ref="Q285:Q289" si="271">(K285)*(10^D285)</f>
        <v>-65.24450886562218</v>
      </c>
      <c r="R285" s="27">
        <f t="shared" ref="R285:R290" si="272">(K285)*P285</f>
        <v>-11.901247324966473</v>
      </c>
      <c r="S285">
        <f t="shared" si="265"/>
        <v>-11.901247324966473</v>
      </c>
      <c r="AA285" s="31"/>
    </row>
    <row r="286" spans="1:27">
      <c r="A286" t="s">
        <v>50</v>
      </c>
      <c r="B286">
        <v>80.099999999999994</v>
      </c>
      <c r="C286">
        <f t="shared" si="268"/>
        <v>353.1</v>
      </c>
      <c r="D286">
        <v>-2.7831999999999999</v>
      </c>
      <c r="E286">
        <v>-4.7794999999999996</v>
      </c>
      <c r="F286">
        <v>-4.7</v>
      </c>
      <c r="G286">
        <v>-3.76</v>
      </c>
      <c r="H286">
        <v>-2.7109000000000001</v>
      </c>
      <c r="I286">
        <f t="shared" si="269"/>
        <v>1.0917999999999992</v>
      </c>
      <c r="J286">
        <v>64.215699999999998</v>
      </c>
      <c r="K286">
        <f t="shared" si="270"/>
        <v>-426771.58797120076</v>
      </c>
      <c r="L286">
        <f t="shared" si="264"/>
        <v>-53.346448496400093</v>
      </c>
      <c r="P286" s="23">
        <v>2.8920000000000001E-5</v>
      </c>
      <c r="Q286" s="27">
        <f t="shared" si="271"/>
        <v>-703.06503308980427</v>
      </c>
      <c r="R286" s="27">
        <f t="shared" si="272"/>
        <v>-12.342234324127126</v>
      </c>
      <c r="S286">
        <f t="shared" si="265"/>
        <v>-12.342234324127126</v>
      </c>
      <c r="AA286" s="31"/>
    </row>
    <row r="287" spans="1:27">
      <c r="A287" t="s">
        <v>51</v>
      </c>
      <c r="B287">
        <v>96.6</v>
      </c>
      <c r="C287">
        <f t="shared" si="268"/>
        <v>369.6</v>
      </c>
      <c r="D287">
        <v>-4.0804999999999998</v>
      </c>
      <c r="E287">
        <v>-4.6773999999999996</v>
      </c>
      <c r="F287">
        <v>-5.6</v>
      </c>
      <c r="G287">
        <v>-2.73</v>
      </c>
      <c r="H287">
        <v>-5.7118000000000002</v>
      </c>
      <c r="I287">
        <f t="shared" si="269"/>
        <v>0.31609999999999872</v>
      </c>
      <c r="J287">
        <v>60.603900000000003</v>
      </c>
      <c r="K287">
        <f t="shared" si="270"/>
        <v>-426643.71933602501</v>
      </c>
      <c r="L287">
        <f t="shared" si="264"/>
        <v>-53.330464917003127</v>
      </c>
      <c r="P287" s="23">
        <v>3.6059999999999997E-5</v>
      </c>
      <c r="Q287" s="27">
        <f t="shared" si="271"/>
        <v>-35.445846851634329</v>
      </c>
      <c r="R287" s="27">
        <f t="shared" si="272"/>
        <v>-15.38477251925706</v>
      </c>
      <c r="S287">
        <f t="shared" si="265"/>
        <v>-15.38477251925706</v>
      </c>
      <c r="AA287" s="31"/>
    </row>
    <row r="288" spans="1:27">
      <c r="A288" t="s">
        <v>52</v>
      </c>
      <c r="B288">
        <v>135</v>
      </c>
      <c r="C288">
        <f t="shared" si="268"/>
        <v>408</v>
      </c>
      <c r="D288">
        <v>-3.7812000000000001</v>
      </c>
      <c r="E288">
        <v>-4.2153</v>
      </c>
      <c r="F288">
        <v>-2.9</v>
      </c>
      <c r="G288">
        <v>-3.5977000000000001</v>
      </c>
      <c r="H288">
        <v>-3.0333999999999999</v>
      </c>
      <c r="I288">
        <f t="shared" si="269"/>
        <v>1.3654000000000002</v>
      </c>
      <c r="J288">
        <v>53.505099999999999</v>
      </c>
      <c r="K288">
        <f t="shared" si="270"/>
        <v>-407317.1058128592</v>
      </c>
      <c r="L288">
        <f t="shared" si="264"/>
        <v>-50.914638226607401</v>
      </c>
      <c r="P288">
        <v>1.147E-4</v>
      </c>
      <c r="Q288" s="27">
        <f t="shared" si="271"/>
        <v>-67.411291744879492</v>
      </c>
      <c r="R288" s="27">
        <f t="shared" si="272"/>
        <v>-46.719272036734949</v>
      </c>
      <c r="S288">
        <f t="shared" si="265"/>
        <v>-46.719272036734949</v>
      </c>
      <c r="AA288" s="31"/>
    </row>
    <row r="289" spans="1:27">
      <c r="A289" t="s">
        <v>53</v>
      </c>
      <c r="B289">
        <v>135</v>
      </c>
      <c r="C289">
        <f t="shared" si="268"/>
        <v>408</v>
      </c>
      <c r="D289">
        <v>-4.0387000000000004</v>
      </c>
      <c r="E289">
        <v>-4.7927</v>
      </c>
      <c r="F289">
        <v>-5</v>
      </c>
      <c r="G289">
        <v>-3.1202000000000001</v>
      </c>
      <c r="H289">
        <v>-3.9975999999999998</v>
      </c>
      <c r="I289">
        <f t="shared" si="269"/>
        <v>1.7136000000000005</v>
      </c>
      <c r="J289">
        <v>53.505099999999999</v>
      </c>
      <c r="K289">
        <f>-2.303*8.314*C289*(J289-I289)</f>
        <v>-404596.95559634396</v>
      </c>
      <c r="L289">
        <f t="shared" si="264"/>
        <v>-50.574619449542993</v>
      </c>
      <c r="P289" s="23">
        <v>2.9649999999999999E-5</v>
      </c>
      <c r="Q289" s="27">
        <f t="shared" si="271"/>
        <v>-37.010300438654994</v>
      </c>
      <c r="R289" s="27">
        <f t="shared" si="272"/>
        <v>-11.996299733431599</v>
      </c>
      <c r="S289">
        <f t="shared" si="265"/>
        <v>-11.996299733431599</v>
      </c>
      <c r="AA289" s="31"/>
    </row>
    <row r="290" spans="1:27">
      <c r="A290" s="11" t="s">
        <v>54</v>
      </c>
      <c r="B290">
        <v>20</v>
      </c>
      <c r="C290">
        <f t="shared" si="268"/>
        <v>293</v>
      </c>
      <c r="D290">
        <v>-8.9</v>
      </c>
      <c r="E290">
        <v>-5.3</v>
      </c>
      <c r="F290">
        <v>-8.02</v>
      </c>
      <c r="G290">
        <v>-2.5</v>
      </c>
      <c r="H290">
        <v>-6.5</v>
      </c>
      <c r="I290">
        <f>H290+G290-D290-E290-F290</f>
        <v>13.219999999999999</v>
      </c>
      <c r="J290">
        <v>86.978099999999998</v>
      </c>
      <c r="K290">
        <f>-2.303*8.314*C290*(J290-I290)</f>
        <v>-413791.24660460855</v>
      </c>
      <c r="L290">
        <f t="shared" si="264"/>
        <v>-51.723905825576068</v>
      </c>
      <c r="O290" s="23">
        <v>1.848E-9</v>
      </c>
      <c r="P290" s="23">
        <v>7.9170000000000006E-6</v>
      </c>
      <c r="Q290" s="27">
        <f>(K290)*O290</f>
        <v>-7.6468622372531658E-4</v>
      </c>
      <c r="R290" s="27">
        <f t="shared" si="272"/>
        <v>-3.2759852993686862</v>
      </c>
      <c r="S290">
        <f t="shared" si="265"/>
        <v>-7.6468622372531658E-4</v>
      </c>
      <c r="X290">
        <f>LOG(ABS(S290))</f>
        <v>-3.116516733812599</v>
      </c>
      <c r="AA290" s="31"/>
    </row>
    <row r="291" spans="1:27" ht="17">
      <c r="A291" s="14" t="s">
        <v>125</v>
      </c>
      <c r="B291" s="14"/>
      <c r="C291" s="14"/>
      <c r="D291" t="s">
        <v>57</v>
      </c>
      <c r="K291" s="15"/>
      <c r="AA291" s="31"/>
    </row>
    <row r="292" spans="1:27">
      <c r="AA292" s="31"/>
    </row>
    <row r="293" spans="1:27" ht="17">
      <c r="D293" s="7" t="s">
        <v>129</v>
      </c>
      <c r="E293" s="7"/>
      <c r="F293" s="7"/>
      <c r="G293" s="7"/>
      <c r="Q293" s="27" t="s">
        <v>172</v>
      </c>
      <c r="R293" s="27" t="s">
        <v>173</v>
      </c>
      <c r="S293" t="s">
        <v>174</v>
      </c>
      <c r="AA293" s="31"/>
    </row>
    <row r="294" spans="1:27" ht="17">
      <c r="A294" t="s">
        <v>23</v>
      </c>
      <c r="B294" t="s">
        <v>24</v>
      </c>
      <c r="C294" t="s">
        <v>25</v>
      </c>
      <c r="D294" t="s">
        <v>29</v>
      </c>
      <c r="E294" t="s">
        <v>67</v>
      </c>
      <c r="F294" t="s">
        <v>30</v>
      </c>
      <c r="H294" t="s">
        <v>68</v>
      </c>
      <c r="I294" t="s">
        <v>31</v>
      </c>
      <c r="J294" t="s">
        <v>32</v>
      </c>
      <c r="K294" t="s">
        <v>33</v>
      </c>
      <c r="L294" t="s">
        <v>90</v>
      </c>
      <c r="M294" t="s">
        <v>191</v>
      </c>
      <c r="N294" s="1" t="s">
        <v>190</v>
      </c>
      <c r="O294" t="s">
        <v>176</v>
      </c>
      <c r="P294" t="s">
        <v>178</v>
      </c>
      <c r="Q294" s="27" t="s">
        <v>47</v>
      </c>
      <c r="R294" s="27" t="s">
        <v>47</v>
      </c>
      <c r="S294" t="s">
        <v>175</v>
      </c>
      <c r="T294" t="s">
        <v>195</v>
      </c>
      <c r="U294" t="s">
        <v>194</v>
      </c>
      <c r="V294" t="s">
        <v>200</v>
      </c>
      <c r="W294" s="1" t="s">
        <v>190</v>
      </c>
      <c r="AA294" s="31"/>
    </row>
    <row r="295" spans="1:27">
      <c r="A295" t="s">
        <v>48</v>
      </c>
      <c r="B295">
        <v>54.7</v>
      </c>
      <c r="C295">
        <f>B295+273</f>
        <v>327.7</v>
      </c>
      <c r="D295">
        <v>-3.2303999999999999</v>
      </c>
      <c r="E295">
        <v>-4.7778</v>
      </c>
      <c r="F295">
        <v>-5.2</v>
      </c>
      <c r="H295">
        <v>-5.6195000000000004</v>
      </c>
      <c r="I295">
        <f>H295-5*D295-2*E295-2*F295</f>
        <v>30.488100000000003</v>
      </c>
      <c r="J295">
        <v>164.9333</v>
      </c>
      <c r="K295">
        <f>-2.303*8.314*C295*(J295-I295)</f>
        <v>-843578.88568214967</v>
      </c>
      <c r="L295">
        <f t="shared" ref="L295:L301" si="273">K295/10000</f>
        <v>-84.35788856821496</v>
      </c>
      <c r="M295">
        <f t="shared" si="252"/>
        <v>-79.705464575831542</v>
      </c>
      <c r="N295">
        <f t="shared" si="253"/>
        <v>4.8996149741976325</v>
      </c>
      <c r="P295" s="23">
        <v>2.8059999999999999E-5</v>
      </c>
      <c r="Q295" s="27">
        <f>(K295/5)*(10^D295)</f>
        <v>-99.255754884098309</v>
      </c>
      <c r="R295" s="27">
        <f>(K295/2)*P295</f>
        <v>-11.83541176612056</v>
      </c>
      <c r="S295">
        <f t="shared" ref="S295:S301" si="274">IF(Q295&gt;R295, Q295,R295)</f>
        <v>-11.83541176612056</v>
      </c>
      <c r="T295">
        <f>ABS(MIN(S295:S300))</f>
        <v>26.572380863142197</v>
      </c>
      <c r="U295">
        <f>ABS(MAX(S295:S300))</f>
        <v>11.089967203442226</v>
      </c>
      <c r="V295">
        <f t="shared" ref="V295" si="275">AVERAGE(LOG(T295),LOG(U295))</f>
        <v>1.2346803651904532</v>
      </c>
      <c r="W295">
        <f t="shared" ref="W295" si="276">ABS(V295-LOG(T295))</f>
        <v>0.1897501033862099</v>
      </c>
      <c r="AA295" s="31"/>
    </row>
    <row r="296" spans="1:27">
      <c r="A296" t="s">
        <v>49</v>
      </c>
      <c r="B296">
        <v>60.3</v>
      </c>
      <c r="C296">
        <f t="shared" ref="C296:C301" si="277">B296+273</f>
        <v>333.3</v>
      </c>
      <c r="D296">
        <v>-3.8155999999999999</v>
      </c>
      <c r="E296">
        <v>-4.7697000000000003</v>
      </c>
      <c r="F296">
        <v>-5.2</v>
      </c>
      <c r="H296">
        <v>-5.8804999999999996</v>
      </c>
      <c r="I296">
        <f t="shared" ref="I296:I300" si="278">H296-5*D296-2*E296-2*F296</f>
        <v>33.136899999999997</v>
      </c>
      <c r="J296">
        <v>162.27019999999999</v>
      </c>
      <c r="K296">
        <f t="shared" ref="K296:K301" si="279">-2.303*8.314*C296*(J296-I296)</f>
        <v>-824095.45955513231</v>
      </c>
      <c r="L296">
        <f t="shared" si="273"/>
        <v>-82.409545955513238</v>
      </c>
      <c r="P296" s="23">
        <v>2.7889999999999999E-5</v>
      </c>
      <c r="Q296" s="27">
        <f t="shared" ref="Q296:Q300" si="280">(K296/5)*(10^D296)</f>
        <v>-25.200404800345314</v>
      </c>
      <c r="R296" s="27">
        <f t="shared" ref="R296:R301" si="281">(K296/2)*P296</f>
        <v>-11.49201118349632</v>
      </c>
      <c r="S296">
        <f t="shared" si="274"/>
        <v>-11.49201118349632</v>
      </c>
      <c r="AA296" s="31"/>
    </row>
    <row r="297" spans="1:27">
      <c r="A297" t="s">
        <v>50</v>
      </c>
      <c r="B297">
        <v>80.099999999999994</v>
      </c>
      <c r="C297">
        <f t="shared" si="277"/>
        <v>353.1</v>
      </c>
      <c r="D297">
        <v>-2.7831999999999999</v>
      </c>
      <c r="E297">
        <v>-4.7794999999999996</v>
      </c>
      <c r="F297">
        <v>-4.7</v>
      </c>
      <c r="H297">
        <v>-5.63</v>
      </c>
      <c r="I297">
        <f t="shared" si="278"/>
        <v>27.244999999999997</v>
      </c>
      <c r="J297">
        <v>152.38460000000001</v>
      </c>
      <c r="K297">
        <f t="shared" si="279"/>
        <v>-846050.79550029186</v>
      </c>
      <c r="L297">
        <f t="shared" si="273"/>
        <v>-84.605079550029188</v>
      </c>
      <c r="P297" s="23">
        <v>2.8920000000000001E-5</v>
      </c>
      <c r="Q297" s="27">
        <f t="shared" si="280"/>
        <v>-278.75741839412609</v>
      </c>
      <c r="R297" s="27">
        <f t="shared" si="281"/>
        <v>-12.23389450293422</v>
      </c>
      <c r="S297">
        <f t="shared" si="274"/>
        <v>-12.23389450293422</v>
      </c>
      <c r="AA297" s="31"/>
    </row>
    <row r="298" spans="1:27">
      <c r="A298" t="s">
        <v>51</v>
      </c>
      <c r="B298">
        <v>96.6</v>
      </c>
      <c r="C298">
        <f t="shared" si="277"/>
        <v>369.6</v>
      </c>
      <c r="D298">
        <v>-4.0804999999999998</v>
      </c>
      <c r="E298">
        <v>-4.6773999999999996</v>
      </c>
      <c r="F298">
        <v>-5.6</v>
      </c>
      <c r="H298">
        <v>-5.718</v>
      </c>
      <c r="I298">
        <f t="shared" si="278"/>
        <v>35.2393</v>
      </c>
      <c r="J298">
        <v>144.8389</v>
      </c>
      <c r="K298">
        <f t="shared" si="279"/>
        <v>-775612.66096524673</v>
      </c>
      <c r="L298">
        <f t="shared" si="273"/>
        <v>-77.561266096524676</v>
      </c>
      <c r="P298" s="23">
        <v>3.6059999999999997E-5</v>
      </c>
      <c r="Q298" s="27">
        <f t="shared" si="280"/>
        <v>-12.887684196803935</v>
      </c>
      <c r="R298" s="27">
        <f t="shared" si="281"/>
        <v>-13.984296277203397</v>
      </c>
      <c r="S298">
        <f t="shared" si="274"/>
        <v>-12.887684196803935</v>
      </c>
      <c r="AA298" s="31"/>
    </row>
    <row r="299" spans="1:27">
      <c r="A299" t="s">
        <v>52</v>
      </c>
      <c r="B299">
        <v>135</v>
      </c>
      <c r="C299">
        <f t="shared" si="277"/>
        <v>408</v>
      </c>
      <c r="D299">
        <v>-3.7812000000000001</v>
      </c>
      <c r="E299">
        <v>-4.2153</v>
      </c>
      <c r="F299">
        <v>-2.9</v>
      </c>
      <c r="H299">
        <v>-5.5933999999999999</v>
      </c>
      <c r="I299">
        <f t="shared" si="278"/>
        <v>27.543200000000002</v>
      </c>
      <c r="J299">
        <v>130.30609999999999</v>
      </c>
      <c r="K299">
        <f t="shared" si="279"/>
        <v>-802787.26216177433</v>
      </c>
      <c r="L299">
        <f t="shared" si="273"/>
        <v>-80.278726216177432</v>
      </c>
      <c r="P299">
        <v>1.147E-4</v>
      </c>
      <c r="Q299" s="27">
        <f t="shared" si="280"/>
        <v>-26.572380863142197</v>
      </c>
      <c r="R299" s="27">
        <f t="shared" si="281"/>
        <v>-46.039849484977758</v>
      </c>
      <c r="S299">
        <f t="shared" si="274"/>
        <v>-26.572380863142197</v>
      </c>
      <c r="AA299" s="31"/>
    </row>
    <row r="300" spans="1:27">
      <c r="A300" t="s">
        <v>53</v>
      </c>
      <c r="B300">
        <v>135</v>
      </c>
      <c r="C300">
        <f t="shared" si="277"/>
        <v>408</v>
      </c>
      <c r="D300">
        <v>-4.0387000000000004</v>
      </c>
      <c r="E300">
        <v>-4.7927</v>
      </c>
      <c r="F300">
        <v>-5</v>
      </c>
      <c r="H300">
        <v>-5.23</v>
      </c>
      <c r="I300">
        <f t="shared" si="278"/>
        <v>34.548900000000003</v>
      </c>
      <c r="J300">
        <v>130.30609999999999</v>
      </c>
      <c r="K300">
        <f t="shared" si="279"/>
        <v>-748058.49601633905</v>
      </c>
      <c r="L300">
        <f t="shared" si="273"/>
        <v>-74.805849601633909</v>
      </c>
      <c r="P300" s="23">
        <v>2.9649999999999999E-5</v>
      </c>
      <c r="Q300" s="27">
        <f t="shared" si="280"/>
        <v>-13.685653982465746</v>
      </c>
      <c r="R300" s="27">
        <f t="shared" si="281"/>
        <v>-11.089967203442226</v>
      </c>
      <c r="S300">
        <f t="shared" si="274"/>
        <v>-11.089967203442226</v>
      </c>
      <c r="AA300" s="31"/>
    </row>
    <row r="301" spans="1:27">
      <c r="A301" s="11" t="s">
        <v>54</v>
      </c>
      <c r="B301">
        <v>20</v>
      </c>
      <c r="C301">
        <f t="shared" si="277"/>
        <v>293</v>
      </c>
      <c r="D301">
        <v>-8.9</v>
      </c>
      <c r="E301">
        <v>-5.3</v>
      </c>
      <c r="F301">
        <v>-8.02</v>
      </c>
      <c r="H301">
        <v>-3.1</v>
      </c>
      <c r="I301">
        <f>H301-5*D301-2*E301-7*F301</f>
        <v>108.14</v>
      </c>
      <c r="J301">
        <v>221.44040000000001</v>
      </c>
      <c r="K301">
        <f t="shared" si="279"/>
        <v>-635628.00230484246</v>
      </c>
      <c r="L301">
        <f t="shared" si="273"/>
        <v>-63.56280023048425</v>
      </c>
      <c r="O301" s="23">
        <v>1.848E-9</v>
      </c>
      <c r="P301" s="23">
        <v>7.9170000000000006E-6</v>
      </c>
      <c r="Q301" s="27">
        <f>(K301/5)*O301</f>
        <v>-2.3492810965186978E-4</v>
      </c>
      <c r="R301" s="27">
        <f t="shared" si="281"/>
        <v>-2.5161334471237189</v>
      </c>
      <c r="S301">
        <f t="shared" si="274"/>
        <v>-2.3492810965186978E-4</v>
      </c>
      <c r="X301">
        <f>LOG(ABS(S301))</f>
        <v>-3.6290650158476927</v>
      </c>
      <c r="AA301" s="31"/>
    </row>
    <row r="302" spans="1:27" ht="16">
      <c r="D302" t="s">
        <v>57</v>
      </c>
      <c r="K302" s="15"/>
      <c r="AA302" s="31"/>
    </row>
    <row r="303" spans="1:27" ht="17">
      <c r="A303" s="14" t="s">
        <v>137</v>
      </c>
      <c r="B303" s="14"/>
      <c r="C303" s="14"/>
      <c r="D303" s="14"/>
      <c r="AA303" s="31"/>
    </row>
    <row r="304" spans="1:27">
      <c r="AA304" s="31"/>
    </row>
    <row r="305" spans="1:27" ht="17">
      <c r="D305" s="7" t="s">
        <v>63</v>
      </c>
      <c r="E305" s="7"/>
      <c r="F305" s="7"/>
      <c r="G305" s="7"/>
      <c r="Q305" s="27" t="s">
        <v>172</v>
      </c>
      <c r="R305" s="27" t="s">
        <v>173</v>
      </c>
      <c r="S305" t="s">
        <v>174</v>
      </c>
      <c r="AA305" s="31"/>
    </row>
    <row r="306" spans="1:27" ht="17">
      <c r="A306" t="s">
        <v>23</v>
      </c>
      <c r="B306" t="s">
        <v>24</v>
      </c>
      <c r="C306" t="s">
        <v>25</v>
      </c>
      <c r="D306" t="s">
        <v>29</v>
      </c>
      <c r="E306" t="s">
        <v>70</v>
      </c>
      <c r="F306" t="s">
        <v>30</v>
      </c>
      <c r="G306" t="s">
        <v>27</v>
      </c>
      <c r="H306" t="s">
        <v>68</v>
      </c>
      <c r="I306" t="s">
        <v>31</v>
      </c>
      <c r="J306" t="s">
        <v>32</v>
      </c>
      <c r="K306" t="s">
        <v>33</v>
      </c>
      <c r="L306" t="s">
        <v>71</v>
      </c>
      <c r="M306" t="s">
        <v>191</v>
      </c>
      <c r="N306" s="1" t="s">
        <v>190</v>
      </c>
      <c r="O306" t="s">
        <v>176</v>
      </c>
      <c r="P306" t="s">
        <v>179</v>
      </c>
      <c r="Q306" s="27" t="s">
        <v>47</v>
      </c>
      <c r="R306" s="27" t="s">
        <v>47</v>
      </c>
      <c r="S306" t="s">
        <v>175</v>
      </c>
      <c r="T306" t="s">
        <v>195</v>
      </c>
      <c r="U306" t="s">
        <v>194</v>
      </c>
      <c r="V306" t="s">
        <v>200</v>
      </c>
      <c r="W306" s="1" t="s">
        <v>190</v>
      </c>
      <c r="AA306" s="31"/>
    </row>
    <row r="307" spans="1:27">
      <c r="A307" t="s">
        <v>48</v>
      </c>
      <c r="B307">
        <v>54.7</v>
      </c>
      <c r="C307">
        <f>B307+273</f>
        <v>327.7</v>
      </c>
      <c r="D307">
        <v>-3.2303999999999999</v>
      </c>
      <c r="E307">
        <v>-6.9089999999999998</v>
      </c>
      <c r="F307">
        <v>-5.2</v>
      </c>
      <c r="G307">
        <v>-3.0996999999999999</v>
      </c>
      <c r="H307">
        <v>-5.6195000000000004</v>
      </c>
      <c r="I307">
        <f>4*H307+3*G307-3*D307-8*E307-2*F307</f>
        <v>43.586099999999995</v>
      </c>
      <c r="J307">
        <v>437.6644</v>
      </c>
      <c r="K307">
        <f>-2.303*8.314*C307*(J307-I307)</f>
        <v>-2472651.5575529351</v>
      </c>
      <c r="L307">
        <f t="shared" ref="L307:L313" si="282">K307/24000</f>
        <v>-103.02714823137229</v>
      </c>
      <c r="M307">
        <f t="shared" si="252"/>
        <v>-101.66065109589712</v>
      </c>
      <c r="N307">
        <f t="shared" ref="N307:N319" si="283">ABS(MAX(L307:L312)-M307)</f>
        <v>1.3664971354751572</v>
      </c>
      <c r="P307" s="23">
        <v>2.0760000000000001E-7</v>
      </c>
      <c r="Q307" s="27">
        <f>(K307/3)*(10^D307)</f>
        <v>-484.888256205777</v>
      </c>
      <c r="R307" s="27">
        <f>(K307/8)*P307</f>
        <v>-6.4165307918498671E-2</v>
      </c>
      <c r="S307">
        <f t="shared" ref="S307:S313" si="284">IF(Q307&gt;R307, Q307,R307)</f>
        <v>-6.4165307918498671E-2</v>
      </c>
      <c r="T307">
        <f>ABS(MIN(S307:S312))</f>
        <v>0.95876516339495144</v>
      </c>
      <c r="U307">
        <f>ABS(MAX(S307:S312))</f>
        <v>6.4165307918498671E-2</v>
      </c>
      <c r="V307">
        <f t="shared" ref="V307" si="285">AVERAGE(LOG(T307),LOG(U307))</f>
        <v>-0.60549373583543886</v>
      </c>
      <c r="W307">
        <f t="shared" ref="W307" si="286">ABS(V307-LOG(T307))</f>
        <v>0.5872059814513324</v>
      </c>
      <c r="AA307" s="31"/>
    </row>
    <row r="308" spans="1:27">
      <c r="A308" t="s">
        <v>49</v>
      </c>
      <c r="B308">
        <v>60.3</v>
      </c>
      <c r="C308">
        <f t="shared" ref="C308:C313" si="287">B308+273</f>
        <v>333.3</v>
      </c>
      <c r="D308">
        <v>-3.8155999999999999</v>
      </c>
      <c r="E308">
        <v>-6.7397</v>
      </c>
      <c r="F308">
        <v>-5.2</v>
      </c>
      <c r="G308">
        <v>-2.6000999999999999</v>
      </c>
      <c r="H308">
        <v>-5.8804999999999996</v>
      </c>
      <c r="I308">
        <f t="shared" ref="I308:I312" si="288">4*H308+3*G308-3*D308-8*E308-2*F308</f>
        <v>44.442100000000003</v>
      </c>
      <c r="J308">
        <v>430.64359999999999</v>
      </c>
      <c r="K308">
        <f t="shared" ref="K308:K313" si="289">-2.303*8.314*C308*(J308-I308)</f>
        <v>-2464638.498538963</v>
      </c>
      <c r="L308">
        <f t="shared" si="282"/>
        <v>-102.6932707724568</v>
      </c>
      <c r="P308" s="23">
        <v>2.9849999999999998E-7</v>
      </c>
      <c r="Q308" s="27">
        <f t="shared" ref="Q308:Q312" si="290">(K308/3)*(10^D308)</f>
        <v>-125.61224376284767</v>
      </c>
      <c r="R308" s="27">
        <f t="shared" ref="R308:R313" si="291">(K308/8)*P308</f>
        <v>-9.1961823976735052E-2</v>
      </c>
      <c r="S308">
        <f t="shared" si="284"/>
        <v>-9.1961823976735052E-2</v>
      </c>
      <c r="AA308" s="31"/>
    </row>
    <row r="309" spans="1:27">
      <c r="A309" t="s">
        <v>50</v>
      </c>
      <c r="B309">
        <v>80.099999999999994</v>
      </c>
      <c r="C309">
        <f t="shared" si="287"/>
        <v>353.1</v>
      </c>
      <c r="D309">
        <v>-2.7831999999999999</v>
      </c>
      <c r="E309">
        <v>-6.9115000000000002</v>
      </c>
      <c r="F309">
        <v>-4.7</v>
      </c>
      <c r="G309">
        <v>-3.76</v>
      </c>
      <c r="H309">
        <v>-5.63</v>
      </c>
      <c r="I309">
        <f t="shared" si="288"/>
        <v>39.241600000000005</v>
      </c>
      <c r="J309">
        <v>404.61169999999998</v>
      </c>
      <c r="K309">
        <f t="shared" si="289"/>
        <v>-2470214.5744194579</v>
      </c>
      <c r="L309">
        <f t="shared" si="282"/>
        <v>-102.92560726747742</v>
      </c>
      <c r="P309" s="23">
        <v>2.132E-7</v>
      </c>
      <c r="Q309" s="27">
        <f t="shared" si="290"/>
        <v>-1356.4800941562289</v>
      </c>
      <c r="R309" s="27">
        <f t="shared" si="291"/>
        <v>-6.5831218408278561E-2</v>
      </c>
      <c r="S309">
        <f t="shared" si="284"/>
        <v>-6.5831218408278561E-2</v>
      </c>
      <c r="AA309" s="31"/>
    </row>
    <row r="310" spans="1:27">
      <c r="A310" t="s">
        <v>51</v>
      </c>
      <c r="B310">
        <v>96.6</v>
      </c>
      <c r="C310">
        <f t="shared" si="287"/>
        <v>369.6</v>
      </c>
      <c r="D310">
        <v>-4.0804999999999998</v>
      </c>
      <c r="E310">
        <v>-6.5316999999999998</v>
      </c>
      <c r="F310">
        <v>-5.6</v>
      </c>
      <c r="G310">
        <v>-2.73</v>
      </c>
      <c r="H310">
        <v>-5.718</v>
      </c>
      <c r="I310">
        <f t="shared" si="288"/>
        <v>44.633099999999999</v>
      </c>
      <c r="J310">
        <v>384.76780000000002</v>
      </c>
      <c r="K310">
        <f t="shared" si="289"/>
        <v>-2407059.6950501273</v>
      </c>
      <c r="L310">
        <f t="shared" si="282"/>
        <v>-100.29415396042197</v>
      </c>
      <c r="P310" s="23">
        <v>5.0949999999999995E-7</v>
      </c>
      <c r="Q310" s="27">
        <f t="shared" si="290"/>
        <v>-66.660045565474192</v>
      </c>
      <c r="R310" s="27">
        <f t="shared" si="291"/>
        <v>-0.15329961432850497</v>
      </c>
      <c r="S310">
        <f t="shared" si="284"/>
        <v>-0.15329961432850497</v>
      </c>
      <c r="AA310" s="31"/>
    </row>
    <row r="311" spans="1:27">
      <c r="A311" t="s">
        <v>52</v>
      </c>
      <c r="B311">
        <v>135</v>
      </c>
      <c r="C311">
        <f t="shared" si="287"/>
        <v>408</v>
      </c>
      <c r="D311">
        <v>-3.7812000000000001</v>
      </c>
      <c r="E311">
        <v>-6.6307</v>
      </c>
      <c r="F311">
        <v>-2.9</v>
      </c>
      <c r="G311">
        <v>-3.5977000000000001</v>
      </c>
      <c r="H311">
        <v>-5.5933999999999999</v>
      </c>
      <c r="I311">
        <f t="shared" si="288"/>
        <v>37.022500000000001</v>
      </c>
      <c r="J311">
        <v>346.58890000000002</v>
      </c>
      <c r="K311">
        <f t="shared" si="289"/>
        <v>-2418343.2222453505</v>
      </c>
      <c r="L311">
        <f t="shared" si="282"/>
        <v>-100.7643009268896</v>
      </c>
      <c r="P311" s="23">
        <v>4.221E-7</v>
      </c>
      <c r="Q311" s="27">
        <f t="shared" si="290"/>
        <v>-133.41254939334175</v>
      </c>
      <c r="R311" s="27">
        <f t="shared" si="291"/>
        <v>-0.12759783426372032</v>
      </c>
      <c r="S311">
        <f t="shared" si="284"/>
        <v>-0.12759783426372032</v>
      </c>
      <c r="AA311" s="31"/>
    </row>
    <row r="312" spans="1:27">
      <c r="A312" t="s">
        <v>53</v>
      </c>
      <c r="B312">
        <v>135</v>
      </c>
      <c r="C312">
        <f t="shared" si="287"/>
        <v>408</v>
      </c>
      <c r="D312">
        <v>-4.0387000000000004</v>
      </c>
      <c r="E312">
        <v>-5.7622</v>
      </c>
      <c r="F312">
        <v>-5</v>
      </c>
      <c r="G312">
        <v>-3.1202000000000001</v>
      </c>
      <c r="H312">
        <v>-5.23</v>
      </c>
      <c r="I312">
        <f t="shared" si="288"/>
        <v>37.933100000000003</v>
      </c>
      <c r="J312">
        <v>346.58890000000002</v>
      </c>
      <c r="K312">
        <f t="shared" si="289"/>
        <v>-2411229.5841432288</v>
      </c>
      <c r="L312">
        <f t="shared" si="282"/>
        <v>-100.4678993393012</v>
      </c>
      <c r="P312" s="23">
        <v>3.1810000000000001E-6</v>
      </c>
      <c r="Q312" s="27">
        <f t="shared" si="290"/>
        <v>-73.521999363688437</v>
      </c>
      <c r="R312" s="27">
        <f t="shared" si="291"/>
        <v>-0.95876516339495144</v>
      </c>
      <c r="S312">
        <f t="shared" si="284"/>
        <v>-0.95876516339495144</v>
      </c>
      <c r="AA312" s="31"/>
    </row>
    <row r="313" spans="1:27">
      <c r="A313" s="11" t="s">
        <v>54</v>
      </c>
      <c r="B313">
        <v>20</v>
      </c>
      <c r="C313">
        <f t="shared" si="287"/>
        <v>293</v>
      </c>
      <c r="D313">
        <v>-8.9</v>
      </c>
      <c r="E313">
        <v>-6.9</v>
      </c>
      <c r="F313">
        <v>-8.02</v>
      </c>
      <c r="G313">
        <v>-2.5</v>
      </c>
      <c r="H313">
        <v>-3.1</v>
      </c>
      <c r="I313">
        <f>4*H313+3*G313-3*D313-8*E313-5*F313</f>
        <v>102.1</v>
      </c>
      <c r="J313">
        <v>514.92970000000003</v>
      </c>
      <c r="K313">
        <f t="shared" si="289"/>
        <v>-2316021.1041011983</v>
      </c>
      <c r="L313">
        <f t="shared" si="282"/>
        <v>-96.500879337549932</v>
      </c>
      <c r="O313" s="23">
        <v>1.848E-9</v>
      </c>
      <c r="P313" s="23">
        <v>1.9999999999999999E-7</v>
      </c>
      <c r="Q313" s="27">
        <f>(K313/3)*O313</f>
        <v>-1.4266690001263382E-3</v>
      </c>
      <c r="R313" s="27">
        <f t="shared" si="291"/>
        <v>-5.7900527602529957E-2</v>
      </c>
      <c r="S313">
        <f t="shared" si="284"/>
        <v>-1.4266690001263382E-3</v>
      </c>
      <c r="X313">
        <f>LOG(ABS(S313))</f>
        <v>-2.845676775373899</v>
      </c>
      <c r="AA313" s="31"/>
    </row>
    <row r="314" spans="1:27" ht="16">
      <c r="D314" t="s">
        <v>57</v>
      </c>
      <c r="K314" s="15"/>
      <c r="AA314" s="31"/>
    </row>
    <row r="315" spans="1:27" ht="17">
      <c r="A315" s="14" t="s">
        <v>83</v>
      </c>
      <c r="B315" s="11"/>
      <c r="C315" s="11"/>
      <c r="D315" s="11"/>
      <c r="K315" s="15"/>
      <c r="AA315" s="31"/>
    </row>
    <row r="316" spans="1:27">
      <c r="AA316" s="31"/>
    </row>
    <row r="317" spans="1:27" ht="17">
      <c r="D317" s="7" t="s">
        <v>102</v>
      </c>
      <c r="E317" s="7"/>
      <c r="F317" s="7"/>
      <c r="G317" s="7"/>
      <c r="Q317" s="27" t="s">
        <v>172</v>
      </c>
      <c r="R317" s="27" t="s">
        <v>173</v>
      </c>
      <c r="S317" t="s">
        <v>174</v>
      </c>
      <c r="AA317" s="31"/>
    </row>
    <row r="318" spans="1:27" ht="17">
      <c r="A318" t="s">
        <v>23</v>
      </c>
      <c r="B318" t="s">
        <v>24</v>
      </c>
      <c r="C318" t="s">
        <v>25</v>
      </c>
      <c r="D318" t="s">
        <v>29</v>
      </c>
      <c r="E318" t="s">
        <v>70</v>
      </c>
      <c r="F318" t="s">
        <v>30</v>
      </c>
      <c r="G318" t="s">
        <v>27</v>
      </c>
      <c r="H318" t="s">
        <v>104</v>
      </c>
      <c r="I318" t="s">
        <v>31</v>
      </c>
      <c r="J318" t="s">
        <v>32</v>
      </c>
      <c r="K318" t="s">
        <v>33</v>
      </c>
      <c r="L318" t="s">
        <v>71</v>
      </c>
      <c r="M318" t="s">
        <v>191</v>
      </c>
      <c r="N318" s="1" t="s">
        <v>190</v>
      </c>
      <c r="O318" t="s">
        <v>176</v>
      </c>
      <c r="P318" t="s">
        <v>179</v>
      </c>
      <c r="Q318" s="27" t="s">
        <v>47</v>
      </c>
      <c r="R318" s="27" t="s">
        <v>47</v>
      </c>
      <c r="S318" t="s">
        <v>175</v>
      </c>
      <c r="T318" t="s">
        <v>195</v>
      </c>
      <c r="U318" t="s">
        <v>194</v>
      </c>
      <c r="V318" t="s">
        <v>200</v>
      </c>
      <c r="W318" s="1" t="s">
        <v>190</v>
      </c>
      <c r="AA318" s="31"/>
    </row>
    <row r="319" spans="1:27">
      <c r="A319" t="s">
        <v>48</v>
      </c>
      <c r="B319">
        <v>54.7</v>
      </c>
      <c r="C319">
        <f t="shared" ref="C319:C325" si="292">B319+273</f>
        <v>327.7</v>
      </c>
      <c r="D319">
        <v>-3.2303999999999999</v>
      </c>
      <c r="E319">
        <v>-6.9089999999999998</v>
      </c>
      <c r="F319">
        <v>-5.2</v>
      </c>
      <c r="G319">
        <v>-3.0996999999999999</v>
      </c>
      <c r="H319">
        <v>-3.0034000000000001</v>
      </c>
      <c r="I319">
        <f t="shared" ref="I319:I324" si="293">4*H319+3*G319-3*D319-4*E319-2*F319</f>
        <v>26.414499999999997</v>
      </c>
      <c r="J319">
        <v>217.66159999999999</v>
      </c>
      <c r="K319">
        <f t="shared" ref="K319:K325" si="294">-2.303*8.314*C319*(J319-I319)</f>
        <v>-1199983.4542842929</v>
      </c>
      <c r="L319">
        <f t="shared" ref="L319:L325" si="295">K319/24000</f>
        <v>-49.999310595178869</v>
      </c>
      <c r="M319">
        <f t="shared" si="252"/>
        <v>-48.817466841721725</v>
      </c>
      <c r="N319">
        <f t="shared" si="283"/>
        <v>1.352069448848134</v>
      </c>
      <c r="P319" s="23">
        <v>2.0760000000000001E-7</v>
      </c>
      <c r="Q319" s="27">
        <f t="shared" ref="Q319:Q324" si="296">(K319/3)*(10^D319)</f>
        <v>-235.31737937209897</v>
      </c>
      <c r="R319" s="27">
        <f t="shared" ref="R319:R325" si="297">(K319/4)*P319</f>
        <v>-6.2279141277354802E-2</v>
      </c>
      <c r="S319">
        <f t="shared" ref="S319:S325" si="298">IF(Q319&gt;R319, Q319,R319)</f>
        <v>-6.2279141277354802E-2</v>
      </c>
      <c r="T319">
        <f>ABS(MIN(S319:S324))</f>
        <v>0.91167612564490941</v>
      </c>
      <c r="U319">
        <f>ABS(MAX(S319:S324))</f>
        <v>6.2279141277354802E-2</v>
      </c>
      <c r="V319">
        <f t="shared" ref="V319" si="299">AVERAGE(LOG(T319),LOG(U319))</f>
        <v>-0.62290840114987889</v>
      </c>
      <c r="W319">
        <f t="shared" ref="W319" si="300">ABS(V319-LOG(T319))</f>
        <v>0.58274898308951351</v>
      </c>
      <c r="AA319" s="31"/>
    </row>
    <row r="320" spans="1:27">
      <c r="A320" t="s">
        <v>49</v>
      </c>
      <c r="B320">
        <v>60.3</v>
      </c>
      <c r="C320">
        <f t="shared" si="292"/>
        <v>333.3</v>
      </c>
      <c r="D320">
        <v>-3.8155999999999999</v>
      </c>
      <c r="E320">
        <v>-6.7397</v>
      </c>
      <c r="F320">
        <v>-5.2</v>
      </c>
      <c r="G320">
        <v>-2.6000999999999999</v>
      </c>
      <c r="H320">
        <v>-3.9658000000000002</v>
      </c>
      <c r="I320">
        <f t="shared" si="293"/>
        <v>25.142099999999999</v>
      </c>
      <c r="J320">
        <v>213.81610000000001</v>
      </c>
      <c r="K320">
        <f t="shared" si="294"/>
        <v>-1204068.8709736764</v>
      </c>
      <c r="L320">
        <f t="shared" si="295"/>
        <v>-50.169536290569852</v>
      </c>
      <c r="P320" s="23">
        <v>2.9849999999999998E-7</v>
      </c>
      <c r="Q320" s="27">
        <f t="shared" si="296"/>
        <v>-61.366319083979533</v>
      </c>
      <c r="R320" s="27">
        <f t="shared" si="297"/>
        <v>-8.9853639496410592E-2</v>
      </c>
      <c r="S320">
        <f t="shared" si="298"/>
        <v>-8.9853639496410592E-2</v>
      </c>
      <c r="AA320" s="31"/>
    </row>
    <row r="321" spans="1:27">
      <c r="A321" t="s">
        <v>50</v>
      </c>
      <c r="B321">
        <v>80.099999999999994</v>
      </c>
      <c r="C321">
        <f t="shared" si="292"/>
        <v>353.1</v>
      </c>
      <c r="D321">
        <v>-2.7831999999999999</v>
      </c>
      <c r="E321">
        <v>-6.9115000000000002</v>
      </c>
      <c r="F321">
        <v>-4.7</v>
      </c>
      <c r="G321">
        <v>-3.76</v>
      </c>
      <c r="H321">
        <v>-2.7109000000000001</v>
      </c>
      <c r="I321">
        <f t="shared" si="293"/>
        <v>23.271999999999998</v>
      </c>
      <c r="J321">
        <v>199.4342</v>
      </c>
      <c r="K321">
        <f t="shared" si="294"/>
        <v>-1191007.2386924806</v>
      </c>
      <c r="L321">
        <f t="shared" si="295"/>
        <v>-49.625301612186689</v>
      </c>
      <c r="P321" s="23">
        <v>2.132E-7</v>
      </c>
      <c r="Q321" s="27">
        <f t="shared" si="296"/>
        <v>-654.02318811191299</v>
      </c>
      <c r="R321" s="27">
        <f t="shared" si="297"/>
        <v>-6.3480685822309216E-2</v>
      </c>
      <c r="S321">
        <f t="shared" si="298"/>
        <v>-6.3480685822309216E-2</v>
      </c>
      <c r="AA321" s="31"/>
    </row>
    <row r="322" spans="1:27">
      <c r="A322" t="s">
        <v>51</v>
      </c>
      <c r="B322">
        <v>96.6</v>
      </c>
      <c r="C322">
        <f t="shared" si="292"/>
        <v>369.6</v>
      </c>
      <c r="D322">
        <v>-4.0804999999999998</v>
      </c>
      <c r="E322">
        <v>-6.5316999999999998</v>
      </c>
      <c r="F322">
        <v>-5.6</v>
      </c>
      <c r="G322">
        <v>-2.73</v>
      </c>
      <c r="H322">
        <v>-5.7118000000000002</v>
      </c>
      <c r="I322">
        <f t="shared" si="293"/>
        <v>18.531099999999999</v>
      </c>
      <c r="J322">
        <v>188.3297</v>
      </c>
      <c r="K322">
        <f t="shared" si="294"/>
        <v>-1201627.9619102036</v>
      </c>
      <c r="L322">
        <f t="shared" si="295"/>
        <v>-50.067831746258484</v>
      </c>
      <c r="P322" s="23">
        <v>5.0949999999999995E-7</v>
      </c>
      <c r="Q322" s="27">
        <f t="shared" si="296"/>
        <v>-33.277352804502826</v>
      </c>
      <c r="R322" s="27">
        <f t="shared" si="297"/>
        <v>-0.15305736164831216</v>
      </c>
      <c r="S322">
        <f t="shared" si="298"/>
        <v>-0.15305736164831216</v>
      </c>
      <c r="AA322" s="31"/>
    </row>
    <row r="323" spans="1:27">
      <c r="A323" t="s">
        <v>52</v>
      </c>
      <c r="B323">
        <v>135</v>
      </c>
      <c r="C323">
        <f t="shared" si="292"/>
        <v>408</v>
      </c>
      <c r="D323">
        <v>-3.7812000000000001</v>
      </c>
      <c r="E323">
        <v>-6.6307</v>
      </c>
      <c r="F323">
        <v>-2.9</v>
      </c>
      <c r="G323">
        <v>-3.5977000000000001</v>
      </c>
      <c r="H323">
        <v>-3.0333999999999999</v>
      </c>
      <c r="I323">
        <f t="shared" si="293"/>
        <v>20.739699999999999</v>
      </c>
      <c r="J323">
        <v>166.56209999999999</v>
      </c>
      <c r="K323">
        <f t="shared" si="294"/>
        <v>-1139169.5374289663</v>
      </c>
      <c r="L323">
        <f t="shared" si="295"/>
        <v>-47.465397392873591</v>
      </c>
      <c r="P323" s="23">
        <v>4.221E-7</v>
      </c>
      <c r="Q323" s="27">
        <f t="shared" si="296"/>
        <v>-62.844475830243972</v>
      </c>
      <c r="R323" s="27">
        <f t="shared" si="297"/>
        <v>-0.12021086543719166</v>
      </c>
      <c r="S323">
        <f t="shared" si="298"/>
        <v>-0.12021086543719166</v>
      </c>
      <c r="AA323" s="31"/>
    </row>
    <row r="324" spans="1:27">
      <c r="A324" t="s">
        <v>53</v>
      </c>
      <c r="B324">
        <v>135</v>
      </c>
      <c r="C324">
        <f t="shared" si="292"/>
        <v>408</v>
      </c>
      <c r="D324">
        <v>-4.0387000000000004</v>
      </c>
      <c r="E324">
        <v>-5.7622</v>
      </c>
      <c r="F324">
        <v>-5</v>
      </c>
      <c r="G324">
        <v>-3.1202000000000001</v>
      </c>
      <c r="H324">
        <v>-3.9975999999999998</v>
      </c>
      <c r="I324">
        <f t="shared" si="293"/>
        <v>19.813900000000004</v>
      </c>
      <c r="J324">
        <v>166.56209999999999</v>
      </c>
      <c r="K324">
        <f t="shared" si="294"/>
        <v>-1146401.9184469152</v>
      </c>
      <c r="L324">
        <f t="shared" si="295"/>
        <v>-47.7667466019548</v>
      </c>
      <c r="P324" s="23">
        <v>3.1810000000000001E-6</v>
      </c>
      <c r="Q324" s="27">
        <f t="shared" si="296"/>
        <v>-34.955510529924993</v>
      </c>
      <c r="R324" s="27">
        <f t="shared" si="297"/>
        <v>-0.91167612564490941</v>
      </c>
      <c r="S324">
        <f t="shared" si="298"/>
        <v>-0.91167612564490941</v>
      </c>
      <c r="AA324" s="31"/>
    </row>
    <row r="325" spans="1:27">
      <c r="A325" s="11" t="s">
        <v>54</v>
      </c>
      <c r="B325">
        <v>20</v>
      </c>
      <c r="C325">
        <f t="shared" si="292"/>
        <v>293</v>
      </c>
      <c r="D325">
        <v>-8.9</v>
      </c>
      <c r="E325">
        <v>-6.9</v>
      </c>
      <c r="F325">
        <v>-8.02</v>
      </c>
      <c r="G325">
        <v>-2.5</v>
      </c>
      <c r="H325">
        <v>-6.5</v>
      </c>
      <c r="I325">
        <f>4*H325+3*G325-3*D325-4*E325-5*F325</f>
        <v>60.9</v>
      </c>
      <c r="J325">
        <v>269.08800000000002</v>
      </c>
      <c r="K325">
        <f t="shared" si="294"/>
        <v>-1167958.123217928</v>
      </c>
      <c r="L325">
        <f t="shared" si="295"/>
        <v>-48.664921800747003</v>
      </c>
      <c r="O325" s="23">
        <v>1.848E-9</v>
      </c>
      <c r="P325" s="23">
        <v>1.9999999999999999E-7</v>
      </c>
      <c r="Q325" s="27">
        <f>(K325/3)*O325</f>
        <v>-7.1946220390224365E-4</v>
      </c>
      <c r="R325" s="27">
        <f t="shared" si="297"/>
        <v>-5.83979061608964E-2</v>
      </c>
      <c r="S325">
        <f t="shared" si="298"/>
        <v>-7.1946220390224365E-4</v>
      </c>
      <c r="X325">
        <f>LOG(ABS(S325))</f>
        <v>-3.142992016276156</v>
      </c>
      <c r="AA325" s="31"/>
    </row>
    <row r="326" spans="1:27" ht="16">
      <c r="D326" t="s">
        <v>57</v>
      </c>
      <c r="AA326" s="31"/>
    </row>
    <row r="327" spans="1:27" ht="17">
      <c r="A327" s="14" t="s">
        <v>113</v>
      </c>
      <c r="B327" s="14"/>
      <c r="C327" s="14"/>
      <c r="D327" s="14"/>
      <c r="K327" s="15"/>
      <c r="AA327" s="31"/>
    </row>
    <row r="328" spans="1:27">
      <c r="AA328" s="31"/>
    </row>
    <row r="329" spans="1:27" ht="17">
      <c r="D329" s="7" t="s">
        <v>151</v>
      </c>
      <c r="E329" s="7"/>
      <c r="F329" s="7"/>
      <c r="G329" s="7"/>
      <c r="Q329" s="27" t="s">
        <v>172</v>
      </c>
      <c r="R329" s="27" t="s">
        <v>173</v>
      </c>
      <c r="S329" t="s">
        <v>174</v>
      </c>
      <c r="AA329" s="31"/>
    </row>
    <row r="330" spans="1:27" ht="17">
      <c r="B330" t="s">
        <v>24</v>
      </c>
      <c r="C330" t="s">
        <v>25</v>
      </c>
      <c r="D330" t="s">
        <v>29</v>
      </c>
      <c r="E330" t="s">
        <v>70</v>
      </c>
      <c r="F330" t="s">
        <v>30</v>
      </c>
      <c r="H330" t="s">
        <v>68</v>
      </c>
      <c r="I330" t="s">
        <v>31</v>
      </c>
      <c r="J330" t="s">
        <v>32</v>
      </c>
      <c r="K330" t="s">
        <v>33</v>
      </c>
      <c r="L330" t="s">
        <v>38</v>
      </c>
      <c r="M330" t="s">
        <v>191</v>
      </c>
      <c r="N330" s="1" t="s">
        <v>190</v>
      </c>
      <c r="O330" t="s">
        <v>176</v>
      </c>
      <c r="P330" t="s">
        <v>179</v>
      </c>
      <c r="Q330" s="27" t="s">
        <v>47</v>
      </c>
      <c r="R330" s="27" t="s">
        <v>47</v>
      </c>
      <c r="S330" t="s">
        <v>175</v>
      </c>
      <c r="T330" t="s">
        <v>195</v>
      </c>
      <c r="U330" t="s">
        <v>194</v>
      </c>
      <c r="V330" t="s">
        <v>200</v>
      </c>
      <c r="W330" s="1" t="s">
        <v>190</v>
      </c>
      <c r="Z330" t="s">
        <v>203</v>
      </c>
      <c r="AA330" s="31"/>
    </row>
    <row r="331" spans="1:27">
      <c r="A331" t="s">
        <v>48</v>
      </c>
      <c r="B331">
        <v>54.7</v>
      </c>
      <c r="C331">
        <f>B331+273</f>
        <v>327.7</v>
      </c>
      <c r="D331">
        <v>-3.2303999999999999</v>
      </c>
      <c r="E331">
        <v>-6.9089999999999998</v>
      </c>
      <c r="F331">
        <v>-5.2</v>
      </c>
      <c r="H331">
        <v>-5.6195000000000004</v>
      </c>
      <c r="I331">
        <f>H331-3*D331-2*E331-2*F331</f>
        <v>28.289699999999996</v>
      </c>
      <c r="J331">
        <v>123.8661</v>
      </c>
      <c r="K331">
        <f>-2.303*8.314*C331*(J331-I331)</f>
        <v>-599695.8835980118</v>
      </c>
      <c r="L331">
        <f>K331/6000</f>
        <v>-99.94931393300196</v>
      </c>
      <c r="M331">
        <f t="shared" ref="M331:M388" si="301">AVERAGE(MIN(L331:L336),MAX(L331:L336))</f>
        <v>-95.682473238515342</v>
      </c>
      <c r="N331">
        <f t="shared" ref="N331:N344" si="302">ABS(MAX(L331:L336)-M331)</f>
        <v>4.288837218423339</v>
      </c>
      <c r="P331" s="23">
        <v>2.0760000000000001E-7</v>
      </c>
      <c r="Q331" s="27">
        <f>(K331/3)*(10^D331)</f>
        <v>-117.60067461320713</v>
      </c>
      <c r="R331" s="27">
        <f>(K331/2)*P331</f>
        <v>-6.2248432717473628E-2</v>
      </c>
      <c r="S331">
        <f t="shared" ref="S331:S337" si="303">IF(Q331&gt;R331, Q331,R331)</f>
        <v>-6.2248432717473628E-2</v>
      </c>
      <c r="T331">
        <f>ABS(MIN(S331:S336))</f>
        <v>0.87216946853973798</v>
      </c>
      <c r="U331">
        <f>ABS(MAX(S331:S336))</f>
        <v>6.2248432717473628E-2</v>
      </c>
      <c r="V331">
        <f t="shared" ref="V331" si="304">AVERAGE(LOG(T331),LOG(U331))</f>
        <v>-0.6326353495790471</v>
      </c>
      <c r="W331">
        <f t="shared" ref="W331" si="305">ABS(V331-LOG(T331))</f>
        <v>0.57323622912260086</v>
      </c>
      <c r="Z331">
        <f>S261+S272+S284+S295+S307+S319+S331</f>
        <v>-36.585195555212273</v>
      </c>
      <c r="AA331" s="31">
        <f t="shared" ref="AA331:AA336" si="306">-Z331</f>
        <v>36.585195555212273</v>
      </c>
    </row>
    <row r="332" spans="1:27">
      <c r="A332" t="s">
        <v>49</v>
      </c>
      <c r="B332">
        <v>60.3</v>
      </c>
      <c r="C332">
        <f t="shared" ref="C332:C337" si="307">B332+273</f>
        <v>333.3</v>
      </c>
      <c r="D332">
        <v>-3.8155999999999999</v>
      </c>
      <c r="E332">
        <v>-6.7397</v>
      </c>
      <c r="F332">
        <v>-5.2</v>
      </c>
      <c r="H332">
        <v>-5.8804999999999996</v>
      </c>
      <c r="I332">
        <f t="shared" ref="I332:I336" si="308">H332-3*D332-2*E332-2*F332</f>
        <v>29.445700000000002</v>
      </c>
      <c r="J332">
        <v>121.90900000000001</v>
      </c>
      <c r="K332">
        <f t="shared" ref="K332:K336" si="309">-2.303*8.314*C332*(J332-I332)</f>
        <v>-590076.96469837031</v>
      </c>
      <c r="L332">
        <f t="shared" ref="L332:L337" si="310">K332/6000</f>
        <v>-98.34616078306172</v>
      </c>
      <c r="P332" s="23">
        <v>2.9849999999999998E-7</v>
      </c>
      <c r="Q332" s="27">
        <f t="shared" ref="Q332:Q336" si="311">(K332/3)*(10^D332)</f>
        <v>-30.073737618101717</v>
      </c>
      <c r="R332" s="27">
        <f t="shared" ref="R332:R337" si="312">(K332/2)*P332</f>
        <v>-8.8068986981231764E-2</v>
      </c>
      <c r="S332">
        <f t="shared" si="303"/>
        <v>-8.8068986981231764E-2</v>
      </c>
      <c r="Z332">
        <f t="shared" ref="Z332:Z336" si="313">S262+S273+S285+S296+S308+S320+S332</f>
        <v>-35.977154411163049</v>
      </c>
      <c r="AA332" s="31">
        <f t="shared" si="306"/>
        <v>35.977154411163049</v>
      </c>
    </row>
    <row r="333" spans="1:27">
      <c r="A333" t="s">
        <v>50</v>
      </c>
      <c r="B333">
        <v>80.099999999999994</v>
      </c>
      <c r="C333">
        <f t="shared" si="307"/>
        <v>353.1</v>
      </c>
      <c r="D333">
        <v>-2.7831999999999999</v>
      </c>
      <c r="E333">
        <v>-6.9115000000000002</v>
      </c>
      <c r="F333">
        <v>-4.7</v>
      </c>
      <c r="H333">
        <v>-5.63</v>
      </c>
      <c r="I333">
        <f t="shared" si="308"/>
        <v>25.942599999999999</v>
      </c>
      <c r="J333">
        <v>114.66330000000001</v>
      </c>
      <c r="K333">
        <f t="shared" si="309"/>
        <v>-599827.86274163215</v>
      </c>
      <c r="L333">
        <f t="shared" si="310"/>
        <v>-99.971310456938696</v>
      </c>
      <c r="P333" s="23">
        <v>2.132E-7</v>
      </c>
      <c r="Q333" s="27">
        <f t="shared" si="311"/>
        <v>-329.38618537643487</v>
      </c>
      <c r="R333" s="27">
        <f t="shared" si="312"/>
        <v>-6.3941650168257994E-2</v>
      </c>
      <c r="S333">
        <f t="shared" si="303"/>
        <v>-6.3941650168257994E-2</v>
      </c>
      <c r="Z333">
        <f t="shared" si="313"/>
        <v>-46.672147261514823</v>
      </c>
      <c r="AA333" s="31">
        <f t="shared" si="306"/>
        <v>46.672147261514823</v>
      </c>
    </row>
    <row r="334" spans="1:27">
      <c r="A334" t="s">
        <v>51</v>
      </c>
      <c r="B334">
        <v>96.6</v>
      </c>
      <c r="C334">
        <f t="shared" si="307"/>
        <v>369.6</v>
      </c>
      <c r="D334">
        <v>-4.0804999999999998</v>
      </c>
      <c r="E334">
        <v>-6.5316999999999998</v>
      </c>
      <c r="F334">
        <v>-5.6</v>
      </c>
      <c r="H334">
        <v>-5.718</v>
      </c>
      <c r="I334">
        <f t="shared" si="308"/>
        <v>30.786899999999999</v>
      </c>
      <c r="J334">
        <v>109.1544</v>
      </c>
      <c r="K334">
        <f t="shared" si="309"/>
        <v>-554589.84529317601</v>
      </c>
      <c r="L334">
        <f t="shared" si="310"/>
        <v>-92.431640882196007</v>
      </c>
      <c r="P334" s="23">
        <v>5.0949999999999995E-7</v>
      </c>
      <c r="Q334" s="27">
        <f t="shared" si="311"/>
        <v>-15.358565653114189</v>
      </c>
      <c r="R334" s="27">
        <f t="shared" si="312"/>
        <v>-0.14128176308843657</v>
      </c>
      <c r="S334">
        <f t="shared" si="303"/>
        <v>-0.14128176308843657</v>
      </c>
      <c r="Z334">
        <f t="shared" si="313"/>
        <v>-105.3786454610125</v>
      </c>
      <c r="AA334" s="31">
        <f t="shared" si="306"/>
        <v>105.3786454610125</v>
      </c>
    </row>
    <row r="335" spans="1:27">
      <c r="A335" t="s">
        <v>52</v>
      </c>
      <c r="B335">
        <v>135</v>
      </c>
      <c r="C335">
        <f t="shared" si="307"/>
        <v>408</v>
      </c>
      <c r="D335">
        <v>-3.7812000000000001</v>
      </c>
      <c r="E335">
        <v>-6.6307</v>
      </c>
      <c r="F335">
        <v>-2.9</v>
      </c>
      <c r="H335">
        <v>-5.5933999999999999</v>
      </c>
      <c r="I335">
        <f t="shared" si="308"/>
        <v>24.811600000000002</v>
      </c>
      <c r="J335">
        <v>98.605000000000004</v>
      </c>
      <c r="K335">
        <f t="shared" si="309"/>
        <v>-576476.54505282245</v>
      </c>
      <c r="L335">
        <f t="shared" si="310"/>
        <v>-96.079424175470407</v>
      </c>
      <c r="P335" s="23">
        <v>4.221E-7</v>
      </c>
      <c r="Q335" s="27">
        <f t="shared" si="311"/>
        <v>-31.802435995646256</v>
      </c>
      <c r="R335" s="27">
        <f t="shared" si="312"/>
        <v>-0.12166537483339818</v>
      </c>
      <c r="S335">
        <f t="shared" si="303"/>
        <v>-0.12166537483339818</v>
      </c>
      <c r="Z335">
        <f t="shared" si="313"/>
        <v>-189.22120632154974</v>
      </c>
      <c r="AA335" s="31">
        <f t="shared" si="306"/>
        <v>189.22120632154974</v>
      </c>
    </row>
    <row r="336" spans="1:27">
      <c r="A336" t="s">
        <v>53</v>
      </c>
      <c r="B336">
        <v>135</v>
      </c>
      <c r="C336">
        <f t="shared" si="307"/>
        <v>408</v>
      </c>
      <c r="D336">
        <v>-4.0387000000000004</v>
      </c>
      <c r="E336">
        <v>-5.7622</v>
      </c>
      <c r="F336">
        <v>-5</v>
      </c>
      <c r="H336">
        <v>-5.23</v>
      </c>
      <c r="I336">
        <f t="shared" si="308"/>
        <v>28.410499999999999</v>
      </c>
      <c r="J336">
        <v>98.605000000000004</v>
      </c>
      <c r="K336">
        <f t="shared" si="309"/>
        <v>-548361.81612055202</v>
      </c>
      <c r="L336">
        <f t="shared" si="310"/>
        <v>-91.393636020092003</v>
      </c>
      <c r="P336" s="23">
        <v>3.1810000000000001E-6</v>
      </c>
      <c r="Q336" s="27">
        <f t="shared" si="311"/>
        <v>-16.720372610313586</v>
      </c>
      <c r="R336" s="27">
        <f t="shared" si="312"/>
        <v>-0.87216946853973798</v>
      </c>
      <c r="S336">
        <f t="shared" si="303"/>
        <v>-0.87216946853973798</v>
      </c>
      <c r="Z336">
        <f t="shared" si="313"/>
        <v>-38.453298258581981</v>
      </c>
      <c r="AA336" s="31">
        <f t="shared" si="306"/>
        <v>38.453298258581981</v>
      </c>
    </row>
    <row r="337" spans="1:27">
      <c r="A337" s="11" t="s">
        <v>54</v>
      </c>
      <c r="B337">
        <v>20</v>
      </c>
      <c r="C337">
        <f t="shared" si="307"/>
        <v>293</v>
      </c>
      <c r="D337">
        <v>-8.9</v>
      </c>
      <c r="E337">
        <v>-6.9</v>
      </c>
      <c r="F337">
        <v>-8.02</v>
      </c>
      <c r="H337">
        <v>-3.1</v>
      </c>
      <c r="I337">
        <f>H337-3*D337-2*E337-5*F337</f>
        <v>77.5</v>
      </c>
      <c r="J337">
        <v>160.7099</v>
      </c>
      <c r="K337">
        <f>-2.303*8.314*C337*(J337-I337)</f>
        <v>-466816.90893399942</v>
      </c>
      <c r="L337">
        <f t="shared" si="310"/>
        <v>-77.802818155666571</v>
      </c>
      <c r="O337" s="23">
        <v>1.848E-9</v>
      </c>
      <c r="P337" s="23">
        <v>1.9999999999999999E-7</v>
      </c>
      <c r="Q337" s="27">
        <f>(K337/3)*O337</f>
        <v>-2.8755921590334365E-4</v>
      </c>
      <c r="R337" s="27">
        <f t="shared" si="312"/>
        <v>-4.6681690893399942E-2</v>
      </c>
      <c r="S337">
        <f t="shared" si="303"/>
        <v>-2.8755921590334365E-4</v>
      </c>
      <c r="X337">
        <f>LOG(ABS(S337))</f>
        <v>-3.5412727092631573</v>
      </c>
      <c r="AA337" s="31"/>
    </row>
    <row r="338" spans="1:27" ht="16">
      <c r="D338" t="s">
        <v>57</v>
      </c>
      <c r="K338" s="21"/>
      <c r="AA338" s="31"/>
    </row>
    <row r="339" spans="1:27" ht="17">
      <c r="A339" s="14" t="s">
        <v>155</v>
      </c>
      <c r="B339" s="14"/>
      <c r="C339" s="14"/>
      <c r="D339" s="18"/>
      <c r="K339" s="21"/>
      <c r="AA339" s="31"/>
    </row>
    <row r="340" spans="1:27">
      <c r="AA340" s="31"/>
    </row>
    <row r="341" spans="1:27" ht="16">
      <c r="D341" s="4" t="s">
        <v>7</v>
      </c>
      <c r="AA341" s="31"/>
    </row>
    <row r="342" spans="1:27" ht="17">
      <c r="D342" s="7" t="s">
        <v>17</v>
      </c>
      <c r="E342" s="7"/>
      <c r="F342" s="7"/>
      <c r="Q342" s="27" t="s">
        <v>172</v>
      </c>
      <c r="R342" s="27" t="s">
        <v>173</v>
      </c>
      <c r="S342" t="s">
        <v>174</v>
      </c>
      <c r="AA342" s="31"/>
    </row>
    <row r="343" spans="1:27" ht="17">
      <c r="A343" t="s">
        <v>23</v>
      </c>
      <c r="B343" t="s">
        <v>24</v>
      </c>
      <c r="C343" t="s">
        <v>25</v>
      </c>
      <c r="D343" t="s">
        <v>36</v>
      </c>
      <c r="E343" t="s">
        <v>27</v>
      </c>
      <c r="F343" t="s">
        <v>30</v>
      </c>
      <c r="G343" t="s">
        <v>31</v>
      </c>
      <c r="H343" t="s">
        <v>32</v>
      </c>
      <c r="J343" t="s">
        <v>33</v>
      </c>
      <c r="L343" t="s">
        <v>38</v>
      </c>
      <c r="M343" t="s">
        <v>191</v>
      </c>
      <c r="N343" s="1" t="s">
        <v>190</v>
      </c>
      <c r="R343" s="27" t="s">
        <v>47</v>
      </c>
      <c r="S343" t="s">
        <v>175</v>
      </c>
      <c r="T343" t="s">
        <v>195</v>
      </c>
      <c r="U343" t="s">
        <v>194</v>
      </c>
      <c r="V343" t="s">
        <v>200</v>
      </c>
      <c r="W343" s="1" t="s">
        <v>190</v>
      </c>
      <c r="AA343" s="31"/>
    </row>
    <row r="344" spans="1:27">
      <c r="A344" t="s">
        <v>48</v>
      </c>
      <c r="B344">
        <v>54.7</v>
      </c>
      <c r="C344">
        <f>B344+273</f>
        <v>327.7</v>
      </c>
      <c r="D344">
        <v>-6.11</v>
      </c>
      <c r="E344">
        <v>-3.0996999999999999</v>
      </c>
      <c r="F344">
        <v>-5.2</v>
      </c>
      <c r="G344">
        <f>E344+2*F344-1.5*D344</f>
        <v>-4.3346999999999998</v>
      </c>
      <c r="H344">
        <v>83.365799999999993</v>
      </c>
      <c r="J344">
        <f t="shared" ref="J344:J350" si="314">-2.303*8.314*C344*(H344-G344)</f>
        <v>-550278.40386839665</v>
      </c>
      <c r="L344">
        <f t="shared" ref="L344:L350" si="315">J344/(6*1000)</f>
        <v>-91.713067311399442</v>
      </c>
      <c r="M344">
        <f>AVERAGE(MIN(L344:L349),MAX(L344:L349))</f>
        <v>-90.961906262275988</v>
      </c>
      <c r="N344">
        <f t="shared" si="302"/>
        <v>3.8233549265575988</v>
      </c>
      <c r="Q344" s="28" t="s">
        <v>177</v>
      </c>
      <c r="R344" s="27">
        <f t="shared" ref="R344:R350" si="316">(J344/1.5)*(10^D344)</f>
        <v>-0.28476801623058717</v>
      </c>
      <c r="S344">
        <f>R344</f>
        <v>-0.28476801623058717</v>
      </c>
      <c r="T344">
        <f>ABS(MIN(S344:S349))</f>
        <v>90.949601911053719</v>
      </c>
      <c r="U344">
        <f>ABS(MAX(S344:S349))</f>
        <v>0.19600643373318047</v>
      </c>
      <c r="V344">
        <f t="shared" ref="V344" si="317">AVERAGE(LOG(T344),LOG(U344))</f>
        <v>0.62553556469849436</v>
      </c>
      <c r="W344">
        <f t="shared" ref="W344" si="318">ABS(V344-LOG(T344))</f>
        <v>1.3332652377860983</v>
      </c>
      <c r="AA344" s="31"/>
    </row>
    <row r="345" spans="1:27">
      <c r="A345" t="s">
        <v>49</v>
      </c>
      <c r="B345">
        <v>60.3</v>
      </c>
      <c r="C345">
        <f t="shared" ref="C345:C350" si="319">B345+273</f>
        <v>333.3</v>
      </c>
      <c r="D345">
        <v>-6.22</v>
      </c>
      <c r="E345">
        <v>-2.6000999999999999</v>
      </c>
      <c r="F345">
        <v>-5.2</v>
      </c>
      <c r="G345">
        <f t="shared" ref="G345:G350" si="320">E345+2*F345-1.5*D345</f>
        <v>-3.6700999999999997</v>
      </c>
      <c r="H345">
        <v>81.869299999999996</v>
      </c>
      <c r="J345">
        <f t="shared" si="314"/>
        <v>-545890.41829698684</v>
      </c>
      <c r="L345">
        <f t="shared" si="315"/>
        <v>-90.981736382831144</v>
      </c>
      <c r="Q345" s="28" t="s">
        <v>177</v>
      </c>
      <c r="R345" s="27">
        <f t="shared" si="316"/>
        <v>-0.21928766966066005</v>
      </c>
      <c r="S345">
        <f t="shared" ref="S345:S350" si="321">R345</f>
        <v>-0.21928766966066005</v>
      </c>
      <c r="AA345" s="31"/>
    </row>
    <row r="346" spans="1:27">
      <c r="A346" t="s">
        <v>50</v>
      </c>
      <c r="B346">
        <v>80.099999999999994</v>
      </c>
      <c r="C346">
        <f t="shared" si="319"/>
        <v>353.1</v>
      </c>
      <c r="D346">
        <v>-4.5999999999999996</v>
      </c>
      <c r="E346">
        <v>-3.76</v>
      </c>
      <c r="F346">
        <v>-4.7</v>
      </c>
      <c r="G346">
        <f t="shared" si="320"/>
        <v>-6.2600000000000007</v>
      </c>
      <c r="H346">
        <v>76.242199999999997</v>
      </c>
      <c r="J346">
        <f t="shared" si="314"/>
        <v>-557785.4806993485</v>
      </c>
      <c r="L346">
        <f t="shared" si="315"/>
        <v>-92.964246783224752</v>
      </c>
      <c r="Q346" s="28" t="s">
        <v>177</v>
      </c>
      <c r="R346" s="27">
        <f t="shared" si="316"/>
        <v>-9.3406252044116123</v>
      </c>
      <c r="S346">
        <f t="shared" si="321"/>
        <v>-9.3406252044116123</v>
      </c>
      <c r="AA346" s="31"/>
    </row>
    <row r="347" spans="1:27">
      <c r="A347" t="s">
        <v>51</v>
      </c>
      <c r="B347">
        <v>96.6</v>
      </c>
      <c r="C347">
        <f t="shared" si="319"/>
        <v>369.6</v>
      </c>
      <c r="D347">
        <v>-3.62</v>
      </c>
      <c r="E347">
        <v>-2.73</v>
      </c>
      <c r="F347">
        <v>-5.6</v>
      </c>
      <c r="G347">
        <f t="shared" si="320"/>
        <v>-8.5</v>
      </c>
      <c r="H347">
        <v>71.863</v>
      </c>
      <c r="J347">
        <f t="shared" si="314"/>
        <v>-568711.56713300163</v>
      </c>
      <c r="L347">
        <f t="shared" si="315"/>
        <v>-94.785261188833601</v>
      </c>
      <c r="Q347" s="28" t="s">
        <v>177</v>
      </c>
      <c r="R347" s="27">
        <f t="shared" si="316"/>
        <v>-90.949601911053719</v>
      </c>
      <c r="S347">
        <f t="shared" si="321"/>
        <v>-90.949601911053719</v>
      </c>
      <c r="AA347" s="31"/>
    </row>
    <row r="348" spans="1:27">
      <c r="A348" t="s">
        <v>52</v>
      </c>
      <c r="B348">
        <v>135</v>
      </c>
      <c r="C348">
        <f t="shared" si="319"/>
        <v>408</v>
      </c>
      <c r="D348">
        <v>-3.71</v>
      </c>
      <c r="E348">
        <v>-3.5977000000000001</v>
      </c>
      <c r="F348">
        <v>-2.9</v>
      </c>
      <c r="G348">
        <f t="shared" si="320"/>
        <v>-3.8327000000000009</v>
      </c>
      <c r="H348">
        <v>63.181199999999997</v>
      </c>
      <c r="J348">
        <f t="shared" si="314"/>
        <v>-523514.86098371033</v>
      </c>
      <c r="L348">
        <f t="shared" si="315"/>
        <v>-87.252476830618392</v>
      </c>
      <c r="Q348" s="28" t="s">
        <v>177</v>
      </c>
      <c r="R348" s="27">
        <f t="shared" si="316"/>
        <v>-68.051508305478094</v>
      </c>
      <c r="S348">
        <f t="shared" si="321"/>
        <v>-68.051508305478094</v>
      </c>
      <c r="AA348" s="31"/>
    </row>
    <row r="349" spans="1:27">
      <c r="A349" t="s">
        <v>53</v>
      </c>
      <c r="B349">
        <v>135</v>
      </c>
      <c r="C349">
        <f t="shared" si="319"/>
        <v>408</v>
      </c>
      <c r="D349">
        <v>-6.25</v>
      </c>
      <c r="E349">
        <v>-3.1202000000000001</v>
      </c>
      <c r="F349">
        <v>-5</v>
      </c>
      <c r="G349">
        <f t="shared" si="320"/>
        <v>-3.7452000000000005</v>
      </c>
      <c r="H349">
        <v>63.181199999999997</v>
      </c>
      <c r="J349">
        <f t="shared" si="314"/>
        <v>-522831.30801431037</v>
      </c>
      <c r="L349">
        <f t="shared" si="315"/>
        <v>-87.13855133571839</v>
      </c>
      <c r="Q349" s="28" t="s">
        <v>177</v>
      </c>
      <c r="R349" s="27">
        <f t="shared" si="316"/>
        <v>-0.19600643373318047</v>
      </c>
      <c r="S349">
        <f t="shared" si="321"/>
        <v>-0.19600643373318047</v>
      </c>
      <c r="AA349" s="31"/>
    </row>
    <row r="350" spans="1:27">
      <c r="A350" s="11" t="s">
        <v>54</v>
      </c>
      <c r="B350">
        <v>20</v>
      </c>
      <c r="C350">
        <f t="shared" si="319"/>
        <v>293</v>
      </c>
      <c r="D350">
        <v>-3.6</v>
      </c>
      <c r="E350">
        <v>-2.5</v>
      </c>
      <c r="F350">
        <v>-8.02</v>
      </c>
      <c r="G350">
        <f t="shared" si="320"/>
        <v>-13.139999999999999</v>
      </c>
      <c r="H350">
        <v>95.022800000000004</v>
      </c>
      <c r="J350">
        <f t="shared" si="314"/>
        <v>-606805.48778025678</v>
      </c>
      <c r="L350">
        <f t="shared" si="315"/>
        <v>-101.13424796337613</v>
      </c>
      <c r="Q350" s="28" t="s">
        <v>177</v>
      </c>
      <c r="R350" s="27">
        <f t="shared" si="316"/>
        <v>-101.61509808805184</v>
      </c>
      <c r="S350">
        <f t="shared" si="321"/>
        <v>-101.61509808805184</v>
      </c>
      <c r="X350">
        <f>LOG(ABS(S350))</f>
        <v>2.0069582407154161</v>
      </c>
      <c r="AA350" s="31"/>
    </row>
    <row r="351" spans="1:27">
      <c r="Q351" s="28"/>
      <c r="AA351" s="31"/>
    </row>
    <row r="352" spans="1:27">
      <c r="I352" s="15"/>
      <c r="Q352" s="28"/>
      <c r="AA352" s="31"/>
    </row>
    <row r="353" spans="1:27" ht="17">
      <c r="D353" s="7" t="s">
        <v>64</v>
      </c>
      <c r="E353" s="7"/>
      <c r="F353" s="7"/>
      <c r="G353" s="7"/>
      <c r="Q353" s="28"/>
      <c r="R353" s="27" t="s">
        <v>173</v>
      </c>
      <c r="S353" t="s">
        <v>174</v>
      </c>
      <c r="AA353" s="31"/>
    </row>
    <row r="354" spans="1:27" ht="17">
      <c r="A354" t="s">
        <v>23</v>
      </c>
      <c r="B354" t="s">
        <v>24</v>
      </c>
      <c r="C354" t="s">
        <v>25</v>
      </c>
      <c r="D354" t="s">
        <v>67</v>
      </c>
      <c r="E354" t="s">
        <v>30</v>
      </c>
      <c r="F354" t="s">
        <v>27</v>
      </c>
      <c r="G354" t="s">
        <v>68</v>
      </c>
      <c r="H354" t="s">
        <v>31</v>
      </c>
      <c r="I354" t="s">
        <v>32</v>
      </c>
      <c r="J354" t="s">
        <v>33</v>
      </c>
      <c r="L354" t="s">
        <v>72</v>
      </c>
      <c r="M354" t="s">
        <v>191</v>
      </c>
      <c r="N354" s="1" t="s">
        <v>190</v>
      </c>
      <c r="P354" t="s">
        <v>178</v>
      </c>
      <c r="Q354" s="28"/>
      <c r="R354" s="27" t="s">
        <v>47</v>
      </c>
      <c r="S354" t="s">
        <v>175</v>
      </c>
      <c r="T354" t="s">
        <v>195</v>
      </c>
      <c r="U354" t="s">
        <v>194</v>
      </c>
      <c r="V354" t="s">
        <v>200</v>
      </c>
      <c r="W354" s="1" t="s">
        <v>190</v>
      </c>
      <c r="AA354" s="31"/>
    </row>
    <row r="355" spans="1:27">
      <c r="A355" t="s">
        <v>48</v>
      </c>
      <c r="B355">
        <v>54.7</v>
      </c>
      <c r="C355">
        <f>B355+273</f>
        <v>327.7</v>
      </c>
      <c r="D355">
        <v>-4.7778</v>
      </c>
      <c r="E355">
        <v>-5.2</v>
      </c>
      <c r="F355">
        <v>-3.0996999999999999</v>
      </c>
      <c r="G355">
        <v>-5.6195000000000004</v>
      </c>
      <c r="H355">
        <f>3*G355+5*F355+4*E355-6*D355</f>
        <v>-24.490199999999994</v>
      </c>
      <c r="I355">
        <v>398.46629999999999</v>
      </c>
      <c r="J355">
        <f>-2.303*8.314*C355*(I355-H355)</f>
        <v>-2653848.3557763468</v>
      </c>
      <c r="L355">
        <f t="shared" ref="L355:L361" si="322">J355/30000</f>
        <v>-88.461611859211558</v>
      </c>
      <c r="M355">
        <f t="shared" si="301"/>
        <v>-87.534631173448162</v>
      </c>
      <c r="N355">
        <f t="shared" ref="N355:N366" si="323">ABS(MAX(L355:L360)-M355)</f>
        <v>1.0094807423844827</v>
      </c>
      <c r="P355" s="23">
        <v>2.8059999999999999E-5</v>
      </c>
      <c r="Q355" s="28" t="s">
        <v>177</v>
      </c>
      <c r="R355" s="27">
        <f>(J355/6)*P355</f>
        <v>-12.411164143847381</v>
      </c>
      <c r="S355" s="23">
        <f>R355</f>
        <v>-12.411164143847381</v>
      </c>
      <c r="T355">
        <f>ABS(MIN(S355:S360))</f>
        <v>49.622173772215021</v>
      </c>
      <c r="U355">
        <f>ABS(MAX(S355:S360))</f>
        <v>12.300284823006709</v>
      </c>
      <c r="V355">
        <f t="shared" ref="V355" si="324">AVERAGE(LOG(T355),LOG(U355))</f>
        <v>1.3927954766275836</v>
      </c>
      <c r="W355">
        <f t="shared" ref="W355" si="325">ABS(V355-LOG(T355))</f>
        <v>0.30288030863306625</v>
      </c>
      <c r="AA355" s="31"/>
    </row>
    <row r="356" spans="1:27">
      <c r="A356" t="s">
        <v>49</v>
      </c>
      <c r="B356">
        <v>60.3</v>
      </c>
      <c r="C356">
        <f t="shared" ref="C356:C361" si="326">B356+273</f>
        <v>333.3</v>
      </c>
      <c r="D356">
        <v>-4.7697000000000003</v>
      </c>
      <c r="E356">
        <v>-5.2</v>
      </c>
      <c r="F356">
        <v>-2.6000999999999999</v>
      </c>
      <c r="G356">
        <v>-5.8804999999999996</v>
      </c>
      <c r="H356">
        <f t="shared" ref="H356:H361" si="327">3*G356+5*F356+4*E356-6*D356</f>
        <v>-22.823799999999999</v>
      </c>
      <c r="I356">
        <v>391.82330000000002</v>
      </c>
      <c r="J356">
        <f>-2.303*8.314*C356*(I356-H356)</f>
        <v>-2646170.990965947</v>
      </c>
      <c r="L356">
        <f t="shared" si="322"/>
        <v>-88.205699698864905</v>
      </c>
      <c r="P356" s="23">
        <v>2.7889999999999999E-5</v>
      </c>
      <c r="Q356" s="28" t="s">
        <v>177</v>
      </c>
      <c r="R356" s="27">
        <f t="shared" ref="R356:R360" si="328">(J356/6)*P356</f>
        <v>-12.300284823006709</v>
      </c>
      <c r="S356" s="23">
        <f t="shared" ref="S356:S361" si="329">R356</f>
        <v>-12.300284823006709</v>
      </c>
      <c r="AA356" s="31"/>
    </row>
    <row r="357" spans="1:27">
      <c r="A357" t="s">
        <v>50</v>
      </c>
      <c r="B357">
        <v>80.099999999999994</v>
      </c>
      <c r="C357">
        <f t="shared" si="326"/>
        <v>353.1</v>
      </c>
      <c r="D357">
        <v>-4.7794999999999996</v>
      </c>
      <c r="E357">
        <v>-4.7</v>
      </c>
      <c r="F357">
        <v>-3.76</v>
      </c>
      <c r="G357">
        <v>-5.63</v>
      </c>
      <c r="H357">
        <f t="shared" si="327"/>
        <v>-25.812999999999995</v>
      </c>
      <c r="I357">
        <v>367.08449999999999</v>
      </c>
      <c r="J357">
        <f t="shared" ref="J357:J361" si="330">-2.303*8.314*C357*(I357-H357)</f>
        <v>-2656323.3574749795</v>
      </c>
      <c r="L357">
        <f t="shared" si="322"/>
        <v>-88.544111915832644</v>
      </c>
      <c r="P357" s="23">
        <v>2.8920000000000001E-5</v>
      </c>
      <c r="Q357" s="28" t="s">
        <v>177</v>
      </c>
      <c r="R357" s="27">
        <f t="shared" si="328"/>
        <v>-12.803478583029403</v>
      </c>
      <c r="S357" s="23">
        <f t="shared" si="329"/>
        <v>-12.803478583029403</v>
      </c>
      <c r="AA357" s="31"/>
    </row>
    <row r="358" spans="1:27">
      <c r="A358" t="s">
        <v>51</v>
      </c>
      <c r="B358">
        <v>96.6</v>
      </c>
      <c r="C358">
        <f t="shared" si="326"/>
        <v>369.6</v>
      </c>
      <c r="D358">
        <v>-4.6773999999999996</v>
      </c>
      <c r="E358">
        <v>-5.6</v>
      </c>
      <c r="F358">
        <v>-2.73</v>
      </c>
      <c r="G358">
        <v>-5.718</v>
      </c>
      <c r="H358">
        <f t="shared" si="327"/>
        <v>-25.139600000000002</v>
      </c>
      <c r="I358">
        <v>348.1003</v>
      </c>
      <c r="J358">
        <f t="shared" si="330"/>
        <v>-2641338.0342391999</v>
      </c>
      <c r="L358">
        <f t="shared" si="322"/>
        <v>-88.044601141306671</v>
      </c>
      <c r="P358" s="23">
        <v>3.6059999999999997E-5</v>
      </c>
      <c r="Q358" s="28" t="s">
        <v>177</v>
      </c>
      <c r="R358" s="27">
        <f t="shared" si="328"/>
        <v>-15.874441585777591</v>
      </c>
      <c r="S358" s="23">
        <f t="shared" si="329"/>
        <v>-15.874441585777591</v>
      </c>
      <c r="AA358" s="31"/>
    </row>
    <row r="359" spans="1:27">
      <c r="A359" t="s">
        <v>52</v>
      </c>
      <c r="B359">
        <v>135</v>
      </c>
      <c r="C359">
        <f t="shared" si="326"/>
        <v>408</v>
      </c>
      <c r="D359">
        <v>-4.2153</v>
      </c>
      <c r="E359">
        <v>-2.9</v>
      </c>
      <c r="F359">
        <v>-3.5977000000000001</v>
      </c>
      <c r="G359">
        <v>-5.5933999999999999</v>
      </c>
      <c r="H359">
        <f t="shared" si="327"/>
        <v>-21.076900000000002</v>
      </c>
      <c r="I359">
        <v>311.1995</v>
      </c>
      <c r="J359">
        <f t="shared" si="330"/>
        <v>-2595754.5129319103</v>
      </c>
      <c r="L359">
        <f t="shared" si="322"/>
        <v>-86.525150431063679</v>
      </c>
      <c r="P359">
        <v>1.147E-4</v>
      </c>
      <c r="Q359" s="28" t="s">
        <v>177</v>
      </c>
      <c r="R359" s="27">
        <f t="shared" si="328"/>
        <v>-49.622173772215021</v>
      </c>
      <c r="S359" s="23">
        <f t="shared" si="329"/>
        <v>-49.622173772215021</v>
      </c>
      <c r="AA359" s="31"/>
    </row>
    <row r="360" spans="1:27">
      <c r="A360" t="s">
        <v>53</v>
      </c>
      <c r="B360">
        <v>135</v>
      </c>
      <c r="C360">
        <f t="shared" si="326"/>
        <v>408</v>
      </c>
      <c r="D360">
        <v>-4.7927</v>
      </c>
      <c r="E360">
        <v>-5</v>
      </c>
      <c r="F360">
        <v>-3.1202000000000001</v>
      </c>
      <c r="G360">
        <v>-5.23</v>
      </c>
      <c r="H360">
        <f t="shared" si="327"/>
        <v>-22.534800000000004</v>
      </c>
      <c r="I360">
        <v>311.1995</v>
      </c>
      <c r="J360">
        <f t="shared" si="330"/>
        <v>-2607143.677207205</v>
      </c>
      <c r="L360">
        <f t="shared" si="322"/>
        <v>-86.904789240240163</v>
      </c>
      <c r="P360" s="23">
        <v>2.9649999999999999E-5</v>
      </c>
      <c r="Q360" s="28" t="s">
        <v>177</v>
      </c>
      <c r="R360" s="27">
        <f t="shared" si="328"/>
        <v>-12.883635004865605</v>
      </c>
      <c r="S360" s="23">
        <f t="shared" si="329"/>
        <v>-12.883635004865605</v>
      </c>
      <c r="AA360" s="31"/>
    </row>
    <row r="361" spans="1:27">
      <c r="A361" s="11" t="s">
        <v>54</v>
      </c>
      <c r="B361">
        <v>20</v>
      </c>
      <c r="C361">
        <f t="shared" si="326"/>
        <v>293</v>
      </c>
      <c r="D361">
        <v>-5.3</v>
      </c>
      <c r="E361">
        <v>-8.02</v>
      </c>
      <c r="F361">
        <v>-2.5</v>
      </c>
      <c r="G361">
        <v>-3.1</v>
      </c>
      <c r="H361">
        <f t="shared" si="327"/>
        <v>-22.08</v>
      </c>
      <c r="I361">
        <v>451.13819999999998</v>
      </c>
      <c r="J361">
        <f t="shared" si="330"/>
        <v>-2654807.3892086288</v>
      </c>
      <c r="L361">
        <f t="shared" si="322"/>
        <v>-88.493579640287621</v>
      </c>
      <c r="P361" s="23">
        <v>7.9170000000000006E-6</v>
      </c>
      <c r="Q361" s="28" t="s">
        <v>177</v>
      </c>
      <c r="R361" s="27">
        <f>(J361/6)*P361</f>
        <v>-3.5030183500607861</v>
      </c>
      <c r="S361" s="23">
        <f t="shared" si="329"/>
        <v>-3.5030183500607861</v>
      </c>
      <c r="X361">
        <f>LOG(ABS(S361))</f>
        <v>0.54444241231320167</v>
      </c>
      <c r="AA361" s="31"/>
    </row>
    <row r="362" spans="1:27">
      <c r="J362" s="15"/>
      <c r="Q362" s="28"/>
      <c r="AA362" s="31"/>
    </row>
    <row r="363" spans="1:27">
      <c r="Q363" s="28"/>
      <c r="AA363" s="31"/>
    </row>
    <row r="364" spans="1:27" ht="17">
      <c r="D364" s="7" t="s">
        <v>91</v>
      </c>
      <c r="E364" s="7"/>
      <c r="F364" s="7"/>
      <c r="G364" s="7"/>
      <c r="Q364" s="28"/>
      <c r="R364" s="27" t="s">
        <v>173</v>
      </c>
      <c r="S364" t="s">
        <v>174</v>
      </c>
      <c r="AA364" s="31"/>
    </row>
    <row r="365" spans="1:27" ht="17">
      <c r="A365" t="s">
        <v>23</v>
      </c>
      <c r="B365" t="s">
        <v>24</v>
      </c>
      <c r="C365" t="s">
        <v>25</v>
      </c>
      <c r="D365" t="s">
        <v>67</v>
      </c>
      <c r="E365" t="s">
        <v>30</v>
      </c>
      <c r="F365" t="s">
        <v>27</v>
      </c>
      <c r="G365" t="s">
        <v>93</v>
      </c>
      <c r="H365" t="s">
        <v>31</v>
      </c>
      <c r="I365" t="s">
        <v>32</v>
      </c>
      <c r="J365" t="s">
        <v>33</v>
      </c>
      <c r="L365" t="s">
        <v>94</v>
      </c>
      <c r="M365" t="s">
        <v>191</v>
      </c>
      <c r="N365" s="1" t="s">
        <v>190</v>
      </c>
      <c r="P365" t="s">
        <v>178</v>
      </c>
      <c r="Q365" s="28"/>
      <c r="R365" s="27" t="s">
        <v>47</v>
      </c>
      <c r="S365" t="s">
        <v>175</v>
      </c>
      <c r="T365" t="s">
        <v>195</v>
      </c>
      <c r="U365" t="s">
        <v>194</v>
      </c>
      <c r="V365" t="s">
        <v>200</v>
      </c>
      <c r="W365" s="1" t="s">
        <v>190</v>
      </c>
      <c r="AA365" s="31"/>
    </row>
    <row r="366" spans="1:27">
      <c r="A366" t="s">
        <v>48</v>
      </c>
      <c r="B366">
        <v>54.7</v>
      </c>
      <c r="C366">
        <f>B366+273</f>
        <v>327.7</v>
      </c>
      <c r="D366">
        <v>-4.7778</v>
      </c>
      <c r="E366">
        <v>-5.2</v>
      </c>
      <c r="F366">
        <v>-3.0996999999999999</v>
      </c>
      <c r="G366">
        <v>-3.0034000000000001</v>
      </c>
      <c r="H366">
        <f t="shared" ref="H366:H372" si="331">3*G366+4*F366+2*E366-3*D366</f>
        <v>-17.475599999999996</v>
      </c>
      <c r="I366">
        <v>191.1302</v>
      </c>
      <c r="J366">
        <f t="shared" ref="J366:J372" si="332">-2.303*8.314*C366*(I366-H366)</f>
        <v>-1308900.9374141535</v>
      </c>
      <c r="L366">
        <f t="shared" ref="L366:L372" si="333">J366/24000</f>
        <v>-54.537539058923059</v>
      </c>
      <c r="M366">
        <f t="shared" si="301"/>
        <v>-54.213763552347004</v>
      </c>
      <c r="N366">
        <f t="shared" si="323"/>
        <v>1.737499741933199</v>
      </c>
      <c r="P366" s="23">
        <v>2.8059999999999999E-5</v>
      </c>
      <c r="Q366" s="28" t="s">
        <v>177</v>
      </c>
      <c r="R366" s="27">
        <f>(J366/3)*P366</f>
        <v>-12.242586767947047</v>
      </c>
      <c r="S366" s="23">
        <f>R366</f>
        <v>-12.242586767947047</v>
      </c>
      <c r="T366">
        <f>ABS(MIN(S366:S371))</f>
        <v>48.152219672435706</v>
      </c>
      <c r="U366">
        <f>ABS(MAX(S366:S371))</f>
        <v>12.224548474720134</v>
      </c>
      <c r="V366">
        <f t="shared" ref="V366:V388" si="334">AVERAGE(LOG(T366),LOG(U366))</f>
        <v>1.3849245693022731</v>
      </c>
      <c r="W366">
        <f t="shared" ref="W366:W388" si="335">ABS(V366-LOG(T366))</f>
        <v>0.29769174228853079</v>
      </c>
      <c r="AA366" s="31"/>
    </row>
    <row r="367" spans="1:27">
      <c r="A367" t="s">
        <v>49</v>
      </c>
      <c r="B367">
        <v>60.3</v>
      </c>
      <c r="C367">
        <f t="shared" ref="C367:C372" si="336">B367+273</f>
        <v>333.3</v>
      </c>
      <c r="D367">
        <v>-4.7697000000000003</v>
      </c>
      <c r="E367">
        <v>-5.2</v>
      </c>
      <c r="F367">
        <v>-2.6000999999999999</v>
      </c>
      <c r="G367">
        <v>-3.9658000000000002</v>
      </c>
      <c r="H367">
        <f t="shared" si="331"/>
        <v>-18.3887</v>
      </c>
      <c r="I367">
        <v>187.6583</v>
      </c>
      <c r="J367">
        <f t="shared" si="332"/>
        <v>-1314938.8821857441</v>
      </c>
      <c r="L367">
        <f t="shared" si="333"/>
        <v>-54.789120091072675</v>
      </c>
      <c r="P367" s="23">
        <v>2.7889999999999999E-5</v>
      </c>
      <c r="Q367" s="28" t="s">
        <v>177</v>
      </c>
      <c r="R367" s="27">
        <f t="shared" ref="R367:R372" si="337">(J367/3)*P367</f>
        <v>-12.224548474720134</v>
      </c>
      <c r="S367" s="23">
        <f t="shared" ref="S367:S372" si="338">R367</f>
        <v>-12.224548474720134</v>
      </c>
      <c r="AA367" s="31"/>
    </row>
    <row r="368" spans="1:27">
      <c r="A368" t="s">
        <v>50</v>
      </c>
      <c r="B368">
        <v>80.099999999999994</v>
      </c>
      <c r="C368">
        <f t="shared" si="336"/>
        <v>353.1</v>
      </c>
      <c r="D368">
        <v>-4.7794999999999996</v>
      </c>
      <c r="E368">
        <v>-4.7</v>
      </c>
      <c r="F368">
        <v>-3.76</v>
      </c>
      <c r="G368">
        <v>-2.7109000000000001</v>
      </c>
      <c r="H368">
        <f t="shared" si="331"/>
        <v>-18.234199999999998</v>
      </c>
      <c r="I368">
        <v>174.63329999999999</v>
      </c>
      <c r="J368">
        <f t="shared" si="332"/>
        <v>-1303949.3637597733</v>
      </c>
      <c r="L368">
        <f t="shared" si="333"/>
        <v>-54.331223489990556</v>
      </c>
      <c r="P368" s="23">
        <v>2.8920000000000001E-5</v>
      </c>
      <c r="Q368" s="28" t="s">
        <v>177</v>
      </c>
      <c r="R368" s="27">
        <f t="shared" si="337"/>
        <v>-12.570071866644215</v>
      </c>
      <c r="S368" s="23">
        <f t="shared" si="338"/>
        <v>-12.570071866644215</v>
      </c>
      <c r="AA368" s="31"/>
    </row>
    <row r="369" spans="1:27">
      <c r="A369" t="s">
        <v>51</v>
      </c>
      <c r="B369">
        <v>96.6</v>
      </c>
      <c r="C369">
        <f t="shared" si="336"/>
        <v>369.6</v>
      </c>
      <c r="D369">
        <v>-4.6773999999999996</v>
      </c>
      <c r="E369">
        <v>-5.6</v>
      </c>
      <c r="F369">
        <v>-2.73</v>
      </c>
      <c r="G369">
        <v>-5.7118000000000002</v>
      </c>
      <c r="H369">
        <f t="shared" si="331"/>
        <v>-25.223199999999995</v>
      </c>
      <c r="I369">
        <v>164.5283</v>
      </c>
      <c r="J369">
        <f t="shared" si="332"/>
        <v>-1342830.3190627247</v>
      </c>
      <c r="L369">
        <f t="shared" si="333"/>
        <v>-55.951263294280196</v>
      </c>
      <c r="P369" s="23">
        <v>3.6059999999999997E-5</v>
      </c>
      <c r="Q369" s="28" t="s">
        <v>177</v>
      </c>
      <c r="R369" s="27">
        <f t="shared" si="337"/>
        <v>-16.14082043513395</v>
      </c>
      <c r="S369" s="23">
        <f t="shared" si="338"/>
        <v>-16.14082043513395</v>
      </c>
      <c r="AA369" s="31"/>
    </row>
    <row r="370" spans="1:27">
      <c r="A370" t="s">
        <v>52</v>
      </c>
      <c r="B370">
        <v>135</v>
      </c>
      <c r="C370">
        <f t="shared" si="336"/>
        <v>408</v>
      </c>
      <c r="D370">
        <v>-4.2153</v>
      </c>
      <c r="E370">
        <v>-2.9</v>
      </c>
      <c r="F370">
        <v>-3.5977000000000001</v>
      </c>
      <c r="G370">
        <v>-3.0333999999999999</v>
      </c>
      <c r="H370">
        <f t="shared" si="331"/>
        <v>-16.645099999999999</v>
      </c>
      <c r="I370">
        <v>144.57159999999999</v>
      </c>
      <c r="J370">
        <f t="shared" si="332"/>
        <v>-1259430.3314499313</v>
      </c>
      <c r="L370">
        <f t="shared" si="333"/>
        <v>-52.476263810413805</v>
      </c>
      <c r="P370">
        <v>1.147E-4</v>
      </c>
      <c r="Q370" s="28" t="s">
        <v>177</v>
      </c>
      <c r="R370" s="27">
        <f t="shared" si="337"/>
        <v>-48.152219672435706</v>
      </c>
      <c r="S370" s="23">
        <f t="shared" si="338"/>
        <v>-48.152219672435706</v>
      </c>
      <c r="AA370" s="31"/>
    </row>
    <row r="371" spans="1:27">
      <c r="A371" t="s">
        <v>53</v>
      </c>
      <c r="B371">
        <v>135</v>
      </c>
      <c r="C371">
        <f t="shared" si="336"/>
        <v>408</v>
      </c>
      <c r="D371">
        <v>-4.7927</v>
      </c>
      <c r="E371">
        <v>-5</v>
      </c>
      <c r="F371">
        <v>-3.1202000000000001</v>
      </c>
      <c r="G371">
        <v>-3.9975999999999998</v>
      </c>
      <c r="H371">
        <f t="shared" si="331"/>
        <v>-20.095499999999998</v>
      </c>
      <c r="I371">
        <v>144.57159999999999</v>
      </c>
      <c r="J371">
        <f t="shared" si="332"/>
        <v>-1286384.9733427053</v>
      </c>
      <c r="L371">
        <f t="shared" si="333"/>
        <v>-53.599373889279384</v>
      </c>
      <c r="P371" s="23">
        <v>2.9649999999999999E-5</v>
      </c>
      <c r="Q371" s="28" t="s">
        <v>177</v>
      </c>
      <c r="R371" s="27">
        <f t="shared" si="337"/>
        <v>-12.71377148653707</v>
      </c>
      <c r="S371" s="23">
        <f t="shared" si="338"/>
        <v>-12.71377148653707</v>
      </c>
      <c r="AA371" s="31"/>
    </row>
    <row r="372" spans="1:27">
      <c r="A372" s="11" t="s">
        <v>54</v>
      </c>
      <c r="B372">
        <v>20</v>
      </c>
      <c r="C372">
        <f t="shared" si="336"/>
        <v>293</v>
      </c>
      <c r="D372">
        <v>-5.3</v>
      </c>
      <c r="E372">
        <v>-8.02</v>
      </c>
      <c r="F372">
        <v>-2.5</v>
      </c>
      <c r="G372">
        <v>-6.5</v>
      </c>
      <c r="H372">
        <f t="shared" si="331"/>
        <v>-29.64</v>
      </c>
      <c r="I372">
        <v>218.29769999999999</v>
      </c>
      <c r="J372">
        <f t="shared" si="332"/>
        <v>-1390958.416272646</v>
      </c>
      <c r="L372">
        <f t="shared" si="333"/>
        <v>-57.956600678026916</v>
      </c>
      <c r="P372" s="23">
        <v>7.9170000000000006E-6</v>
      </c>
      <c r="Q372" s="28" t="s">
        <v>177</v>
      </c>
      <c r="R372" s="27">
        <f t="shared" si="337"/>
        <v>-3.6707392605435132</v>
      </c>
      <c r="S372" s="23">
        <f t="shared" si="338"/>
        <v>-3.6707392605435132</v>
      </c>
      <c r="X372">
        <f>LOG(ABS(S372))</f>
        <v>0.56475353685244378</v>
      </c>
      <c r="AA372" s="31"/>
    </row>
    <row r="373" spans="1:27">
      <c r="Q373" s="28"/>
      <c r="AA373" s="31"/>
    </row>
    <row r="374" spans="1:27">
      <c r="Q374" s="28"/>
      <c r="AA374" s="31"/>
    </row>
    <row r="375" spans="1:27" ht="17">
      <c r="D375" s="7" t="s">
        <v>105</v>
      </c>
      <c r="E375" s="7"/>
      <c r="F375" s="7"/>
      <c r="G375" s="7"/>
      <c r="Q375" s="28"/>
      <c r="R375" s="27" t="s">
        <v>173</v>
      </c>
      <c r="S375" t="s">
        <v>174</v>
      </c>
      <c r="AA375" s="31"/>
    </row>
    <row r="376" spans="1:27" ht="17">
      <c r="A376" t="s">
        <v>23</v>
      </c>
      <c r="B376" t="s">
        <v>24</v>
      </c>
      <c r="C376" t="s">
        <v>25</v>
      </c>
      <c r="D376" t="s">
        <v>67</v>
      </c>
      <c r="E376" t="s">
        <v>30</v>
      </c>
      <c r="F376" t="s">
        <v>27</v>
      </c>
      <c r="G376" t="s">
        <v>70</v>
      </c>
      <c r="H376" t="s">
        <v>31</v>
      </c>
      <c r="I376" t="s">
        <v>32</v>
      </c>
      <c r="J376" t="s">
        <v>33</v>
      </c>
      <c r="L376" t="s">
        <v>38</v>
      </c>
      <c r="M376" t="s">
        <v>191</v>
      </c>
      <c r="N376" s="1" t="s">
        <v>190</v>
      </c>
      <c r="P376" t="s">
        <v>178</v>
      </c>
      <c r="Q376" s="28" t="s">
        <v>177</v>
      </c>
      <c r="R376" s="27" t="s">
        <v>47</v>
      </c>
      <c r="S376" t="s">
        <v>175</v>
      </c>
      <c r="T376" t="s">
        <v>195</v>
      </c>
      <c r="U376" t="s">
        <v>194</v>
      </c>
      <c r="V376" t="s">
        <v>200</v>
      </c>
      <c r="W376" s="1" t="s">
        <v>190</v>
      </c>
      <c r="AA376" s="31"/>
    </row>
    <row r="377" spans="1:27">
      <c r="A377" t="s">
        <v>48</v>
      </c>
      <c r="B377">
        <v>54.7</v>
      </c>
      <c r="C377">
        <f>B377+273</f>
        <v>327.7</v>
      </c>
      <c r="D377">
        <v>-4.7778</v>
      </c>
      <c r="E377">
        <v>-5.2</v>
      </c>
      <c r="F377">
        <v>-3.0996999999999999</v>
      </c>
      <c r="G377">
        <v>-6.9089999999999998</v>
      </c>
      <c r="H377">
        <f>3*G377+F377+2*E377-3*D377</f>
        <v>-19.8933</v>
      </c>
      <c r="I377">
        <v>42.334000000000003</v>
      </c>
      <c r="J377">
        <f>-2.303*8.314*C377*(I377-H377)</f>
        <v>-390446.34091071179</v>
      </c>
      <c r="L377">
        <f t="shared" ref="L377:L383" si="339">J377/6000</f>
        <v>-65.074390151785295</v>
      </c>
      <c r="M377">
        <f t="shared" si="301"/>
        <v>-63.881033389381031</v>
      </c>
      <c r="N377">
        <f t="shared" ref="N377:N399" si="340">ABS(MAX(L377:L382)-M377)</f>
        <v>1.8580409573370389</v>
      </c>
      <c r="P377" s="23">
        <v>2.8059999999999999E-5</v>
      </c>
      <c r="Q377" s="28" t="s">
        <v>177</v>
      </c>
      <c r="R377" s="27">
        <f>(J377/3)*P377</f>
        <v>-3.651974775318191</v>
      </c>
      <c r="S377" s="23">
        <f>R377</f>
        <v>-3.651974775318191</v>
      </c>
      <c r="T377">
        <f>ABS(MIN(S377:S382))</f>
        <v>14.411822459884528</v>
      </c>
      <c r="U377">
        <f>ABS(MAX(S377:S382))</f>
        <v>3.5867009263176284</v>
      </c>
      <c r="V377">
        <f t="shared" si="334"/>
        <v>0.85670703416615179</v>
      </c>
      <c r="W377">
        <f t="shared" si="335"/>
        <v>0.30201186921725487</v>
      </c>
      <c r="AA377" s="31"/>
    </row>
    <row r="378" spans="1:27">
      <c r="A378" t="s">
        <v>49</v>
      </c>
      <c r="B378">
        <v>60.3</v>
      </c>
      <c r="C378">
        <f t="shared" ref="C378:C383" si="341">B378+273</f>
        <v>333.3</v>
      </c>
      <c r="D378">
        <v>-4.7697000000000003</v>
      </c>
      <c r="E378">
        <v>-5.2</v>
      </c>
      <c r="F378">
        <v>-2.6000999999999999</v>
      </c>
      <c r="G378">
        <v>-6.7397</v>
      </c>
      <c r="H378">
        <f t="shared" ref="H378:H383" si="342">3*G378+F378+2*E378-3*D378</f>
        <v>-18.9101</v>
      </c>
      <c r="I378">
        <v>41.544400000000003</v>
      </c>
      <c r="J378">
        <f t="shared" ref="J378:J383" si="343">-2.303*8.314*C378*(I378-H378)</f>
        <v>-385805.04764979868</v>
      </c>
      <c r="L378">
        <f t="shared" si="339"/>
        <v>-64.300841274966444</v>
      </c>
      <c r="P378" s="23">
        <v>2.7889999999999999E-5</v>
      </c>
      <c r="Q378" s="28" t="s">
        <v>177</v>
      </c>
      <c r="R378" s="27">
        <f t="shared" ref="R378:R383" si="344">(J378/3)*P378</f>
        <v>-3.5867009263176284</v>
      </c>
      <c r="S378" s="23">
        <f t="shared" ref="S378:S383" si="345">R378</f>
        <v>-3.5867009263176284</v>
      </c>
      <c r="AA378" s="31"/>
    </row>
    <row r="379" spans="1:27">
      <c r="A379" t="s">
        <v>50</v>
      </c>
      <c r="B379">
        <v>80.099999999999994</v>
      </c>
      <c r="C379">
        <f t="shared" si="341"/>
        <v>353.1</v>
      </c>
      <c r="D379">
        <v>-4.7794999999999996</v>
      </c>
      <c r="E379">
        <v>-4.7</v>
      </c>
      <c r="F379">
        <v>-3.76</v>
      </c>
      <c r="G379">
        <v>-6.9115000000000002</v>
      </c>
      <c r="H379">
        <f t="shared" si="342"/>
        <v>-19.556000000000001</v>
      </c>
      <c r="I379">
        <v>38.568100000000001</v>
      </c>
      <c r="J379">
        <f t="shared" si="343"/>
        <v>-392968.66094136878</v>
      </c>
      <c r="L379">
        <f t="shared" si="339"/>
        <v>-65.494776823561466</v>
      </c>
      <c r="P379" s="23">
        <v>2.8920000000000001E-5</v>
      </c>
      <c r="Q379" s="28" t="s">
        <v>177</v>
      </c>
      <c r="R379" s="27">
        <f t="shared" si="344"/>
        <v>-3.7882178914747953</v>
      </c>
      <c r="S379" s="23">
        <f t="shared" si="345"/>
        <v>-3.7882178914747953</v>
      </c>
      <c r="AA379" s="31"/>
    </row>
    <row r="380" spans="1:27">
      <c r="A380" t="s">
        <v>51</v>
      </c>
      <c r="B380">
        <v>96.6</v>
      </c>
      <c r="C380">
        <f t="shared" si="341"/>
        <v>369.6</v>
      </c>
      <c r="D380">
        <v>-4.6773999999999996</v>
      </c>
      <c r="E380">
        <v>-5.6</v>
      </c>
      <c r="F380">
        <v>-2.73</v>
      </c>
      <c r="G380">
        <v>-6.5316999999999998</v>
      </c>
      <c r="H380">
        <f t="shared" si="342"/>
        <v>-19.492899999999995</v>
      </c>
      <c r="I380">
        <v>36.243499999999997</v>
      </c>
      <c r="J380">
        <f t="shared" si="343"/>
        <v>-394434.44608030841</v>
      </c>
      <c r="L380">
        <f t="shared" si="339"/>
        <v>-65.73907434671807</v>
      </c>
      <c r="P380" s="23">
        <v>3.6059999999999997E-5</v>
      </c>
      <c r="Q380" s="28" t="s">
        <v>177</v>
      </c>
      <c r="R380" s="27">
        <f t="shared" si="344"/>
        <v>-4.7411020418853074</v>
      </c>
      <c r="S380" s="23">
        <f t="shared" si="345"/>
        <v>-4.7411020418853074</v>
      </c>
      <c r="AA380" s="31"/>
    </row>
    <row r="381" spans="1:27">
      <c r="A381" t="s">
        <v>52</v>
      </c>
      <c r="B381">
        <v>135</v>
      </c>
      <c r="C381">
        <f t="shared" si="341"/>
        <v>408</v>
      </c>
      <c r="D381">
        <v>-4.2153</v>
      </c>
      <c r="E381">
        <v>-2.9</v>
      </c>
      <c r="F381">
        <v>-3.5977000000000001</v>
      </c>
      <c r="G381">
        <v>-6.6307</v>
      </c>
      <c r="H381">
        <f t="shared" si="342"/>
        <v>-16.643899999999999</v>
      </c>
      <c r="I381">
        <v>31.607800000000001</v>
      </c>
      <c r="J381">
        <f t="shared" si="343"/>
        <v>-376943.91786969121</v>
      </c>
      <c r="L381">
        <f t="shared" si="339"/>
        <v>-62.823986311615201</v>
      </c>
      <c r="P381">
        <v>1.147E-4</v>
      </c>
      <c r="Q381" s="28" t="s">
        <v>177</v>
      </c>
      <c r="R381" s="27">
        <f t="shared" si="344"/>
        <v>-14.411822459884528</v>
      </c>
      <c r="S381" s="23">
        <f t="shared" si="345"/>
        <v>-14.411822459884528</v>
      </c>
      <c r="AA381" s="31"/>
    </row>
    <row r="382" spans="1:27">
      <c r="A382" t="s">
        <v>53</v>
      </c>
      <c r="B382">
        <v>135</v>
      </c>
      <c r="C382">
        <f t="shared" si="341"/>
        <v>408</v>
      </c>
      <c r="D382">
        <v>-4.7927</v>
      </c>
      <c r="E382">
        <v>-5</v>
      </c>
      <c r="F382">
        <v>-3.1202000000000001</v>
      </c>
      <c r="G382">
        <v>-5.7622</v>
      </c>
      <c r="H382">
        <f t="shared" si="342"/>
        <v>-16.028700000000001</v>
      </c>
      <c r="I382">
        <v>31.607800000000001</v>
      </c>
      <c r="J382">
        <f t="shared" si="343"/>
        <v>-372137.95459226397</v>
      </c>
      <c r="L382">
        <f t="shared" si="339"/>
        <v>-62.022992432043992</v>
      </c>
      <c r="P382" s="23">
        <v>2.9649999999999999E-5</v>
      </c>
      <c r="Q382" s="28" t="s">
        <v>177</v>
      </c>
      <c r="R382" s="27">
        <f t="shared" si="344"/>
        <v>-3.6779634512202088</v>
      </c>
      <c r="S382" s="23">
        <f t="shared" si="345"/>
        <v>-3.6779634512202088</v>
      </c>
      <c r="AA382" s="31"/>
    </row>
    <row r="383" spans="1:27">
      <c r="A383" s="11" t="s">
        <v>54</v>
      </c>
      <c r="B383">
        <v>20</v>
      </c>
      <c r="C383">
        <f t="shared" si="341"/>
        <v>293</v>
      </c>
      <c r="D383">
        <v>-5.3</v>
      </c>
      <c r="E383">
        <v>-8.02</v>
      </c>
      <c r="F383">
        <v>-2.5</v>
      </c>
      <c r="G383">
        <v>-6.9</v>
      </c>
      <c r="H383">
        <f t="shared" si="342"/>
        <v>-23.340000000000003</v>
      </c>
      <c r="I383">
        <v>48.459200000000003</v>
      </c>
      <c r="J383">
        <f t="shared" si="343"/>
        <v>-402801.59702071524</v>
      </c>
      <c r="L383">
        <f t="shared" si="339"/>
        <v>-67.133599503452544</v>
      </c>
      <c r="P383" s="23">
        <v>7.9170000000000006E-6</v>
      </c>
      <c r="Q383" s="28" t="s">
        <v>177</v>
      </c>
      <c r="R383" s="27">
        <f t="shared" si="344"/>
        <v>-1.0629934145376676</v>
      </c>
      <c r="S383" s="23">
        <f t="shared" si="345"/>
        <v>-1.0629934145376676</v>
      </c>
      <c r="X383">
        <f>LOG(ABS(S383))</f>
        <v>2.6530573988197078E-2</v>
      </c>
      <c r="AA383" s="31"/>
    </row>
    <row r="384" spans="1:27">
      <c r="Q384" s="28"/>
      <c r="AA384" s="31"/>
    </row>
    <row r="385" spans="1:27">
      <c r="J385" s="15"/>
      <c r="Q385" s="28"/>
      <c r="AA385" s="31"/>
    </row>
    <row r="386" spans="1:27" ht="17">
      <c r="D386" s="7" t="s">
        <v>119</v>
      </c>
      <c r="E386" s="7"/>
      <c r="F386" s="7"/>
      <c r="G386" s="7"/>
      <c r="Q386" s="28"/>
      <c r="R386" s="27" t="s">
        <v>173</v>
      </c>
      <c r="S386" t="s">
        <v>174</v>
      </c>
      <c r="AA386" s="31"/>
    </row>
    <row r="387" spans="1:27" ht="17">
      <c r="A387" t="s">
        <v>23</v>
      </c>
      <c r="B387" t="s">
        <v>24</v>
      </c>
      <c r="C387" t="s">
        <v>25</v>
      </c>
      <c r="D387" t="s">
        <v>70</v>
      </c>
      <c r="E387" t="s">
        <v>30</v>
      </c>
      <c r="F387" t="s">
        <v>27</v>
      </c>
      <c r="G387" t="s">
        <v>68</v>
      </c>
      <c r="H387" t="s">
        <v>31</v>
      </c>
      <c r="I387" t="s">
        <v>32</v>
      </c>
      <c r="J387" t="s">
        <v>33</v>
      </c>
      <c r="L387" t="s">
        <v>38</v>
      </c>
      <c r="M387" t="s">
        <v>191</v>
      </c>
      <c r="N387" s="1" t="s">
        <v>190</v>
      </c>
      <c r="P387" t="s">
        <v>179</v>
      </c>
      <c r="Q387" s="28"/>
      <c r="R387" s="27" t="s">
        <v>47</v>
      </c>
      <c r="S387" t="s">
        <v>175</v>
      </c>
      <c r="T387" t="s">
        <v>195</v>
      </c>
      <c r="U387" t="s">
        <v>194</v>
      </c>
      <c r="V387" t="s">
        <v>200</v>
      </c>
      <c r="W387" s="1" t="s">
        <v>190</v>
      </c>
      <c r="AA387" s="31"/>
    </row>
    <row r="388" spans="1:27">
      <c r="A388" t="s">
        <v>48</v>
      </c>
      <c r="B388">
        <v>54.7</v>
      </c>
      <c r="C388">
        <f>B388+273</f>
        <v>327.7</v>
      </c>
      <c r="D388">
        <v>-6.9089999999999998</v>
      </c>
      <c r="E388">
        <v>-5.2</v>
      </c>
      <c r="F388">
        <v>-3.0996999999999999</v>
      </c>
      <c r="G388">
        <v>-5.6195000000000004</v>
      </c>
      <c r="H388">
        <f>G388+F388-2*D388</f>
        <v>5.0987999999999989</v>
      </c>
      <c r="I388">
        <v>104.5994</v>
      </c>
      <c r="J388">
        <f>-2.303*8.314*C388*(I388-H388)</f>
        <v>-624318.34883436002</v>
      </c>
      <c r="L388">
        <f t="shared" ref="L388:L394" si="346">J388/6000</f>
        <v>-104.05305813906</v>
      </c>
      <c r="M388">
        <f t="shared" si="301"/>
        <v>-103.23409924607992</v>
      </c>
      <c r="N388">
        <f t="shared" si="340"/>
        <v>0.9081727353839284</v>
      </c>
      <c r="P388" s="23">
        <v>2.0760000000000001E-7</v>
      </c>
      <c r="Q388" s="28" t="s">
        <v>177</v>
      </c>
      <c r="R388" s="27">
        <f>(J388/2)*P388</f>
        <v>-6.4804244609006578E-2</v>
      </c>
      <c r="S388" s="23">
        <f>R388</f>
        <v>-6.4804244609006578E-2</v>
      </c>
      <c r="T388">
        <f>ABS(MIN(S388:S393))</f>
        <v>0.9876303950133557</v>
      </c>
      <c r="U388">
        <f>ABS(MAX(S388:S393))</f>
        <v>6.4804244609006578E-2</v>
      </c>
      <c r="V388">
        <f t="shared" si="334"/>
        <v>-0.59690105009548389</v>
      </c>
      <c r="W388">
        <f t="shared" si="335"/>
        <v>0.59149549727624751</v>
      </c>
      <c r="AA388" s="31"/>
    </row>
    <row r="389" spans="1:27">
      <c r="A389" t="s">
        <v>49</v>
      </c>
      <c r="B389">
        <v>60.3</v>
      </c>
      <c r="C389">
        <f t="shared" ref="C389:C392" si="347">B389+273</f>
        <v>333.3</v>
      </c>
      <c r="D389">
        <v>-6.7397</v>
      </c>
      <c r="E389">
        <v>-5.2</v>
      </c>
      <c r="F389">
        <v>-2.6000999999999999</v>
      </c>
      <c r="G389">
        <v>-5.8804999999999996</v>
      </c>
      <c r="H389">
        <f t="shared" ref="H389:H394" si="348">G389+F389-2*D389</f>
        <v>4.998800000000001</v>
      </c>
      <c r="I389">
        <v>102.9115</v>
      </c>
      <c r="J389">
        <f t="shared" ref="J389:J392" si="349">-2.303*8.314*C389*(I389-H389)</f>
        <v>-624853.63188878319</v>
      </c>
      <c r="L389">
        <f t="shared" si="346"/>
        <v>-104.14227198146386</v>
      </c>
      <c r="P389" s="23">
        <v>2.9849999999999998E-7</v>
      </c>
      <c r="Q389" s="28" t="s">
        <v>177</v>
      </c>
      <c r="R389" s="27">
        <f t="shared" ref="R389:R394" si="350">(J389/2)*P389</f>
        <v>-9.3259404559400891E-2</v>
      </c>
      <c r="S389" s="23">
        <f t="shared" ref="S389:S394" si="351">R389</f>
        <v>-9.3259404559400891E-2</v>
      </c>
      <c r="AA389" s="31"/>
    </row>
    <row r="390" spans="1:27">
      <c r="A390" t="s">
        <v>50</v>
      </c>
      <c r="B390">
        <v>80.099999999999994</v>
      </c>
      <c r="C390">
        <f t="shared" si="347"/>
        <v>353.1</v>
      </c>
      <c r="D390">
        <v>-6.9115000000000002</v>
      </c>
      <c r="E390">
        <v>-4.7</v>
      </c>
      <c r="F390">
        <v>-3.76</v>
      </c>
      <c r="G390">
        <v>-5.63</v>
      </c>
      <c r="H390">
        <f t="shared" si="348"/>
        <v>4.4329999999999998</v>
      </c>
      <c r="I390">
        <v>96.6494</v>
      </c>
      <c r="J390">
        <f t="shared" si="349"/>
        <v>-623461.78650221927</v>
      </c>
      <c r="L390">
        <f t="shared" si="346"/>
        <v>-103.91029775036988</v>
      </c>
      <c r="P390" s="23">
        <v>2.132E-7</v>
      </c>
      <c r="Q390" s="28" t="s">
        <v>177</v>
      </c>
      <c r="R390" s="27">
        <f t="shared" si="350"/>
        <v>-6.6461026441136578E-2</v>
      </c>
      <c r="S390" s="23">
        <f t="shared" si="351"/>
        <v>-6.6461026441136578E-2</v>
      </c>
      <c r="AA390" s="31"/>
    </row>
    <row r="391" spans="1:27">
      <c r="A391" t="s">
        <v>51</v>
      </c>
      <c r="B391">
        <v>96.6</v>
      </c>
      <c r="C391">
        <f t="shared" si="347"/>
        <v>369.6</v>
      </c>
      <c r="D391">
        <v>-6.5316999999999998</v>
      </c>
      <c r="E391">
        <v>-5.6</v>
      </c>
      <c r="F391">
        <v>-2.73</v>
      </c>
      <c r="G391">
        <v>-5.718</v>
      </c>
      <c r="H391">
        <f t="shared" si="348"/>
        <v>4.6153999999999993</v>
      </c>
      <c r="I391">
        <v>91.871099999999998</v>
      </c>
      <c r="J391">
        <f t="shared" si="349"/>
        <v>-617489.7140261943</v>
      </c>
      <c r="L391">
        <f t="shared" si="346"/>
        <v>-102.91495233769905</v>
      </c>
      <c r="P391" s="23">
        <v>5.0949999999999995E-7</v>
      </c>
      <c r="Q391" s="28" t="s">
        <v>177</v>
      </c>
      <c r="R391" s="27">
        <f t="shared" si="350"/>
        <v>-0.15730550464817297</v>
      </c>
      <c r="S391" s="23">
        <f t="shared" si="351"/>
        <v>-0.15730550464817297</v>
      </c>
      <c r="AA391" s="31"/>
    </row>
    <row r="392" spans="1:27">
      <c r="A392" t="s">
        <v>52</v>
      </c>
      <c r="B392">
        <v>135</v>
      </c>
      <c r="C392">
        <f t="shared" si="347"/>
        <v>408</v>
      </c>
      <c r="D392">
        <v>-6.6307</v>
      </c>
      <c r="E392">
        <v>-2.9</v>
      </c>
      <c r="F392">
        <v>-3.5977000000000001</v>
      </c>
      <c r="G392">
        <v>-5.5933999999999999</v>
      </c>
      <c r="H392">
        <f t="shared" si="348"/>
        <v>4.0702999999999996</v>
      </c>
      <c r="I392">
        <v>82.661299999999997</v>
      </c>
      <c r="J392">
        <f t="shared" si="349"/>
        <v>-613955.55906417593</v>
      </c>
      <c r="L392">
        <f t="shared" si="346"/>
        <v>-102.32592651069599</v>
      </c>
      <c r="P392" s="23">
        <v>4.221E-7</v>
      </c>
      <c r="Q392" s="28" t="s">
        <v>177</v>
      </c>
      <c r="R392" s="27">
        <f t="shared" si="350"/>
        <v>-0.12957532074049433</v>
      </c>
      <c r="S392" s="23">
        <f t="shared" si="351"/>
        <v>-0.12957532074049433</v>
      </c>
      <c r="AA392" s="31"/>
    </row>
    <row r="393" spans="1:27">
      <c r="A393" t="s">
        <v>53</v>
      </c>
      <c r="B393">
        <v>135</v>
      </c>
      <c r="C393">
        <f>B393+273</f>
        <v>408</v>
      </c>
      <c r="D393">
        <v>-5.7622</v>
      </c>
      <c r="E393">
        <v>-5</v>
      </c>
      <c r="F393">
        <v>-3.1202000000000001</v>
      </c>
      <c r="G393">
        <v>-5.23</v>
      </c>
      <c r="H393">
        <f t="shared" si="348"/>
        <v>3.174199999999999</v>
      </c>
      <c r="I393">
        <v>82.661299999999997</v>
      </c>
      <c r="J393">
        <f>-2.303*8.314*C393*(I393-H393)</f>
        <v>-620955.92267422553</v>
      </c>
      <c r="L393">
        <f t="shared" si="346"/>
        <v>-103.49265377903758</v>
      </c>
      <c r="P393" s="23">
        <v>3.1810000000000001E-6</v>
      </c>
      <c r="Q393" s="28" t="s">
        <v>177</v>
      </c>
      <c r="R393" s="27">
        <f t="shared" si="350"/>
        <v>-0.9876303950133557</v>
      </c>
      <c r="S393" s="23">
        <f t="shared" si="351"/>
        <v>-0.9876303950133557</v>
      </c>
      <c r="AA393" s="31"/>
    </row>
    <row r="394" spans="1:27">
      <c r="A394" s="11" t="s">
        <v>54</v>
      </c>
      <c r="B394">
        <v>20</v>
      </c>
      <c r="C394">
        <f t="shared" ref="C394" si="352">B394+273</f>
        <v>293</v>
      </c>
      <c r="D394">
        <v>-6.9</v>
      </c>
      <c r="E394">
        <v>-8.02</v>
      </c>
      <c r="F394">
        <v>-2.5</v>
      </c>
      <c r="G394">
        <v>-3.1</v>
      </c>
      <c r="H394">
        <f t="shared" si="348"/>
        <v>8.2000000000000011</v>
      </c>
      <c r="I394">
        <v>118.0733</v>
      </c>
      <c r="J394">
        <f>-2.303*8.314*C394*(I394-H394)</f>
        <v>-616401.58539281972</v>
      </c>
      <c r="L394">
        <f t="shared" si="346"/>
        <v>-102.73359756546995</v>
      </c>
      <c r="P394" s="23">
        <v>1.9999999999999999E-7</v>
      </c>
      <c r="Q394" s="28" t="s">
        <v>177</v>
      </c>
      <c r="R394" s="27">
        <f t="shared" si="350"/>
        <v>-6.1640158539281967E-2</v>
      </c>
      <c r="S394" s="23">
        <f t="shared" si="351"/>
        <v>-6.1640158539281967E-2</v>
      </c>
      <c r="X394">
        <f>LOG(ABS(S394))</f>
        <v>-1.2101362529411788</v>
      </c>
      <c r="AA394" s="31"/>
    </row>
    <row r="395" spans="1:27">
      <c r="Q395" s="28"/>
      <c r="AA395" s="31"/>
    </row>
    <row r="396" spans="1:27">
      <c r="J396" s="15"/>
      <c r="Q396" s="28"/>
      <c r="AA396" s="31"/>
    </row>
    <row r="397" spans="1:27" ht="17">
      <c r="D397" s="7" t="s">
        <v>132</v>
      </c>
      <c r="E397" s="7"/>
      <c r="F397" s="7"/>
      <c r="G397" s="7"/>
      <c r="Q397" s="28"/>
      <c r="R397" s="27" t="s">
        <v>173</v>
      </c>
      <c r="S397" t="s">
        <v>174</v>
      </c>
      <c r="AA397" s="31"/>
    </row>
    <row r="398" spans="1:27" ht="17">
      <c r="A398" t="s">
        <v>23</v>
      </c>
      <c r="B398" t="s">
        <v>24</v>
      </c>
      <c r="C398" t="s">
        <v>25</v>
      </c>
      <c r="D398" t="s">
        <v>70</v>
      </c>
      <c r="F398" t="s">
        <v>27</v>
      </c>
      <c r="G398" t="s">
        <v>104</v>
      </c>
      <c r="H398" t="s">
        <v>31</v>
      </c>
      <c r="I398" t="s">
        <v>32</v>
      </c>
      <c r="J398" t="s">
        <v>33</v>
      </c>
      <c r="L398" t="s">
        <v>38</v>
      </c>
      <c r="M398" t="s">
        <v>191</v>
      </c>
      <c r="N398" s="1" t="s">
        <v>190</v>
      </c>
      <c r="P398" t="s">
        <v>179</v>
      </c>
      <c r="Q398" s="28"/>
      <c r="R398" s="27" t="s">
        <v>47</v>
      </c>
      <c r="S398" t="s">
        <v>175</v>
      </c>
      <c r="T398" t="s">
        <v>195</v>
      </c>
      <c r="U398" t="s">
        <v>194</v>
      </c>
      <c r="V398" t="s">
        <v>200</v>
      </c>
      <c r="W398" s="1" t="s">
        <v>190</v>
      </c>
      <c r="AA398" s="31"/>
    </row>
    <row r="399" spans="1:27">
      <c r="A399" t="s">
        <v>48</v>
      </c>
      <c r="B399">
        <v>54.7</v>
      </c>
      <c r="C399">
        <f>B399+273</f>
        <v>327.7</v>
      </c>
      <c r="D399">
        <v>-6.9089999999999998</v>
      </c>
      <c r="F399">
        <v>-3.0996999999999999</v>
      </c>
      <c r="G399">
        <v>-3.0034000000000001</v>
      </c>
      <c r="H399">
        <f>G399+F399-D399</f>
        <v>0.80590000000000028</v>
      </c>
      <c r="I399">
        <v>49.598700000000001</v>
      </c>
      <c r="J399">
        <f>-2.303*8.314*C399*(I399-H399)</f>
        <v>-306151.32301719952</v>
      </c>
      <c r="L399">
        <f t="shared" ref="L399:L405" si="353">J399/6000</f>
        <v>-51.025220502866588</v>
      </c>
      <c r="M399">
        <f>AVERAGE(MIN(L399:L404),MAX(L399:L404))</f>
        <v>-50.85784129340712</v>
      </c>
      <c r="N399">
        <f t="shared" si="340"/>
        <v>1.8308183167271181</v>
      </c>
      <c r="P399" s="23">
        <v>2.0760000000000001E-7</v>
      </c>
      <c r="Q399" s="28" t="s">
        <v>177</v>
      </c>
      <c r="R399" s="27">
        <f>(J399)*P399</f>
        <v>-6.3557014658370617E-2</v>
      </c>
      <c r="S399" s="23">
        <f>R399</f>
        <v>-6.3557014658370617E-2</v>
      </c>
      <c r="T399">
        <f>ABS(MIN(S399:S404))</f>
        <v>0.96940658888171838</v>
      </c>
      <c r="U399">
        <f>ABS(MAX(S399:S404))</f>
        <v>6.3557014658370617E-2</v>
      </c>
      <c r="V399">
        <f t="shared" ref="V399" si="354">AVERAGE(LOG(T399),LOG(U399))</f>
        <v>-0.60516527152423805</v>
      </c>
      <c r="W399">
        <f t="shared" ref="W399" si="355">ABS(V399-LOG(T399))</f>
        <v>0.59167123874226335</v>
      </c>
      <c r="AA399" s="31"/>
    </row>
    <row r="400" spans="1:27">
      <c r="A400" t="s">
        <v>49</v>
      </c>
      <c r="B400">
        <v>60.3</v>
      </c>
      <c r="C400">
        <f t="shared" ref="C400:C405" si="356">B400+273</f>
        <v>333.3</v>
      </c>
      <c r="D400">
        <v>-6.7397</v>
      </c>
      <c r="F400">
        <v>-2.6000999999999999</v>
      </c>
      <c r="G400">
        <v>-3.9658000000000002</v>
      </c>
      <c r="H400">
        <f t="shared" ref="H400:H405" si="357">G400+F400-D400</f>
        <v>0.17379999999999995</v>
      </c>
      <c r="I400">
        <v>48.704700000000003</v>
      </c>
      <c r="J400">
        <f t="shared" ref="J400:J405" si="358">-2.303*8.314*C400*(I400-H400)</f>
        <v>-309711.70362814376</v>
      </c>
      <c r="L400">
        <f t="shared" si="353"/>
        <v>-51.618617271357294</v>
      </c>
      <c r="P400" s="23">
        <v>2.9849999999999998E-7</v>
      </c>
      <c r="Q400" s="28" t="s">
        <v>177</v>
      </c>
      <c r="R400" s="27">
        <f t="shared" ref="R400:R405" si="359">(J400)*P400</f>
        <v>-9.2448943533000913E-2</v>
      </c>
      <c r="S400" s="23">
        <f t="shared" ref="S400:S405" si="360">R400</f>
        <v>-9.2448943533000913E-2</v>
      </c>
      <c r="AA400" s="31"/>
    </row>
    <row r="401" spans="1:27">
      <c r="A401" t="s">
        <v>50</v>
      </c>
      <c r="B401">
        <v>80.099999999999994</v>
      </c>
      <c r="C401">
        <f t="shared" si="356"/>
        <v>353.1</v>
      </c>
      <c r="D401">
        <v>-6.9115000000000002</v>
      </c>
      <c r="F401">
        <v>-3.76</v>
      </c>
      <c r="G401">
        <v>-2.7109000000000001</v>
      </c>
      <c r="H401">
        <f t="shared" si="357"/>
        <v>0.44059999999999988</v>
      </c>
      <c r="I401">
        <v>45.3551</v>
      </c>
      <c r="J401">
        <f t="shared" si="358"/>
        <v>-303660.4596346629</v>
      </c>
      <c r="L401">
        <f t="shared" si="353"/>
        <v>-50.610076605777152</v>
      </c>
      <c r="P401" s="23">
        <v>2.132E-7</v>
      </c>
      <c r="Q401" s="28" t="s">
        <v>177</v>
      </c>
      <c r="R401" s="27">
        <f t="shared" si="359"/>
        <v>-6.4740409994110126E-2</v>
      </c>
      <c r="S401" s="23">
        <f t="shared" si="360"/>
        <v>-6.4740409994110126E-2</v>
      </c>
      <c r="AA401" s="31"/>
    </row>
    <row r="402" spans="1:27">
      <c r="A402" t="s">
        <v>51</v>
      </c>
      <c r="B402">
        <v>96.6</v>
      </c>
      <c r="C402">
        <f t="shared" si="356"/>
        <v>369.6</v>
      </c>
      <c r="D402">
        <v>-6.5316999999999998</v>
      </c>
      <c r="F402">
        <v>-2.73</v>
      </c>
      <c r="G402">
        <v>-5.7118000000000002</v>
      </c>
      <c r="H402">
        <f t="shared" si="357"/>
        <v>-1.9101000000000008</v>
      </c>
      <c r="I402">
        <v>42.761600000000001</v>
      </c>
      <c r="J402">
        <f t="shared" si="358"/>
        <v>-316131.95766080543</v>
      </c>
      <c r="L402">
        <f t="shared" si="353"/>
        <v>-52.688659610134238</v>
      </c>
      <c r="P402" s="23">
        <v>5.0949999999999995E-7</v>
      </c>
      <c r="Q402" s="28" t="s">
        <v>177</v>
      </c>
      <c r="R402" s="27">
        <f t="shared" si="359"/>
        <v>-0.16106923242818036</v>
      </c>
      <c r="S402" s="23">
        <f t="shared" si="360"/>
        <v>-0.16106923242818036</v>
      </c>
      <c r="AA402" s="31"/>
    </row>
    <row r="403" spans="1:27">
      <c r="A403" t="s">
        <v>52</v>
      </c>
      <c r="B403">
        <v>135</v>
      </c>
      <c r="C403">
        <f t="shared" si="356"/>
        <v>408</v>
      </c>
      <c r="D403">
        <v>-6.6307</v>
      </c>
      <c r="F403">
        <v>-3.5977000000000001</v>
      </c>
      <c r="G403">
        <v>-3.0333999999999999</v>
      </c>
      <c r="H403">
        <f t="shared" si="357"/>
        <v>-3.9999999999995595E-4</v>
      </c>
      <c r="I403">
        <v>37.654600000000002</v>
      </c>
      <c r="J403">
        <f t="shared" si="358"/>
        <v>-294162.13786007999</v>
      </c>
      <c r="L403">
        <f t="shared" si="353"/>
        <v>-49.027022976680001</v>
      </c>
      <c r="P403" s="23">
        <v>4.221E-7</v>
      </c>
      <c r="Q403" s="28" t="s">
        <v>177</v>
      </c>
      <c r="R403" s="27">
        <f t="shared" si="359"/>
        <v>-0.12416583839073976</v>
      </c>
      <c r="S403" s="23">
        <f t="shared" si="360"/>
        <v>-0.12416583839073976</v>
      </c>
      <c r="AA403" s="31"/>
    </row>
    <row r="404" spans="1:27">
      <c r="A404" t="s">
        <v>53</v>
      </c>
      <c r="B404">
        <v>135</v>
      </c>
      <c r="C404">
        <f t="shared" si="356"/>
        <v>408</v>
      </c>
      <c r="D404">
        <v>-5.7622</v>
      </c>
      <c r="F404">
        <v>-3.1202000000000001</v>
      </c>
      <c r="G404">
        <v>-3.9975999999999998</v>
      </c>
      <c r="H404">
        <f t="shared" si="357"/>
        <v>-1.3555999999999999</v>
      </c>
      <c r="I404">
        <v>37.654600000000002</v>
      </c>
      <c r="J404">
        <f t="shared" si="358"/>
        <v>-304749.00625014724</v>
      </c>
      <c r="L404">
        <f t="shared" si="353"/>
        <v>-50.791501041691205</v>
      </c>
      <c r="P404" s="23">
        <v>3.1810000000000001E-6</v>
      </c>
      <c r="Q404" s="28" t="s">
        <v>177</v>
      </c>
      <c r="R404" s="27">
        <f t="shared" si="359"/>
        <v>-0.96940658888171838</v>
      </c>
      <c r="S404" s="23">
        <f t="shared" si="360"/>
        <v>-0.96940658888171838</v>
      </c>
      <c r="AA404" s="31"/>
    </row>
    <row r="405" spans="1:27">
      <c r="A405" s="11" t="s">
        <v>54</v>
      </c>
      <c r="B405">
        <v>20</v>
      </c>
      <c r="C405">
        <f t="shared" si="356"/>
        <v>293</v>
      </c>
      <c r="D405">
        <v>-6.9</v>
      </c>
      <c r="F405">
        <v>-2.5</v>
      </c>
      <c r="G405">
        <v>-6.5</v>
      </c>
      <c r="H405">
        <f t="shared" si="357"/>
        <v>-2.0999999999999996</v>
      </c>
      <c r="I405">
        <v>56.612900000000003</v>
      </c>
      <c r="J405">
        <f t="shared" si="358"/>
        <v>-329385.98042481742</v>
      </c>
      <c r="L405">
        <f t="shared" si="353"/>
        <v>-54.897663404136239</v>
      </c>
      <c r="P405" s="23">
        <v>1.9999999999999999E-7</v>
      </c>
      <c r="Q405" s="28" t="s">
        <v>177</v>
      </c>
      <c r="R405" s="27">
        <f t="shared" si="359"/>
        <v>-6.587719608496348E-2</v>
      </c>
      <c r="S405" s="23">
        <f t="shared" si="360"/>
        <v>-6.587719608496348E-2</v>
      </c>
      <c r="X405">
        <f>LOG(ABS(S405))</f>
        <v>-1.181264893879068</v>
      </c>
      <c r="AA405" s="31"/>
    </row>
    <row r="406" spans="1:27">
      <c r="Q406" s="28"/>
      <c r="AA406" s="31"/>
    </row>
    <row r="407" spans="1:27">
      <c r="J407" s="15"/>
      <c r="Q407" s="28"/>
      <c r="AA407" s="31"/>
    </row>
    <row r="408" spans="1:27" ht="17">
      <c r="D408" s="7" t="s">
        <v>141</v>
      </c>
      <c r="E408" s="7"/>
      <c r="F408" s="7"/>
      <c r="K408" t="s">
        <v>142</v>
      </c>
      <c r="Q408" s="28"/>
      <c r="AA408" s="31"/>
    </row>
    <row r="409" spans="1:27" ht="17">
      <c r="A409" t="s">
        <v>23</v>
      </c>
      <c r="B409" t="s">
        <v>24</v>
      </c>
      <c r="C409" t="s">
        <v>25</v>
      </c>
      <c r="E409" t="s">
        <v>27</v>
      </c>
      <c r="F409" t="s">
        <v>30</v>
      </c>
      <c r="G409" t="s">
        <v>29</v>
      </c>
      <c r="H409" t="s">
        <v>31</v>
      </c>
      <c r="I409" t="s">
        <v>32</v>
      </c>
      <c r="J409" t="s">
        <v>33</v>
      </c>
      <c r="L409" t="s">
        <v>144</v>
      </c>
      <c r="M409" t="s">
        <v>191</v>
      </c>
      <c r="N409" s="1" t="s">
        <v>190</v>
      </c>
      <c r="Z409" t="s">
        <v>204</v>
      </c>
      <c r="AA409" s="31"/>
    </row>
    <row r="410" spans="1:27">
      <c r="A410" t="s">
        <v>48</v>
      </c>
      <c r="B410">
        <v>54.7</v>
      </c>
      <c r="C410">
        <f>B410+273</f>
        <v>327.7</v>
      </c>
      <c r="E410">
        <v>-3.0996999999999999</v>
      </c>
      <c r="F410">
        <v>-5.2</v>
      </c>
      <c r="G410">
        <v>-3.2303999999999999</v>
      </c>
      <c r="H410">
        <f t="shared" ref="H410:H415" si="361">E410+3*G410+2*F410</f>
        <v>-23.190899999999999</v>
      </c>
      <c r="I410">
        <v>-19.2667</v>
      </c>
      <c r="J410">
        <f>-2.303*8.314*C410*(I410-H410)</f>
        <v>-24622.465236348271</v>
      </c>
      <c r="L410">
        <f t="shared" ref="L410:L416" si="362">J410/12000</f>
        <v>-2.0518721030290226</v>
      </c>
      <c r="M410">
        <f t="shared" ref="M410:M433" si="363">AVERAGE(MIN(L410:L415),MAX(L410:L415))</f>
        <v>-4.0095012630941973</v>
      </c>
      <c r="N410">
        <f t="shared" ref="N410" si="364">ABS(MAX(L410:L415)-M410)</f>
        <v>2.0400076163786025</v>
      </c>
      <c r="Q410" s="28" t="s">
        <v>177</v>
      </c>
      <c r="R410" s="28" t="s">
        <v>177</v>
      </c>
      <c r="S410" s="24" t="s">
        <v>177</v>
      </c>
      <c r="Z410" s="31">
        <f>S344+S355+S366+S377+S388+S399</f>
        <v>-28.718854962610585</v>
      </c>
      <c r="AA410" s="31">
        <f t="shared" ref="AA410:AA415" si="365">-Z410</f>
        <v>28.718854962610585</v>
      </c>
    </row>
    <row r="411" spans="1:27">
      <c r="A411" t="s">
        <v>49</v>
      </c>
      <c r="B411">
        <v>60.3</v>
      </c>
      <c r="C411">
        <f t="shared" ref="C411:C416" si="366">B411+273</f>
        <v>333.3</v>
      </c>
      <c r="E411">
        <v>-2.6000999999999999</v>
      </c>
      <c r="F411">
        <v>-5.2</v>
      </c>
      <c r="G411">
        <v>-3.8155999999999999</v>
      </c>
      <c r="H411">
        <f t="shared" si="361"/>
        <v>-24.446899999999999</v>
      </c>
      <c r="I411">
        <v>-18.997499999999999</v>
      </c>
      <c r="J411">
        <f>-2.303*8.314*C411*(I411-H411)</f>
        <v>-34776.667190412845</v>
      </c>
      <c r="L411">
        <f t="shared" si="362"/>
        <v>-2.8980555992010704</v>
      </c>
      <c r="Q411" s="28" t="s">
        <v>177</v>
      </c>
      <c r="R411" s="28" t="s">
        <v>177</v>
      </c>
      <c r="S411" s="24" t="s">
        <v>177</v>
      </c>
      <c r="Z411" s="31">
        <f t="shared" ref="Z411:Z415" si="367">S345+S356+S367+S378+S389+S400</f>
        <v>-28.516530241797533</v>
      </c>
      <c r="AA411" s="31">
        <f t="shared" si="365"/>
        <v>28.516530241797533</v>
      </c>
    </row>
    <row r="412" spans="1:27">
      <c r="A412" t="s">
        <v>50</v>
      </c>
      <c r="B412">
        <v>80.099999999999994</v>
      </c>
      <c r="C412">
        <f t="shared" si="366"/>
        <v>353.1</v>
      </c>
      <c r="E412">
        <v>-3.76</v>
      </c>
      <c r="F412">
        <v>-4.7</v>
      </c>
      <c r="G412">
        <v>-2.7831999999999999</v>
      </c>
      <c r="H412">
        <f t="shared" si="361"/>
        <v>-21.509599999999999</v>
      </c>
      <c r="I412">
        <v>-18.0139</v>
      </c>
      <c r="J412">
        <f t="shared" ref="J412:J416" si="368">-2.303*8.314*C412*(I412-H412)</f>
        <v>-23633.923760587135</v>
      </c>
      <c r="L412">
        <f t="shared" si="362"/>
        <v>-1.9694936467155946</v>
      </c>
      <c r="Q412" s="28" t="s">
        <v>177</v>
      </c>
      <c r="R412" s="28" t="s">
        <v>177</v>
      </c>
      <c r="S412" s="24" t="s">
        <v>177</v>
      </c>
      <c r="Z412" s="31">
        <f t="shared" si="367"/>
        <v>-38.633594981995273</v>
      </c>
      <c r="AA412" s="31">
        <f t="shared" si="365"/>
        <v>38.633594981995273</v>
      </c>
    </row>
    <row r="413" spans="1:27">
      <c r="A413" t="s">
        <v>51</v>
      </c>
      <c r="B413">
        <v>96.6</v>
      </c>
      <c r="C413">
        <f t="shared" si="366"/>
        <v>369.6</v>
      </c>
      <c r="E413">
        <v>-2.73</v>
      </c>
      <c r="F413">
        <v>-5.6</v>
      </c>
      <c r="G413">
        <v>-4.0804999999999998</v>
      </c>
      <c r="H413">
        <f t="shared" si="361"/>
        <v>-26.171499999999998</v>
      </c>
      <c r="I413">
        <v>-17.283300000000001</v>
      </c>
      <c r="J413">
        <f t="shared" si="368"/>
        <v>-62899.868733018229</v>
      </c>
      <c r="L413">
        <f t="shared" si="362"/>
        <v>-5.2416557277515192</v>
      </c>
      <c r="Q413" s="28" t="s">
        <v>177</v>
      </c>
      <c r="R413" s="28" t="s">
        <v>177</v>
      </c>
      <c r="S413" s="24" t="s">
        <v>177</v>
      </c>
      <c r="Z413" s="31">
        <f t="shared" si="367"/>
        <v>-128.02434071092694</v>
      </c>
      <c r="AA413" s="31">
        <f t="shared" si="365"/>
        <v>128.02434071092694</v>
      </c>
    </row>
    <row r="414" spans="1:27">
      <c r="A414" t="s">
        <v>52</v>
      </c>
      <c r="B414">
        <v>135</v>
      </c>
      <c r="C414">
        <f t="shared" si="366"/>
        <v>408</v>
      </c>
      <c r="E414">
        <v>-3.5977000000000001</v>
      </c>
      <c r="F414">
        <v>-2.9</v>
      </c>
      <c r="G414">
        <v>-3.7812000000000001</v>
      </c>
      <c r="H414">
        <f t="shared" si="361"/>
        <v>-20.741299999999999</v>
      </c>
      <c r="I414">
        <v>-15.9437</v>
      </c>
      <c r="J414">
        <f t="shared" si="368"/>
        <v>-37479.014011353596</v>
      </c>
      <c r="L414">
        <f t="shared" si="362"/>
        <v>-3.1232511676127999</v>
      </c>
      <c r="Q414" s="28" t="s">
        <v>177</v>
      </c>
      <c r="R414" s="28" t="s">
        <v>177</v>
      </c>
      <c r="S414" s="24" t="s">
        <v>177</v>
      </c>
      <c r="Z414" s="31">
        <f t="shared" si="367"/>
        <v>-180.49146536914458</v>
      </c>
      <c r="AA414" s="31">
        <f t="shared" si="365"/>
        <v>180.49146536914458</v>
      </c>
    </row>
    <row r="415" spans="1:27">
      <c r="A415" t="s">
        <v>53</v>
      </c>
      <c r="B415">
        <v>135</v>
      </c>
      <c r="C415">
        <f t="shared" si="366"/>
        <v>408</v>
      </c>
      <c r="E415">
        <v>-3.1202000000000001</v>
      </c>
      <c r="F415">
        <v>-5</v>
      </c>
      <c r="G415">
        <v>-4.0387000000000004</v>
      </c>
      <c r="H415">
        <f t="shared" si="361"/>
        <v>-25.2363</v>
      </c>
      <c r="I415">
        <v>-15.9437</v>
      </c>
      <c r="J415">
        <f t="shared" si="368"/>
        <v>-72594.106553673599</v>
      </c>
      <c r="L415">
        <f t="shared" si="362"/>
        <v>-6.0495088794727998</v>
      </c>
      <c r="Q415" s="28" t="s">
        <v>177</v>
      </c>
      <c r="R415" s="28" t="s">
        <v>177</v>
      </c>
      <c r="S415" s="24" t="s">
        <v>177</v>
      </c>
      <c r="Z415" s="31">
        <f t="shared" si="367"/>
        <v>-31.428413360251135</v>
      </c>
      <c r="AA415" s="31">
        <f t="shared" si="365"/>
        <v>31.428413360251135</v>
      </c>
    </row>
    <row r="416" spans="1:27">
      <c r="A416" s="11" t="s">
        <v>54</v>
      </c>
      <c r="B416">
        <v>20</v>
      </c>
      <c r="C416">
        <f t="shared" si="366"/>
        <v>293</v>
      </c>
      <c r="E416">
        <v>-2.5</v>
      </c>
      <c r="F416">
        <v>-8.02</v>
      </c>
      <c r="G416">
        <v>-8.9</v>
      </c>
      <c r="H416">
        <f>E416+3*G416+5*F416</f>
        <v>-69.3</v>
      </c>
      <c r="I416">
        <v>-42.636600000000001</v>
      </c>
      <c r="J416">
        <f t="shared" si="368"/>
        <v>-149584.67645882038</v>
      </c>
      <c r="L416">
        <f t="shared" si="362"/>
        <v>-12.465389704901698</v>
      </c>
      <c r="Q416" s="28" t="s">
        <v>177</v>
      </c>
      <c r="R416" s="28" t="s">
        <v>177</v>
      </c>
      <c r="S416" s="24" t="s">
        <v>177</v>
      </c>
      <c r="AA416" s="31"/>
    </row>
    <row r="417" spans="1:27" ht="17">
      <c r="A417" s="14" t="s">
        <v>147</v>
      </c>
      <c r="B417" s="14"/>
      <c r="C417" s="14"/>
      <c r="G417" t="s">
        <v>57</v>
      </c>
      <c r="AA417" s="31"/>
    </row>
    <row r="418" spans="1:27">
      <c r="AA418" s="31"/>
    </row>
    <row r="419" spans="1:27" ht="16">
      <c r="D419" s="4" t="s">
        <v>8</v>
      </c>
      <c r="AA419" s="31"/>
    </row>
    <row r="420" spans="1:27">
      <c r="AA420" s="31"/>
    </row>
    <row r="421" spans="1:27" ht="17">
      <c r="D421" s="7" t="s">
        <v>18</v>
      </c>
      <c r="E421" s="7"/>
      <c r="F421" s="7"/>
      <c r="G421" s="7"/>
      <c r="Q421" s="27" t="s">
        <v>180</v>
      </c>
      <c r="R421" s="27" t="s">
        <v>173</v>
      </c>
      <c r="S421" t="s">
        <v>174</v>
      </c>
      <c r="AA421" s="31"/>
    </row>
    <row r="422" spans="1:27" ht="17">
      <c r="A422" t="s">
        <v>23</v>
      </c>
      <c r="B422" t="s">
        <v>24</v>
      </c>
      <c r="C422" t="s">
        <v>25</v>
      </c>
      <c r="D422" t="s">
        <v>36</v>
      </c>
      <c r="E422" t="s">
        <v>30</v>
      </c>
      <c r="F422" t="s">
        <v>39</v>
      </c>
      <c r="H422" t="s">
        <v>31</v>
      </c>
      <c r="I422" t="s">
        <v>32</v>
      </c>
      <c r="J422" t="s">
        <v>33</v>
      </c>
      <c r="L422" t="s">
        <v>40</v>
      </c>
      <c r="M422" t="s">
        <v>191</v>
      </c>
      <c r="N422" s="1" t="s">
        <v>190</v>
      </c>
      <c r="O422" t="s">
        <v>185</v>
      </c>
      <c r="Q422" s="27" t="s">
        <v>47</v>
      </c>
      <c r="R422" s="27" t="s">
        <v>47</v>
      </c>
      <c r="S422" t="s">
        <v>175</v>
      </c>
      <c r="T422" t="s">
        <v>195</v>
      </c>
      <c r="U422" t="s">
        <v>194</v>
      </c>
      <c r="V422" t="s">
        <v>200</v>
      </c>
      <c r="W422" s="1" t="s">
        <v>190</v>
      </c>
      <c r="AA422" s="31"/>
    </row>
    <row r="423" spans="1:27">
      <c r="A423" t="s">
        <v>48</v>
      </c>
      <c r="B423">
        <v>54.7</v>
      </c>
      <c r="C423">
        <f>B423+273</f>
        <v>327.7</v>
      </c>
      <c r="D423">
        <v>-6.11</v>
      </c>
      <c r="E423">
        <v>-5.2</v>
      </c>
      <c r="F423">
        <v>-2.8990999999999998</v>
      </c>
      <c r="H423">
        <f>4*E423-2*F423-D423</f>
        <v>-8.8917999999999999</v>
      </c>
      <c r="I423">
        <v>1.6255999999999999</v>
      </c>
      <c r="J423">
        <f>-2.303*8.314*C423*(I423-H423)</f>
        <v>-65991.620171441158</v>
      </c>
      <c r="L423">
        <f t="shared" ref="L423:L428" si="369">J423/4000</f>
        <v>-16.497905042860289</v>
      </c>
      <c r="M423">
        <f t="shared" si="363"/>
        <v>-13.44170266695312</v>
      </c>
      <c r="N423">
        <f t="shared" ref="N423:N433" si="370">ABS(MAX(L423:L428)-M423)</f>
        <v>8.93650269606192</v>
      </c>
      <c r="O423">
        <v>6.0639999999999999E-3</v>
      </c>
      <c r="Q423" s="27">
        <f>(J423/2)*O423</f>
        <v>-200.0865923598096</v>
      </c>
      <c r="R423" s="27">
        <f>(J423)*(10^D423)</f>
        <v>-5.1225804879736908E-2</v>
      </c>
      <c r="S423">
        <f t="shared" ref="S423:S429" si="371">IF(Q423&gt;R423, Q423,R423)</f>
        <v>-5.1225804879736908E-2</v>
      </c>
      <c r="T423">
        <f>ABS(MIN(S423:S428))</f>
        <v>21.47263027735157</v>
      </c>
      <c r="U423">
        <f>ABS(MAX(S423:S428))</f>
        <v>1.6901983586975106E-2</v>
      </c>
      <c r="V423">
        <f t="shared" ref="V423" si="372">AVERAGE(LOG(T423),LOG(U423))</f>
        <v>-0.22008853900824099</v>
      </c>
      <c r="W423">
        <f t="shared" ref="W423" si="373">ABS(V423-LOG(T423))</f>
        <v>1.551973785352883</v>
      </c>
      <c r="AA423" s="31"/>
    </row>
    <row r="424" spans="1:27">
      <c r="A424" t="s">
        <v>49</v>
      </c>
      <c r="B424">
        <v>60.3</v>
      </c>
      <c r="C424">
        <f t="shared" ref="C424:C429" si="374">B424+273</f>
        <v>333.3</v>
      </c>
      <c r="D424">
        <v>-6.22</v>
      </c>
      <c r="E424">
        <v>-5.2</v>
      </c>
      <c r="F424">
        <v>-5.8804999999999996</v>
      </c>
      <c r="G424" s="9"/>
      <c r="H424">
        <f t="shared" ref="H424:H429" si="375">4*E424-2*F424-D424</f>
        <v>-2.8190000000000017</v>
      </c>
      <c r="I424">
        <v>1.5764</v>
      </c>
      <c r="J424">
        <f>-2.303*8.314*C424*(I424-H424)</f>
        <v>-28050.310670668452</v>
      </c>
      <c r="L424">
        <f t="shared" si="369"/>
        <v>-7.012577667667113</v>
      </c>
      <c r="O424" s="23">
        <v>5.8939999999999998E-6</v>
      </c>
      <c r="Q424" s="27">
        <f t="shared" ref="Q424:Q429" si="376">(J424/2)*O424</f>
        <v>-8.266426554645992E-2</v>
      </c>
      <c r="R424" s="27">
        <f t="shared" ref="R424:R428" si="377">(J424)*(10^D424)</f>
        <v>-1.6901983586975106E-2</v>
      </c>
      <c r="S424">
        <f t="shared" si="371"/>
        <v>-1.6901983586975106E-2</v>
      </c>
      <c r="AA424" s="31"/>
    </row>
    <row r="425" spans="1:27">
      <c r="A425" t="s">
        <v>50</v>
      </c>
      <c r="B425">
        <v>80.099999999999994</v>
      </c>
      <c r="C425">
        <f t="shared" si="374"/>
        <v>353.1</v>
      </c>
      <c r="D425">
        <v>-4.5999999999999996</v>
      </c>
      <c r="E425">
        <v>-4.7</v>
      </c>
      <c r="F425">
        <v>-2.9089999999999998</v>
      </c>
      <c r="H425">
        <f t="shared" si="375"/>
        <v>-8.3820000000000014</v>
      </c>
      <c r="I425">
        <v>1.3703000000000001</v>
      </c>
      <c r="J425">
        <f t="shared" ref="J425:J429" si="378">-2.303*8.314*C425*(I425-H425)</f>
        <v>-65933.894410382476</v>
      </c>
      <c r="L425">
        <f t="shared" si="369"/>
        <v>-16.48347360259562</v>
      </c>
      <c r="O425">
        <v>6.7070000000000003E-3</v>
      </c>
      <c r="Q425" s="27">
        <f t="shared" si="376"/>
        <v>-221.10931490521764</v>
      </c>
      <c r="R425" s="27">
        <f t="shared" si="377"/>
        <v>-1.6561845474602503</v>
      </c>
      <c r="S425">
        <f t="shared" si="371"/>
        <v>-1.6561845474602503</v>
      </c>
      <c r="AA425" s="31"/>
    </row>
    <row r="426" spans="1:27">
      <c r="A426" t="s">
        <v>51</v>
      </c>
      <c r="B426">
        <v>96.6</v>
      </c>
      <c r="C426">
        <f t="shared" si="374"/>
        <v>369.6</v>
      </c>
      <c r="D426">
        <v>-3.62</v>
      </c>
      <c r="E426">
        <v>-5.6</v>
      </c>
      <c r="F426">
        <v>-3.6594000000000002</v>
      </c>
      <c r="H426">
        <f t="shared" si="375"/>
        <v>-11.461199999999998</v>
      </c>
      <c r="I426">
        <v>1.1876</v>
      </c>
      <c r="J426">
        <f t="shared" si="378"/>
        <v>-89512.821452060147</v>
      </c>
      <c r="L426">
        <f t="shared" si="369"/>
        <v>-22.378205363015038</v>
      </c>
      <c r="O426">
        <v>1.0970000000000001E-3</v>
      </c>
      <c r="Q426" s="27">
        <f t="shared" si="376"/>
        <v>-49.097782566454995</v>
      </c>
      <c r="R426" s="27">
        <f t="shared" si="377"/>
        <v>-21.47263027735157</v>
      </c>
      <c r="S426">
        <f t="shared" si="371"/>
        <v>-21.47263027735157</v>
      </c>
      <c r="AA426" s="31"/>
    </row>
    <row r="427" spans="1:27">
      <c r="A427" t="s">
        <v>52</v>
      </c>
      <c r="B427">
        <v>135</v>
      </c>
      <c r="C427">
        <f t="shared" si="374"/>
        <v>408</v>
      </c>
      <c r="D427">
        <v>-3.71</v>
      </c>
      <c r="E427">
        <v>-2.9</v>
      </c>
      <c r="F427">
        <v>-3.1783999999999999</v>
      </c>
      <c r="H427">
        <f t="shared" si="375"/>
        <v>-1.5331999999999999</v>
      </c>
      <c r="I427">
        <v>0.77359999999999995</v>
      </c>
      <c r="J427">
        <f t="shared" si="378"/>
        <v>-18020.7998835648</v>
      </c>
      <c r="L427">
        <f t="shared" si="369"/>
        <v>-4.5051999708911996</v>
      </c>
      <c r="O427">
        <v>4.215E-3</v>
      </c>
      <c r="Q427" s="27">
        <f t="shared" si="376"/>
        <v>-37.978835754612817</v>
      </c>
      <c r="R427" s="27">
        <f t="shared" si="377"/>
        <v>-3.5137759336289238</v>
      </c>
      <c r="S427">
        <f t="shared" si="371"/>
        <v>-3.5137759336289238</v>
      </c>
      <c r="AA427" s="31"/>
    </row>
    <row r="428" spans="1:27">
      <c r="A428" t="s">
        <v>53</v>
      </c>
      <c r="B428">
        <v>135</v>
      </c>
      <c r="C428">
        <f t="shared" si="374"/>
        <v>408</v>
      </c>
      <c r="D428">
        <v>-6.25</v>
      </c>
      <c r="E428">
        <v>-5</v>
      </c>
      <c r="F428">
        <v>-3.5276999999999998</v>
      </c>
      <c r="H428">
        <f t="shared" si="375"/>
        <v>-6.6946000000000012</v>
      </c>
      <c r="I428">
        <v>0.77359999999999995</v>
      </c>
      <c r="J428">
        <f t="shared" si="378"/>
        <v>-58341.831840835206</v>
      </c>
      <c r="L428">
        <f t="shared" si="369"/>
        <v>-14.585457960208801</v>
      </c>
      <c r="O428">
        <v>1.776E-3</v>
      </c>
      <c r="Q428" s="27">
        <f t="shared" si="376"/>
        <v>-51.807546674661666</v>
      </c>
      <c r="R428" s="27">
        <f t="shared" si="377"/>
        <v>-3.280802303140775E-2</v>
      </c>
      <c r="S428">
        <f t="shared" si="371"/>
        <v>-3.280802303140775E-2</v>
      </c>
      <c r="AA428" s="31"/>
    </row>
    <row r="429" spans="1:27">
      <c r="A429" s="11" t="s">
        <v>54</v>
      </c>
      <c r="B429">
        <v>20</v>
      </c>
      <c r="C429">
        <f t="shared" si="374"/>
        <v>293</v>
      </c>
      <c r="D429">
        <v>-3.6</v>
      </c>
      <c r="E429">
        <v>-8.02</v>
      </c>
      <c r="F429">
        <v>-10</v>
      </c>
      <c r="H429">
        <f t="shared" si="375"/>
        <v>-8.4799999999999986</v>
      </c>
      <c r="I429">
        <v>1.9274</v>
      </c>
      <c r="J429">
        <f t="shared" si="378"/>
        <v>-58386.685935684392</v>
      </c>
      <c r="L429">
        <f>J429/4000</f>
        <v>-14.596671483921098</v>
      </c>
      <c r="O429" s="23">
        <v>3.8809999999999998E-10</v>
      </c>
      <c r="Q429" s="27">
        <f t="shared" si="376"/>
        <v>-1.1329936405819556E-5</v>
      </c>
      <c r="R429" s="27">
        <f>(J429)*(10^D429)</f>
        <v>-14.666072418265669</v>
      </c>
      <c r="S429">
        <f t="shared" si="371"/>
        <v>-1.1329936405819556E-5</v>
      </c>
      <c r="X429">
        <f>LOG(ABS(S429))</f>
        <v>-4.9457725277958398</v>
      </c>
      <c r="AA429" s="31"/>
    </row>
    <row r="430" spans="1:27">
      <c r="AA430" s="31"/>
    </row>
    <row r="431" spans="1:27" ht="17">
      <c r="D431" s="7" t="s">
        <v>120</v>
      </c>
      <c r="E431" s="7"/>
      <c r="F431" s="7"/>
      <c r="G431" s="7"/>
      <c r="H431" s="7"/>
      <c r="Q431" s="27" t="s">
        <v>180</v>
      </c>
      <c r="R431" s="27" t="s">
        <v>173</v>
      </c>
      <c r="S431" t="s">
        <v>174</v>
      </c>
      <c r="AA431" s="31"/>
    </row>
    <row r="432" spans="1:27" ht="17">
      <c r="A432" t="s">
        <v>23</v>
      </c>
      <c r="B432" t="s">
        <v>24</v>
      </c>
      <c r="C432" t="s">
        <v>25</v>
      </c>
      <c r="D432" t="s">
        <v>97</v>
      </c>
      <c r="E432" t="s">
        <v>30</v>
      </c>
      <c r="F432" t="s">
        <v>39</v>
      </c>
      <c r="G432" t="s">
        <v>68</v>
      </c>
      <c r="H432" t="s">
        <v>31</v>
      </c>
      <c r="I432" t="s">
        <v>32</v>
      </c>
      <c r="J432" t="s">
        <v>33</v>
      </c>
      <c r="L432" t="s">
        <v>90</v>
      </c>
      <c r="M432" t="s">
        <v>191</v>
      </c>
      <c r="N432" s="1" t="s">
        <v>190</v>
      </c>
      <c r="O432" t="s">
        <v>185</v>
      </c>
      <c r="P432" t="s">
        <v>178</v>
      </c>
      <c r="Q432" s="27" t="s">
        <v>47</v>
      </c>
      <c r="R432" s="27" t="s">
        <v>47</v>
      </c>
      <c r="S432" t="s">
        <v>175</v>
      </c>
      <c r="T432" t="s">
        <v>195</v>
      </c>
      <c r="U432" t="s">
        <v>194</v>
      </c>
      <c r="V432" t="s">
        <v>200</v>
      </c>
      <c r="W432" s="1" t="s">
        <v>190</v>
      </c>
      <c r="AA432" s="31"/>
    </row>
    <row r="433" spans="1:27">
      <c r="A433" t="s">
        <v>48</v>
      </c>
      <c r="B433">
        <v>54.7</v>
      </c>
      <c r="C433">
        <f>B433+273</f>
        <v>327.7</v>
      </c>
      <c r="D433">
        <v>-4.7778</v>
      </c>
      <c r="E433">
        <v>-5.2</v>
      </c>
      <c r="F433">
        <v>-2.8990999999999998</v>
      </c>
      <c r="G433">
        <v>-5.6195000000000004</v>
      </c>
      <c r="H433">
        <f>G433+8*E433-5*F433-2*D433</f>
        <v>-23.168400000000005</v>
      </c>
      <c r="I433">
        <v>-2.0569000000000002</v>
      </c>
      <c r="J433">
        <f>-2.303*8.314*C433*(I433-H433)</f>
        <v>-132464.49590672413</v>
      </c>
      <c r="L433">
        <f t="shared" ref="L433:L439" si="379">J433/10000</f>
        <v>-13.246449590672412</v>
      </c>
      <c r="M433">
        <f t="shared" si="363"/>
        <v>-9.7077733182780008</v>
      </c>
      <c r="N433">
        <f t="shared" si="370"/>
        <v>5.9297955864890408</v>
      </c>
      <c r="O433">
        <v>6.0639999999999999E-3</v>
      </c>
      <c r="P433" s="23">
        <v>2.8059999999999999E-5</v>
      </c>
      <c r="Q433" s="27">
        <f>(J433/5)*O433</f>
        <v>-160.65294063567504</v>
      </c>
      <c r="R433" s="27">
        <f>(J433/2)*P433</f>
        <v>-1.8584768775713394</v>
      </c>
      <c r="S433">
        <f t="shared" ref="S433:S439" si="380">IF(Q433&gt;R433, Q433,R433)</f>
        <v>-1.8584768775713394</v>
      </c>
      <c r="T433">
        <f>ABS(MIN(S433:S438))</f>
        <v>2.8194536735294977</v>
      </c>
      <c r="U433">
        <f>ABS(MAX(S433:S438))</f>
        <v>4.9940094355933398E-2</v>
      </c>
      <c r="V433">
        <f t="shared" ref="V433:V454" si="381">AVERAGE(LOG(T433),LOG(U433))</f>
        <v>-0.4256928391746933</v>
      </c>
      <c r="W433">
        <f t="shared" ref="W433:W454" si="382">ABS(V433-LOG(T433))</f>
        <v>0.87585780226086896</v>
      </c>
      <c r="AA433" s="31"/>
    </row>
    <row r="434" spans="1:27">
      <c r="A434" t="s">
        <v>49</v>
      </c>
      <c r="B434">
        <v>60.3</v>
      </c>
      <c r="C434">
        <f t="shared" ref="C434:C437" si="383">B434+273</f>
        <v>333.3</v>
      </c>
      <c r="D434">
        <v>-4.7697000000000003</v>
      </c>
      <c r="E434">
        <v>-5.2</v>
      </c>
      <c r="F434">
        <v>-5.8804999999999996</v>
      </c>
      <c r="G434">
        <v>-5.8804999999999996</v>
      </c>
      <c r="H434">
        <f t="shared" ref="H434:H439" si="384">G434+8*E434-5*F434-2*D434</f>
        <v>-8.5386000000000024</v>
      </c>
      <c r="I434">
        <v>-1.9000999999999999</v>
      </c>
      <c r="J434">
        <f t="shared" ref="J434:J437" si="385">-2.303*8.314*C434*(I434-H434)</f>
        <v>-42365.197112261114</v>
      </c>
      <c r="L434">
        <f t="shared" si="379"/>
        <v>-4.2365197112261113</v>
      </c>
      <c r="O434" s="23">
        <v>5.8939999999999998E-6</v>
      </c>
      <c r="P434" s="23">
        <v>2.7889999999999999E-5</v>
      </c>
      <c r="Q434" s="27">
        <f t="shared" ref="Q434:Q439" si="386">(J434/5)*O434</f>
        <v>-4.9940094355933398E-2</v>
      </c>
      <c r="R434" s="27">
        <f t="shared" ref="R434:R439" si="387">(J434/2)*P434</f>
        <v>-0.59078267373048121</v>
      </c>
      <c r="S434">
        <f t="shared" si="380"/>
        <v>-4.9940094355933398E-2</v>
      </c>
      <c r="AA434" s="31"/>
    </row>
    <row r="435" spans="1:27">
      <c r="A435" t="s">
        <v>50</v>
      </c>
      <c r="B435">
        <v>80.099999999999994</v>
      </c>
      <c r="C435">
        <f t="shared" si="383"/>
        <v>353.1</v>
      </c>
      <c r="D435">
        <v>-4.7794999999999996</v>
      </c>
      <c r="E435">
        <v>-4.7</v>
      </c>
      <c r="F435">
        <v>-2.9089999999999998</v>
      </c>
      <c r="G435">
        <v>-5.63</v>
      </c>
      <c r="H435">
        <f t="shared" si="384"/>
        <v>-19.126000000000005</v>
      </c>
      <c r="I435">
        <v>-1.2830999999999999</v>
      </c>
      <c r="J435">
        <f t="shared" si="385"/>
        <v>-120633.27467110461</v>
      </c>
      <c r="L435">
        <f t="shared" si="379"/>
        <v>-12.06332746711046</v>
      </c>
      <c r="O435">
        <v>6.7070000000000003E-3</v>
      </c>
      <c r="P435" s="23">
        <v>2.8920000000000001E-5</v>
      </c>
      <c r="Q435" s="27">
        <f t="shared" si="386"/>
        <v>-161.81747464381974</v>
      </c>
      <c r="R435" s="27">
        <f t="shared" si="387"/>
        <v>-1.7443571517441727</v>
      </c>
      <c r="S435">
        <f t="shared" si="380"/>
        <v>-1.7443571517441727</v>
      </c>
      <c r="AA435" s="31"/>
    </row>
    <row r="436" spans="1:27">
      <c r="A436" t="s">
        <v>51</v>
      </c>
      <c r="B436">
        <v>96.6</v>
      </c>
      <c r="C436">
        <f t="shared" si="383"/>
        <v>369.6</v>
      </c>
      <c r="D436">
        <v>-4.6773999999999996</v>
      </c>
      <c r="E436">
        <v>-5.6</v>
      </c>
      <c r="F436">
        <v>-3.6594000000000002</v>
      </c>
      <c r="G436">
        <v>-5.718</v>
      </c>
      <c r="H436">
        <f t="shared" si="384"/>
        <v>-22.866200000000006</v>
      </c>
      <c r="I436">
        <v>-0.76919999999999999</v>
      </c>
      <c r="J436">
        <f t="shared" si="385"/>
        <v>-156375.68904767043</v>
      </c>
      <c r="L436">
        <f t="shared" si="379"/>
        <v>-15.637568904767043</v>
      </c>
      <c r="O436">
        <v>1.0970000000000001E-3</v>
      </c>
      <c r="P436" s="23">
        <v>3.6059999999999997E-5</v>
      </c>
      <c r="Q436" s="27">
        <f t="shared" si="386"/>
        <v>-34.30882617705889</v>
      </c>
      <c r="R436" s="27">
        <f t="shared" si="387"/>
        <v>-2.8194536735294977</v>
      </c>
      <c r="S436">
        <f t="shared" si="380"/>
        <v>-2.8194536735294977</v>
      </c>
      <c r="AA436" s="31"/>
    </row>
    <row r="437" spans="1:27">
      <c r="A437" t="s">
        <v>52</v>
      </c>
      <c r="B437">
        <v>135</v>
      </c>
      <c r="C437">
        <f t="shared" si="383"/>
        <v>408</v>
      </c>
      <c r="D437">
        <v>-4.2153</v>
      </c>
      <c r="E437">
        <v>-2.9</v>
      </c>
      <c r="F437">
        <v>-3.1783999999999999</v>
      </c>
      <c r="G437">
        <v>-5.5933999999999999</v>
      </c>
      <c r="H437">
        <f t="shared" si="384"/>
        <v>-4.4707999999999988</v>
      </c>
      <c r="I437">
        <v>0.36530000000000001</v>
      </c>
      <c r="J437">
        <f t="shared" si="385"/>
        <v>-37779.777317889595</v>
      </c>
      <c r="L437">
        <f t="shared" si="379"/>
        <v>-3.7779777317889596</v>
      </c>
      <c r="O437">
        <v>4.215E-3</v>
      </c>
      <c r="P437">
        <v>1.147E-4</v>
      </c>
      <c r="Q437" s="27">
        <f t="shared" si="386"/>
        <v>-31.848352278980926</v>
      </c>
      <c r="R437" s="27">
        <f t="shared" si="387"/>
        <v>-2.1666702291809683</v>
      </c>
      <c r="S437">
        <f t="shared" si="380"/>
        <v>-2.1666702291809683</v>
      </c>
      <c r="AA437" s="31"/>
    </row>
    <row r="438" spans="1:27">
      <c r="A438" t="s">
        <v>53</v>
      </c>
      <c r="B438">
        <v>135</v>
      </c>
      <c r="C438">
        <f>B438+273</f>
        <v>408</v>
      </c>
      <c r="D438">
        <v>-4.7927</v>
      </c>
      <c r="E438">
        <v>-5</v>
      </c>
      <c r="F438">
        <v>-3.5276999999999998</v>
      </c>
      <c r="G438">
        <v>-5.23</v>
      </c>
      <c r="H438">
        <f t="shared" si="384"/>
        <v>-18.006100000000004</v>
      </c>
      <c r="I438">
        <v>0.36530000000000001</v>
      </c>
      <c r="J438">
        <f>-2.303*8.314*C438*(I438-H438)</f>
        <v>-143518.00025183044</v>
      </c>
      <c r="L438">
        <f t="shared" si="379"/>
        <v>-14.351800025183044</v>
      </c>
      <c r="O438">
        <v>1.776E-3</v>
      </c>
      <c r="P438" s="23">
        <v>2.9649999999999999E-5</v>
      </c>
      <c r="Q438" s="27">
        <f t="shared" si="386"/>
        <v>-50.977593689450174</v>
      </c>
      <c r="R438" s="27">
        <f t="shared" si="387"/>
        <v>-2.1276543537333863</v>
      </c>
      <c r="S438">
        <f t="shared" si="380"/>
        <v>-2.1276543537333863</v>
      </c>
      <c r="AA438" s="31"/>
    </row>
    <row r="439" spans="1:27">
      <c r="A439" s="11" t="s">
        <v>54</v>
      </c>
      <c r="B439">
        <v>20</v>
      </c>
      <c r="C439">
        <f>B439+273</f>
        <v>293</v>
      </c>
      <c r="D439">
        <v>-5.3</v>
      </c>
      <c r="E439">
        <v>-8.02</v>
      </c>
      <c r="F439">
        <v>-10</v>
      </c>
      <c r="G439">
        <v>-3.1</v>
      </c>
      <c r="H439">
        <f t="shared" si="384"/>
        <v>-6.6599999999999913</v>
      </c>
      <c r="I439">
        <v>-3.1734</v>
      </c>
      <c r="J439">
        <f>-2.303*8.314*C439*(I439-H439)</f>
        <v>-19560.218612079549</v>
      </c>
      <c r="L439">
        <f t="shared" si="379"/>
        <v>-1.956021861207955</v>
      </c>
      <c r="O439" s="23">
        <v>3.8809999999999998E-10</v>
      </c>
      <c r="P439" s="23">
        <v>7.9170000000000006E-6</v>
      </c>
      <c r="Q439" s="27">
        <f t="shared" si="386"/>
        <v>-1.5182641686696145E-6</v>
      </c>
      <c r="R439" s="27">
        <f t="shared" si="387"/>
        <v>-7.7429125375916896E-2</v>
      </c>
      <c r="S439">
        <f t="shared" si="380"/>
        <v>-1.5182641686696145E-6</v>
      </c>
      <c r="X439">
        <f>LOG(ABS(S439))</f>
        <v>-5.8186526572850514</v>
      </c>
      <c r="AA439" s="31"/>
    </row>
    <row r="440" spans="1:27">
      <c r="AA440" s="31"/>
    </row>
    <row r="441" spans="1:27" ht="17">
      <c r="D441" s="7" t="s">
        <v>65</v>
      </c>
      <c r="E441" s="7"/>
      <c r="F441" s="7"/>
      <c r="G441" s="7"/>
      <c r="H441" s="7"/>
      <c r="Q441" s="27" t="s">
        <v>180</v>
      </c>
      <c r="R441" s="27" t="s">
        <v>173</v>
      </c>
      <c r="S441" t="s">
        <v>174</v>
      </c>
      <c r="AA441" s="31"/>
    </row>
    <row r="442" spans="1:27" ht="17">
      <c r="A442" t="s">
        <v>23</v>
      </c>
      <c r="B442" t="s">
        <v>24</v>
      </c>
      <c r="C442" t="s">
        <v>25</v>
      </c>
      <c r="D442" t="s">
        <v>73</v>
      </c>
      <c r="E442" t="s">
        <v>30</v>
      </c>
      <c r="F442" t="s">
        <v>39</v>
      </c>
      <c r="G442" t="s">
        <v>68</v>
      </c>
      <c r="H442" t="s">
        <v>31</v>
      </c>
      <c r="I442" t="s">
        <v>32</v>
      </c>
      <c r="J442" t="s">
        <v>33</v>
      </c>
      <c r="L442" t="s">
        <v>38</v>
      </c>
      <c r="M442" t="s">
        <v>191</v>
      </c>
      <c r="N442" s="1" t="s">
        <v>190</v>
      </c>
      <c r="O442" t="s">
        <v>185</v>
      </c>
      <c r="P442" t="s">
        <v>184</v>
      </c>
      <c r="Q442" s="27" t="s">
        <v>47</v>
      </c>
      <c r="R442" s="27" t="s">
        <v>47</v>
      </c>
      <c r="S442" t="s">
        <v>175</v>
      </c>
      <c r="T442" t="s">
        <v>195</v>
      </c>
      <c r="U442" t="s">
        <v>194</v>
      </c>
      <c r="V442" t="s">
        <v>200</v>
      </c>
      <c r="W442" s="1" t="s">
        <v>190</v>
      </c>
      <c r="Z442" t="s">
        <v>205</v>
      </c>
      <c r="AA442" s="31"/>
    </row>
    <row r="443" spans="1:27">
      <c r="A443" t="s">
        <v>48</v>
      </c>
      <c r="B443">
        <v>54.7</v>
      </c>
      <c r="C443">
        <f>B443+273</f>
        <v>327.7</v>
      </c>
      <c r="D443">
        <v>-6.9089999999999998</v>
      </c>
      <c r="E443">
        <v>-5.2</v>
      </c>
      <c r="F443">
        <v>-2.8990999999999998</v>
      </c>
      <c r="G443">
        <v>-5.6195000000000004</v>
      </c>
      <c r="H443">
        <f>G443+4*E443-3*F443-2*D443</f>
        <v>-3.9042000000000012</v>
      </c>
      <c r="I443">
        <v>23.672000000000001</v>
      </c>
      <c r="J443">
        <f>-2.303*8.314*C443*(I443-H443)</f>
        <v>-173027.37522312507</v>
      </c>
      <c r="L443">
        <f t="shared" ref="L443:L449" si="388">J443/6000</f>
        <v>-28.837895870520846</v>
      </c>
      <c r="M443">
        <f>AVERAGE(MIN(L443:L448),MAX(L443:L448))</f>
        <v>-25.259235227814003</v>
      </c>
      <c r="N443">
        <f>ABS(MAX(L443:L448)-M443)</f>
        <v>5.6804553762796033</v>
      </c>
      <c r="O443">
        <v>6.0639999999999999E-3</v>
      </c>
      <c r="P443" s="23">
        <v>2.0760000000000001E-7</v>
      </c>
      <c r="Q443" s="27">
        <f>(J443/3)*O443</f>
        <v>-349.74600111767683</v>
      </c>
      <c r="R443" s="27">
        <f>(J443/2)*P443</f>
        <v>-1.7960241548160383E-2</v>
      </c>
      <c r="S443">
        <f t="shared" ref="S443:S449" si="389">IF(Q443&gt;R443, Q443,R443)</f>
        <v>-1.7960241548160383E-2</v>
      </c>
      <c r="T443">
        <f>ABS(MIN(S443:S448))</f>
        <v>0.29525746743486525</v>
      </c>
      <c r="U443">
        <f>ABS(MAX(S443:S448))</f>
        <v>1.7543959950167814E-2</v>
      </c>
      <c r="V443">
        <f t="shared" si="381"/>
        <v>-1.1428357412337178</v>
      </c>
      <c r="W443">
        <f t="shared" si="382"/>
        <v>0.61303663151501953</v>
      </c>
      <c r="Z443">
        <f>S423+S433+S443</f>
        <v>-1.9276629239992367</v>
      </c>
      <c r="AA443" s="31">
        <f t="shared" ref="AA443:AA489" si="390">-Z443</f>
        <v>1.9276629239992367</v>
      </c>
    </row>
    <row r="444" spans="1:27">
      <c r="A444" t="s">
        <v>49</v>
      </c>
      <c r="B444">
        <v>60.3</v>
      </c>
      <c r="C444">
        <f t="shared" ref="C444:C449" si="391">B444+273</f>
        <v>333.3</v>
      </c>
      <c r="D444">
        <v>-6.7397</v>
      </c>
      <c r="E444">
        <v>-5.2</v>
      </c>
      <c r="F444">
        <v>-5.8804999999999996</v>
      </c>
      <c r="G444">
        <v>-5.8804999999999996</v>
      </c>
      <c r="H444">
        <f t="shared" ref="H444:H449" si="392">G444+4*E444-3*F444-2*D444</f>
        <v>4.4403999999999986</v>
      </c>
      <c r="I444">
        <v>23.4068</v>
      </c>
      <c r="J444">
        <f t="shared" ref="J444:J449" si="393">-2.303*8.314*C444*(I444-H444)</f>
        <v>-121038.67959779903</v>
      </c>
      <c r="L444">
        <f t="shared" si="388"/>
        <v>-20.173113266299836</v>
      </c>
      <c r="O444" s="23">
        <v>5.8939999999999998E-6</v>
      </c>
      <c r="P444" s="23">
        <v>2.9849999999999998E-7</v>
      </c>
      <c r="Q444" s="27">
        <f t="shared" ref="Q444:Q449" si="394">(J444/3)*O444</f>
        <v>-0.2378006591831425</v>
      </c>
      <c r="R444" s="27">
        <f t="shared" ref="R444:R449" si="395">(J444/2)*P444</f>
        <v>-1.8065022929971503E-2</v>
      </c>
      <c r="S444">
        <f t="shared" si="389"/>
        <v>-1.8065022929971503E-2</v>
      </c>
      <c r="Z444">
        <f t="shared" ref="Z444:Z448" si="396">S424+S434+S444</f>
        <v>-8.4907100872880004E-2</v>
      </c>
      <c r="AA444" s="31">
        <f t="shared" si="390"/>
        <v>8.4907100872880004E-2</v>
      </c>
    </row>
    <row r="445" spans="1:27">
      <c r="A445" t="s">
        <v>50</v>
      </c>
      <c r="B445">
        <v>80.099999999999994</v>
      </c>
      <c r="C445">
        <f t="shared" si="391"/>
        <v>353.1</v>
      </c>
      <c r="D445">
        <v>-6.9115000000000002</v>
      </c>
      <c r="E445">
        <v>-4.7</v>
      </c>
      <c r="F445">
        <v>-2.9089999999999998</v>
      </c>
      <c r="G445">
        <v>-5.63</v>
      </c>
      <c r="H445">
        <f t="shared" si="392"/>
        <v>-1.879999999999999</v>
      </c>
      <c r="I445">
        <v>22.462700000000002</v>
      </c>
      <c r="J445">
        <f t="shared" si="393"/>
        <v>-164577.48546123653</v>
      </c>
      <c r="L445">
        <f t="shared" si="388"/>
        <v>-27.429580910206088</v>
      </c>
      <c r="O445">
        <v>6.7070000000000003E-3</v>
      </c>
      <c r="P445" s="23">
        <v>2.132E-7</v>
      </c>
      <c r="Q445" s="27">
        <f t="shared" si="394"/>
        <v>-367.94039832950449</v>
      </c>
      <c r="R445" s="27">
        <f t="shared" si="395"/>
        <v>-1.7543959950167814E-2</v>
      </c>
      <c r="S445">
        <f t="shared" si="389"/>
        <v>-1.7543959950167814E-2</v>
      </c>
      <c r="Z445">
        <f t="shared" si="396"/>
        <v>-3.4180856591545905</v>
      </c>
      <c r="AA445" s="31">
        <f t="shared" si="390"/>
        <v>3.4180856591545905</v>
      </c>
    </row>
    <row r="446" spans="1:27">
      <c r="A446" t="s">
        <v>51</v>
      </c>
      <c r="B446">
        <v>96.6</v>
      </c>
      <c r="C446">
        <f t="shared" si="391"/>
        <v>369.6</v>
      </c>
      <c r="D446">
        <v>-6.5316999999999998</v>
      </c>
      <c r="E446">
        <v>-5.6</v>
      </c>
      <c r="F446">
        <v>-3.6594000000000002</v>
      </c>
      <c r="G446">
        <v>-5.718</v>
      </c>
      <c r="H446">
        <f t="shared" si="392"/>
        <v>-4.0763999999999978</v>
      </c>
      <c r="I446">
        <v>21.7895</v>
      </c>
      <c r="J446">
        <f t="shared" si="393"/>
        <v>-183047.37907128286</v>
      </c>
      <c r="L446">
        <f t="shared" si="388"/>
        <v>-30.507896511880478</v>
      </c>
      <c r="O446">
        <v>1.0970000000000001E-3</v>
      </c>
      <c r="P446" s="23">
        <v>5.0949999999999995E-7</v>
      </c>
      <c r="Q446" s="27">
        <f t="shared" si="394"/>
        <v>-66.934324947065775</v>
      </c>
      <c r="R446" s="27">
        <f t="shared" si="395"/>
        <v>-4.6631319818409303E-2</v>
      </c>
      <c r="S446">
        <f t="shared" si="389"/>
        <v>-4.6631319818409303E-2</v>
      </c>
      <c r="Z446">
        <f t="shared" si="396"/>
        <v>-24.338715270699478</v>
      </c>
      <c r="AA446" s="31">
        <f t="shared" si="390"/>
        <v>24.338715270699478</v>
      </c>
    </row>
    <row r="447" spans="1:27">
      <c r="A447" t="s">
        <v>52</v>
      </c>
      <c r="B447">
        <v>135</v>
      </c>
      <c r="C447">
        <f t="shared" si="391"/>
        <v>408</v>
      </c>
      <c r="D447">
        <v>-6.6307</v>
      </c>
      <c r="E447">
        <v>-2.9</v>
      </c>
      <c r="F447">
        <v>-3.1783999999999999</v>
      </c>
      <c r="G447">
        <v>-5.5933999999999999</v>
      </c>
      <c r="H447">
        <f t="shared" si="392"/>
        <v>5.6031999999999993</v>
      </c>
      <c r="I447">
        <v>20.640599999999999</v>
      </c>
      <c r="J447">
        <f t="shared" si="393"/>
        <v>-117472.67910920639</v>
      </c>
      <c r="L447">
        <f t="shared" si="388"/>
        <v>-19.578779851534399</v>
      </c>
      <c r="O447">
        <v>4.215E-3</v>
      </c>
      <c r="P447" s="23">
        <v>4.221E-7</v>
      </c>
      <c r="Q447" s="27">
        <f t="shared" si="394"/>
        <v>-165.049114148435</v>
      </c>
      <c r="R447" s="27">
        <f t="shared" si="395"/>
        <v>-2.4792608925998008E-2</v>
      </c>
      <c r="S447">
        <f t="shared" si="389"/>
        <v>-2.4792608925998008E-2</v>
      </c>
      <c r="Z447">
        <f t="shared" si="396"/>
        <v>-5.7052387717358899</v>
      </c>
      <c r="AA447" s="31">
        <f t="shared" si="390"/>
        <v>5.7052387717358899</v>
      </c>
    </row>
    <row r="448" spans="1:27">
      <c r="A448" t="s">
        <v>53</v>
      </c>
      <c r="B448">
        <v>135</v>
      </c>
      <c r="C448">
        <f t="shared" si="391"/>
        <v>408</v>
      </c>
      <c r="D448">
        <v>-5.7622</v>
      </c>
      <c r="E448">
        <v>-5</v>
      </c>
      <c r="F448">
        <v>-3.5276999999999998</v>
      </c>
      <c r="G448">
        <v>-5.23</v>
      </c>
      <c r="H448">
        <f t="shared" si="392"/>
        <v>-3.1225000000000005</v>
      </c>
      <c r="I448">
        <v>20.640599999999999</v>
      </c>
      <c r="J448">
        <f t="shared" si="393"/>
        <v>-185638.14362456161</v>
      </c>
      <c r="L448">
        <f t="shared" si="388"/>
        <v>-30.939690604093602</v>
      </c>
      <c r="O448">
        <v>1.776E-3</v>
      </c>
      <c r="P448" s="23">
        <v>3.1810000000000001E-6</v>
      </c>
      <c r="Q448" s="27">
        <f t="shared" si="394"/>
        <v>-109.89778102574047</v>
      </c>
      <c r="R448" s="27">
        <f t="shared" si="395"/>
        <v>-0.29525746743486525</v>
      </c>
      <c r="S448">
        <f t="shared" si="389"/>
        <v>-0.29525746743486525</v>
      </c>
      <c r="Z448">
        <f t="shared" si="396"/>
        <v>-2.4557198441996593</v>
      </c>
      <c r="AA448" s="31">
        <f t="shared" si="390"/>
        <v>2.4557198441996593</v>
      </c>
    </row>
    <row r="449" spans="1:27">
      <c r="A449" s="11" t="s">
        <v>54</v>
      </c>
      <c r="B449">
        <v>20</v>
      </c>
      <c r="C449">
        <f t="shared" si="391"/>
        <v>293</v>
      </c>
      <c r="D449">
        <v>-6.9</v>
      </c>
      <c r="E449">
        <v>-8.02</v>
      </c>
      <c r="F449">
        <v>-10</v>
      </c>
      <c r="G449">
        <v>-3.1</v>
      </c>
      <c r="H449">
        <f t="shared" si="392"/>
        <v>8.620000000000001</v>
      </c>
      <c r="I449">
        <v>25.941600000000001</v>
      </c>
      <c r="J449">
        <f t="shared" si="393"/>
        <v>-97176.1265160896</v>
      </c>
      <c r="L449">
        <f t="shared" si="388"/>
        <v>-16.196021086014934</v>
      </c>
      <c r="O449" s="23">
        <v>3.8809999999999998E-10</v>
      </c>
      <c r="P449" s="23">
        <v>1.9999999999999999E-7</v>
      </c>
      <c r="Q449" s="27">
        <f t="shared" si="394"/>
        <v>-1.257135156696479E-5</v>
      </c>
      <c r="R449" s="27">
        <f t="shared" si="395"/>
        <v>-9.71761265160896E-3</v>
      </c>
      <c r="S449">
        <f t="shared" si="389"/>
        <v>-1.257135156696479E-5</v>
      </c>
      <c r="X449">
        <f>LOG(ABS(S449))</f>
        <v>-4.9006180280801441</v>
      </c>
      <c r="AA449" s="31"/>
    </row>
    <row r="450" spans="1:27">
      <c r="AA450" s="31"/>
    </row>
    <row r="451" spans="1:27" ht="17">
      <c r="D451" s="4" t="s">
        <v>9</v>
      </c>
      <c r="AA451" s="31"/>
    </row>
    <row r="452" spans="1:27" ht="17">
      <c r="D452" s="7" t="s">
        <v>74</v>
      </c>
      <c r="E452" s="7"/>
      <c r="F452" s="7"/>
      <c r="Q452" s="27" t="s">
        <v>180</v>
      </c>
      <c r="R452" s="27" t="s">
        <v>173</v>
      </c>
      <c r="S452" t="s">
        <v>174</v>
      </c>
      <c r="AA452" s="31"/>
    </row>
    <row r="453" spans="1:27" ht="17">
      <c r="A453" t="s">
        <v>23</v>
      </c>
      <c r="B453" t="s">
        <v>24</v>
      </c>
      <c r="C453" t="s">
        <v>25</v>
      </c>
      <c r="D453" t="s">
        <v>41</v>
      </c>
      <c r="E453" t="s">
        <v>42</v>
      </c>
      <c r="F453" t="s">
        <v>77</v>
      </c>
      <c r="G453" t="s">
        <v>36</v>
      </c>
      <c r="H453" t="s">
        <v>31</v>
      </c>
      <c r="I453" t="s">
        <v>32</v>
      </c>
      <c r="J453" t="s">
        <v>33</v>
      </c>
      <c r="L453" t="s">
        <v>34</v>
      </c>
      <c r="M453" t="s">
        <v>191</v>
      </c>
      <c r="N453" s="1" t="s">
        <v>190</v>
      </c>
      <c r="O453" t="s">
        <v>183</v>
      </c>
      <c r="Q453" s="27" t="s">
        <v>47</v>
      </c>
      <c r="R453" s="27" t="s">
        <v>47</v>
      </c>
      <c r="S453" t="s">
        <v>175</v>
      </c>
      <c r="T453" t="s">
        <v>195</v>
      </c>
      <c r="U453" t="s">
        <v>194</v>
      </c>
      <c r="V453" t="s">
        <v>200</v>
      </c>
      <c r="W453" s="1" t="s">
        <v>190</v>
      </c>
      <c r="AA453" s="31"/>
    </row>
    <row r="454" spans="1:27">
      <c r="A454" t="s">
        <v>48</v>
      </c>
      <c r="B454">
        <v>54.7</v>
      </c>
      <c r="C454">
        <f t="shared" ref="C454:C460" si="397">B454+273</f>
        <v>327.7</v>
      </c>
      <c r="D454">
        <v>-3.0034000000000001</v>
      </c>
      <c r="E454">
        <v>-5.2</v>
      </c>
      <c r="F454">
        <v>-6.9089999999999998</v>
      </c>
      <c r="G454">
        <v>-6.11</v>
      </c>
      <c r="H454">
        <f t="shared" ref="H454:H460" si="398">F454+2*E454-2*G454-D454</f>
        <v>-2.0856000000000003</v>
      </c>
      <c r="I454">
        <v>33.767000000000003</v>
      </c>
      <c r="J454" s="8">
        <f t="shared" ref="J454:J460" si="399">-2.303*8.314*C454*(I454-H454)</f>
        <v>-224957.79958531685</v>
      </c>
      <c r="L454">
        <f t="shared" ref="L454:L460" si="400">J454/8000</f>
        <v>-28.119724948164606</v>
      </c>
      <c r="M454">
        <f>AVERAGE(MIN(L454:L459),MAX(L454:L459))</f>
        <v>-27.090020419985464</v>
      </c>
      <c r="N454">
        <f>ABS(MAX(L454:L459)-M454)</f>
        <v>2.8813084557150646</v>
      </c>
      <c r="O454">
        <v>1.771E-3</v>
      </c>
      <c r="Q454" s="27">
        <f t="shared" ref="Q454:Q460" si="401">(J454)*O454</f>
        <v>-398.40026306559616</v>
      </c>
      <c r="R454" s="27">
        <f t="shared" ref="R454:R460" si="402">(J454/1.5)*(10^G454)</f>
        <v>-0.11641522886082466</v>
      </c>
      <c r="S454">
        <f t="shared" ref="S454:S460" si="403">IF(Q454&gt;R454, Q454,R454)</f>
        <v>-0.11641522886082466</v>
      </c>
      <c r="T454">
        <f>ABS(MIN(S454:S459))</f>
        <v>27.92975605483398</v>
      </c>
      <c r="U454">
        <f>ABS(MAX(S454:S459))</f>
        <v>7.2605648891409413E-2</v>
      </c>
      <c r="V454">
        <f t="shared" si="381"/>
        <v>0.15351877681971038</v>
      </c>
      <c r="W454">
        <f t="shared" si="382"/>
        <v>1.2925483656660366</v>
      </c>
      <c r="AA454" s="31"/>
    </row>
    <row r="455" spans="1:27">
      <c r="A455" t="s">
        <v>49</v>
      </c>
      <c r="B455">
        <v>60.3</v>
      </c>
      <c r="C455">
        <f t="shared" si="397"/>
        <v>333.3</v>
      </c>
      <c r="D455">
        <v>-3.9658000000000002</v>
      </c>
      <c r="E455">
        <v>-5.2</v>
      </c>
      <c r="F455">
        <v>-6.7397</v>
      </c>
      <c r="G455">
        <v>-6.22</v>
      </c>
      <c r="H455">
        <f t="shared" si="398"/>
        <v>-0.73390000000000155</v>
      </c>
      <c r="I455">
        <v>33.1646</v>
      </c>
      <c r="J455" s="8">
        <f t="shared" si="399"/>
        <v>-216331.49571589706</v>
      </c>
      <c r="L455">
        <f t="shared" si="400"/>
        <v>-27.041436964487133</v>
      </c>
      <c r="O455">
        <v>1.8589999999999999E-4</v>
      </c>
      <c r="Q455" s="27">
        <f t="shared" si="401"/>
        <v>-40.216025053585263</v>
      </c>
      <c r="R455" s="27">
        <f t="shared" si="402"/>
        <v>-8.6901744342278334E-2</v>
      </c>
      <c r="S455">
        <f t="shared" si="403"/>
        <v>-8.6901744342278334E-2</v>
      </c>
      <c r="AA455" s="31"/>
    </row>
    <row r="456" spans="1:27">
      <c r="A456" t="s">
        <v>50</v>
      </c>
      <c r="B456">
        <v>80.099999999999994</v>
      </c>
      <c r="C456">
        <f t="shared" si="397"/>
        <v>353.1</v>
      </c>
      <c r="D456">
        <v>-2.7109000000000001</v>
      </c>
      <c r="E456">
        <v>-4.7</v>
      </c>
      <c r="F456">
        <v>-6.9115000000000002</v>
      </c>
      <c r="G456">
        <v>-4.5999999999999996</v>
      </c>
      <c r="H456">
        <f t="shared" si="398"/>
        <v>-4.4006000000000025</v>
      </c>
      <c r="I456">
        <v>30.8871</v>
      </c>
      <c r="J456" s="8">
        <f t="shared" si="399"/>
        <v>-238575.05263222553</v>
      </c>
      <c r="L456">
        <f t="shared" si="400"/>
        <v>-29.82188157902819</v>
      </c>
      <c r="O456">
        <v>3.64E-3</v>
      </c>
      <c r="Q456" s="27">
        <f t="shared" si="401"/>
        <v>-868.41319158130091</v>
      </c>
      <c r="R456" s="27">
        <f t="shared" si="402"/>
        <v>-3.9951562506904734</v>
      </c>
      <c r="S456">
        <f t="shared" si="403"/>
        <v>-3.9951562506904734</v>
      </c>
      <c r="AA456" s="31"/>
    </row>
    <row r="457" spans="1:27">
      <c r="A457" t="s">
        <v>51</v>
      </c>
      <c r="B457">
        <v>96.6</v>
      </c>
      <c r="C457">
        <f t="shared" si="397"/>
        <v>369.6</v>
      </c>
      <c r="D457">
        <v>-5.7118000000000002</v>
      </c>
      <c r="E457">
        <v>-5.6</v>
      </c>
      <c r="F457">
        <v>-6.5316999999999998</v>
      </c>
      <c r="G457">
        <v>-3.62</v>
      </c>
      <c r="H457">
        <f t="shared" si="398"/>
        <v>-4.7798999999999996</v>
      </c>
      <c r="I457">
        <v>29.101400000000002</v>
      </c>
      <c r="J457" s="8">
        <f t="shared" si="399"/>
        <v>-239770.6310056042</v>
      </c>
      <c r="L457">
        <f t="shared" si="400"/>
        <v>-29.971328875700525</v>
      </c>
      <c r="O457" s="23">
        <v>3.4819999999999999E-6</v>
      </c>
      <c r="Q457" s="27">
        <f t="shared" si="401"/>
        <v>-0.8348813371615138</v>
      </c>
      <c r="R457" s="27">
        <f t="shared" si="402"/>
        <v>-38.344645511354543</v>
      </c>
      <c r="S457">
        <f t="shared" si="403"/>
        <v>-0.8348813371615138</v>
      </c>
      <c r="AA457" s="31"/>
    </row>
    <row r="458" spans="1:27">
      <c r="A458" t="s">
        <v>52</v>
      </c>
      <c r="B458">
        <v>135</v>
      </c>
      <c r="C458">
        <f t="shared" si="397"/>
        <v>408</v>
      </c>
      <c r="D458">
        <v>-3.0333999999999999</v>
      </c>
      <c r="E458">
        <v>-2.9</v>
      </c>
      <c r="F458">
        <v>-6.6307</v>
      </c>
      <c r="G458">
        <v>-3.71</v>
      </c>
      <c r="H458">
        <f t="shared" si="398"/>
        <v>-1.9773000000000001</v>
      </c>
      <c r="I458">
        <v>25.526599999999998</v>
      </c>
      <c r="J458" s="8">
        <f t="shared" si="399"/>
        <v>-214861.40017235038</v>
      </c>
      <c r="L458">
        <f t="shared" si="400"/>
        <v>-26.857675021543798</v>
      </c>
      <c r="O458">
        <v>1.8649999999999999E-3</v>
      </c>
      <c r="Q458" s="27">
        <f t="shared" si="401"/>
        <v>-400.71651132143342</v>
      </c>
      <c r="R458" s="27">
        <f t="shared" si="402"/>
        <v>-27.92975605483398</v>
      </c>
      <c r="S458">
        <f t="shared" si="403"/>
        <v>-27.92975605483398</v>
      </c>
      <c r="AA458" s="31"/>
    </row>
    <row r="459" spans="1:27">
      <c r="A459" t="s">
        <v>53</v>
      </c>
      <c r="B459">
        <v>135</v>
      </c>
      <c r="C459">
        <f t="shared" si="397"/>
        <v>408</v>
      </c>
      <c r="D459">
        <v>-3.9975999999999998</v>
      </c>
      <c r="E459">
        <v>-5</v>
      </c>
      <c r="F459">
        <v>-5.7622</v>
      </c>
      <c r="G459">
        <v>-6.25</v>
      </c>
      <c r="H459">
        <f t="shared" si="398"/>
        <v>0.73539999999999983</v>
      </c>
      <c r="I459">
        <v>25.526599999999998</v>
      </c>
      <c r="J459" s="8">
        <f t="shared" si="399"/>
        <v>-193669.69571416319</v>
      </c>
      <c r="L459">
        <f t="shared" si="400"/>
        <v>-24.2087119642704</v>
      </c>
      <c r="O459">
        <v>1.963E-4</v>
      </c>
      <c r="Q459" s="27">
        <f t="shared" si="401"/>
        <v>-38.01736126869023</v>
      </c>
      <c r="R459" s="27">
        <f t="shared" si="402"/>
        <v>-7.2605648891409413E-2</v>
      </c>
      <c r="S459">
        <f t="shared" si="403"/>
        <v>-7.2605648891409413E-2</v>
      </c>
      <c r="AA459" s="31"/>
    </row>
    <row r="460" spans="1:27">
      <c r="A460" s="11" t="s">
        <v>54</v>
      </c>
      <c r="B460">
        <v>20</v>
      </c>
      <c r="C460">
        <f t="shared" si="397"/>
        <v>293</v>
      </c>
      <c r="D460">
        <v>-6.5</v>
      </c>
      <c r="E460">
        <v>-8.02</v>
      </c>
      <c r="F460">
        <v>-6.9</v>
      </c>
      <c r="G460">
        <v>-3.6</v>
      </c>
      <c r="H460">
        <f t="shared" si="398"/>
        <v>-9.2399999999999984</v>
      </c>
      <c r="I460">
        <v>38.4099</v>
      </c>
      <c r="J460" s="8">
        <f t="shared" si="399"/>
        <v>-267321.30466463941</v>
      </c>
      <c r="L460">
        <f t="shared" si="400"/>
        <v>-33.415163083079925</v>
      </c>
      <c r="O460" s="23">
        <v>4.7820000000000003E-7</v>
      </c>
      <c r="Q460" s="27">
        <f t="shared" si="401"/>
        <v>-0.12783304789063057</v>
      </c>
      <c r="R460" s="27">
        <f t="shared" si="402"/>
        <v>-44.765383869369707</v>
      </c>
      <c r="S460">
        <f t="shared" si="403"/>
        <v>-0.12783304789063057</v>
      </c>
      <c r="X460">
        <f>LOG(ABS(S460))</f>
        <v>-0.89335685618430372</v>
      </c>
      <c r="AA460" s="31"/>
    </row>
    <row r="461" spans="1:27">
      <c r="AA461" s="31"/>
    </row>
    <row r="462" spans="1:27" ht="17">
      <c r="D462" s="7" t="s">
        <v>95</v>
      </c>
      <c r="E462" s="7"/>
      <c r="F462" s="7"/>
      <c r="I462" s="1"/>
      <c r="Q462" s="27" t="s">
        <v>180</v>
      </c>
      <c r="R462" s="27" t="s">
        <v>173</v>
      </c>
      <c r="S462" t="s">
        <v>174</v>
      </c>
      <c r="AA462" s="31"/>
    </row>
    <row r="463" spans="1:27" ht="17">
      <c r="A463" t="s">
        <v>23</v>
      </c>
      <c r="B463" t="s">
        <v>24</v>
      </c>
      <c r="C463" t="s">
        <v>25</v>
      </c>
      <c r="D463" t="s">
        <v>41</v>
      </c>
      <c r="E463" t="s">
        <v>68</v>
      </c>
      <c r="F463" t="s">
        <v>77</v>
      </c>
      <c r="G463" t="s">
        <v>31</v>
      </c>
      <c r="H463" t="s">
        <v>32</v>
      </c>
      <c r="I463" t="s">
        <v>33</v>
      </c>
      <c r="L463" t="s">
        <v>75</v>
      </c>
      <c r="M463" t="s">
        <v>191</v>
      </c>
      <c r="N463" s="1" t="s">
        <v>190</v>
      </c>
      <c r="O463" t="s">
        <v>183</v>
      </c>
      <c r="P463" t="s">
        <v>186</v>
      </c>
      <c r="Q463" s="27" t="s">
        <v>47</v>
      </c>
      <c r="R463" s="27" t="s">
        <v>47</v>
      </c>
      <c r="S463" t="s">
        <v>175</v>
      </c>
      <c r="T463" t="s">
        <v>195</v>
      </c>
      <c r="U463" t="s">
        <v>194</v>
      </c>
      <c r="V463" t="s">
        <v>200</v>
      </c>
      <c r="W463" s="1" t="s">
        <v>190</v>
      </c>
      <c r="AA463" s="31"/>
    </row>
    <row r="464" spans="1:27">
      <c r="A464" t="s">
        <v>48</v>
      </c>
      <c r="B464">
        <v>54.7</v>
      </c>
      <c r="C464">
        <f t="shared" ref="C464:C470" si="404">B464+273</f>
        <v>327.7</v>
      </c>
      <c r="D464">
        <v>-3.0034000000000001</v>
      </c>
      <c r="E464">
        <v>-5.6195000000000004</v>
      </c>
      <c r="F464">
        <v>-6.9089999999999998</v>
      </c>
      <c r="G464">
        <f t="shared" ref="G464:G470" si="405">E464-D464-F464</f>
        <v>4.2928999999999995</v>
      </c>
      <c r="H464">
        <v>55.000700000000002</v>
      </c>
      <c r="I464" s="8">
        <f t="shared" ref="I464:I470" si="406">-2.303*8.314*C464*(H464-G464)</f>
        <v>-318167.02581716055</v>
      </c>
      <c r="L464">
        <f t="shared" ref="L464:L470" si="407">I464/3000</f>
        <v>-106.05567527238685</v>
      </c>
      <c r="M464">
        <f>AVERAGE(MIN(L464:L469),MAX(L464:L469))</f>
        <v>-103.52662655308821</v>
      </c>
      <c r="N464">
        <f>ABS(MAX(L464:L469)-M464)</f>
        <v>3.0740410979585988</v>
      </c>
      <c r="O464">
        <v>1.771E-3</v>
      </c>
      <c r="P464" s="23">
        <v>2.0760000000000001E-7</v>
      </c>
      <c r="Q464" s="27">
        <f t="shared" ref="Q464:Q470" si="408">(I464)*O464</f>
        <v>-563.47380272219129</v>
      </c>
      <c r="R464" s="27">
        <f t="shared" ref="R464:R470" si="409">(I464)*(10^F464)</f>
        <v>-3.9233329730920745E-2</v>
      </c>
      <c r="S464">
        <f t="shared" ref="S464:S470" si="410">IF(Q464&gt;R464, Q464,R464)</f>
        <v>-3.9233329730920745E-2</v>
      </c>
      <c r="T464">
        <f>ABS(MIN(S464:S469))</f>
        <v>0.54672806136769714</v>
      </c>
      <c r="U464">
        <f>ABS(MAX(S464:S469))</f>
        <v>3.9208585915083381E-2</v>
      </c>
      <c r="V464">
        <f t="shared" ref="V464:V474" si="411">AVERAGE(LOG(T464),LOG(U464))</f>
        <v>-0.83442372774254536</v>
      </c>
      <c r="W464">
        <f t="shared" ref="W464:W474" si="412">ABS(V464-LOG(T464))</f>
        <v>0.57219509280730141</v>
      </c>
      <c r="AA464" s="31"/>
    </row>
    <row r="465" spans="1:27">
      <c r="A465" t="s">
        <v>49</v>
      </c>
      <c r="B465">
        <v>60.3</v>
      </c>
      <c r="C465">
        <f t="shared" si="404"/>
        <v>333.3</v>
      </c>
      <c r="D465">
        <v>-3.9658000000000002</v>
      </c>
      <c r="E465">
        <v>-5.8804999999999996</v>
      </c>
      <c r="F465">
        <v>-6.7397</v>
      </c>
      <c r="G465">
        <f t="shared" si="405"/>
        <v>4.8250000000000011</v>
      </c>
      <c r="H465">
        <v>54.206899999999997</v>
      </c>
      <c r="I465" s="8">
        <f t="shared" si="406"/>
        <v>-315142.56643488229</v>
      </c>
      <c r="L465">
        <f t="shared" si="407"/>
        <v>-105.04752214496077</v>
      </c>
      <c r="O465">
        <v>1.8589999999999999E-4</v>
      </c>
      <c r="P465" s="23">
        <v>2.9849999999999998E-7</v>
      </c>
      <c r="Q465" s="27">
        <f t="shared" si="408"/>
        <v>-58.585003100244613</v>
      </c>
      <c r="R465" s="27">
        <f t="shared" si="409"/>
        <v>-5.7386147130343165E-2</v>
      </c>
      <c r="S465">
        <f t="shared" si="410"/>
        <v>-5.7386147130343165E-2</v>
      </c>
      <c r="AA465" s="31"/>
    </row>
    <row r="466" spans="1:27">
      <c r="A466" t="s">
        <v>50</v>
      </c>
      <c r="B466">
        <v>80.099999999999994</v>
      </c>
      <c r="C466">
        <f t="shared" si="404"/>
        <v>353.1</v>
      </c>
      <c r="D466">
        <v>-2.7109000000000001</v>
      </c>
      <c r="E466">
        <v>-5.63</v>
      </c>
      <c r="F466">
        <v>-6.9115000000000002</v>
      </c>
      <c r="G466">
        <f t="shared" si="405"/>
        <v>3.9924000000000004</v>
      </c>
      <c r="H466">
        <v>51.294400000000003</v>
      </c>
      <c r="I466" s="8">
        <f t="shared" si="406"/>
        <v>-319802.00295314041</v>
      </c>
      <c r="L466">
        <f t="shared" si="407"/>
        <v>-106.60066765104681</v>
      </c>
      <c r="O466">
        <v>3.64E-3</v>
      </c>
      <c r="P466" s="23">
        <v>2.132E-7</v>
      </c>
      <c r="Q466" s="27">
        <f t="shared" si="408"/>
        <v>-1164.079290749431</v>
      </c>
      <c r="R466" s="27">
        <f t="shared" si="409"/>
        <v>-3.9208585915083381E-2</v>
      </c>
      <c r="S466">
        <f t="shared" si="410"/>
        <v>-3.9208585915083381E-2</v>
      </c>
      <c r="AA466" s="31"/>
    </row>
    <row r="467" spans="1:27">
      <c r="A467" t="s">
        <v>51</v>
      </c>
      <c r="B467">
        <v>96.6</v>
      </c>
      <c r="C467">
        <f t="shared" si="404"/>
        <v>369.6</v>
      </c>
      <c r="D467">
        <v>-5.7118000000000002</v>
      </c>
      <c r="E467">
        <v>-5.718</v>
      </c>
      <c r="F467">
        <v>-6.5316999999999998</v>
      </c>
      <c r="G467">
        <f t="shared" si="405"/>
        <v>6.5255000000000001</v>
      </c>
      <c r="H467">
        <v>49.109499999999997</v>
      </c>
      <c r="I467" s="8">
        <f t="shared" si="406"/>
        <v>-301357.75636538881</v>
      </c>
      <c r="L467">
        <f t="shared" si="407"/>
        <v>-100.45258545512961</v>
      </c>
      <c r="O467" s="23">
        <v>3.4819999999999999E-6</v>
      </c>
      <c r="P467" s="23">
        <v>5.0949999999999995E-7</v>
      </c>
      <c r="Q467" s="27">
        <f t="shared" si="408"/>
        <v>-1.0493277076642837</v>
      </c>
      <c r="R467" s="27">
        <f t="shared" si="409"/>
        <v>-8.8589525154971635E-2</v>
      </c>
      <c r="S467">
        <f t="shared" si="410"/>
        <v>-8.8589525154971635E-2</v>
      </c>
      <c r="AA467" s="31"/>
    </row>
    <row r="468" spans="1:27">
      <c r="A468" t="s">
        <v>52</v>
      </c>
      <c r="B468">
        <v>135</v>
      </c>
      <c r="C468">
        <f t="shared" si="404"/>
        <v>408</v>
      </c>
      <c r="D468">
        <v>-3.0333999999999999</v>
      </c>
      <c r="E468">
        <v>-5.5933999999999999</v>
      </c>
      <c r="F468">
        <v>-6.6307</v>
      </c>
      <c r="G468">
        <f t="shared" si="405"/>
        <v>4.0707000000000004</v>
      </c>
      <c r="H468">
        <v>45.006700000000002</v>
      </c>
      <c r="I468" s="8">
        <f t="shared" si="406"/>
        <v>-319793.421204096</v>
      </c>
      <c r="L468">
        <f t="shared" si="407"/>
        <v>-106.597807068032</v>
      </c>
      <c r="O468">
        <v>1.8649999999999999E-3</v>
      </c>
      <c r="P468" s="23">
        <v>4.221E-7</v>
      </c>
      <c r="Q468" s="27">
        <f t="shared" si="408"/>
        <v>-596.41473054563903</v>
      </c>
      <c r="R468" s="27">
        <f t="shared" si="409"/>
        <v>-7.4846160261816369E-2</v>
      </c>
      <c r="S468">
        <f t="shared" si="410"/>
        <v>-7.4846160261816369E-2</v>
      </c>
      <c r="AA468" s="31"/>
    </row>
    <row r="469" spans="1:27">
      <c r="A469" t="s">
        <v>53</v>
      </c>
      <c r="B469">
        <v>135</v>
      </c>
      <c r="C469">
        <f t="shared" si="404"/>
        <v>408</v>
      </c>
      <c r="D469">
        <v>-3.9975999999999998</v>
      </c>
      <c r="E469">
        <v>-5.23</v>
      </c>
      <c r="F469">
        <v>-5.7622</v>
      </c>
      <c r="G469">
        <f t="shared" si="405"/>
        <v>4.5297999999999998</v>
      </c>
      <c r="H469">
        <v>45.006700000000002</v>
      </c>
      <c r="I469" s="8">
        <f t="shared" si="406"/>
        <v>-316206.9164240784</v>
      </c>
      <c r="L469">
        <f t="shared" si="407"/>
        <v>-105.4023054746928</v>
      </c>
      <c r="O469">
        <v>1.963E-4</v>
      </c>
      <c r="P469" s="23">
        <v>3.1810000000000001E-6</v>
      </c>
      <c r="Q469" s="27">
        <f t="shared" si="408"/>
        <v>-62.071417694046588</v>
      </c>
      <c r="R469" s="27">
        <f t="shared" si="409"/>
        <v>-0.54672806136769714</v>
      </c>
      <c r="S469">
        <f t="shared" si="410"/>
        <v>-0.54672806136769714</v>
      </c>
      <c r="AA469" s="31"/>
    </row>
    <row r="470" spans="1:27">
      <c r="A470" s="11" t="s">
        <v>54</v>
      </c>
      <c r="B470">
        <v>20</v>
      </c>
      <c r="C470">
        <f t="shared" si="404"/>
        <v>293</v>
      </c>
      <c r="D470">
        <v>-6.5</v>
      </c>
      <c r="E470">
        <v>-3.1</v>
      </c>
      <c r="F470">
        <v>-6.9</v>
      </c>
      <c r="G470">
        <f t="shared" si="405"/>
        <v>10.3</v>
      </c>
      <c r="H470">
        <v>61.4604</v>
      </c>
      <c r="I470" s="8">
        <f t="shared" si="406"/>
        <v>-287015.60496800236</v>
      </c>
      <c r="L470">
        <f t="shared" si="407"/>
        <v>-95.67186832266745</v>
      </c>
      <c r="O470" s="23">
        <v>4.7820000000000003E-7</v>
      </c>
      <c r="P470" s="23">
        <v>1.9999999999999999E-7</v>
      </c>
      <c r="Q470" s="27">
        <f t="shared" si="408"/>
        <v>-0.13725086229569874</v>
      </c>
      <c r="R470" s="27">
        <f t="shared" si="409"/>
        <v>-3.6133123867569381E-2</v>
      </c>
      <c r="S470">
        <f t="shared" si="410"/>
        <v>-3.6133123867569381E-2</v>
      </c>
      <c r="X470">
        <f>LOG(ABS(S470))</f>
        <v>-1.4420944901396866</v>
      </c>
      <c r="AA470" s="31"/>
    </row>
    <row r="471" spans="1:27">
      <c r="AA471" s="31"/>
    </row>
    <row r="472" spans="1:27" ht="17">
      <c r="D472" s="7" t="s">
        <v>19</v>
      </c>
      <c r="E472" s="7"/>
      <c r="F472" s="7"/>
      <c r="G472" s="7"/>
      <c r="Q472" s="27" t="s">
        <v>180</v>
      </c>
      <c r="R472" s="27" t="s">
        <v>173</v>
      </c>
      <c r="S472" t="s">
        <v>174</v>
      </c>
      <c r="AA472" s="31"/>
    </row>
    <row r="473" spans="1:27" ht="17">
      <c r="A473" t="s">
        <v>23</v>
      </c>
      <c r="B473" t="s">
        <v>24</v>
      </c>
      <c r="C473" t="s">
        <v>25</v>
      </c>
      <c r="D473" t="s">
        <v>41</v>
      </c>
      <c r="E473" t="s">
        <v>42</v>
      </c>
      <c r="F473" t="s">
        <v>43</v>
      </c>
      <c r="G473" t="s">
        <v>39</v>
      </c>
      <c r="H473" t="s">
        <v>31</v>
      </c>
      <c r="I473" t="s">
        <v>32</v>
      </c>
      <c r="J473" t="s">
        <v>33</v>
      </c>
      <c r="L473" t="s">
        <v>34</v>
      </c>
      <c r="M473" t="s">
        <v>191</v>
      </c>
      <c r="N473" s="1" t="s">
        <v>190</v>
      </c>
      <c r="O473" t="s">
        <v>183</v>
      </c>
      <c r="Q473" s="27" t="s">
        <v>47</v>
      </c>
      <c r="R473" s="27" t="s">
        <v>47</v>
      </c>
      <c r="S473" t="s">
        <v>175</v>
      </c>
      <c r="T473" t="s">
        <v>195</v>
      </c>
      <c r="U473" t="s">
        <v>194</v>
      </c>
      <c r="V473" t="s">
        <v>200</v>
      </c>
      <c r="W473" s="1" t="s">
        <v>190</v>
      </c>
      <c r="AA473" s="31"/>
    </row>
    <row r="474" spans="1:27">
      <c r="A474" t="s">
        <v>48</v>
      </c>
      <c r="B474">
        <v>54.7</v>
      </c>
      <c r="C474">
        <f t="shared" ref="C474:C480" si="413">B474+273</f>
        <v>327.7</v>
      </c>
      <c r="D474">
        <v>-3.0034000000000001</v>
      </c>
      <c r="E474">
        <v>-5.2</v>
      </c>
      <c r="F474">
        <v>-4.7778</v>
      </c>
      <c r="G474">
        <v>-2.8990999999999998</v>
      </c>
      <c r="H474">
        <f t="shared" ref="H474:H480" si="414">F474+4*G474-6*E474-D474</f>
        <v>17.829200000000004</v>
      </c>
      <c r="I474">
        <v>44.193100000000001</v>
      </c>
      <c r="J474" s="8">
        <f t="shared" ref="J474:J480" si="415">-2.303*8.314*C474*(I474-H474)</f>
        <v>-165420.77652631424</v>
      </c>
      <c r="L474">
        <f t="shared" ref="L474:L480" si="416">J474/8000</f>
        <v>-20.677597065789278</v>
      </c>
      <c r="M474">
        <f>AVERAGE(MIN(L474:L479),MAX(L474:L479))</f>
        <v>-23.363340753685801</v>
      </c>
      <c r="N474">
        <f>ABS(MAX(L474:L479)-M474)</f>
        <v>6.9076071953447951</v>
      </c>
      <c r="O474">
        <v>1.771E-3</v>
      </c>
      <c r="Q474" s="27">
        <f t="shared" ref="Q474:Q480" si="417">(J474)*O474</f>
        <v>-292.96019522810252</v>
      </c>
      <c r="R474" s="28" t="s">
        <v>177</v>
      </c>
      <c r="S474" s="24">
        <f t="shared" ref="S474:S480" si="418">Q474</f>
        <v>-292.96019522810252</v>
      </c>
      <c r="T474">
        <f>ABS(MIN(S474:S479))</f>
        <v>644.9957073085701</v>
      </c>
      <c r="U474">
        <f>ABS(MAX(S474:S479))</f>
        <v>0.45839091400114707</v>
      </c>
      <c r="V474">
        <f t="shared" si="411"/>
        <v>1.2353964124617725</v>
      </c>
      <c r="W474">
        <f t="shared" si="412"/>
        <v>1.5741604117883723</v>
      </c>
      <c r="AA474" s="31"/>
    </row>
    <row r="475" spans="1:27">
      <c r="A475" t="s">
        <v>49</v>
      </c>
      <c r="B475">
        <v>60.3</v>
      </c>
      <c r="C475">
        <f t="shared" si="413"/>
        <v>333.3</v>
      </c>
      <c r="D475">
        <v>-3.9658000000000002</v>
      </c>
      <c r="E475">
        <v>-5.2</v>
      </c>
      <c r="F475">
        <v>-4.7697000000000003</v>
      </c>
      <c r="G475">
        <v>-5.8804999999999996</v>
      </c>
      <c r="H475">
        <f t="shared" si="414"/>
        <v>6.8741000000000039</v>
      </c>
      <c r="I475">
        <v>43.453499999999998</v>
      </c>
      <c r="J475" s="8">
        <f t="shared" si="415"/>
        <v>-233440.30899273077</v>
      </c>
      <c r="L475">
        <f t="shared" si="416"/>
        <v>-29.180038624091345</v>
      </c>
      <c r="O475">
        <v>1.8589999999999999E-4</v>
      </c>
      <c r="Q475" s="27">
        <f t="shared" si="417"/>
        <v>-43.396553441748651</v>
      </c>
      <c r="R475" s="28" t="s">
        <v>177</v>
      </c>
      <c r="S475" s="24">
        <f t="shared" si="418"/>
        <v>-43.396553441748651</v>
      </c>
      <c r="AA475" s="31"/>
    </row>
    <row r="476" spans="1:27">
      <c r="A476" t="s">
        <v>50</v>
      </c>
      <c r="B476">
        <v>80.099999999999994</v>
      </c>
      <c r="C476">
        <f t="shared" si="413"/>
        <v>353.1</v>
      </c>
      <c r="D476">
        <v>-2.7109000000000001</v>
      </c>
      <c r="E476">
        <v>-4.7</v>
      </c>
      <c r="F476">
        <v>-4.7794999999999996</v>
      </c>
      <c r="G476">
        <v>-2.9089999999999998</v>
      </c>
      <c r="H476">
        <f t="shared" si="414"/>
        <v>14.495400000000005</v>
      </c>
      <c r="I476">
        <v>40.704599999999999</v>
      </c>
      <c r="J476" s="8">
        <f t="shared" si="415"/>
        <v>-177196.6228869698</v>
      </c>
      <c r="L476">
        <f t="shared" si="416"/>
        <v>-22.149577860871226</v>
      </c>
      <c r="O476">
        <v>3.64E-3</v>
      </c>
      <c r="Q476" s="27">
        <f t="shared" si="417"/>
        <v>-644.9957073085701</v>
      </c>
      <c r="R476" s="28" t="s">
        <v>177</v>
      </c>
      <c r="S476" s="24">
        <f t="shared" si="418"/>
        <v>-644.9957073085701</v>
      </c>
      <c r="AA476" s="31"/>
    </row>
    <row r="477" spans="1:27">
      <c r="A477" t="s">
        <v>51</v>
      </c>
      <c r="B477">
        <v>96.6</v>
      </c>
      <c r="C477">
        <f t="shared" si="413"/>
        <v>369.6</v>
      </c>
      <c r="D477">
        <v>-5.7118000000000002</v>
      </c>
      <c r="E477">
        <v>-5.6</v>
      </c>
      <c r="F477">
        <v>-4.6773999999999996</v>
      </c>
      <c r="G477">
        <v>-3.6594000000000002</v>
      </c>
      <c r="H477">
        <f t="shared" si="414"/>
        <v>19.996799999999993</v>
      </c>
      <c r="I477">
        <v>38.599299999999999</v>
      </c>
      <c r="J477" s="8">
        <f t="shared" si="415"/>
        <v>-131645.86846672805</v>
      </c>
      <c r="L477">
        <f t="shared" si="416"/>
        <v>-16.455733558341006</v>
      </c>
      <c r="O477" s="23">
        <v>3.4819999999999999E-6</v>
      </c>
      <c r="Q477" s="27">
        <f t="shared" si="417"/>
        <v>-0.45839091400114707</v>
      </c>
      <c r="R477" s="28" t="s">
        <v>177</v>
      </c>
      <c r="S477" s="24">
        <f t="shared" si="418"/>
        <v>-0.45839091400114707</v>
      </c>
      <c r="AA477" s="31"/>
    </row>
    <row r="478" spans="1:27">
      <c r="A478" t="s">
        <v>52</v>
      </c>
      <c r="B478">
        <v>135</v>
      </c>
      <c r="C478">
        <f t="shared" si="413"/>
        <v>408</v>
      </c>
      <c r="D478">
        <v>-3.0333999999999999</v>
      </c>
      <c r="E478">
        <v>-2.9</v>
      </c>
      <c r="F478">
        <v>-4.2153</v>
      </c>
      <c r="G478">
        <v>-3.1783999999999999</v>
      </c>
      <c r="H478">
        <f t="shared" si="414"/>
        <v>3.5044999999999997</v>
      </c>
      <c r="I478">
        <v>34.503799999999998</v>
      </c>
      <c r="J478" s="8">
        <f t="shared" si="415"/>
        <v>-242167.58359224477</v>
      </c>
      <c r="L478">
        <f t="shared" si="416"/>
        <v>-30.270947949030596</v>
      </c>
      <c r="O478">
        <v>1.8649999999999999E-3</v>
      </c>
      <c r="Q478" s="27">
        <f t="shared" si="417"/>
        <v>-451.64254339953646</v>
      </c>
      <c r="R478" s="28" t="s">
        <v>177</v>
      </c>
      <c r="S478" s="24">
        <f t="shared" si="418"/>
        <v>-451.64254339953646</v>
      </c>
      <c r="AA478" s="31"/>
    </row>
    <row r="479" spans="1:27">
      <c r="A479" t="s">
        <v>53</v>
      </c>
      <c r="B479">
        <v>135</v>
      </c>
      <c r="C479">
        <f t="shared" si="413"/>
        <v>408</v>
      </c>
      <c r="D479">
        <v>-3.9975999999999998</v>
      </c>
      <c r="E479">
        <v>-5</v>
      </c>
      <c r="F479">
        <v>-4.7927</v>
      </c>
      <c r="G479">
        <v>-3.5276999999999998</v>
      </c>
      <c r="H479">
        <f t="shared" si="414"/>
        <v>15.094099999999999</v>
      </c>
      <c r="I479">
        <v>34.503799999999998</v>
      </c>
      <c r="J479" s="8">
        <f t="shared" si="415"/>
        <v>-151629.2350875792</v>
      </c>
      <c r="L479">
        <f t="shared" si="416"/>
        <v>-18.953654385947399</v>
      </c>
      <c r="O479">
        <v>1.963E-4</v>
      </c>
      <c r="Q479" s="27">
        <f t="shared" si="417"/>
        <v>-29.764818847691799</v>
      </c>
      <c r="R479" s="28" t="s">
        <v>177</v>
      </c>
      <c r="S479" s="24">
        <f t="shared" si="418"/>
        <v>-29.764818847691799</v>
      </c>
      <c r="AA479" s="31"/>
    </row>
    <row r="480" spans="1:27">
      <c r="A480" s="11" t="s">
        <v>54</v>
      </c>
      <c r="B480">
        <v>20</v>
      </c>
      <c r="C480">
        <f t="shared" si="413"/>
        <v>293</v>
      </c>
      <c r="D480">
        <v>-6.5</v>
      </c>
      <c r="E480">
        <v>-8.02</v>
      </c>
      <c r="F480">
        <v>-5.3</v>
      </c>
      <c r="G480">
        <v>-10</v>
      </c>
      <c r="H480">
        <f t="shared" si="414"/>
        <v>9.32</v>
      </c>
      <c r="I480">
        <v>50.076300000000003</v>
      </c>
      <c r="J480" s="8">
        <f t="shared" si="415"/>
        <v>-228647.4324039178</v>
      </c>
      <c r="L480">
        <f t="shared" si="416"/>
        <v>-28.580929050489726</v>
      </c>
      <c r="O480" s="23">
        <v>4.7820000000000003E-7</v>
      </c>
      <c r="Q480" s="27">
        <f t="shared" si="417"/>
        <v>-0.1093392021755535</v>
      </c>
      <c r="R480" s="28" t="s">
        <v>177</v>
      </c>
      <c r="S480" s="24">
        <f t="shared" si="418"/>
        <v>-0.1093392021755535</v>
      </c>
      <c r="X480">
        <f>LOG(ABS(S480))</f>
        <v>-0.96122409938555153</v>
      </c>
      <c r="AA480" s="31"/>
    </row>
    <row r="481" spans="1:27">
      <c r="AA481" s="31"/>
    </row>
    <row r="482" spans="1:27" ht="17">
      <c r="D482" s="7" t="s">
        <v>198</v>
      </c>
      <c r="E482" s="7"/>
      <c r="F482" s="7"/>
      <c r="G482" s="7"/>
      <c r="H482" s="7"/>
      <c r="R482" s="27" t="s">
        <v>173</v>
      </c>
      <c r="S482" t="s">
        <v>174</v>
      </c>
      <c r="AA482" s="31"/>
    </row>
    <row r="483" spans="1:27" ht="17">
      <c r="A483" t="s">
        <v>23</v>
      </c>
      <c r="B483" t="s">
        <v>24</v>
      </c>
      <c r="C483" t="s">
        <v>25</v>
      </c>
      <c r="D483" t="s">
        <v>73</v>
      </c>
      <c r="E483" t="s">
        <v>30</v>
      </c>
      <c r="F483" t="s">
        <v>39</v>
      </c>
      <c r="G483" t="s">
        <v>93</v>
      </c>
      <c r="H483" t="s">
        <v>31</v>
      </c>
      <c r="I483" t="s">
        <v>32</v>
      </c>
      <c r="J483" t="s">
        <v>33</v>
      </c>
      <c r="L483" t="s">
        <v>38</v>
      </c>
      <c r="M483" t="s">
        <v>191</v>
      </c>
      <c r="N483" s="1" t="s">
        <v>190</v>
      </c>
      <c r="Q483" s="27" t="s">
        <v>47</v>
      </c>
      <c r="R483" s="27" t="s">
        <v>47</v>
      </c>
      <c r="S483" t="s">
        <v>175</v>
      </c>
      <c r="T483" t="s">
        <v>195</v>
      </c>
      <c r="U483" t="s">
        <v>194</v>
      </c>
      <c r="V483" t="s">
        <v>200</v>
      </c>
      <c r="W483" s="1" t="s">
        <v>190</v>
      </c>
      <c r="Z483" t="s">
        <v>206</v>
      </c>
      <c r="AA483" s="31"/>
    </row>
    <row r="484" spans="1:27">
      <c r="A484" t="s">
        <v>48</v>
      </c>
      <c r="B484">
        <v>54.7</v>
      </c>
      <c r="C484">
        <f>B484+273</f>
        <v>327.7</v>
      </c>
      <c r="D484">
        <v>-7.2098000000000004</v>
      </c>
      <c r="E484">
        <v>-5.2</v>
      </c>
      <c r="F484">
        <v>-2.8990999999999998</v>
      </c>
      <c r="G484">
        <v>-3.0034000000000001</v>
      </c>
      <c r="H484">
        <f>3*F484+D484-G484-4*E484</f>
        <v>7.8963000000000001</v>
      </c>
      <c r="I484">
        <v>31.328700000000001</v>
      </c>
      <c r="J484">
        <f>-2.303*8.314*C484*(I484-H484)</f>
        <v>-147027.02573880216</v>
      </c>
      <c r="L484">
        <f t="shared" ref="L484:L490" si="419">J484/6000</f>
        <v>-24.504504289800359</v>
      </c>
      <c r="M484">
        <f>AVERAGE(MIN(L484:L489),MAX(L484:L489))</f>
        <v>-26.719259949082961</v>
      </c>
      <c r="N484">
        <f>ABS(MAX(L484:L489)-M484)</f>
        <v>7.0008637333986385</v>
      </c>
      <c r="Q484" s="27">
        <f>(J484/3)*(10^G484)</f>
        <v>-48.626825344845734</v>
      </c>
      <c r="R484" s="28" t="s">
        <v>177</v>
      </c>
      <c r="S484">
        <f>Q484</f>
        <v>-48.626825344845734</v>
      </c>
      <c r="T484">
        <f>ABS(MIN(S484:S489))</f>
        <v>101.99325679465528</v>
      </c>
      <c r="U484">
        <f>ABS(MAX(S484:S489))</f>
        <v>7.6577570643241985E-2</v>
      </c>
      <c r="V484">
        <f t="shared" ref="V484:V495" si="420">AVERAGE(LOG(T484),LOG(U484))</f>
        <v>0.44633652214145392</v>
      </c>
      <c r="W484">
        <f t="shared" ref="W484:W495" si="421">ABS(V484-LOG(T484))</f>
        <v>1.5622349375255775</v>
      </c>
      <c r="Z484">
        <f>S454+S464</f>
        <v>-0.1556485585917454</v>
      </c>
      <c r="AA484" s="31">
        <f t="shared" si="390"/>
        <v>0.1556485585917454</v>
      </c>
    </row>
    <row r="485" spans="1:27">
      <c r="A485" t="s">
        <v>49</v>
      </c>
      <c r="B485">
        <v>60.3</v>
      </c>
      <c r="C485">
        <f t="shared" ref="C485:C490" si="422">B485+273</f>
        <v>333.3</v>
      </c>
      <c r="D485">
        <v>-6.7397</v>
      </c>
      <c r="E485">
        <v>-5.2</v>
      </c>
      <c r="F485">
        <v>-5.8804999999999996</v>
      </c>
      <c r="G485">
        <v>-3.9658000000000002</v>
      </c>
      <c r="H485">
        <f t="shared" ref="H485:H490" si="423">3*F485+D485-G485-4*E485</f>
        <v>0.3846000000000025</v>
      </c>
      <c r="I485">
        <v>30.8001</v>
      </c>
      <c r="J485">
        <f t="shared" ref="J485:J490" si="424">-2.303*8.314*C485*(I485-H485)</f>
        <v>-194103.88683708326</v>
      </c>
      <c r="L485">
        <f t="shared" si="419"/>
        <v>-32.350647806180547</v>
      </c>
      <c r="Q485" s="27">
        <f t="shared" ref="Q485:Q490" si="425">(J485/3)*(10^G485)</f>
        <v>-7.0002407646462226</v>
      </c>
      <c r="R485" s="28" t="s">
        <v>177</v>
      </c>
      <c r="S485">
        <f t="shared" ref="S485:S490" si="426">Q485</f>
        <v>-7.0002407646462226</v>
      </c>
      <c r="Z485">
        <f t="shared" ref="Z485:Z489" si="427">S455+S465</f>
        <v>-0.1442878914726215</v>
      </c>
      <c r="AA485" s="31">
        <f t="shared" si="390"/>
        <v>0.1442878914726215</v>
      </c>
    </row>
    <row r="486" spans="1:27">
      <c r="A486" t="s">
        <v>50</v>
      </c>
      <c r="B486">
        <v>80.099999999999994</v>
      </c>
      <c r="C486">
        <f t="shared" si="422"/>
        <v>353.1</v>
      </c>
      <c r="D486">
        <v>-7.2111999999999998</v>
      </c>
      <c r="E486">
        <v>-4.7</v>
      </c>
      <c r="F486">
        <v>-2.9089999999999998</v>
      </c>
      <c r="G486">
        <v>-2.7109000000000001</v>
      </c>
      <c r="H486">
        <f t="shared" si="423"/>
        <v>5.5727000000000011</v>
      </c>
      <c r="I486">
        <v>28.831700000000001</v>
      </c>
      <c r="J486">
        <f t="shared" si="424"/>
        <v>-157250.74598721179</v>
      </c>
      <c r="L486">
        <f t="shared" si="419"/>
        <v>-26.208457664535299</v>
      </c>
      <c r="Q486" s="27">
        <f t="shared" si="425"/>
        <v>-101.99325679465528</v>
      </c>
      <c r="R486" s="28" t="s">
        <v>177</v>
      </c>
      <c r="S486">
        <f t="shared" si="426"/>
        <v>-101.99325679465528</v>
      </c>
      <c r="Z486">
        <f t="shared" si="427"/>
        <v>-4.0343648366055564</v>
      </c>
      <c r="AA486" s="31">
        <f t="shared" si="390"/>
        <v>4.0343648366055564</v>
      </c>
    </row>
    <row r="487" spans="1:27">
      <c r="A487" t="s">
        <v>51</v>
      </c>
      <c r="B487">
        <v>96.6</v>
      </c>
      <c r="C487">
        <f t="shared" si="422"/>
        <v>369.6</v>
      </c>
      <c r="D487">
        <v>-6.5316999999999998</v>
      </c>
      <c r="E487">
        <v>-5.6</v>
      </c>
      <c r="F487">
        <v>-3.6594000000000002</v>
      </c>
      <c r="G487">
        <v>-5.7118000000000002</v>
      </c>
      <c r="H487">
        <f t="shared" si="423"/>
        <v>10.601899999999997</v>
      </c>
      <c r="I487">
        <v>27.32</v>
      </c>
      <c r="J487">
        <f t="shared" si="424"/>
        <v>-118310.37729410594</v>
      </c>
      <c r="L487">
        <f t="shared" si="419"/>
        <v>-19.718396215684322</v>
      </c>
      <c r="Q487" s="27">
        <f t="shared" si="425"/>
        <v>-7.6577570643241985E-2</v>
      </c>
      <c r="R487" s="28" t="s">
        <v>177</v>
      </c>
      <c r="S487">
        <f t="shared" si="426"/>
        <v>-7.6577570643241985E-2</v>
      </c>
      <c r="Z487">
        <f t="shared" si="427"/>
        <v>-0.92347086231648545</v>
      </c>
      <c r="AA487" s="31">
        <f t="shared" si="390"/>
        <v>0.92347086231648545</v>
      </c>
    </row>
    <row r="488" spans="1:27">
      <c r="A488" t="s">
        <v>52</v>
      </c>
      <c r="B488">
        <v>135</v>
      </c>
      <c r="C488">
        <f t="shared" si="422"/>
        <v>408</v>
      </c>
      <c r="D488">
        <v>-6.6307</v>
      </c>
      <c r="E488">
        <v>-2.9</v>
      </c>
      <c r="F488">
        <v>-3.1783999999999999</v>
      </c>
      <c r="G488">
        <v>-3.0333999999999999</v>
      </c>
      <c r="H488">
        <f t="shared" si="423"/>
        <v>-1.5325000000000006</v>
      </c>
      <c r="I488">
        <v>24.366099999999999</v>
      </c>
      <c r="J488">
        <f t="shared" si="424"/>
        <v>-202320.7420948896</v>
      </c>
      <c r="L488">
        <f t="shared" si="419"/>
        <v>-33.720123682481599</v>
      </c>
      <c r="Q488" s="27">
        <f t="shared" si="425"/>
        <v>-62.448089242571761</v>
      </c>
      <c r="R488" s="28" t="s">
        <v>177</v>
      </c>
      <c r="S488">
        <f t="shared" si="426"/>
        <v>-62.448089242571761</v>
      </c>
      <c r="Z488">
        <f t="shared" si="427"/>
        <v>-28.004602215095797</v>
      </c>
      <c r="AA488" s="31">
        <f t="shared" si="390"/>
        <v>28.004602215095797</v>
      </c>
    </row>
    <row r="489" spans="1:27">
      <c r="A489" t="s">
        <v>53</v>
      </c>
      <c r="B489">
        <v>135</v>
      </c>
      <c r="C489">
        <f t="shared" si="422"/>
        <v>408</v>
      </c>
      <c r="D489">
        <v>-5.7622</v>
      </c>
      <c r="E489">
        <v>-5</v>
      </c>
      <c r="F489">
        <v>-3.5276999999999998</v>
      </c>
      <c r="G489">
        <v>-3.9975999999999998</v>
      </c>
      <c r="H489">
        <f t="shared" si="423"/>
        <v>7.6522999999999985</v>
      </c>
      <c r="I489">
        <v>24.366099999999999</v>
      </c>
      <c r="J489">
        <f t="shared" si="424"/>
        <v>-130568.7727995168</v>
      </c>
      <c r="L489">
        <f t="shared" si="419"/>
        <v>-21.761462133252799</v>
      </c>
      <c r="Q489" s="27">
        <f t="shared" si="425"/>
        <v>-4.3764106632108826</v>
      </c>
      <c r="R489" s="28" t="s">
        <v>177</v>
      </c>
      <c r="S489">
        <f t="shared" si="426"/>
        <v>-4.3764106632108826</v>
      </c>
      <c r="Z489">
        <f t="shared" si="427"/>
        <v>-0.61933371025910655</v>
      </c>
      <c r="AA489" s="31">
        <f t="shared" si="390"/>
        <v>0.61933371025910655</v>
      </c>
    </row>
    <row r="490" spans="1:27">
      <c r="A490" s="11" t="s">
        <v>54</v>
      </c>
      <c r="B490">
        <v>20</v>
      </c>
      <c r="C490">
        <f t="shared" si="422"/>
        <v>293</v>
      </c>
      <c r="D490">
        <v>-6.9</v>
      </c>
      <c r="E490">
        <v>-8.02</v>
      </c>
      <c r="F490">
        <v>-10</v>
      </c>
      <c r="G490">
        <v>-6.5</v>
      </c>
      <c r="H490">
        <f t="shared" si="423"/>
        <v>1.6799999999999997</v>
      </c>
      <c r="I490">
        <v>35.518799999999999</v>
      </c>
      <c r="J490">
        <f t="shared" si="424"/>
        <v>-189839.47845191279</v>
      </c>
      <c r="L490">
        <f t="shared" si="419"/>
        <v>-31.639913075318798</v>
      </c>
      <c r="O490" s="23"/>
      <c r="P490" s="23"/>
      <c r="Q490" s="27">
        <f t="shared" si="425"/>
        <v>-2.0010838057549968E-2</v>
      </c>
      <c r="R490" s="28" t="s">
        <v>177</v>
      </c>
      <c r="S490">
        <f t="shared" si="426"/>
        <v>-2.0010838057549968E-2</v>
      </c>
      <c r="X490">
        <f>LOG(ABS(S490))</f>
        <v>-1.6987347226507488</v>
      </c>
      <c r="AA490" s="31"/>
    </row>
    <row r="491" spans="1:27">
      <c r="AA491" s="31"/>
    </row>
    <row r="492" spans="1:27" ht="16">
      <c r="D492" s="4" t="s">
        <v>12</v>
      </c>
      <c r="AA492" s="31"/>
    </row>
    <row r="493" spans="1:27" ht="17">
      <c r="C493">
        <v>15</v>
      </c>
      <c r="D493" s="7" t="s">
        <v>20</v>
      </c>
      <c r="E493" s="7"/>
      <c r="F493" s="7"/>
      <c r="G493" s="7"/>
      <c r="Q493" s="27" t="s">
        <v>180</v>
      </c>
      <c r="R493" s="27" t="s">
        <v>173</v>
      </c>
      <c r="S493" t="s">
        <v>174</v>
      </c>
      <c r="AA493" s="31"/>
    </row>
    <row r="494" spans="1:27" ht="17">
      <c r="A494" t="s">
        <v>23</v>
      </c>
      <c r="B494" t="s">
        <v>24</v>
      </c>
      <c r="C494" t="s">
        <v>25</v>
      </c>
      <c r="D494" t="s">
        <v>36</v>
      </c>
      <c r="E494" t="s">
        <v>30</v>
      </c>
      <c r="G494" t="s">
        <v>44</v>
      </c>
      <c r="H494" t="s">
        <v>31</v>
      </c>
      <c r="I494" t="s">
        <v>32</v>
      </c>
      <c r="J494" t="s">
        <v>33</v>
      </c>
      <c r="L494" t="s">
        <v>40</v>
      </c>
      <c r="M494" t="s">
        <v>191</v>
      </c>
      <c r="N494" s="1" t="s">
        <v>190</v>
      </c>
      <c r="O494" t="s">
        <v>44</v>
      </c>
      <c r="Q494" s="27" t="s">
        <v>47</v>
      </c>
      <c r="R494" s="27" t="s">
        <v>47</v>
      </c>
      <c r="S494" t="s">
        <v>175</v>
      </c>
      <c r="T494" t="s">
        <v>195</v>
      </c>
      <c r="U494" t="s">
        <v>194</v>
      </c>
      <c r="V494" t="s">
        <v>200</v>
      </c>
      <c r="W494" s="1" t="s">
        <v>190</v>
      </c>
      <c r="AA494" s="31"/>
    </row>
    <row r="495" spans="1:27">
      <c r="A495" t="s">
        <v>48</v>
      </c>
      <c r="B495">
        <v>54.7</v>
      </c>
      <c r="C495">
        <f>B495+273</f>
        <v>327.7</v>
      </c>
      <c r="D495">
        <v>-6.11</v>
      </c>
      <c r="E495">
        <v>-5.2</v>
      </c>
      <c r="G495">
        <v>-6.1745999999999999</v>
      </c>
      <c r="H495">
        <f>8*E495-4*G495-D495</f>
        <v>-10.791600000000003</v>
      </c>
      <c r="I495">
        <v>30.658999999999999</v>
      </c>
      <c r="J495">
        <f>-2.303*8.314*C495*(I495-H495)</f>
        <v>-260082.55377549003</v>
      </c>
      <c r="L495">
        <f t="shared" ref="L495:L501" si="428">J495/4000</f>
        <v>-65.020638443872514</v>
      </c>
      <c r="M495">
        <f t="shared" ref="M495" si="429">AVERAGE(MIN(L495:L500),MAX(L495:L500))</f>
        <v>-61.971506150148826</v>
      </c>
      <c r="N495">
        <f t="shared" ref="N495:N516" si="430">ABS(MAX(L495:L500)-M495)</f>
        <v>18.668620839507234</v>
      </c>
      <c r="O495" s="23">
        <v>3.2150000000000001E-6</v>
      </c>
      <c r="Q495" s="27">
        <f>(J495/4)*O495</f>
        <v>-0.20904135259705012</v>
      </c>
      <c r="R495" s="27">
        <f>(J495)*(10^D495)</f>
        <v>-0.2018883324536504</v>
      </c>
      <c r="S495">
        <f t="shared" ref="S495:S500" si="431">IF(Q495&gt;R495, Q495,R495)</f>
        <v>-0.2018883324536504</v>
      </c>
      <c r="T495">
        <f>ABS(MIN(S495:S500))</f>
        <v>0.48271180016008125</v>
      </c>
      <c r="U495">
        <f>ABS(MAX(S495:S500))</f>
        <v>7.0631498642373045E-2</v>
      </c>
      <c r="V495">
        <f t="shared" si="420"/>
        <v>-0.73365683168687013</v>
      </c>
      <c r="W495">
        <f t="shared" si="421"/>
        <v>0.41734474720697029</v>
      </c>
      <c r="AA495" s="31"/>
    </row>
    <row r="496" spans="1:27">
      <c r="A496" t="s">
        <v>49</v>
      </c>
      <c r="B496">
        <v>60.3</v>
      </c>
      <c r="C496">
        <f t="shared" ref="C496:C501" si="432">B496+273</f>
        <v>333.3</v>
      </c>
      <c r="D496">
        <v>-6.22</v>
      </c>
      <c r="E496">
        <v>-5.2</v>
      </c>
      <c r="G496">
        <v>-6.1958000000000002</v>
      </c>
      <c r="H496">
        <f t="shared" ref="H496:H501" si="433">8*E496-4*G496-D496</f>
        <v>-10.596800000000002</v>
      </c>
      <c r="I496">
        <v>30.328600000000002</v>
      </c>
      <c r="J496">
        <f t="shared" ref="J496:J500" si="434">-2.303*8.314*C496*(I496-H496)</f>
        <v>-261175.36158742645</v>
      </c>
      <c r="L496">
        <f t="shared" si="428"/>
        <v>-65.293840396856609</v>
      </c>
      <c r="O496" s="23">
        <v>2.852E-6</v>
      </c>
      <c r="Q496" s="27">
        <f t="shared" ref="Q496:Q500" si="435">(J496/4)*O496</f>
        <v>-0.18621803281183505</v>
      </c>
      <c r="R496" s="27">
        <f t="shared" ref="R496:R500" si="436">(J496)*(10^D496)</f>
        <v>-0.15737371777094025</v>
      </c>
      <c r="S496">
        <f t="shared" si="431"/>
        <v>-0.15737371777094025</v>
      </c>
      <c r="AA496" s="31"/>
    </row>
    <row r="497" spans="1:27">
      <c r="A497" t="s">
        <v>50</v>
      </c>
      <c r="B497">
        <v>80.099999999999994</v>
      </c>
      <c r="C497">
        <f t="shared" si="432"/>
        <v>353.1</v>
      </c>
      <c r="D497">
        <v>-4.5999999999999996</v>
      </c>
      <c r="E497">
        <v>-4.7</v>
      </c>
      <c r="G497">
        <v>-6.4217000000000004</v>
      </c>
      <c r="H497">
        <f t="shared" si="433"/>
        <v>-7.3132000000000001</v>
      </c>
      <c r="I497">
        <v>29.074999999999999</v>
      </c>
      <c r="J497">
        <f t="shared" si="434"/>
        <v>-246015.37448436563</v>
      </c>
      <c r="L497">
        <f t="shared" si="428"/>
        <v>-61.503843621091406</v>
      </c>
      <c r="O497" s="23">
        <v>2.0600000000000002E-6</v>
      </c>
      <c r="Q497" s="27">
        <f t="shared" si="435"/>
        <v>-0.12669791785944831</v>
      </c>
      <c r="R497" s="27">
        <f t="shared" si="436"/>
        <v>-6.1796268111002597</v>
      </c>
      <c r="S497">
        <f t="shared" si="431"/>
        <v>-0.12669791785944831</v>
      </c>
      <c r="AA497" s="31"/>
    </row>
    <row r="498" spans="1:27">
      <c r="A498" t="s">
        <v>51</v>
      </c>
      <c r="B498">
        <v>96.6</v>
      </c>
      <c r="C498">
        <f t="shared" si="432"/>
        <v>369.6</v>
      </c>
      <c r="D498">
        <v>-3.62</v>
      </c>
      <c r="E498">
        <v>-5.6</v>
      </c>
      <c r="G498">
        <v>-5.9225000000000003</v>
      </c>
      <c r="H498">
        <f t="shared" si="433"/>
        <v>-17.489999999999995</v>
      </c>
      <c r="I498">
        <v>28.0901</v>
      </c>
      <c r="J498">
        <f t="shared" si="434"/>
        <v>-322560.50795862428</v>
      </c>
      <c r="L498">
        <f t="shared" si="428"/>
        <v>-80.640126989656068</v>
      </c>
      <c r="O498" s="23">
        <v>5.9859999999999999E-6</v>
      </c>
      <c r="Q498" s="27">
        <f t="shared" si="435"/>
        <v>-0.48271180016008125</v>
      </c>
      <c r="R498" s="27">
        <f t="shared" si="436"/>
        <v>-77.376876486679549</v>
      </c>
      <c r="S498">
        <f t="shared" si="431"/>
        <v>-0.48271180016008125</v>
      </c>
      <c r="AA498" s="31"/>
    </row>
    <row r="499" spans="1:27">
      <c r="A499" t="s">
        <v>52</v>
      </c>
      <c r="B499">
        <v>135</v>
      </c>
      <c r="C499">
        <f t="shared" si="432"/>
        <v>408</v>
      </c>
      <c r="D499">
        <v>-3.71</v>
      </c>
      <c r="E499">
        <v>-2.9</v>
      </c>
      <c r="G499">
        <v>-5.8630000000000004</v>
      </c>
      <c r="H499">
        <f t="shared" si="433"/>
        <v>3.9620000000000024</v>
      </c>
      <c r="I499">
        <v>26.134399999999999</v>
      </c>
      <c r="J499">
        <f t="shared" si="434"/>
        <v>-173211.54124256637</v>
      </c>
      <c r="L499">
        <f t="shared" si="428"/>
        <v>-43.302885310641592</v>
      </c>
      <c r="O499" s="23">
        <v>8.7150000000000004E-6</v>
      </c>
      <c r="Q499" s="27">
        <f t="shared" si="435"/>
        <v>-0.37738464548224149</v>
      </c>
      <c r="R499" s="27">
        <f t="shared" si="436"/>
        <v>-33.773558830758596</v>
      </c>
      <c r="S499">
        <f t="shared" si="431"/>
        <v>-0.37738464548224149</v>
      </c>
      <c r="AA499" s="31"/>
    </row>
    <row r="500" spans="1:27">
      <c r="A500" t="s">
        <v>53</v>
      </c>
      <c r="B500">
        <v>135</v>
      </c>
      <c r="C500">
        <f t="shared" si="432"/>
        <v>408</v>
      </c>
      <c r="D500">
        <v>-6.25</v>
      </c>
      <c r="E500">
        <v>-5</v>
      </c>
      <c r="G500">
        <v>-6.7366999999999999</v>
      </c>
      <c r="H500">
        <f t="shared" si="433"/>
        <v>-6.8032000000000004</v>
      </c>
      <c r="I500">
        <v>26.134399999999999</v>
      </c>
      <c r="J500">
        <f t="shared" si="434"/>
        <v>-257309.64897039361</v>
      </c>
      <c r="L500">
        <f t="shared" si="428"/>
        <v>-64.327412242598399</v>
      </c>
      <c r="O500" s="23">
        <v>1.0979999999999999E-6</v>
      </c>
      <c r="Q500" s="27">
        <f t="shared" si="435"/>
        <v>-7.0631498642373045E-2</v>
      </c>
      <c r="R500" s="27">
        <f t="shared" si="436"/>
        <v>-0.14469584898627458</v>
      </c>
      <c r="S500">
        <f t="shared" si="431"/>
        <v>-7.0631498642373045E-2</v>
      </c>
      <c r="AA500" s="31"/>
    </row>
    <row r="501" spans="1:27">
      <c r="A501" s="11" t="s">
        <v>54</v>
      </c>
      <c r="B501">
        <v>20</v>
      </c>
      <c r="C501">
        <f t="shared" si="432"/>
        <v>293</v>
      </c>
      <c r="D501">
        <v>-3.6</v>
      </c>
      <c r="E501">
        <v>-8.02</v>
      </c>
      <c r="G501">
        <v>-20.29</v>
      </c>
      <c r="H501">
        <f t="shared" si="433"/>
        <v>20.6</v>
      </c>
      <c r="I501">
        <v>33.186599999999999</v>
      </c>
      <c r="J501">
        <f>-2.303*8.314*C501*(I501-H501)</f>
        <v>-70612.243326679585</v>
      </c>
      <c r="L501">
        <f t="shared" si="428"/>
        <v>-17.653060831669897</v>
      </c>
      <c r="O501" s="23">
        <v>2.1039999999999999E-20</v>
      </c>
      <c r="Q501" s="27">
        <f>(J501/4)*O501</f>
        <v>-3.7142039989833457E-16</v>
      </c>
      <c r="R501" s="27">
        <f>(J501)*(10^D501)</f>
        <v>-17.736993591073915</v>
      </c>
      <c r="S501">
        <f>IF(Q501&gt;R501, Q501,R501)</f>
        <v>-3.7142039989833457E-16</v>
      </c>
      <c r="X501">
        <f>LOG(ABS(S501))</f>
        <v>-15.430134246746016</v>
      </c>
      <c r="AA501" s="31"/>
    </row>
    <row r="502" spans="1:27">
      <c r="AA502" s="31"/>
    </row>
    <row r="503" spans="1:27" ht="17">
      <c r="D503" s="7" t="s">
        <v>106</v>
      </c>
      <c r="E503" s="7"/>
      <c r="F503" s="7"/>
      <c r="G503" s="7"/>
      <c r="H503" s="7"/>
      <c r="Q503" s="27" t="s">
        <v>180</v>
      </c>
      <c r="R503" s="27" t="s">
        <v>173</v>
      </c>
      <c r="S503" t="s">
        <v>174</v>
      </c>
      <c r="AA503" s="31"/>
    </row>
    <row r="504" spans="1:27" ht="17">
      <c r="A504" t="s">
        <v>23</v>
      </c>
      <c r="B504" t="s">
        <v>24</v>
      </c>
      <c r="C504" t="s">
        <v>25</v>
      </c>
      <c r="D504" t="s">
        <v>97</v>
      </c>
      <c r="E504" t="s">
        <v>30</v>
      </c>
      <c r="F504" t="s">
        <v>68</v>
      </c>
      <c r="G504" t="s">
        <v>44</v>
      </c>
      <c r="H504" t="s">
        <v>31</v>
      </c>
      <c r="I504" t="s">
        <v>32</v>
      </c>
      <c r="J504" t="s">
        <v>33</v>
      </c>
      <c r="L504" t="s">
        <v>107</v>
      </c>
      <c r="M504" t="s">
        <v>191</v>
      </c>
      <c r="N504" s="1" t="s">
        <v>190</v>
      </c>
      <c r="O504" t="s">
        <v>44</v>
      </c>
      <c r="P504" t="s">
        <v>181</v>
      </c>
      <c r="Q504" s="27" t="s">
        <v>47</v>
      </c>
      <c r="R504" s="27" t="s">
        <v>47</v>
      </c>
      <c r="S504" t="s">
        <v>175</v>
      </c>
      <c r="T504" t="s">
        <v>195</v>
      </c>
      <c r="U504" t="s">
        <v>194</v>
      </c>
      <c r="V504" t="s">
        <v>200</v>
      </c>
      <c r="W504" s="1" t="s">
        <v>190</v>
      </c>
      <c r="AA504" s="31"/>
    </row>
    <row r="505" spans="1:27">
      <c r="A505" t="s">
        <v>48</v>
      </c>
      <c r="B505">
        <v>54.7</v>
      </c>
      <c r="C505">
        <f>B505+273</f>
        <v>327.7</v>
      </c>
      <c r="D505">
        <v>-4.7778</v>
      </c>
      <c r="E505">
        <v>-5.2</v>
      </c>
      <c r="F505">
        <v>-5.6195000000000004</v>
      </c>
      <c r="G505">
        <v>-6.1745999999999999</v>
      </c>
      <c r="H505">
        <f>0.5*F505+9*E505-5*G505-D505</f>
        <v>-13.958950000000009</v>
      </c>
      <c r="I505">
        <v>35.263399999999997</v>
      </c>
      <c r="J505">
        <f>-2.303*8.314*C505*(I505-H505)</f>
        <v>-308846.54241026653</v>
      </c>
      <c r="L505">
        <f t="shared" ref="L505:L511" si="437">J505/5000</f>
        <v>-61.769308482053304</v>
      </c>
      <c r="M505">
        <f t="shared" ref="M505:M559" si="438">AVERAGE(MIN(L505:L510),MAX(L505:L510))</f>
        <v>-58.23752004934483</v>
      </c>
      <c r="N505">
        <f t="shared" si="430"/>
        <v>15.661935098144831</v>
      </c>
      <c r="O505" s="23">
        <v>3.2150000000000001E-6</v>
      </c>
      <c r="P505" s="23">
        <v>2.8059999999999999E-5</v>
      </c>
      <c r="Q505" s="27">
        <f>(J505/5)*O505</f>
        <v>-0.19858832676980137</v>
      </c>
      <c r="R505" s="27">
        <f>(J505)*P505</f>
        <v>-8.6662339800320787</v>
      </c>
      <c r="S505">
        <f t="shared" ref="S505:S511" si="439">IF(Q505&gt;R505, Q505,R505)</f>
        <v>-0.19858832676980137</v>
      </c>
      <c r="T505">
        <f>ABS(MIN(S505:S510))</f>
        <v>0.44236213851287309</v>
      </c>
      <c r="U505">
        <f>ABS(MAX(S505:S510))</f>
        <v>7.0374856453582144E-2</v>
      </c>
      <c r="V505">
        <f t="shared" ref="V505:V527" si="440">AVERAGE(LOG(T505),LOG(U505))</f>
        <v>-0.7534022645409777</v>
      </c>
      <c r="W505">
        <f t="shared" ref="W505:W527" si="441">ABS(V505-LOG(T505))</f>
        <v>0.39918021344659305</v>
      </c>
      <c r="AA505" s="31"/>
    </row>
    <row r="506" spans="1:27">
      <c r="A506" t="s">
        <v>49</v>
      </c>
      <c r="B506">
        <v>60.3</v>
      </c>
      <c r="C506">
        <f t="shared" ref="C506:C511" si="442">B506+273</f>
        <v>333.3</v>
      </c>
      <c r="D506">
        <v>-4.7697000000000003</v>
      </c>
      <c r="E506">
        <v>-5.2</v>
      </c>
      <c r="F506">
        <v>-5.8804999999999996</v>
      </c>
      <c r="G506">
        <v>-6.1958000000000002</v>
      </c>
      <c r="H506">
        <f t="shared" ref="H506:H511" si="443">0.5*F506+9*E506-5*G506-D506</f>
        <v>-13.991550000000004</v>
      </c>
      <c r="I506">
        <v>34.990200000000002</v>
      </c>
      <c r="J506">
        <f t="shared" ref="J506:J511" si="444">-2.303*8.314*C506*(I506-H506)</f>
        <v>-312588.91220207803</v>
      </c>
      <c r="L506">
        <f t="shared" si="437"/>
        <v>-62.517782440415608</v>
      </c>
      <c r="O506" s="23">
        <v>2.852E-6</v>
      </c>
      <c r="P506" s="23">
        <v>2.7889999999999999E-5</v>
      </c>
      <c r="Q506" s="27">
        <f t="shared" ref="Q506:Q511" si="445">(J506/5)*O506</f>
        <v>-0.17830071552006529</v>
      </c>
      <c r="R506" s="27">
        <f t="shared" ref="R506:R511" si="446">(J506)*P506</f>
        <v>-8.7181047613159564</v>
      </c>
      <c r="S506">
        <f t="shared" si="439"/>
        <v>-0.17830071552006529</v>
      </c>
      <c r="AA506" s="31"/>
    </row>
    <row r="507" spans="1:27">
      <c r="A507" t="s">
        <v>50</v>
      </c>
      <c r="B507">
        <v>80.099999999999994</v>
      </c>
      <c r="C507">
        <f t="shared" si="442"/>
        <v>353.1</v>
      </c>
      <c r="D507">
        <v>-4.7794999999999996</v>
      </c>
      <c r="E507">
        <v>-4.7</v>
      </c>
      <c r="F507">
        <v>-5.63</v>
      </c>
      <c r="G507">
        <v>-6.4217000000000004</v>
      </c>
      <c r="H507">
        <f t="shared" si="443"/>
        <v>-8.2270000000000039</v>
      </c>
      <c r="I507">
        <v>33.9893</v>
      </c>
      <c r="J507">
        <f t="shared" si="444"/>
        <v>-285418.31840663526</v>
      </c>
      <c r="L507">
        <f t="shared" si="437"/>
        <v>-57.083663681327053</v>
      </c>
      <c r="O507" s="23">
        <v>2.0600000000000002E-6</v>
      </c>
      <c r="P507" s="23">
        <v>2.8920000000000001E-5</v>
      </c>
      <c r="Q507" s="27">
        <f t="shared" si="445"/>
        <v>-0.11759234718353374</v>
      </c>
      <c r="R507" s="27">
        <f t="shared" si="446"/>
        <v>-8.2542977683198924</v>
      </c>
      <c r="S507">
        <f t="shared" si="439"/>
        <v>-0.11759234718353374</v>
      </c>
      <c r="AA507" s="31"/>
    </row>
    <row r="508" spans="1:27">
      <c r="A508" t="s">
        <v>51</v>
      </c>
      <c r="B508">
        <v>96.6</v>
      </c>
      <c r="C508">
        <f t="shared" si="442"/>
        <v>369.6</v>
      </c>
      <c r="D508">
        <v>-4.6773999999999996</v>
      </c>
      <c r="E508">
        <v>-5.6</v>
      </c>
      <c r="F508">
        <v>-5.718</v>
      </c>
      <c r="G508">
        <v>-5.9225000000000003</v>
      </c>
      <c r="H508">
        <f t="shared" si="443"/>
        <v>-18.969100000000001</v>
      </c>
      <c r="I508">
        <v>33.243499999999997</v>
      </c>
      <c r="J508">
        <f t="shared" si="444"/>
        <v>-369497.2757374483</v>
      </c>
      <c r="L508">
        <f t="shared" si="437"/>
        <v>-73.899455147489661</v>
      </c>
      <c r="O508" s="23">
        <v>5.9859999999999999E-6</v>
      </c>
      <c r="P508" s="23">
        <v>3.6059999999999997E-5</v>
      </c>
      <c r="Q508" s="27">
        <f t="shared" si="445"/>
        <v>-0.44236213851287309</v>
      </c>
      <c r="R508" s="27">
        <f t="shared" si="446"/>
        <v>-13.324071763092384</v>
      </c>
      <c r="S508">
        <f t="shared" si="439"/>
        <v>-0.44236213851287309</v>
      </c>
      <c r="AA508" s="31"/>
    </row>
    <row r="509" spans="1:27">
      <c r="A509" t="s">
        <v>52</v>
      </c>
      <c r="B509">
        <v>135</v>
      </c>
      <c r="C509">
        <f t="shared" si="442"/>
        <v>408</v>
      </c>
      <c r="D509">
        <v>-4.2153</v>
      </c>
      <c r="E509">
        <v>-2.9</v>
      </c>
      <c r="F509">
        <v>-5.5933999999999999</v>
      </c>
      <c r="G509">
        <v>-5.8630000000000004</v>
      </c>
      <c r="H509">
        <f t="shared" si="443"/>
        <v>4.6336000000000022</v>
      </c>
      <c r="I509">
        <v>31.883600000000001</v>
      </c>
      <c r="J509">
        <f t="shared" si="444"/>
        <v>-212877.92475599999</v>
      </c>
      <c r="L509">
        <f t="shared" si="437"/>
        <v>-42.5755849512</v>
      </c>
      <c r="O509" s="23">
        <v>8.7150000000000004E-6</v>
      </c>
      <c r="P509">
        <v>1.147E-4</v>
      </c>
      <c r="Q509" s="27">
        <f t="shared" si="445"/>
        <v>-0.37104622284970801</v>
      </c>
      <c r="R509" s="27">
        <f t="shared" si="446"/>
        <v>-24.417097969513197</v>
      </c>
      <c r="S509">
        <f t="shared" si="439"/>
        <v>-0.37104622284970801</v>
      </c>
      <c r="AA509" s="31"/>
    </row>
    <row r="510" spans="1:27">
      <c r="A510" t="s">
        <v>53</v>
      </c>
      <c r="B510">
        <v>135</v>
      </c>
      <c r="C510">
        <f t="shared" si="442"/>
        <v>408</v>
      </c>
      <c r="D510">
        <v>-4.7927</v>
      </c>
      <c r="E510">
        <v>-5</v>
      </c>
      <c r="F510">
        <v>-5.23</v>
      </c>
      <c r="G510">
        <v>-6.7366999999999999</v>
      </c>
      <c r="H510">
        <f t="shared" si="443"/>
        <v>-9.1387999999999998</v>
      </c>
      <c r="I510">
        <v>31.883600000000001</v>
      </c>
      <c r="J510">
        <f t="shared" si="444"/>
        <v>-320468.38093616645</v>
      </c>
      <c r="L510">
        <f t="shared" si="437"/>
        <v>-64.093676187233285</v>
      </c>
      <c r="O510" s="23">
        <v>1.0979999999999999E-6</v>
      </c>
      <c r="P510" s="23">
        <v>2.9649999999999999E-5</v>
      </c>
      <c r="Q510" s="27">
        <f t="shared" si="445"/>
        <v>-7.0374856453582144E-2</v>
      </c>
      <c r="R510" s="27">
        <f t="shared" si="446"/>
        <v>-9.5018874947573355</v>
      </c>
      <c r="S510">
        <f t="shared" si="439"/>
        <v>-7.0374856453582144E-2</v>
      </c>
      <c r="AA510" s="31"/>
    </row>
    <row r="511" spans="1:27">
      <c r="A511" s="11" t="s">
        <v>54</v>
      </c>
      <c r="B511">
        <v>20</v>
      </c>
      <c r="C511">
        <f t="shared" si="442"/>
        <v>293</v>
      </c>
      <c r="D511">
        <v>-5.3</v>
      </c>
      <c r="E511">
        <v>-8.02</v>
      </c>
      <c r="F511">
        <v>-3.1</v>
      </c>
      <c r="G511">
        <v>-20.29</v>
      </c>
      <c r="H511">
        <f t="shared" si="443"/>
        <v>33.019999999999996</v>
      </c>
      <c r="I511">
        <v>37.487200000000001</v>
      </c>
      <c r="J511">
        <f t="shared" si="444"/>
        <v>-25061.495033523228</v>
      </c>
      <c r="L511">
        <f t="shared" si="437"/>
        <v>-5.0122990067046453</v>
      </c>
      <c r="O511" s="23">
        <v>2.1039999999999999E-20</v>
      </c>
      <c r="P511" s="23">
        <v>7.9170000000000006E-6</v>
      </c>
      <c r="Q511" s="27">
        <f t="shared" si="445"/>
        <v>-1.0545877110106574E-16</v>
      </c>
      <c r="R511" s="27">
        <f t="shared" si="446"/>
        <v>-0.19841185618040341</v>
      </c>
      <c r="S511">
        <f t="shared" si="439"/>
        <v>-1.0545877110106574E-16</v>
      </c>
      <c r="X511">
        <f>LOG(ABS(S511))</f>
        <v>-15.976917293758731</v>
      </c>
      <c r="AA511" s="31"/>
    </row>
    <row r="512" spans="1:27">
      <c r="AA512" s="31"/>
    </row>
    <row r="513" spans="1:27">
      <c r="AA513" s="31"/>
    </row>
    <row r="514" spans="1:27" ht="17">
      <c r="D514" s="7" t="s">
        <v>121</v>
      </c>
      <c r="E514" s="7"/>
      <c r="F514" s="7"/>
      <c r="G514" s="7"/>
      <c r="H514" s="7"/>
      <c r="Q514" s="27" t="s">
        <v>180</v>
      </c>
      <c r="R514" s="27" t="s">
        <v>173</v>
      </c>
      <c r="S514" t="s">
        <v>174</v>
      </c>
      <c r="AA514" s="31"/>
    </row>
    <row r="515" spans="1:27" ht="17">
      <c r="A515" t="s">
        <v>23</v>
      </c>
      <c r="B515" t="s">
        <v>24</v>
      </c>
      <c r="C515" t="s">
        <v>25</v>
      </c>
      <c r="D515" t="s">
        <v>97</v>
      </c>
      <c r="E515" t="s">
        <v>30</v>
      </c>
      <c r="F515" t="s">
        <v>93</v>
      </c>
      <c r="G515" t="s">
        <v>44</v>
      </c>
      <c r="H515" t="s">
        <v>31</v>
      </c>
      <c r="I515" t="s">
        <v>32</v>
      </c>
      <c r="J515" t="s">
        <v>33</v>
      </c>
      <c r="L515" t="s">
        <v>34</v>
      </c>
      <c r="M515" t="s">
        <v>191</v>
      </c>
      <c r="N515" s="1" t="s">
        <v>190</v>
      </c>
      <c r="O515" t="s">
        <v>44</v>
      </c>
      <c r="P515" t="s">
        <v>181</v>
      </c>
      <c r="Q515" s="27" t="s">
        <v>47</v>
      </c>
      <c r="R515" s="27" t="s">
        <v>47</v>
      </c>
      <c r="S515" t="s">
        <v>175</v>
      </c>
      <c r="T515" t="s">
        <v>195</v>
      </c>
      <c r="U515" t="s">
        <v>194</v>
      </c>
      <c r="V515" t="s">
        <v>200</v>
      </c>
      <c r="W515" s="1" t="s">
        <v>190</v>
      </c>
      <c r="AA515" s="31"/>
    </row>
    <row r="516" spans="1:27">
      <c r="A516" t="s">
        <v>48</v>
      </c>
      <c r="B516">
        <v>54.7</v>
      </c>
      <c r="C516">
        <f>B516+273</f>
        <v>327.7</v>
      </c>
      <c r="D516">
        <v>-4.7778</v>
      </c>
      <c r="E516">
        <v>-5.2</v>
      </c>
      <c r="F516">
        <v>-3.0034000000000001</v>
      </c>
      <c r="G516">
        <v>-6.1745999999999999</v>
      </c>
      <c r="H516">
        <f>F516+14*E516-8*G516-D516</f>
        <v>-21.628799999999998</v>
      </c>
      <c r="I516">
        <v>13.873799999999999</v>
      </c>
      <c r="J516">
        <f>-2.303*8.314*C516*(I516-H516)</f>
        <v>-222761.71813362683</v>
      </c>
      <c r="L516">
        <f t="shared" ref="L516:L522" si="447">J516/8000</f>
        <v>-27.845214766703354</v>
      </c>
      <c r="M516">
        <f t="shared" si="438"/>
        <v>-25.166369674399796</v>
      </c>
      <c r="N516">
        <f t="shared" si="430"/>
        <v>16.639729934104196</v>
      </c>
      <c r="O516" s="23">
        <v>3.2150000000000001E-6</v>
      </c>
      <c r="P516" s="23">
        <v>2.8059999999999999E-5</v>
      </c>
      <c r="Q516" s="27">
        <f>(J516/8)*O516</f>
        <v>-8.9522365474951279E-2</v>
      </c>
      <c r="R516" s="27">
        <f>(J516)*P516</f>
        <v>-6.2506938108295689</v>
      </c>
      <c r="S516">
        <f t="shared" ref="S516:S521" si="448">IF(Q516&gt;R516, Q516,R516)</f>
        <v>-8.9522365474951279E-2</v>
      </c>
      <c r="T516">
        <f>ABS(MIN(S516:S521))</f>
        <v>0.25025131225650493</v>
      </c>
      <c r="U516">
        <f>ABS(MAX(S516:S521))</f>
        <v>3.3805446066127766E-2</v>
      </c>
      <c r="V516">
        <f t="shared" si="440"/>
        <v>-1.0363184828206606</v>
      </c>
      <c r="W516">
        <f t="shared" si="441"/>
        <v>0.43469484631173605</v>
      </c>
      <c r="AA516" s="31"/>
    </row>
    <row r="517" spans="1:27">
      <c r="A517" t="s">
        <v>49</v>
      </c>
      <c r="B517">
        <v>60.3</v>
      </c>
      <c r="C517">
        <f t="shared" ref="C517:C522" si="449">B517+273</f>
        <v>333.3</v>
      </c>
      <c r="D517">
        <v>-4.7697000000000003</v>
      </c>
      <c r="E517">
        <v>-5.2</v>
      </c>
      <c r="F517">
        <v>-3.9658000000000002</v>
      </c>
      <c r="G517">
        <v>-6.1958000000000002</v>
      </c>
      <c r="H517">
        <f t="shared" ref="H517:H522" si="450">F517+14*E517-8*G517-D517</f>
        <v>-22.429699999999997</v>
      </c>
      <c r="I517">
        <v>14.0509</v>
      </c>
      <c r="J517">
        <f t="shared" ref="J517:J522" si="451">-2.303*8.314*C517*(I517-H517)</f>
        <v>-232809.79284078511</v>
      </c>
      <c r="L517">
        <f t="shared" si="447"/>
        <v>-29.10122410509814</v>
      </c>
      <c r="O517" s="23">
        <v>2.852E-6</v>
      </c>
      <c r="P517" s="23">
        <v>2.7889999999999999E-5</v>
      </c>
      <c r="Q517" s="27">
        <f t="shared" ref="Q517:Q521" si="452">(J517/8)*O517</f>
        <v>-8.2996691147739887E-2</v>
      </c>
      <c r="R517" s="27">
        <f t="shared" ref="R517:R522" si="453">(J517)*P517</f>
        <v>-6.4930651223294964</v>
      </c>
      <c r="S517">
        <f t="shared" si="448"/>
        <v>-8.2996691147739887E-2</v>
      </c>
      <c r="AA517" s="31"/>
    </row>
    <row r="518" spans="1:27">
      <c r="A518" t="s">
        <v>50</v>
      </c>
      <c r="B518">
        <v>80.099999999999994</v>
      </c>
      <c r="C518">
        <f t="shared" si="449"/>
        <v>353.1</v>
      </c>
      <c r="D518">
        <v>-4.7794999999999996</v>
      </c>
      <c r="E518">
        <v>-4.7</v>
      </c>
      <c r="F518">
        <v>-2.7109000000000001</v>
      </c>
      <c r="G518">
        <v>-6.4217000000000004</v>
      </c>
      <c r="H518">
        <f t="shared" si="450"/>
        <v>-12.35779999999999</v>
      </c>
      <c r="I518">
        <v>14.704800000000001</v>
      </c>
      <c r="J518">
        <f t="shared" si="451"/>
        <v>-182966.33726099646</v>
      </c>
      <c r="L518">
        <f t="shared" si="447"/>
        <v>-22.870792157624557</v>
      </c>
      <c r="O518" s="23">
        <v>2.0600000000000002E-6</v>
      </c>
      <c r="P518" s="23">
        <v>2.8920000000000001E-5</v>
      </c>
      <c r="Q518" s="27">
        <f t="shared" si="452"/>
        <v>-4.7113831844706591E-2</v>
      </c>
      <c r="R518" s="27">
        <f t="shared" si="453"/>
        <v>-5.2913864735880178</v>
      </c>
      <c r="S518">
        <f t="shared" si="448"/>
        <v>-4.7113831844706591E-2</v>
      </c>
      <c r="AA518" s="31"/>
    </row>
    <row r="519" spans="1:27">
      <c r="A519" t="s">
        <v>51</v>
      </c>
      <c r="B519">
        <v>96.6</v>
      </c>
      <c r="C519">
        <f t="shared" si="449"/>
        <v>369.6</v>
      </c>
      <c r="D519">
        <v>-4.6773999999999996</v>
      </c>
      <c r="E519">
        <v>-5.6</v>
      </c>
      <c r="F519">
        <v>-5.7118000000000002</v>
      </c>
      <c r="G519">
        <v>-5.9225000000000003</v>
      </c>
      <c r="H519">
        <f t="shared" si="450"/>
        <v>-32.054399999999987</v>
      </c>
      <c r="I519">
        <v>15.2056</v>
      </c>
      <c r="J519">
        <f t="shared" si="451"/>
        <v>-334448.79686803196</v>
      </c>
      <c r="L519">
        <f t="shared" si="447"/>
        <v>-41.806099608503992</v>
      </c>
      <c r="O519" s="23">
        <v>5.9859999999999999E-6</v>
      </c>
      <c r="P519" s="23">
        <v>3.6059999999999997E-5</v>
      </c>
      <c r="Q519" s="27">
        <f t="shared" si="452"/>
        <v>-0.25025131225650493</v>
      </c>
      <c r="R519" s="27">
        <f t="shared" si="453"/>
        <v>-12.060223615061231</v>
      </c>
      <c r="S519">
        <f t="shared" si="448"/>
        <v>-0.25025131225650493</v>
      </c>
      <c r="AA519" s="31"/>
    </row>
    <row r="520" spans="1:27">
      <c r="A520" t="s">
        <v>52</v>
      </c>
      <c r="B520">
        <v>135</v>
      </c>
      <c r="C520">
        <f t="shared" si="449"/>
        <v>408</v>
      </c>
      <c r="D520">
        <v>-4.2153</v>
      </c>
      <c r="E520">
        <v>-2.9</v>
      </c>
      <c r="F520">
        <v>-3.0333999999999999</v>
      </c>
      <c r="G520">
        <v>-5.8630000000000004</v>
      </c>
      <c r="H520">
        <f t="shared" si="450"/>
        <v>7.4859000000000018</v>
      </c>
      <c r="I520">
        <v>16.217700000000001</v>
      </c>
      <c r="J520">
        <f t="shared" si="451"/>
        <v>-68213.117922364792</v>
      </c>
      <c r="L520">
        <f t="shared" si="447"/>
        <v>-8.5266397402955985</v>
      </c>
      <c r="O520" s="23">
        <v>8.7150000000000004E-6</v>
      </c>
      <c r="P520">
        <v>1.147E-4</v>
      </c>
      <c r="Q520" s="27">
        <f t="shared" si="452"/>
        <v>-7.4309665336676142E-2</v>
      </c>
      <c r="R520" s="27">
        <f t="shared" si="453"/>
        <v>-7.8240446256952412</v>
      </c>
      <c r="S520">
        <f t="shared" si="448"/>
        <v>-7.4309665336676142E-2</v>
      </c>
      <c r="AA520" s="31"/>
    </row>
    <row r="521" spans="1:27">
      <c r="A521" t="s">
        <v>53</v>
      </c>
      <c r="B521">
        <v>135</v>
      </c>
      <c r="C521">
        <f t="shared" si="449"/>
        <v>408</v>
      </c>
      <c r="D521">
        <v>-4.7927</v>
      </c>
      <c r="E521">
        <v>-5</v>
      </c>
      <c r="F521">
        <v>-3.9975999999999998</v>
      </c>
      <c r="G521">
        <v>-6.7366999999999999</v>
      </c>
      <c r="H521">
        <f t="shared" si="450"/>
        <v>-15.311300000000006</v>
      </c>
      <c r="I521">
        <v>16.217700000000001</v>
      </c>
      <c r="J521">
        <f t="shared" si="451"/>
        <v>-246305.61796814404</v>
      </c>
      <c r="L521">
        <f t="shared" si="447"/>
        <v>-30.788202246018006</v>
      </c>
      <c r="O521" s="23">
        <v>1.0979999999999999E-6</v>
      </c>
      <c r="P521" s="23">
        <v>2.9649999999999999E-5</v>
      </c>
      <c r="Q521" s="27">
        <f t="shared" si="452"/>
        <v>-3.3805446066127766E-2</v>
      </c>
      <c r="R521" s="27">
        <f t="shared" si="453"/>
        <v>-7.3029615727554704</v>
      </c>
      <c r="S521">
        <f t="shared" si="448"/>
        <v>-3.3805446066127766E-2</v>
      </c>
      <c r="AA521" s="31"/>
    </row>
    <row r="522" spans="1:27">
      <c r="A522" s="11" t="s">
        <v>54</v>
      </c>
      <c r="B522">
        <v>20</v>
      </c>
      <c r="C522">
        <f t="shared" si="449"/>
        <v>293</v>
      </c>
      <c r="D522">
        <v>-5.3</v>
      </c>
      <c r="E522">
        <v>-8.02</v>
      </c>
      <c r="F522">
        <v>-6.5</v>
      </c>
      <c r="G522">
        <v>-20.29</v>
      </c>
      <c r="H522">
        <f t="shared" si="450"/>
        <v>48.839999999999989</v>
      </c>
      <c r="I522">
        <v>12.442</v>
      </c>
      <c r="J522">
        <f t="shared" si="451"/>
        <v>204196.87863318794</v>
      </c>
      <c r="L522" s="26">
        <f t="shared" si="447"/>
        <v>25.524609829148492</v>
      </c>
      <c r="O522" s="23">
        <v>2.1039999999999999E-20</v>
      </c>
      <c r="P522" s="23">
        <v>7.9170000000000006E-6</v>
      </c>
      <c r="Q522" s="27">
        <f>(J522/8)*O522</f>
        <v>5.3703779080528425E-16</v>
      </c>
      <c r="R522" s="29">
        <f t="shared" si="453"/>
        <v>1.6166266881389491</v>
      </c>
      <c r="S522" s="26">
        <f>IF(Q522&gt;R522, Q522,R522)</f>
        <v>1.6166266881389491</v>
      </c>
      <c r="T522" s="30"/>
      <c r="X522" s="26">
        <f>LOG(ABS(S522))</f>
        <v>0.20860974408755142</v>
      </c>
      <c r="AA522" s="31"/>
    </row>
    <row r="523" spans="1:27">
      <c r="AA523" s="31"/>
    </row>
    <row r="524" spans="1:27">
      <c r="AA524" s="31"/>
    </row>
    <row r="525" spans="1:27" ht="17">
      <c r="D525" s="7" t="s">
        <v>134</v>
      </c>
      <c r="E525" s="7"/>
      <c r="F525" s="7"/>
      <c r="G525" s="7"/>
      <c r="H525" s="7"/>
      <c r="Q525" s="27" t="s">
        <v>180</v>
      </c>
      <c r="R525" s="27" t="s">
        <v>173</v>
      </c>
      <c r="S525" t="s">
        <v>174</v>
      </c>
      <c r="AA525" s="31"/>
    </row>
    <row r="526" spans="1:27" ht="17">
      <c r="A526" t="s">
        <v>23</v>
      </c>
      <c r="B526" t="s">
        <v>24</v>
      </c>
      <c r="C526" t="s">
        <v>25</v>
      </c>
      <c r="D526" t="s">
        <v>97</v>
      </c>
      <c r="E526" t="s">
        <v>30</v>
      </c>
      <c r="F526" t="s">
        <v>73</v>
      </c>
      <c r="G526" t="s">
        <v>44</v>
      </c>
      <c r="H526" t="s">
        <v>31</v>
      </c>
      <c r="I526" t="s">
        <v>32</v>
      </c>
      <c r="J526" t="s">
        <v>33</v>
      </c>
      <c r="L526" t="s">
        <v>37</v>
      </c>
      <c r="M526" t="s">
        <v>191</v>
      </c>
      <c r="N526" s="1" t="s">
        <v>190</v>
      </c>
      <c r="O526" t="s">
        <v>44</v>
      </c>
      <c r="P526" t="s">
        <v>181</v>
      </c>
      <c r="Q526" s="27" t="s">
        <v>47</v>
      </c>
      <c r="R526" s="27" t="s">
        <v>47</v>
      </c>
      <c r="S526" t="s">
        <v>175</v>
      </c>
      <c r="T526" t="s">
        <v>195</v>
      </c>
      <c r="U526" t="s">
        <v>194</v>
      </c>
      <c r="V526" t="s">
        <v>200</v>
      </c>
      <c r="W526" s="1" t="s">
        <v>190</v>
      </c>
      <c r="AA526" s="31"/>
    </row>
    <row r="527" spans="1:27">
      <c r="A527" t="s">
        <v>48</v>
      </c>
      <c r="B527">
        <v>54.7</v>
      </c>
      <c r="C527">
        <f>B527+273</f>
        <v>327.7</v>
      </c>
      <c r="D527">
        <v>-4.7778</v>
      </c>
      <c r="E527">
        <v>-5.2</v>
      </c>
      <c r="F527">
        <v>-6.9089999999999998</v>
      </c>
      <c r="G527">
        <v>-6.1745999999999999</v>
      </c>
      <c r="H527">
        <f>F527+4*E527-2*G527-D527</f>
        <v>-10.582000000000001</v>
      </c>
      <c r="I527">
        <v>1.6523000000000001</v>
      </c>
      <c r="J527">
        <f>-2.303*8.314*C527*(I527-H527)</f>
        <v>-76764.340869745618</v>
      </c>
      <c r="L527">
        <f t="shared" ref="L527:L533" si="454">J527/2000</f>
        <v>-38.382170434872812</v>
      </c>
      <c r="M527">
        <f t="shared" si="438"/>
        <v>-35.23413185590536</v>
      </c>
      <c r="N527">
        <f t="shared" ref="N527:N548" si="455">ABS(MAX(L527:L532)-M527)</f>
        <v>16.35986726483257</v>
      </c>
      <c r="O527" s="23">
        <v>3.2150000000000001E-6</v>
      </c>
      <c r="P527" s="23">
        <v>2.8059999999999999E-5</v>
      </c>
      <c r="Q527" s="27">
        <f>(J527/2)*O527</f>
        <v>-0.12339867794811608</v>
      </c>
      <c r="R527" s="27">
        <f>(J527)*P527</f>
        <v>-2.1540074048050619</v>
      </c>
      <c r="S527">
        <f t="shared" ref="S527:S533" si="456">IF(Q527&gt;R527, Q527,R527)</f>
        <v>-0.12339867794811608</v>
      </c>
      <c r="T527">
        <f>ABS(MIN(S527:S532))</f>
        <v>0.30884167873673724</v>
      </c>
      <c r="U527">
        <f>ABS(MAX(S527:S532))</f>
        <v>4.305447200591752E-2</v>
      </c>
      <c r="V527">
        <f t="shared" si="440"/>
        <v>-0.93812291394516922</v>
      </c>
      <c r="W527">
        <f t="shared" si="441"/>
        <v>0.42785881838073303</v>
      </c>
      <c r="AA527" s="31"/>
    </row>
    <row r="528" spans="1:27">
      <c r="A528" t="s">
        <v>49</v>
      </c>
      <c r="B528">
        <v>60.3</v>
      </c>
      <c r="C528">
        <f t="shared" ref="C528:C533" si="457">B528+273</f>
        <v>333.3</v>
      </c>
      <c r="D528">
        <v>-4.7697000000000003</v>
      </c>
      <c r="E528">
        <v>-5.2</v>
      </c>
      <c r="F528">
        <v>-6.7397</v>
      </c>
      <c r="G528">
        <v>-6.1958000000000002</v>
      </c>
      <c r="H528">
        <f t="shared" ref="H528:H533" si="458">F528+4*E528-2*G528-D528</f>
        <v>-10.378399999999999</v>
      </c>
      <c r="I528">
        <v>1.7226999999999999</v>
      </c>
      <c r="J528">
        <f t="shared" ref="J528:J533" si="459">-2.303*8.314*C528*(I528-H528)</f>
        <v>-77226.103302731441</v>
      </c>
      <c r="L528">
        <f t="shared" si="454"/>
        <v>-38.613051651365723</v>
      </c>
      <c r="O528" s="23">
        <v>2.852E-6</v>
      </c>
      <c r="P528" s="23">
        <v>2.7889999999999999E-5</v>
      </c>
      <c r="Q528" s="27">
        <f t="shared" ref="Q528:Q533" si="460">(J528/2)*O528</f>
        <v>-0.11012442330969503</v>
      </c>
      <c r="R528" s="27">
        <f t="shared" ref="R528:R533" si="461">(J528)*P528</f>
        <v>-2.1538360211131797</v>
      </c>
      <c r="S528">
        <f t="shared" si="456"/>
        <v>-0.11012442330969503</v>
      </c>
      <c r="AA528" s="31"/>
    </row>
    <row r="529" spans="1:27">
      <c r="A529" t="s">
        <v>50</v>
      </c>
      <c r="B529">
        <v>80.099999999999994</v>
      </c>
      <c r="C529">
        <f t="shared" si="457"/>
        <v>353.1</v>
      </c>
      <c r="D529">
        <v>-4.7794999999999996</v>
      </c>
      <c r="E529">
        <v>-4.7</v>
      </c>
      <c r="F529">
        <v>-6.9115000000000002</v>
      </c>
      <c r="G529">
        <v>-6.4217000000000004</v>
      </c>
      <c r="H529">
        <f t="shared" si="458"/>
        <v>-8.0885999999999996</v>
      </c>
      <c r="I529">
        <v>1.9794</v>
      </c>
      <c r="J529">
        <f t="shared" si="459"/>
        <v>-68068.296599133595</v>
      </c>
      <c r="L529">
        <f t="shared" si="454"/>
        <v>-34.034148299566795</v>
      </c>
      <c r="O529" s="23">
        <v>2.0600000000000002E-6</v>
      </c>
      <c r="P529" s="23">
        <v>2.8920000000000001E-5</v>
      </c>
      <c r="Q529" s="27">
        <f t="shared" si="460"/>
        <v>-7.011034549710761E-2</v>
      </c>
      <c r="R529" s="27">
        <f t="shared" si="461"/>
        <v>-1.9685351376469435</v>
      </c>
      <c r="S529">
        <f t="shared" si="456"/>
        <v>-7.011034549710761E-2</v>
      </c>
      <c r="AA529" s="31"/>
    </row>
    <row r="530" spans="1:27">
      <c r="A530" t="s">
        <v>51</v>
      </c>
      <c r="B530">
        <v>96.6</v>
      </c>
      <c r="C530">
        <f t="shared" si="457"/>
        <v>369.6</v>
      </c>
      <c r="D530">
        <v>-4.6773999999999996</v>
      </c>
      <c r="E530">
        <v>-5.6</v>
      </c>
      <c r="F530">
        <v>-6.5316999999999998</v>
      </c>
      <c r="G530">
        <v>-5.9225000000000003</v>
      </c>
      <c r="H530">
        <f t="shared" si="458"/>
        <v>-12.409300000000002</v>
      </c>
      <c r="I530">
        <v>2.1718999999999999</v>
      </c>
      <c r="J530">
        <f t="shared" si="459"/>
        <v>-103187.99824147586</v>
      </c>
      <c r="L530">
        <f t="shared" si="454"/>
        <v>-51.593999120737926</v>
      </c>
      <c r="O530" s="23">
        <v>5.9859999999999999E-6</v>
      </c>
      <c r="P530" s="23">
        <v>3.6059999999999997E-5</v>
      </c>
      <c r="Q530" s="27">
        <f t="shared" si="460"/>
        <v>-0.30884167873673724</v>
      </c>
      <c r="R530" s="27">
        <f t="shared" si="461"/>
        <v>-3.7209592165876191</v>
      </c>
      <c r="S530">
        <f t="shared" si="456"/>
        <v>-0.30884167873673724</v>
      </c>
      <c r="AA530" s="31"/>
    </row>
    <row r="531" spans="1:27">
      <c r="A531" t="s">
        <v>52</v>
      </c>
      <c r="B531">
        <v>135</v>
      </c>
      <c r="C531">
        <f t="shared" si="457"/>
        <v>408</v>
      </c>
      <c r="D531">
        <v>-4.2153</v>
      </c>
      <c r="E531">
        <v>-2.9</v>
      </c>
      <c r="F531">
        <v>-6.6307</v>
      </c>
      <c r="G531">
        <v>-5.8630000000000004</v>
      </c>
      <c r="H531">
        <f t="shared" si="458"/>
        <v>-2.2893999999999979</v>
      </c>
      <c r="I531">
        <v>2.5427</v>
      </c>
      <c r="J531">
        <f t="shared" si="459"/>
        <v>-37748.529182145583</v>
      </c>
      <c r="L531">
        <f t="shared" si="454"/>
        <v>-18.874264591072791</v>
      </c>
      <c r="O531" s="23">
        <v>8.7150000000000004E-6</v>
      </c>
      <c r="P531">
        <v>1.147E-4</v>
      </c>
      <c r="Q531" s="27">
        <f t="shared" si="460"/>
        <v>-0.16448921591119939</v>
      </c>
      <c r="R531" s="27">
        <f t="shared" si="461"/>
        <v>-4.3297562971920982</v>
      </c>
      <c r="S531">
        <f t="shared" si="456"/>
        <v>-0.16448921591119939</v>
      </c>
      <c r="AA531" s="31"/>
    </row>
    <row r="532" spans="1:27">
      <c r="A532" t="s">
        <v>53</v>
      </c>
      <c r="B532">
        <v>135</v>
      </c>
      <c r="C532">
        <f t="shared" si="457"/>
        <v>408</v>
      </c>
      <c r="D532">
        <v>-4.7927</v>
      </c>
      <c r="E532">
        <v>-5</v>
      </c>
      <c r="F532">
        <v>-5.7622</v>
      </c>
      <c r="G532">
        <v>-6.7366999999999999</v>
      </c>
      <c r="H532">
        <f t="shared" si="458"/>
        <v>-7.4961000000000002</v>
      </c>
      <c r="I532">
        <v>2.5427</v>
      </c>
      <c r="J532">
        <f t="shared" si="459"/>
        <v>-78423.446276716801</v>
      </c>
      <c r="L532">
        <f t="shared" si="454"/>
        <v>-39.211723138358401</v>
      </c>
      <c r="O532" s="23">
        <v>1.0979999999999999E-6</v>
      </c>
      <c r="P532" s="23">
        <v>2.9649999999999999E-5</v>
      </c>
      <c r="Q532" s="27">
        <f t="shared" si="460"/>
        <v>-4.305447200591752E-2</v>
      </c>
      <c r="R532" s="27">
        <f t="shared" si="461"/>
        <v>-2.325255182104653</v>
      </c>
      <c r="S532">
        <f t="shared" si="456"/>
        <v>-4.305447200591752E-2</v>
      </c>
      <c r="AA532" s="31"/>
    </row>
    <row r="533" spans="1:27">
      <c r="A533" s="11" t="s">
        <v>54</v>
      </c>
      <c r="B533">
        <v>20</v>
      </c>
      <c r="C533">
        <f t="shared" si="457"/>
        <v>293</v>
      </c>
      <c r="D533">
        <v>-5.3</v>
      </c>
      <c r="E533">
        <v>-8.02</v>
      </c>
      <c r="F533">
        <v>-6.9</v>
      </c>
      <c r="G533">
        <v>-20.29</v>
      </c>
      <c r="H533">
        <f t="shared" si="458"/>
        <v>6.9000000000000012</v>
      </c>
      <c r="I533">
        <v>1.0721000000000001</v>
      </c>
      <c r="J533">
        <f t="shared" si="459"/>
        <v>32695.175256507406</v>
      </c>
      <c r="L533" s="26">
        <f t="shared" si="454"/>
        <v>16.347587628253702</v>
      </c>
      <c r="O533" s="23">
        <v>2.1039999999999999E-20</v>
      </c>
      <c r="P533" s="23">
        <v>7.9170000000000006E-6</v>
      </c>
      <c r="Q533" s="27">
        <f t="shared" si="460"/>
        <v>3.439532436984579E-16</v>
      </c>
      <c r="R533" s="29">
        <f t="shared" si="461"/>
        <v>0.25884770250576916</v>
      </c>
      <c r="S533" s="26">
        <f t="shared" si="456"/>
        <v>0.25884770250576916</v>
      </c>
      <c r="X533" s="26">
        <f>LOG(ABS(S533))</f>
        <v>-0.58695568539912257</v>
      </c>
      <c r="AA533" s="31"/>
    </row>
    <row r="534" spans="1:27">
      <c r="AA534" s="31"/>
    </row>
    <row r="535" spans="1:27" ht="17">
      <c r="D535" s="7" t="s">
        <v>66</v>
      </c>
      <c r="E535" s="7"/>
      <c r="F535" s="7"/>
      <c r="G535" s="7"/>
      <c r="H535" s="7"/>
      <c r="Q535" s="27" t="s">
        <v>180</v>
      </c>
      <c r="R535" s="27" t="s">
        <v>173</v>
      </c>
      <c r="S535" t="s">
        <v>174</v>
      </c>
      <c r="AA535" s="31"/>
    </row>
    <row r="536" spans="1:27" ht="17">
      <c r="A536" t="s">
        <v>23</v>
      </c>
      <c r="B536" t="s">
        <v>24</v>
      </c>
      <c r="C536" t="s">
        <v>25</v>
      </c>
      <c r="D536" t="s">
        <v>73</v>
      </c>
      <c r="E536" t="s">
        <v>30</v>
      </c>
      <c r="F536" t="s">
        <v>68</v>
      </c>
      <c r="G536" t="s">
        <v>44</v>
      </c>
      <c r="H536" t="s">
        <v>31</v>
      </c>
      <c r="I536" t="s">
        <v>32</v>
      </c>
      <c r="J536" t="s">
        <v>33</v>
      </c>
      <c r="L536" t="s">
        <v>75</v>
      </c>
      <c r="M536" t="s">
        <v>191</v>
      </c>
      <c r="N536" s="1" t="s">
        <v>190</v>
      </c>
      <c r="O536" t="s">
        <v>44</v>
      </c>
      <c r="P536" t="s">
        <v>184</v>
      </c>
      <c r="Q536" s="27" t="s">
        <v>47</v>
      </c>
      <c r="R536" s="27" t="s">
        <v>47</v>
      </c>
      <c r="S536" t="s">
        <v>175</v>
      </c>
      <c r="T536" t="s">
        <v>195</v>
      </c>
      <c r="U536" t="s">
        <v>194</v>
      </c>
      <c r="V536" t="s">
        <v>200</v>
      </c>
      <c r="W536" s="1" t="s">
        <v>190</v>
      </c>
      <c r="AA536" s="31"/>
    </row>
    <row r="537" spans="1:27">
      <c r="A537" t="s">
        <v>48</v>
      </c>
      <c r="B537">
        <v>54.7</v>
      </c>
      <c r="C537">
        <f>B537+273</f>
        <v>327.7</v>
      </c>
      <c r="D537">
        <v>-6.9089999999999998</v>
      </c>
      <c r="E537">
        <v>-5.2</v>
      </c>
      <c r="F537">
        <v>-5.6195000000000004</v>
      </c>
      <c r="G537">
        <v>-6.1745999999999999</v>
      </c>
      <c r="H537">
        <f>0.5*F537+5*E537-3*G537-D537</f>
        <v>-3.3769499999999999</v>
      </c>
      <c r="I537">
        <v>33.6111</v>
      </c>
      <c r="J537">
        <f>-2.303*8.314*C537*(I537-H537)</f>
        <v>-232082.20154052085</v>
      </c>
      <c r="L537">
        <f t="shared" ref="L537:L543" si="462">J537/3000</f>
        <v>-77.36073384684029</v>
      </c>
      <c r="M537">
        <f t="shared" si="438"/>
        <v>-73.573112178304484</v>
      </c>
      <c r="N537">
        <f t="shared" si="455"/>
        <v>15.19664698701969</v>
      </c>
      <c r="O537" s="23">
        <v>3.2150000000000001E-6</v>
      </c>
      <c r="P537" s="23">
        <v>2.0760000000000001E-7</v>
      </c>
      <c r="Q537" s="27">
        <f>(J537/3)*O537</f>
        <v>-0.24871475931759154</v>
      </c>
      <c r="R537" s="27">
        <f>(J537)*P537</f>
        <v>-4.8180265039812133E-2</v>
      </c>
      <c r="S537">
        <f t="shared" ref="S537:S543" si="463">IF(Q537&gt;R537, Q537,R537)</f>
        <v>-4.8180265039812133E-2</v>
      </c>
      <c r="T537">
        <f>ABS(MIN(S537:S542))</f>
        <v>0.13568457688419797</v>
      </c>
      <c r="U537">
        <f>ABS(MAX(S537:S542))</f>
        <v>4.633888050791285E-2</v>
      </c>
      <c r="V537">
        <f t="shared" ref="V537:V559" si="464">AVERAGE(LOG(T537),LOG(U537))</f>
        <v>-1.1007619888821525</v>
      </c>
      <c r="W537">
        <f t="shared" ref="W537:W559" si="465">ABS(V537-LOG(T537))</f>
        <v>0.23329247357387795</v>
      </c>
      <c r="AA537" s="31"/>
    </row>
    <row r="538" spans="1:27">
      <c r="A538" t="s">
        <v>49</v>
      </c>
      <c r="B538">
        <v>60.3</v>
      </c>
      <c r="C538">
        <f t="shared" ref="C538:C543" si="466">B538+273</f>
        <v>333.3</v>
      </c>
      <c r="D538">
        <v>-6.7397</v>
      </c>
      <c r="E538">
        <v>-5.2</v>
      </c>
      <c r="F538">
        <v>-5.8804999999999996</v>
      </c>
      <c r="G538">
        <v>-6.1958000000000002</v>
      </c>
      <c r="H538">
        <f t="shared" ref="H538:H543" si="467">0.5*F538+5*E538-3*G538-D538</f>
        <v>-3.6131499999999965</v>
      </c>
      <c r="I538">
        <v>33.267600000000002</v>
      </c>
      <c r="J538">
        <f t="shared" ref="J538:J543" si="468">-2.303*8.314*C538*(I538-H538)</f>
        <v>-235363.44707358943</v>
      </c>
      <c r="L538">
        <f t="shared" si="462"/>
        <v>-78.454482357863142</v>
      </c>
      <c r="O538" s="23">
        <v>2.852E-6</v>
      </c>
      <c r="P538" s="23">
        <v>2.9849999999999998E-7</v>
      </c>
      <c r="Q538" s="27">
        <f t="shared" ref="Q538:Q543" si="469">(J538/3)*O538</f>
        <v>-0.22375218368462568</v>
      </c>
      <c r="R538" s="27">
        <f t="shared" ref="R538:R543" si="470">(J538)*P538</f>
        <v>-7.0255988951466439E-2</v>
      </c>
      <c r="S538">
        <f t="shared" si="463"/>
        <v>-7.0255988951466439E-2</v>
      </c>
      <c r="AA538" s="31"/>
    </row>
    <row r="539" spans="1:27">
      <c r="A539" t="s">
        <v>50</v>
      </c>
      <c r="B539">
        <v>80.099999999999994</v>
      </c>
      <c r="C539">
        <f t="shared" si="466"/>
        <v>353.1</v>
      </c>
      <c r="D539">
        <v>-6.9115000000000002</v>
      </c>
      <c r="E539">
        <v>-4.7</v>
      </c>
      <c r="F539">
        <v>-5.63</v>
      </c>
      <c r="G539">
        <v>-6.4217000000000004</v>
      </c>
      <c r="H539">
        <f t="shared" si="467"/>
        <v>-0.13840000000000074</v>
      </c>
      <c r="I539">
        <v>32.009799999999998</v>
      </c>
      <c r="J539">
        <f t="shared" si="468"/>
        <v>-217349.34572191766</v>
      </c>
      <c r="L539">
        <f t="shared" si="462"/>
        <v>-72.449781907305891</v>
      </c>
      <c r="O539" s="23">
        <v>2.0600000000000002E-6</v>
      </c>
      <c r="P539" s="23">
        <v>2.132E-7</v>
      </c>
      <c r="Q539" s="27">
        <f t="shared" si="469"/>
        <v>-0.14924655072905016</v>
      </c>
      <c r="R539" s="27">
        <f t="shared" si="470"/>
        <v>-4.633888050791285E-2</v>
      </c>
      <c r="S539">
        <f t="shared" si="463"/>
        <v>-4.633888050791285E-2</v>
      </c>
      <c r="AA539" s="31"/>
    </row>
    <row r="540" spans="1:27">
      <c r="A540" t="s">
        <v>51</v>
      </c>
      <c r="B540">
        <v>96.6</v>
      </c>
      <c r="C540">
        <f t="shared" si="466"/>
        <v>369.6</v>
      </c>
      <c r="D540">
        <v>-6.5316999999999998</v>
      </c>
      <c r="E540">
        <v>-5.6</v>
      </c>
      <c r="F540">
        <v>-5.718</v>
      </c>
      <c r="G540">
        <v>-5.9225000000000003</v>
      </c>
      <c r="H540">
        <f t="shared" si="467"/>
        <v>-6.5598000000000001</v>
      </c>
      <c r="I540">
        <v>31.0716</v>
      </c>
      <c r="J540">
        <f t="shared" si="468"/>
        <v>-266309.27749597246</v>
      </c>
      <c r="L540">
        <f t="shared" si="462"/>
        <v>-88.76975916532416</v>
      </c>
      <c r="O540" s="23">
        <v>5.9859999999999999E-6</v>
      </c>
      <c r="P540" s="23">
        <v>5.0949999999999995E-7</v>
      </c>
      <c r="Q540" s="27">
        <f t="shared" si="469"/>
        <v>-0.53137577836363037</v>
      </c>
      <c r="R540" s="27">
        <f t="shared" si="470"/>
        <v>-0.13568457688419797</v>
      </c>
      <c r="S540">
        <f t="shared" si="463"/>
        <v>-0.13568457688419797</v>
      </c>
      <c r="AA540" s="31"/>
    </row>
    <row r="541" spans="1:27">
      <c r="A541" t="s">
        <v>52</v>
      </c>
      <c r="B541">
        <v>135</v>
      </c>
      <c r="C541">
        <f t="shared" si="466"/>
        <v>408</v>
      </c>
      <c r="D541">
        <v>-6.6307</v>
      </c>
      <c r="E541">
        <v>-2.9</v>
      </c>
      <c r="F541">
        <v>-5.5933999999999999</v>
      </c>
      <c r="G541">
        <v>-5.8630000000000004</v>
      </c>
      <c r="H541">
        <f t="shared" si="467"/>
        <v>6.9230000000000009</v>
      </c>
      <c r="I541">
        <v>29.340900000000001</v>
      </c>
      <c r="J541">
        <f t="shared" si="468"/>
        <v>-175129.39557385439</v>
      </c>
      <c r="L541">
        <f t="shared" si="462"/>
        <v>-58.376465191284794</v>
      </c>
      <c r="O541" s="23">
        <v>8.7150000000000004E-6</v>
      </c>
      <c r="P541" s="23">
        <v>4.221E-7</v>
      </c>
      <c r="Q541" s="27">
        <f t="shared" si="469"/>
        <v>-0.50875089414204699</v>
      </c>
      <c r="R541" s="27">
        <f t="shared" si="470"/>
        <v>-7.3922117871723939E-2</v>
      </c>
      <c r="S541">
        <f t="shared" si="463"/>
        <v>-7.3922117871723939E-2</v>
      </c>
      <c r="AA541" s="31"/>
    </row>
    <row r="542" spans="1:27">
      <c r="A542" t="s">
        <v>53</v>
      </c>
      <c r="B542">
        <v>135</v>
      </c>
      <c r="C542">
        <f t="shared" si="466"/>
        <v>408</v>
      </c>
      <c r="D542">
        <v>-5.7622</v>
      </c>
      <c r="E542">
        <v>-5</v>
      </c>
      <c r="F542">
        <v>-5.23</v>
      </c>
      <c r="G542">
        <v>-6.7366999999999999</v>
      </c>
      <c r="H542">
        <f t="shared" si="467"/>
        <v>-1.6427000000000014</v>
      </c>
      <c r="I542">
        <v>29.340900000000001</v>
      </c>
      <c r="J542">
        <f t="shared" si="468"/>
        <v>-242044.93465944962</v>
      </c>
      <c r="L542">
        <f t="shared" si="462"/>
        <v>-80.681644886483213</v>
      </c>
      <c r="O542" s="23">
        <v>1.0979999999999999E-6</v>
      </c>
      <c r="P542" s="23">
        <v>3.1810000000000001E-6</v>
      </c>
      <c r="Q542" s="27">
        <f t="shared" si="469"/>
        <v>-8.8588446085358555E-2</v>
      </c>
      <c r="R542" s="27">
        <f t="shared" si="470"/>
        <v>-0.76994493715170931</v>
      </c>
      <c r="S542">
        <f t="shared" si="463"/>
        <v>-8.8588446085358555E-2</v>
      </c>
      <c r="AA542" s="31"/>
    </row>
    <row r="543" spans="1:27">
      <c r="A543" s="11" t="s">
        <v>54</v>
      </c>
      <c r="B543">
        <v>20</v>
      </c>
      <c r="C543">
        <f t="shared" si="466"/>
        <v>293</v>
      </c>
      <c r="D543">
        <v>-6.9</v>
      </c>
      <c r="E543">
        <v>-8.02</v>
      </c>
      <c r="F543">
        <v>-3.1</v>
      </c>
      <c r="G543">
        <v>-20.29</v>
      </c>
      <c r="H543">
        <f t="shared" si="467"/>
        <v>26.120000000000005</v>
      </c>
      <c r="I543">
        <v>36.415199999999999</v>
      </c>
      <c r="J543">
        <f t="shared" si="468"/>
        <v>-57757.231301291162</v>
      </c>
      <c r="L543">
        <f t="shared" si="462"/>
        <v>-19.252410433763721</v>
      </c>
      <c r="O543" s="23">
        <v>2.1039999999999999E-20</v>
      </c>
      <c r="P543" s="23">
        <v>1.9999999999999999E-7</v>
      </c>
      <c r="Q543" s="27">
        <f t="shared" si="469"/>
        <v>-4.050707155263887E-16</v>
      </c>
      <c r="R543" s="27">
        <f t="shared" si="470"/>
        <v>-1.1551446260258232E-2</v>
      </c>
      <c r="S543">
        <f t="shared" si="463"/>
        <v>-4.050707155263887E-16</v>
      </c>
      <c r="X543" s="26">
        <f>LOG(ABS(S543))</f>
        <v>-15.392469152879135</v>
      </c>
      <c r="AA543" s="31"/>
    </row>
    <row r="544" spans="1:27">
      <c r="J544" s="1"/>
      <c r="AA544" s="31"/>
    </row>
    <row r="545" spans="1:27">
      <c r="AA545" s="31"/>
    </row>
    <row r="546" spans="1:27" ht="17">
      <c r="D546" s="7" t="s">
        <v>92</v>
      </c>
      <c r="E546" s="7"/>
      <c r="F546" s="7"/>
      <c r="G546" s="7"/>
      <c r="H546" s="7"/>
      <c r="Q546" s="27" t="s">
        <v>180</v>
      </c>
      <c r="R546" s="27" t="s">
        <v>173</v>
      </c>
      <c r="S546" t="s">
        <v>174</v>
      </c>
      <c r="AA546" s="31"/>
    </row>
    <row r="547" spans="1:27" ht="17">
      <c r="A547" t="s">
        <v>23</v>
      </c>
      <c r="B547" t="s">
        <v>24</v>
      </c>
      <c r="C547" t="s">
        <v>25</v>
      </c>
      <c r="D547" t="s">
        <v>73</v>
      </c>
      <c r="E547" t="s">
        <v>30</v>
      </c>
      <c r="F547" t="s">
        <v>93</v>
      </c>
      <c r="G547" t="s">
        <v>44</v>
      </c>
      <c r="H547" t="s">
        <v>31</v>
      </c>
      <c r="I547" t="s">
        <v>32</v>
      </c>
      <c r="J547" t="s">
        <v>33</v>
      </c>
      <c r="L547" t="s">
        <v>38</v>
      </c>
      <c r="M547" t="s">
        <v>191</v>
      </c>
      <c r="N547" s="1" t="s">
        <v>190</v>
      </c>
      <c r="O547" t="s">
        <v>44</v>
      </c>
      <c r="P547" t="s">
        <v>184</v>
      </c>
      <c r="Q547" s="27" t="s">
        <v>47</v>
      </c>
      <c r="R547" s="27" t="s">
        <v>47</v>
      </c>
      <c r="S547" t="s">
        <v>175</v>
      </c>
      <c r="T547" t="s">
        <v>195</v>
      </c>
      <c r="U547" t="s">
        <v>194</v>
      </c>
      <c r="V547" t="s">
        <v>200</v>
      </c>
      <c r="W547" s="1" t="s">
        <v>190</v>
      </c>
      <c r="Z547" t="s">
        <v>207</v>
      </c>
      <c r="AA547" s="31"/>
    </row>
    <row r="548" spans="1:27">
      <c r="A548" t="s">
        <v>48</v>
      </c>
      <c r="B548">
        <v>54.7</v>
      </c>
      <c r="C548">
        <f>B548+273</f>
        <v>327.7</v>
      </c>
      <c r="D548">
        <v>-6.9089999999999998</v>
      </c>
      <c r="E548">
        <v>-5.2</v>
      </c>
      <c r="F548">
        <v>-3.0034000000000001</v>
      </c>
      <c r="G548">
        <v>-6.1745999999999999</v>
      </c>
      <c r="H548">
        <f>F548+10*E548-6*G548-D548</f>
        <v>-11.046799999999998</v>
      </c>
      <c r="I548">
        <v>12.221500000000001</v>
      </c>
      <c r="J548">
        <f>-2.303*8.314*C548*(I548-H548)</f>
        <v>-145997.37726388118</v>
      </c>
      <c r="L548">
        <f t="shared" ref="L548:L554" si="471">J548/6000</f>
        <v>-24.332896210646862</v>
      </c>
      <c r="M548">
        <f t="shared" si="438"/>
        <v>-21.810448947231276</v>
      </c>
      <c r="N548">
        <f t="shared" si="455"/>
        <v>16.733017490528081</v>
      </c>
      <c r="O548" s="23">
        <v>3.2150000000000001E-6</v>
      </c>
      <c r="P548" s="23">
        <v>2.0760000000000001E-7</v>
      </c>
      <c r="Q548" s="27">
        <f>(J548/6)*O548</f>
        <v>-7.8230261317229668E-2</v>
      </c>
      <c r="R548" s="27">
        <f>(J548)*P548</f>
        <v>-3.0309055519981733E-2</v>
      </c>
      <c r="S548">
        <f t="shared" ref="S548:S554" si="472">IF(Q548&gt;R548, Q548,R548)</f>
        <v>-3.0309055519981733E-2</v>
      </c>
      <c r="T548">
        <f>ABS(MIN(S548:S553))</f>
        <v>0.11782737690023035</v>
      </c>
      <c r="U548">
        <f>ABS(MAX(S548:S553))</f>
        <v>1.285910290724651E-2</v>
      </c>
      <c r="V548">
        <f t="shared" si="464"/>
        <v>-1.4097715593604296</v>
      </c>
      <c r="W548">
        <f t="shared" si="465"/>
        <v>0.48101776878715585</v>
      </c>
      <c r="Z548">
        <f>S495+S505+S516+S527+S537+S548</f>
        <v>-0.69188702320631301</v>
      </c>
      <c r="AA548" s="31">
        <f t="shared" ref="AA548:AA553" si="473">-Z548</f>
        <v>0.69188702320631301</v>
      </c>
    </row>
    <row r="549" spans="1:27">
      <c r="A549" t="s">
        <v>49</v>
      </c>
      <c r="B549">
        <v>60.3</v>
      </c>
      <c r="C549">
        <f t="shared" ref="C549:C554" si="474">B549+273</f>
        <v>333.3</v>
      </c>
      <c r="D549">
        <v>-6.7397</v>
      </c>
      <c r="E549">
        <v>-5.2</v>
      </c>
      <c r="F549">
        <v>-3.9658000000000002</v>
      </c>
      <c r="G549">
        <v>-6.1958000000000002</v>
      </c>
      <c r="H549">
        <f t="shared" ref="H549:H554" si="475">F549+10*E549-6*G549-D549</f>
        <v>-12.051299999999998</v>
      </c>
      <c r="I549">
        <v>12.3283</v>
      </c>
      <c r="J549">
        <f t="shared" ref="J549:J554" si="476">-2.303*8.314*C549*(I549-H549)</f>
        <v>-155584.32771229654</v>
      </c>
      <c r="L549">
        <f t="shared" si="471"/>
        <v>-25.930721285382756</v>
      </c>
      <c r="O549" s="23">
        <v>2.852E-6</v>
      </c>
      <c r="P549" s="23">
        <v>2.9849999999999998E-7</v>
      </c>
      <c r="Q549" s="27">
        <f t="shared" ref="Q549:Q554" si="477">(J549/6)*O549</f>
        <v>-7.3954417105911621E-2</v>
      </c>
      <c r="R549" s="27">
        <f t="shared" ref="R549:R554" si="478">(J549)*P549</f>
        <v>-4.6441921822120515E-2</v>
      </c>
      <c r="S549">
        <f t="shared" si="472"/>
        <v>-4.6441921822120515E-2</v>
      </c>
      <c r="Z549">
        <f t="shared" ref="Z549:Z553" si="479">S496+S506+S517+S528+S538+S549</f>
        <v>-0.64549345852202744</v>
      </c>
      <c r="AA549" s="31">
        <f t="shared" si="473"/>
        <v>0.64549345852202744</v>
      </c>
    </row>
    <row r="550" spans="1:27">
      <c r="A550" t="s">
        <v>50</v>
      </c>
      <c r="B550">
        <v>80.099999999999994</v>
      </c>
      <c r="C550">
        <f t="shared" si="474"/>
        <v>353.1</v>
      </c>
      <c r="D550">
        <v>-6.9115000000000002</v>
      </c>
      <c r="E550">
        <v>-4.7</v>
      </c>
      <c r="F550">
        <v>-2.7109000000000001</v>
      </c>
      <c r="G550">
        <v>-6.4217000000000004</v>
      </c>
      <c r="H550">
        <f t="shared" si="475"/>
        <v>-4.2692000000000014</v>
      </c>
      <c r="I550">
        <v>12.725300000000001</v>
      </c>
      <c r="J550">
        <f t="shared" si="476"/>
        <v>-114897.36457627891</v>
      </c>
      <c r="L550">
        <f t="shared" si="471"/>
        <v>-19.149560762713151</v>
      </c>
      <c r="O550" s="23">
        <v>2.0600000000000002E-6</v>
      </c>
      <c r="P550" s="23">
        <v>2.132E-7</v>
      </c>
      <c r="Q550" s="27">
        <f t="shared" si="477"/>
        <v>-3.9448095171189093E-2</v>
      </c>
      <c r="R550" s="27">
        <f t="shared" si="478"/>
        <v>-2.4496118127662662E-2</v>
      </c>
      <c r="S550">
        <f t="shared" si="472"/>
        <v>-2.4496118127662662E-2</v>
      </c>
      <c r="Z550">
        <f t="shared" si="479"/>
        <v>-0.43234944102037176</v>
      </c>
      <c r="AA550" s="31">
        <f t="shared" si="473"/>
        <v>0.43234944102037176</v>
      </c>
    </row>
    <row r="551" spans="1:27">
      <c r="A551" t="s">
        <v>51</v>
      </c>
      <c r="B551">
        <v>96.6</v>
      </c>
      <c r="C551">
        <f t="shared" si="474"/>
        <v>369.6</v>
      </c>
      <c r="D551">
        <v>-6.5316999999999998</v>
      </c>
      <c r="E551">
        <v>-5.6</v>
      </c>
      <c r="F551">
        <v>-5.7118000000000002</v>
      </c>
      <c r="G551">
        <v>-5.9225000000000003</v>
      </c>
      <c r="H551">
        <f t="shared" si="475"/>
        <v>-19.645099999999992</v>
      </c>
      <c r="I551">
        <v>13.0337</v>
      </c>
      <c r="J551">
        <f t="shared" si="476"/>
        <v>-231260.79862655615</v>
      </c>
      <c r="L551">
        <f t="shared" si="471"/>
        <v>-38.543466437759356</v>
      </c>
      <c r="O551" s="23">
        <v>5.9859999999999999E-6</v>
      </c>
      <c r="P551" s="23">
        <v>5.0949999999999995E-7</v>
      </c>
      <c r="Q551" s="27">
        <f t="shared" si="477"/>
        <v>-0.23072119009642753</v>
      </c>
      <c r="R551" s="27">
        <f t="shared" si="478"/>
        <v>-0.11782737690023035</v>
      </c>
      <c r="S551">
        <f t="shared" si="472"/>
        <v>-0.11782737690023035</v>
      </c>
      <c r="Z551">
        <f t="shared" si="479"/>
        <v>-1.7376788834506245</v>
      </c>
      <c r="AA551" s="31">
        <f t="shared" si="473"/>
        <v>1.7376788834506245</v>
      </c>
    </row>
    <row r="552" spans="1:27">
      <c r="A552" t="s">
        <v>52</v>
      </c>
      <c r="B552">
        <v>135</v>
      </c>
      <c r="C552">
        <f t="shared" si="474"/>
        <v>408</v>
      </c>
      <c r="D552">
        <v>-6.6307</v>
      </c>
      <c r="E552">
        <v>-2.9</v>
      </c>
      <c r="F552">
        <v>-3.0333999999999999</v>
      </c>
      <c r="G552">
        <v>-5.8630000000000004</v>
      </c>
      <c r="H552">
        <f t="shared" si="475"/>
        <v>9.775300000000005</v>
      </c>
      <c r="I552">
        <v>13.675000000000001</v>
      </c>
      <c r="J552">
        <f t="shared" si="476"/>
        <v>-30464.588740219166</v>
      </c>
      <c r="L552">
        <f t="shared" si="471"/>
        <v>-5.0774314567031942</v>
      </c>
      <c r="O552" s="23">
        <v>8.7150000000000004E-6</v>
      </c>
      <c r="P552" s="23">
        <v>4.221E-7</v>
      </c>
      <c r="Q552" s="27">
        <f t="shared" si="477"/>
        <v>-4.4249815145168341E-2</v>
      </c>
      <c r="R552" s="27">
        <f t="shared" si="478"/>
        <v>-1.285910290724651E-2</v>
      </c>
      <c r="S552">
        <f t="shared" si="472"/>
        <v>-1.285910290724651E-2</v>
      </c>
      <c r="Z552">
        <f t="shared" si="479"/>
        <v>-1.0740109703587954</v>
      </c>
      <c r="AA552" s="31">
        <f t="shared" si="473"/>
        <v>1.0740109703587954</v>
      </c>
    </row>
    <row r="553" spans="1:27">
      <c r="A553" t="s">
        <v>53</v>
      </c>
      <c r="B553">
        <v>135</v>
      </c>
      <c r="C553">
        <f t="shared" si="474"/>
        <v>408</v>
      </c>
      <c r="D553">
        <v>-5.7622</v>
      </c>
      <c r="E553">
        <v>-5</v>
      </c>
      <c r="F553">
        <v>-3.9975999999999998</v>
      </c>
      <c r="G553">
        <v>-6.7366999999999999</v>
      </c>
      <c r="H553">
        <f t="shared" si="475"/>
        <v>-7.8151999999999973</v>
      </c>
      <c r="I553">
        <v>13.675000000000001</v>
      </c>
      <c r="J553">
        <f t="shared" si="476"/>
        <v>-167882.17169142718</v>
      </c>
      <c r="L553">
        <f t="shared" si="471"/>
        <v>-27.980361948571197</v>
      </c>
      <c r="O553" s="23">
        <v>1.0979999999999999E-6</v>
      </c>
      <c r="P553" s="23">
        <v>3.1810000000000001E-6</v>
      </c>
      <c r="Q553" s="27">
        <f t="shared" si="477"/>
        <v>-3.0722437419531172E-2</v>
      </c>
      <c r="R553" s="27">
        <f t="shared" si="478"/>
        <v>-0.53403318815042988</v>
      </c>
      <c r="S553">
        <f t="shared" si="472"/>
        <v>-3.0722437419531172E-2</v>
      </c>
      <c r="Z553">
        <f t="shared" si="479"/>
        <v>-0.33717715667289022</v>
      </c>
      <c r="AA553" s="31">
        <f t="shared" si="473"/>
        <v>0.33717715667289022</v>
      </c>
    </row>
    <row r="554" spans="1:27">
      <c r="A554" s="11" t="s">
        <v>54</v>
      </c>
      <c r="B554">
        <v>20</v>
      </c>
      <c r="C554">
        <f t="shared" si="474"/>
        <v>293</v>
      </c>
      <c r="D554">
        <v>-6.9</v>
      </c>
      <c r="E554">
        <v>-8.02</v>
      </c>
      <c r="F554">
        <v>-6.5</v>
      </c>
      <c r="G554">
        <v>-20.29</v>
      </c>
      <c r="H554">
        <f t="shared" si="475"/>
        <v>41.940000000000005</v>
      </c>
      <c r="I554">
        <v>11.369899999999999</v>
      </c>
      <c r="J554">
        <f t="shared" si="476"/>
        <v>171501.70337668061</v>
      </c>
      <c r="L554" s="26">
        <f t="shared" si="471"/>
        <v>28.583617229446769</v>
      </c>
      <c r="O554" s="23">
        <v>2.1039999999999999E-20</v>
      </c>
      <c r="P554" s="23">
        <v>1.9999999999999999E-7</v>
      </c>
      <c r="Q554" s="27">
        <f t="shared" si="477"/>
        <v>6.0139930650755993E-16</v>
      </c>
      <c r="R554" s="27">
        <f t="shared" si="478"/>
        <v>3.4300340675336119E-2</v>
      </c>
      <c r="S554">
        <f t="shared" si="472"/>
        <v>3.4300340675336119E-2</v>
      </c>
      <c r="X554" s="26">
        <f>LOG(ABS(S554))</f>
        <v>-1.4647015664679044</v>
      </c>
      <c r="AA554" s="31"/>
    </row>
    <row r="555" spans="1:27">
      <c r="AA555" s="31"/>
    </row>
    <row r="556" spans="1:27">
      <c r="D556" s="4" t="s">
        <v>197</v>
      </c>
      <c r="K556" s="1"/>
      <c r="AA556" s="31"/>
    </row>
    <row r="557" spans="1:27" ht="17">
      <c r="D557" s="7" t="s">
        <v>21</v>
      </c>
      <c r="E557" s="7"/>
      <c r="F557" s="7"/>
      <c r="G557" s="7"/>
      <c r="H557" s="7"/>
      <c r="Q557" s="27" t="s">
        <v>180</v>
      </c>
      <c r="R557" s="27" t="s">
        <v>173</v>
      </c>
      <c r="S557" t="s">
        <v>174</v>
      </c>
      <c r="AA557" s="31"/>
    </row>
    <row r="558" spans="1:27" ht="17">
      <c r="A558" t="s">
        <v>23</v>
      </c>
      <c r="B558" t="s">
        <v>24</v>
      </c>
      <c r="C558" t="s">
        <v>25</v>
      </c>
      <c r="D558" t="s">
        <v>36</v>
      </c>
      <c r="E558" t="s">
        <v>42</v>
      </c>
      <c r="F558" t="s">
        <v>45</v>
      </c>
      <c r="G558" t="s">
        <v>28</v>
      </c>
      <c r="I558" t="s">
        <v>31</v>
      </c>
      <c r="J558" t="s">
        <v>32</v>
      </c>
      <c r="K558" t="s">
        <v>33</v>
      </c>
      <c r="L558" t="s">
        <v>40</v>
      </c>
      <c r="M558" t="s">
        <v>191</v>
      </c>
      <c r="N558" s="1" t="s">
        <v>190</v>
      </c>
      <c r="Q558" s="27" t="s">
        <v>47</v>
      </c>
      <c r="R558" s="27" t="s">
        <v>47</v>
      </c>
      <c r="S558" t="s">
        <v>175</v>
      </c>
      <c r="T558" t="s">
        <v>195</v>
      </c>
      <c r="U558" t="s">
        <v>194</v>
      </c>
      <c r="V558" t="s">
        <v>200</v>
      </c>
      <c r="W558" s="1" t="s">
        <v>190</v>
      </c>
      <c r="AA558" s="31"/>
    </row>
    <row r="559" spans="1:27">
      <c r="A559" t="s">
        <v>48</v>
      </c>
      <c r="B559">
        <v>54.7</v>
      </c>
      <c r="C559">
        <f>B559+273</f>
        <v>327.7</v>
      </c>
      <c r="D559">
        <v>-6.11</v>
      </c>
      <c r="E559">
        <v>-5.2</v>
      </c>
      <c r="F559">
        <v>-8.5</v>
      </c>
      <c r="G559">
        <v>-3.0752000000000002</v>
      </c>
      <c r="I559">
        <f>2*G559-D559-2*F559</f>
        <v>16.959600000000002</v>
      </c>
      <c r="J559">
        <v>86.927899999999994</v>
      </c>
      <c r="K559">
        <f>-2.303*8.314*C559*(J559-I559)</f>
        <v>-439017.38810366119</v>
      </c>
      <c r="L559">
        <f t="shared" ref="L559:L565" si="480">K559/4000</f>
        <v>-109.75434702591529</v>
      </c>
      <c r="M559">
        <f t="shared" si="438"/>
        <v>-103.66283719115665</v>
      </c>
      <c r="N559">
        <f t="shared" ref="N559:N570" si="481">ABS(MAX(L559:L564)-M559)</f>
        <v>6.0915098347586536</v>
      </c>
      <c r="Q559" s="27">
        <f>(K559/2)*10^F559</f>
        <v>-6.9414743941283922E-4</v>
      </c>
      <c r="R559" s="27">
        <f>(K559)*10^D559</f>
        <v>-0.34078598166532564</v>
      </c>
      <c r="S559">
        <f t="shared" ref="S559:S565" si="482">IF(Q559&gt;R559, Q559,R559)</f>
        <v>-6.9414743941283922E-4</v>
      </c>
      <c r="T559">
        <f>ABS(MIN(S559:S564))</f>
        <v>6.9414743941283922E-4</v>
      </c>
      <c r="U559">
        <f>ABS(MAX(S559:S564))</f>
        <v>2.6879596596890676E-4</v>
      </c>
      <c r="V559">
        <f t="shared" si="464"/>
        <v>-3.3645627637015076</v>
      </c>
      <c r="W559">
        <f t="shared" si="465"/>
        <v>0.20601448966443581</v>
      </c>
      <c r="AA559" s="31"/>
    </row>
    <row r="560" spans="1:27">
      <c r="A560" t="s">
        <v>49</v>
      </c>
      <c r="B560">
        <v>60.3</v>
      </c>
      <c r="C560">
        <f t="shared" ref="C560:C565" si="483">B560+273</f>
        <v>333.3</v>
      </c>
      <c r="D560">
        <v>-6.22</v>
      </c>
      <c r="E560">
        <v>-5.2</v>
      </c>
      <c r="F560">
        <v>-8.76</v>
      </c>
      <c r="G560">
        <v>-2.7027000000000001</v>
      </c>
      <c r="I560">
        <f t="shared" ref="I560:I564" si="484">2*G560-D560-2*F560</f>
        <v>18.334599999999998</v>
      </c>
      <c r="J560">
        <v>85.537700000000001</v>
      </c>
      <c r="K560">
        <f t="shared" ref="K560:K563" si="485">-2.303*8.314*C560*(J560-I560)</f>
        <v>-428872.87460344867</v>
      </c>
      <c r="L560">
        <f t="shared" si="480"/>
        <v>-107.21821865086217</v>
      </c>
      <c r="Q560" s="27">
        <f t="shared" ref="Q560:Q565" si="486">(K560/2)*10^F560</f>
        <v>-3.7264781845699942E-4</v>
      </c>
      <c r="R560" s="27">
        <f t="shared" ref="R560:R565" si="487">(K560)*10^D560</f>
        <v>-0.25842146179957376</v>
      </c>
      <c r="S560">
        <f t="shared" si="482"/>
        <v>-3.7264781845699942E-4</v>
      </c>
      <c r="AA560" s="31"/>
    </row>
    <row r="561" spans="1:27">
      <c r="A561" t="s">
        <v>50</v>
      </c>
      <c r="B561">
        <v>80.099999999999994</v>
      </c>
      <c r="C561">
        <f t="shared" si="483"/>
        <v>353.1</v>
      </c>
      <c r="D561">
        <v>-4.5999999999999996</v>
      </c>
      <c r="E561">
        <v>-4.7</v>
      </c>
      <c r="F561">
        <v>-8.5</v>
      </c>
      <c r="G561">
        <v>-2.8500999999999999</v>
      </c>
      <c r="I561">
        <f t="shared" si="484"/>
        <v>15.899799999999999</v>
      </c>
      <c r="J561">
        <v>80.343900000000005</v>
      </c>
      <c r="K561">
        <f t="shared" si="485"/>
        <v>-435697.26985143288</v>
      </c>
      <c r="L561">
        <f t="shared" si="480"/>
        <v>-108.92431746285823</v>
      </c>
      <c r="Q561" s="27">
        <f t="shared" si="486"/>
        <v>-6.8889787152376977E-4</v>
      </c>
      <c r="R561" s="27">
        <f t="shared" si="487"/>
        <v>-10.944220603855818</v>
      </c>
      <c r="S561">
        <f t="shared" si="482"/>
        <v>-6.8889787152376977E-4</v>
      </c>
      <c r="AA561" s="31"/>
    </row>
    <row r="562" spans="1:27">
      <c r="A562" t="s">
        <v>51</v>
      </c>
      <c r="B562">
        <v>96.6</v>
      </c>
      <c r="C562">
        <f t="shared" si="483"/>
        <v>369.6</v>
      </c>
      <c r="D562">
        <v>-3.62</v>
      </c>
      <c r="E562">
        <v>-5.6</v>
      </c>
      <c r="F562">
        <v>-8.9</v>
      </c>
      <c r="G562">
        <v>-2.71</v>
      </c>
      <c r="I562">
        <f t="shared" si="484"/>
        <v>16</v>
      </c>
      <c r="J562">
        <v>76.3416</v>
      </c>
      <c r="K562">
        <f t="shared" si="485"/>
        <v>-427024.45029818115</v>
      </c>
      <c r="L562">
        <f t="shared" si="480"/>
        <v>-106.75611257454528</v>
      </c>
      <c r="Q562" s="27">
        <f t="shared" si="486"/>
        <v>-2.6879596596890676E-4</v>
      </c>
      <c r="R562" s="27">
        <f t="shared" si="487"/>
        <v>-102.43603086014782</v>
      </c>
      <c r="S562">
        <f t="shared" si="482"/>
        <v>-2.6879596596890676E-4</v>
      </c>
      <c r="AA562" s="31"/>
    </row>
    <row r="563" spans="1:27">
      <c r="A563" t="s">
        <v>52</v>
      </c>
      <c r="B563">
        <v>135</v>
      </c>
      <c r="C563">
        <f t="shared" si="483"/>
        <v>408</v>
      </c>
      <c r="D563">
        <v>-3.71</v>
      </c>
      <c r="E563">
        <v>-2.9</v>
      </c>
      <c r="F563">
        <v>-8.8000000000000007</v>
      </c>
      <c r="G563">
        <v>-3.0543999999999998</v>
      </c>
      <c r="I563">
        <f t="shared" si="484"/>
        <v>15.201200000000002</v>
      </c>
      <c r="J563">
        <v>68.524500000000003</v>
      </c>
      <c r="K563">
        <f t="shared" si="485"/>
        <v>-416563.42917950882</v>
      </c>
      <c r="L563">
        <f t="shared" si="480"/>
        <v>-104.14085729487721</v>
      </c>
      <c r="Q563" s="27">
        <f t="shared" si="486"/>
        <v>-3.3010427156742876E-4</v>
      </c>
      <c r="R563" s="27">
        <f t="shared" si="487"/>
        <v>-81.223395284235821</v>
      </c>
      <c r="S563">
        <f t="shared" si="482"/>
        <v>-3.3010427156742876E-4</v>
      </c>
      <c r="AA563" s="31"/>
    </row>
    <row r="564" spans="1:27">
      <c r="A564" t="s">
        <v>53</v>
      </c>
      <c r="B564">
        <v>135</v>
      </c>
      <c r="C564">
        <f t="shared" si="483"/>
        <v>408</v>
      </c>
      <c r="D564">
        <v>-6.25</v>
      </c>
      <c r="E564">
        <v>-5</v>
      </c>
      <c r="F564" s="10">
        <v>-8.76</v>
      </c>
      <c r="G564">
        <v>-2.6025</v>
      </c>
      <c r="I564">
        <f t="shared" si="484"/>
        <v>18.564999999999998</v>
      </c>
      <c r="J564">
        <v>68.524500000000003</v>
      </c>
      <c r="K564">
        <f>-2.303*8.314*C564*(J564-I564)</f>
        <v>-390285.30942559202</v>
      </c>
      <c r="L564">
        <f t="shared" si="480"/>
        <v>-97.571327356398001</v>
      </c>
      <c r="Q564" s="27">
        <f t="shared" si="486"/>
        <v>-3.3911906708424959E-4</v>
      </c>
      <c r="R564" s="27">
        <f t="shared" si="487"/>
        <v>-0.21947355810471272</v>
      </c>
      <c r="S564">
        <f t="shared" si="482"/>
        <v>-3.3911906708424959E-4</v>
      </c>
      <c r="AA564" s="31"/>
    </row>
    <row r="565" spans="1:27">
      <c r="A565" s="11" t="s">
        <v>54</v>
      </c>
      <c r="B565">
        <v>20</v>
      </c>
      <c r="C565">
        <f t="shared" si="483"/>
        <v>293</v>
      </c>
      <c r="D565">
        <v>-3.6</v>
      </c>
      <c r="E565">
        <v>-8.02</v>
      </c>
      <c r="F565" s="10">
        <v>-9.5</v>
      </c>
      <c r="G565">
        <v>-3</v>
      </c>
      <c r="I565">
        <f>2*G565+2*E565-D565-2*F565</f>
        <v>0.56000000000000227</v>
      </c>
      <c r="J565">
        <v>85.125</v>
      </c>
      <c r="K565">
        <f>-2.303*8.314*C565*(J565-I565)</f>
        <v>-474419.17252638994</v>
      </c>
      <c r="L565">
        <f t="shared" si="480"/>
        <v>-118.60479313159749</v>
      </c>
      <c r="Q565" s="27">
        <f t="shared" si="486"/>
        <v>-7.5012257541788439E-5</v>
      </c>
      <c r="R565" s="27">
        <f t="shared" si="487"/>
        <v>-119.16870823170402</v>
      </c>
      <c r="S565">
        <f t="shared" si="482"/>
        <v>-7.5012257541788439E-5</v>
      </c>
      <c r="X565">
        <f>LOG(ABS(S565))</f>
        <v>-4.1248677639710039</v>
      </c>
      <c r="AA565" s="31"/>
    </row>
    <row r="566" spans="1:27" ht="17">
      <c r="A566" s="11" t="s">
        <v>59</v>
      </c>
      <c r="B566" s="11"/>
      <c r="C566" s="11"/>
      <c r="D566" s="11"/>
      <c r="AA566" s="31"/>
    </row>
    <row r="567" spans="1:27">
      <c r="K567" s="1"/>
      <c r="AA567" s="31"/>
    </row>
    <row r="568" spans="1:27" ht="17">
      <c r="A568" t="s">
        <v>88</v>
      </c>
      <c r="D568" s="7" t="s">
        <v>96</v>
      </c>
      <c r="E568" s="7"/>
      <c r="F568" s="7"/>
      <c r="G568" s="7"/>
      <c r="H568" s="7"/>
      <c r="Q568" s="27" t="s">
        <v>180</v>
      </c>
      <c r="R568" s="27" t="s">
        <v>173</v>
      </c>
      <c r="S568" t="s">
        <v>174</v>
      </c>
      <c r="AA568" s="31"/>
    </row>
    <row r="569" spans="1:27" ht="17">
      <c r="A569" t="s">
        <v>23</v>
      </c>
      <c r="B569" t="s">
        <v>24</v>
      </c>
      <c r="C569" t="s">
        <v>25</v>
      </c>
      <c r="D569" t="s">
        <v>68</v>
      </c>
      <c r="E569" t="s">
        <v>42</v>
      </c>
      <c r="F569" t="s">
        <v>45</v>
      </c>
      <c r="G569" t="s">
        <v>28</v>
      </c>
      <c r="H569" t="s">
        <v>97</v>
      </c>
      <c r="I569" t="s">
        <v>31</v>
      </c>
      <c r="J569" t="s">
        <v>32</v>
      </c>
      <c r="K569" t="s">
        <v>33</v>
      </c>
      <c r="L569" t="s">
        <v>90</v>
      </c>
      <c r="M569" t="s">
        <v>191</v>
      </c>
      <c r="N569" s="1" t="s">
        <v>190</v>
      </c>
      <c r="P569" t="s">
        <v>181</v>
      </c>
      <c r="Q569" s="27" t="s">
        <v>47</v>
      </c>
      <c r="R569" s="27" t="s">
        <v>47</v>
      </c>
      <c r="S569" t="s">
        <v>175</v>
      </c>
      <c r="T569" t="s">
        <v>195</v>
      </c>
      <c r="U569" t="s">
        <v>194</v>
      </c>
      <c r="V569" t="s">
        <v>200</v>
      </c>
      <c r="W569" s="1" t="s">
        <v>190</v>
      </c>
      <c r="AA569" s="31"/>
    </row>
    <row r="570" spans="1:27">
      <c r="A570" t="s">
        <v>48</v>
      </c>
      <c r="B570">
        <v>54.7</v>
      </c>
      <c r="C570">
        <f>B570+273</f>
        <v>327.7</v>
      </c>
      <c r="D570">
        <v>-5.6195000000000004</v>
      </c>
      <c r="E570">
        <v>-5.2</v>
      </c>
      <c r="F570">
        <v>-8.5</v>
      </c>
      <c r="G570">
        <v>-3.0752000000000002</v>
      </c>
      <c r="H570">
        <v>-4.7778</v>
      </c>
      <c r="I570">
        <f>5*G570+D570-2*H570-5*F570-2*E570</f>
        <v>41.460099999999997</v>
      </c>
      <c r="J570">
        <v>211.19880000000001</v>
      </c>
      <c r="K570">
        <f>-2.303*8.314*C570*(J570-I570)</f>
        <v>-1065028.6020113525</v>
      </c>
      <c r="L570">
        <f t="shared" ref="L570:L576" si="488">K570/10000</f>
        <v>-106.50286020113525</v>
      </c>
      <c r="M570">
        <f t="shared" ref="M570:M625" si="489">AVERAGE(MIN(L570:L575),MAX(L570:L575))</f>
        <v>-101.92020622099923</v>
      </c>
      <c r="N570">
        <f t="shared" si="481"/>
        <v>4.5826539801360298</v>
      </c>
      <c r="P570" s="23">
        <v>2.8059999999999999E-5</v>
      </c>
      <c r="Q570" s="27">
        <f>(K570/5)*10^F570</f>
        <v>-6.7358323111617162E-4</v>
      </c>
      <c r="R570" s="27">
        <f>(K570/2)*P570</f>
        <v>-14.942351286219276</v>
      </c>
      <c r="S570">
        <f t="shared" ref="S570:S576" si="490">IF(Q570&gt;R570, Q570,R570)</f>
        <v>-6.7358323111617162E-4</v>
      </c>
      <c r="T570">
        <f>ABS(MIN(S570:S575))</f>
        <v>6.7358323111617162E-4</v>
      </c>
      <c r="U570">
        <f>ABS(MAX(S570:S575))</f>
        <v>2.5182387072814126E-4</v>
      </c>
      <c r="V570">
        <f t="shared" ref="V570:V592" si="491">AVERAGE(LOG(T570),LOG(U570))</f>
        <v>-3.3852559190322458</v>
      </c>
      <c r="W570">
        <f t="shared" ref="W570:W592" si="492">ABS(V570-LOG(T570))</f>
        <v>0.21364718587840503</v>
      </c>
      <c r="AA570" s="31"/>
    </row>
    <row r="571" spans="1:27">
      <c r="A571" t="s">
        <v>49</v>
      </c>
      <c r="B571">
        <v>60.3</v>
      </c>
      <c r="C571">
        <f t="shared" ref="C571:C576" si="493">B571+273</f>
        <v>333.3</v>
      </c>
      <c r="D571">
        <v>-5.8804999999999996</v>
      </c>
      <c r="E571">
        <v>-5.2</v>
      </c>
      <c r="F571">
        <v>-8.76</v>
      </c>
      <c r="G571">
        <v>-2.7027000000000001</v>
      </c>
      <c r="H571">
        <v>-4.7697000000000003</v>
      </c>
      <c r="I571">
        <f t="shared" ref="I571:I575" si="494">5*G571+D571-2*H571-5*F571-2*E571</f>
        <v>44.345399999999998</v>
      </c>
      <c r="J571">
        <v>208.00319999999999</v>
      </c>
      <c r="K571">
        <f t="shared" ref="K571:K576" si="495">-2.303*8.314*C571*(J571-I571)</f>
        <v>-1044421.926031333</v>
      </c>
      <c r="L571">
        <f t="shared" si="488"/>
        <v>-104.44219260313331</v>
      </c>
      <c r="P571" s="23">
        <v>2.7889999999999999E-5</v>
      </c>
      <c r="Q571" s="27">
        <f t="shared" ref="Q571:Q576" si="496">(K571/5)*10^F571</f>
        <v>-3.6299945772425333E-4</v>
      </c>
      <c r="R571" s="27">
        <f t="shared" ref="R571:R576" si="497">(K571/2)*P571</f>
        <v>-14.564463758506939</v>
      </c>
      <c r="S571">
        <f t="shared" si="490"/>
        <v>-3.6299945772425333E-4</v>
      </c>
      <c r="AA571" s="31"/>
    </row>
    <row r="572" spans="1:27">
      <c r="A572" t="s">
        <v>50</v>
      </c>
      <c r="B572">
        <v>80.099999999999994</v>
      </c>
      <c r="C572">
        <f t="shared" si="493"/>
        <v>353.1</v>
      </c>
      <c r="D572">
        <v>-5.63</v>
      </c>
      <c r="E572">
        <v>-4.7</v>
      </c>
      <c r="F572">
        <v>-8.5</v>
      </c>
      <c r="G572">
        <v>-2.8500999999999999</v>
      </c>
      <c r="H572">
        <v>-4.7794999999999996</v>
      </c>
      <c r="I572">
        <f t="shared" si="494"/>
        <v>41.578499999999998</v>
      </c>
      <c r="J572">
        <v>196.15110000000001</v>
      </c>
      <c r="K572">
        <f t="shared" si="495"/>
        <v>-1045043.0654448987</v>
      </c>
      <c r="L572">
        <f t="shared" si="488"/>
        <v>-104.50430654448986</v>
      </c>
      <c r="P572" s="23">
        <v>2.8920000000000001E-5</v>
      </c>
      <c r="Q572" s="27">
        <f t="shared" si="496"/>
        <v>-6.6094326795405661E-4</v>
      </c>
      <c r="R572" s="27">
        <f t="shared" si="497"/>
        <v>-15.111322726333235</v>
      </c>
      <c r="S572">
        <f t="shared" si="490"/>
        <v>-6.6094326795405661E-4</v>
      </c>
      <c r="AA572" s="31"/>
    </row>
    <row r="573" spans="1:27">
      <c r="A573" t="s">
        <v>51</v>
      </c>
      <c r="B573">
        <v>96.6</v>
      </c>
      <c r="C573">
        <f t="shared" si="493"/>
        <v>369.6</v>
      </c>
      <c r="D573">
        <v>-5.718</v>
      </c>
      <c r="E573">
        <v>-5.6</v>
      </c>
      <c r="F573">
        <v>-8.9</v>
      </c>
      <c r="G573">
        <v>-2.71</v>
      </c>
      <c r="H573">
        <v>-4.6773999999999996</v>
      </c>
      <c r="I573">
        <f t="shared" si="494"/>
        <v>45.786799999999999</v>
      </c>
      <c r="J573">
        <v>187.1157</v>
      </c>
      <c r="K573">
        <f t="shared" si="495"/>
        <v>-1000154.0534846046</v>
      </c>
      <c r="L573">
        <f t="shared" si="488"/>
        <v>-100.01540534846046</v>
      </c>
      <c r="P573" s="23">
        <v>3.6059999999999997E-5</v>
      </c>
      <c r="Q573" s="27">
        <f t="shared" si="496"/>
        <v>-2.5182387072814126E-4</v>
      </c>
      <c r="R573" s="27">
        <f t="shared" si="497"/>
        <v>-18.03277758432742</v>
      </c>
      <c r="S573">
        <f t="shared" si="490"/>
        <v>-2.5182387072814126E-4</v>
      </c>
      <c r="AA573" s="31"/>
    </row>
    <row r="574" spans="1:27">
      <c r="A574" t="s">
        <v>52</v>
      </c>
      <c r="B574">
        <v>135</v>
      </c>
      <c r="C574">
        <f t="shared" si="493"/>
        <v>408</v>
      </c>
      <c r="D574">
        <v>-5.5933999999999999</v>
      </c>
      <c r="E574">
        <v>-2.9</v>
      </c>
      <c r="F574">
        <v>-8.8000000000000007</v>
      </c>
      <c r="G574">
        <v>-3.0543999999999998</v>
      </c>
      <c r="H574">
        <v>-4.2153</v>
      </c>
      <c r="I574">
        <f t="shared" si="494"/>
        <v>37.365200000000002</v>
      </c>
      <c r="J574">
        <v>169.7424</v>
      </c>
      <c r="K574">
        <f t="shared" si="495"/>
        <v>-1034135.1787526594</v>
      </c>
      <c r="L574">
        <f t="shared" si="488"/>
        <v>-103.41351787526594</v>
      </c>
      <c r="P574">
        <v>1.147E-4</v>
      </c>
      <c r="Q574" s="27">
        <f t="shared" si="496"/>
        <v>-3.2779876097792777E-4</v>
      </c>
      <c r="R574" s="27">
        <f t="shared" si="497"/>
        <v>-59.307652501465014</v>
      </c>
      <c r="S574">
        <f t="shared" si="490"/>
        <v>-3.2779876097792777E-4</v>
      </c>
      <c r="AA574" s="31"/>
    </row>
    <row r="575" spans="1:27">
      <c r="A575" t="s">
        <v>53</v>
      </c>
      <c r="B575">
        <v>135</v>
      </c>
      <c r="C575">
        <f t="shared" si="493"/>
        <v>408</v>
      </c>
      <c r="D575">
        <v>-5.23</v>
      </c>
      <c r="E575">
        <v>-5</v>
      </c>
      <c r="F575">
        <v>-8.76</v>
      </c>
      <c r="G575">
        <v>-2.6025</v>
      </c>
      <c r="H575">
        <v>-4.7927</v>
      </c>
      <c r="I575">
        <f t="shared" si="494"/>
        <v>45.142899999999997</v>
      </c>
      <c r="J575">
        <v>169.7424</v>
      </c>
      <c r="K575">
        <f t="shared" si="495"/>
        <v>-973375.52240863198</v>
      </c>
      <c r="L575">
        <f t="shared" si="488"/>
        <v>-97.337552240863204</v>
      </c>
      <c r="P575" s="23">
        <v>2.9649999999999999E-5</v>
      </c>
      <c r="Q575" s="27">
        <f t="shared" si="496"/>
        <v>-3.3830655790521483E-4</v>
      </c>
      <c r="R575" s="27">
        <f t="shared" si="497"/>
        <v>-14.430292119707969</v>
      </c>
      <c r="S575">
        <f t="shared" si="490"/>
        <v>-3.3830655790521483E-4</v>
      </c>
      <c r="AA575" s="31"/>
    </row>
    <row r="576" spans="1:27">
      <c r="A576" s="11" t="s">
        <v>54</v>
      </c>
      <c r="B576">
        <v>20</v>
      </c>
      <c r="C576">
        <f t="shared" si="493"/>
        <v>293</v>
      </c>
      <c r="D576">
        <v>-3.1</v>
      </c>
      <c r="E576">
        <v>-8.02</v>
      </c>
      <c r="F576" s="10">
        <v>-9.5</v>
      </c>
      <c r="G576">
        <v>-3</v>
      </c>
      <c r="H576">
        <v>-5.3</v>
      </c>
      <c r="I576">
        <f>3*E576+5*G576+D576-2*H576-5*F576</f>
        <v>15.939999999999998</v>
      </c>
      <c r="J576">
        <v>204.82050000000001</v>
      </c>
      <c r="K576">
        <f t="shared" si="495"/>
        <v>-1059640.874077583</v>
      </c>
      <c r="L576">
        <f t="shared" si="488"/>
        <v>-105.9640874077583</v>
      </c>
      <c r="P576" s="23">
        <v>7.9170000000000006E-6</v>
      </c>
      <c r="Q576" s="27">
        <f t="shared" si="496"/>
        <v>-6.7017573277936609E-5</v>
      </c>
      <c r="R576" s="27">
        <f t="shared" si="497"/>
        <v>-4.1945884000361122</v>
      </c>
      <c r="S576">
        <f t="shared" si="490"/>
        <v>-6.7017573277936609E-5</v>
      </c>
      <c r="X576">
        <f>LOG(ABS(S576))</f>
        <v>-4.1738113021211918</v>
      </c>
      <c r="AA576" s="31"/>
    </row>
    <row r="577" spans="1:27" ht="17">
      <c r="A577" s="14" t="s">
        <v>103</v>
      </c>
      <c r="B577" s="14"/>
      <c r="C577" s="14"/>
      <c r="D577" s="14"/>
      <c r="K577" s="15"/>
      <c r="AA577" s="31"/>
    </row>
    <row r="578" spans="1:27">
      <c r="AA578" s="31"/>
    </row>
    <row r="579" spans="1:27" ht="17">
      <c r="D579" s="7" t="s">
        <v>108</v>
      </c>
      <c r="E579" s="7"/>
      <c r="F579" s="7"/>
      <c r="G579" s="7"/>
      <c r="H579" s="7"/>
      <c r="I579" s="7"/>
      <c r="Q579" s="27" t="s">
        <v>180</v>
      </c>
      <c r="R579" s="27" t="s">
        <v>173</v>
      </c>
      <c r="S579" t="s">
        <v>174</v>
      </c>
      <c r="AA579" s="31"/>
    </row>
    <row r="580" spans="1:27" ht="17">
      <c r="A580" t="s">
        <v>23</v>
      </c>
      <c r="B580" t="s">
        <v>24</v>
      </c>
      <c r="C580" t="s">
        <v>25</v>
      </c>
      <c r="D580" t="s">
        <v>93</v>
      </c>
      <c r="E580" t="s">
        <v>42</v>
      </c>
      <c r="F580" t="s">
        <v>45</v>
      </c>
      <c r="G580" t="s">
        <v>28</v>
      </c>
      <c r="H580" t="s">
        <v>97</v>
      </c>
      <c r="I580" t="s">
        <v>31</v>
      </c>
      <c r="J580" t="s">
        <v>32</v>
      </c>
      <c r="K580" t="s">
        <v>33</v>
      </c>
      <c r="L580" t="s">
        <v>34</v>
      </c>
      <c r="M580" t="s">
        <v>191</v>
      </c>
      <c r="N580" s="1" t="s">
        <v>190</v>
      </c>
      <c r="P580" t="s">
        <v>181</v>
      </c>
      <c r="Q580" s="27" t="s">
        <v>47</v>
      </c>
      <c r="R580" s="27" t="s">
        <v>47</v>
      </c>
      <c r="S580" t="s">
        <v>175</v>
      </c>
      <c r="T580" t="s">
        <v>195</v>
      </c>
      <c r="U580" t="s">
        <v>194</v>
      </c>
      <c r="V580" t="s">
        <v>200</v>
      </c>
      <c r="W580" s="1" t="s">
        <v>190</v>
      </c>
      <c r="AA580" s="31"/>
    </row>
    <row r="581" spans="1:27">
      <c r="A581" t="s">
        <v>48</v>
      </c>
      <c r="B581">
        <v>54.7</v>
      </c>
      <c r="C581">
        <f>B581+273</f>
        <v>327.7</v>
      </c>
      <c r="D581">
        <v>-3.0034000000000001</v>
      </c>
      <c r="E581">
        <v>-5.2</v>
      </c>
      <c r="F581">
        <v>-8.5</v>
      </c>
      <c r="G581">
        <v>-3.0752000000000002</v>
      </c>
      <c r="H581">
        <v>-4.7778</v>
      </c>
      <c r="I581">
        <f>4*G581+D581-H581-2*E581-4*F581</f>
        <v>33.873599999999996</v>
      </c>
      <c r="J581">
        <v>126.4114</v>
      </c>
      <c r="K581">
        <f>-2.303*8.314*C581*(J581-I581)</f>
        <v>-580630.13188628247</v>
      </c>
      <c r="L581">
        <f t="shared" ref="L581:L587" si="498">K581/8000</f>
        <v>-72.578766485785309</v>
      </c>
      <c r="M581">
        <f t="shared" si="489"/>
        <v>-68.305441922801464</v>
      </c>
      <c r="N581">
        <f t="shared" ref="N581:N603" si="499">ABS(MAX(L581:L586)-M581)</f>
        <v>4.2733245629838592</v>
      </c>
      <c r="P581" s="23">
        <v>2.8059999999999999E-5</v>
      </c>
      <c r="Q581" s="27">
        <f>(K581/4)*10^F581</f>
        <v>-4.5902842372115251E-4</v>
      </c>
      <c r="R581" s="27">
        <f>(K581)*P581</f>
        <v>-16.292481500729085</v>
      </c>
      <c r="S581">
        <f t="shared" ref="S581:S587" si="500">IF(Q581&gt;R581, Q581,R581)</f>
        <v>-4.5902842372115251E-4</v>
      </c>
      <c r="T581">
        <f>ABS(MIN(S581:S586))</f>
        <v>4.5902842372115251E-4</v>
      </c>
      <c r="U581">
        <f>ABS(MAX(S581:S586))</f>
        <v>1.7101767814402141E-4</v>
      </c>
      <c r="V581">
        <f t="shared" si="491"/>
        <v>-3.5525597078098476</v>
      </c>
      <c r="W581">
        <f t="shared" si="492"/>
        <v>0.21439928633851668</v>
      </c>
      <c r="AA581" s="31"/>
    </row>
    <row r="582" spans="1:27">
      <c r="A582" t="s">
        <v>49</v>
      </c>
      <c r="B582">
        <v>60.3</v>
      </c>
      <c r="C582">
        <f t="shared" ref="C582:C587" si="501">B582+273</f>
        <v>333.3</v>
      </c>
      <c r="D582">
        <v>-3.9658000000000002</v>
      </c>
      <c r="E582">
        <v>-5.2</v>
      </c>
      <c r="F582">
        <v>-8.76</v>
      </c>
      <c r="G582">
        <v>-2.7027000000000001</v>
      </c>
      <c r="H582">
        <v>-4.7697000000000003</v>
      </c>
      <c r="I582">
        <f t="shared" ref="I582:I586" si="502">4*G582+D582-H582-2*E582-4*F582</f>
        <v>35.433099999999996</v>
      </c>
      <c r="J582">
        <v>124.4691</v>
      </c>
      <c r="K582">
        <f t="shared" ref="K582:K587" si="503">-2.303*8.314*C582*(J582-I582)</f>
        <v>-568204.81887282955</v>
      </c>
      <c r="L582">
        <f t="shared" si="498"/>
        <v>-71.025602359103701</v>
      </c>
      <c r="P582" s="23">
        <v>2.7889999999999999E-5</v>
      </c>
      <c r="Q582" s="27">
        <f t="shared" ref="Q582:Q587" si="504">(K582/4)*10^F582</f>
        <v>-2.4685670128414761E-4</v>
      </c>
      <c r="R582" s="27">
        <f t="shared" ref="R582:R587" si="505">(K582)*P582</f>
        <v>-15.847232398363216</v>
      </c>
      <c r="S582">
        <f t="shared" si="500"/>
        <v>-2.4685670128414761E-4</v>
      </c>
      <c r="AA582" s="31"/>
    </row>
    <row r="583" spans="1:27">
      <c r="A583" t="s">
        <v>50</v>
      </c>
      <c r="B583">
        <v>80.099999999999994</v>
      </c>
      <c r="C583">
        <f t="shared" si="501"/>
        <v>353.1</v>
      </c>
      <c r="D583">
        <v>-2.7109000000000001</v>
      </c>
      <c r="E583">
        <v>-4.7</v>
      </c>
      <c r="F583">
        <v>-8.5</v>
      </c>
      <c r="G583">
        <v>-2.8500999999999999</v>
      </c>
      <c r="H583">
        <v>-4.7794999999999996</v>
      </c>
      <c r="I583">
        <f t="shared" si="502"/>
        <v>34.068199999999997</v>
      </c>
      <c r="J583">
        <v>117.2428</v>
      </c>
      <c r="K583">
        <f t="shared" si="503"/>
        <v>-562331.48016629892</v>
      </c>
      <c r="L583">
        <f t="shared" si="498"/>
        <v>-70.291435020787361</v>
      </c>
      <c r="P583" s="23">
        <v>2.8920000000000001E-5</v>
      </c>
      <c r="Q583" s="27">
        <f t="shared" si="504"/>
        <v>-4.4456206933482609E-4</v>
      </c>
      <c r="R583" s="27">
        <f t="shared" si="505"/>
        <v>-16.262626406409364</v>
      </c>
      <c r="S583">
        <f t="shared" si="500"/>
        <v>-4.4456206933482609E-4</v>
      </c>
      <c r="AA583" s="31"/>
    </row>
    <row r="584" spans="1:27">
      <c r="A584" t="s">
        <v>51</v>
      </c>
      <c r="B584">
        <v>96.6</v>
      </c>
      <c r="C584">
        <f t="shared" si="501"/>
        <v>369.6</v>
      </c>
      <c r="D584">
        <v>-5.7118000000000002</v>
      </c>
      <c r="E584">
        <v>-5.6</v>
      </c>
      <c r="F584">
        <v>-8.9</v>
      </c>
      <c r="G584">
        <v>-2.71</v>
      </c>
      <c r="H584">
        <v>-4.6773999999999996</v>
      </c>
      <c r="I584">
        <f t="shared" si="502"/>
        <v>34.925600000000003</v>
      </c>
      <c r="J584">
        <v>111.7086</v>
      </c>
      <c r="K584">
        <f t="shared" si="503"/>
        <v>-543376.68154714559</v>
      </c>
      <c r="L584">
        <f t="shared" si="498"/>
        <v>-67.922085193393201</v>
      </c>
      <c r="P584" s="23">
        <v>3.6059999999999997E-5</v>
      </c>
      <c r="Q584" s="27">
        <f t="shared" si="504"/>
        <v>-1.7101767814402141E-4</v>
      </c>
      <c r="R584" s="27">
        <f t="shared" si="505"/>
        <v>-19.594163136590069</v>
      </c>
      <c r="S584">
        <f t="shared" si="500"/>
        <v>-1.7101767814402141E-4</v>
      </c>
      <c r="AA584" s="31"/>
    </row>
    <row r="585" spans="1:27">
      <c r="A585" t="s">
        <v>52</v>
      </c>
      <c r="B585">
        <v>135</v>
      </c>
      <c r="C585">
        <f t="shared" si="501"/>
        <v>408</v>
      </c>
      <c r="D585">
        <v>-3.0333999999999999</v>
      </c>
      <c r="E585">
        <v>-2.9</v>
      </c>
      <c r="F585">
        <v>-8.8000000000000007</v>
      </c>
      <c r="G585">
        <v>-3.0543999999999998</v>
      </c>
      <c r="H585">
        <v>-4.2153</v>
      </c>
      <c r="I585">
        <f t="shared" si="502"/>
        <v>29.964300000000005</v>
      </c>
      <c r="J585">
        <v>100.9979</v>
      </c>
      <c r="K585">
        <f t="shared" si="503"/>
        <v>-554916.89379624953</v>
      </c>
      <c r="L585">
        <f t="shared" si="498"/>
        <v>-69.364611724531187</v>
      </c>
      <c r="P585">
        <v>1.147E-4</v>
      </c>
      <c r="Q585" s="27">
        <f t="shared" si="504"/>
        <v>-2.1987100183983461E-4</v>
      </c>
      <c r="R585" s="27">
        <f t="shared" si="505"/>
        <v>-63.648967718429816</v>
      </c>
      <c r="S585">
        <f t="shared" si="500"/>
        <v>-2.1987100183983461E-4</v>
      </c>
      <c r="AA585" s="31"/>
    </row>
    <row r="586" spans="1:27">
      <c r="A586" t="s">
        <v>53</v>
      </c>
      <c r="B586">
        <v>135</v>
      </c>
      <c r="C586">
        <f t="shared" si="501"/>
        <v>408</v>
      </c>
      <c r="D586">
        <v>-3.9975999999999998</v>
      </c>
      <c r="E586">
        <v>-5</v>
      </c>
      <c r="F586">
        <v>-8.76</v>
      </c>
      <c r="G586">
        <v>-2.6025</v>
      </c>
      <c r="H586">
        <v>-4.7927</v>
      </c>
      <c r="I586">
        <f t="shared" si="502"/>
        <v>35.4251</v>
      </c>
      <c r="J586">
        <v>100.9979</v>
      </c>
      <c r="K586">
        <f t="shared" si="503"/>
        <v>-512256.93887854082</v>
      </c>
      <c r="L586">
        <f t="shared" si="498"/>
        <v>-64.032117359817605</v>
      </c>
      <c r="P586" s="23">
        <v>2.9649999999999999E-5</v>
      </c>
      <c r="Q586" s="27">
        <f t="shared" si="504"/>
        <v>-2.2255013322893625E-4</v>
      </c>
      <c r="R586" s="27">
        <f t="shared" si="505"/>
        <v>-15.188418237748735</v>
      </c>
      <c r="S586">
        <f t="shared" si="500"/>
        <v>-2.2255013322893625E-4</v>
      </c>
      <c r="AA586" s="31"/>
    </row>
    <row r="587" spans="1:27">
      <c r="A587" s="11" t="s">
        <v>54</v>
      </c>
      <c r="B587">
        <v>20</v>
      </c>
      <c r="C587">
        <f t="shared" si="501"/>
        <v>293</v>
      </c>
      <c r="D587">
        <v>-6.5</v>
      </c>
      <c r="E587">
        <v>-8.02</v>
      </c>
      <c r="F587" s="10">
        <v>-9.5</v>
      </c>
      <c r="G587">
        <v>-3</v>
      </c>
      <c r="H587">
        <v>-5.3</v>
      </c>
      <c r="I587">
        <f>2*E587+4*G587+D587-H587-4*F587</f>
        <v>8.7600000000000016</v>
      </c>
      <c r="J587">
        <v>116.3188</v>
      </c>
      <c r="K587">
        <f t="shared" si="503"/>
        <v>-603416.97976623266</v>
      </c>
      <c r="L587">
        <f t="shared" si="498"/>
        <v>-75.427122470779082</v>
      </c>
      <c r="P587" s="23">
        <v>7.9170000000000006E-6</v>
      </c>
      <c r="Q587" s="27">
        <f t="shared" si="504"/>
        <v>-4.7704300872025735E-5</v>
      </c>
      <c r="R587" s="27">
        <f t="shared" si="505"/>
        <v>-4.7772522288092647</v>
      </c>
      <c r="S587">
        <f t="shared" si="500"/>
        <v>-4.7704300872025735E-5</v>
      </c>
      <c r="X587">
        <f>LOG(ABS(S587))</f>
        <v>-4.3214424645492766</v>
      </c>
      <c r="AA587" s="31"/>
    </row>
    <row r="588" spans="1:27" ht="17">
      <c r="A588" s="14" t="s">
        <v>118</v>
      </c>
      <c r="B588" s="14"/>
      <c r="C588" s="14"/>
      <c r="D588" s="14"/>
      <c r="K588" s="15"/>
      <c r="AA588" s="31"/>
    </row>
    <row r="589" spans="1:27">
      <c r="AA589" s="31"/>
    </row>
    <row r="590" spans="1:27" ht="17">
      <c r="D590" s="7" t="s">
        <v>78</v>
      </c>
      <c r="E590" s="7"/>
      <c r="F590" s="7"/>
      <c r="G590" s="7"/>
      <c r="H590" s="7"/>
      <c r="Q590" s="27" t="s">
        <v>180</v>
      </c>
      <c r="R590" s="27" t="s">
        <v>173</v>
      </c>
      <c r="S590" t="s">
        <v>174</v>
      </c>
      <c r="AA590" s="31"/>
    </row>
    <row r="591" spans="1:27" ht="17">
      <c r="A591" t="s">
        <v>23</v>
      </c>
      <c r="B591" t="s">
        <v>24</v>
      </c>
      <c r="C591" t="s">
        <v>25</v>
      </c>
      <c r="D591" t="s">
        <v>80</v>
      </c>
      <c r="E591" t="s">
        <v>42</v>
      </c>
      <c r="F591" t="s">
        <v>45</v>
      </c>
      <c r="G591" t="s">
        <v>28</v>
      </c>
      <c r="H591" t="s">
        <v>81</v>
      </c>
      <c r="I591" t="s">
        <v>31</v>
      </c>
      <c r="J591" t="s">
        <v>32</v>
      </c>
      <c r="K591" t="s">
        <v>33</v>
      </c>
      <c r="L591" t="s">
        <v>37</v>
      </c>
      <c r="M591" t="s">
        <v>191</v>
      </c>
      <c r="N591" s="1" t="s">
        <v>190</v>
      </c>
      <c r="P591" t="s">
        <v>181</v>
      </c>
      <c r="Q591" s="27" t="s">
        <v>47</v>
      </c>
      <c r="R591" s="27" t="s">
        <v>47</v>
      </c>
      <c r="S591" t="s">
        <v>175</v>
      </c>
      <c r="T591" t="s">
        <v>195</v>
      </c>
      <c r="U591" t="s">
        <v>194</v>
      </c>
      <c r="V591" t="s">
        <v>200</v>
      </c>
      <c r="W591" s="1" t="s">
        <v>190</v>
      </c>
      <c r="AA591" s="31"/>
    </row>
    <row r="592" spans="1:27">
      <c r="A592" t="s">
        <v>48</v>
      </c>
      <c r="B592">
        <v>54.7</v>
      </c>
      <c r="C592">
        <f>B592+273</f>
        <v>327.7</v>
      </c>
      <c r="D592">
        <v>-6.9089999999999998</v>
      </c>
      <c r="E592">
        <v>-5.2</v>
      </c>
      <c r="F592">
        <v>-8.5</v>
      </c>
      <c r="G592">
        <v>-3.0752000000000002</v>
      </c>
      <c r="H592">
        <v>-4.7778</v>
      </c>
      <c r="I592">
        <f>G592+D592-F592-H593</f>
        <v>3.2855000000000008</v>
      </c>
      <c r="J592">
        <v>29.7867</v>
      </c>
      <c r="K592">
        <f>-2.303*8.314*C592*(J592-I592)</f>
        <v>-166282.26790722006</v>
      </c>
      <c r="L592">
        <f t="shared" ref="L592:L598" si="506">K592/2000</f>
        <v>-83.141133953610023</v>
      </c>
      <c r="M592">
        <f t="shared" si="489"/>
        <v>-84.316649377186792</v>
      </c>
      <c r="N592">
        <f t="shared" si="499"/>
        <v>6.859551698353215</v>
      </c>
      <c r="P592" s="23">
        <v>2.8059999999999999E-5</v>
      </c>
      <c r="Q592" s="27">
        <f>(K592)*10^F592</f>
        <v>-5.2583070108513518E-4</v>
      </c>
      <c r="R592" s="27">
        <f>(K592)*P592</f>
        <v>-4.665880437476595</v>
      </c>
      <c r="S592">
        <f t="shared" ref="S592:S598" si="507">IF(Q592&gt;R592, Q592,R592)</f>
        <v>-5.2583070108513518E-4</v>
      </c>
      <c r="T592">
        <f>ABS(MIN(S592:S597))</f>
        <v>5.2583070108513518E-4</v>
      </c>
      <c r="U592">
        <f>ABS(MAX(S592:S597))</f>
        <v>1.9977861842863847E-4</v>
      </c>
      <c r="V592">
        <f t="shared" si="491"/>
        <v>-3.4893025276958527</v>
      </c>
      <c r="W592">
        <f t="shared" si="492"/>
        <v>0.21014846686942334</v>
      </c>
      <c r="AA592" s="31"/>
    </row>
    <row r="593" spans="1:27">
      <c r="A593" t="s">
        <v>49</v>
      </c>
      <c r="B593">
        <v>60.3</v>
      </c>
      <c r="C593">
        <f t="shared" ref="C593:C598" si="508">B593+273</f>
        <v>333.3</v>
      </c>
      <c r="D593">
        <v>-6.7397</v>
      </c>
      <c r="E593">
        <v>-5.2</v>
      </c>
      <c r="F593">
        <v>-8.76</v>
      </c>
      <c r="G593">
        <v>-2.7027000000000001</v>
      </c>
      <c r="H593">
        <v>-4.7697000000000003</v>
      </c>
      <c r="I593">
        <f t="shared" ref="I593:I596" si="509">G593+D593-F593-H594</f>
        <v>4.0971000000000002</v>
      </c>
      <c r="J593">
        <v>29.327200000000001</v>
      </c>
      <c r="K593">
        <f t="shared" ref="K593:K595" si="510">-2.303*8.314*C593*(J593-I593)</f>
        <v>-161011.99964782086</v>
      </c>
      <c r="L593">
        <f t="shared" si="506"/>
        <v>-80.505999823910429</v>
      </c>
      <c r="P593" s="23">
        <v>2.7889999999999999E-5</v>
      </c>
      <c r="Q593" s="27">
        <f t="shared" ref="Q593:Q598" si="511">(K593)*10^F593</f>
        <v>-2.7980678642657681E-4</v>
      </c>
      <c r="R593" s="27">
        <f t="shared" ref="R593:R598" si="512">(K593)*P593</f>
        <v>-4.4906246701777235</v>
      </c>
      <c r="S593">
        <f t="shared" si="507"/>
        <v>-2.7980678642657681E-4</v>
      </c>
      <c r="AA593" s="31"/>
    </row>
    <row r="594" spans="1:27">
      <c r="A594" t="s">
        <v>50</v>
      </c>
      <c r="B594">
        <v>80.099999999999994</v>
      </c>
      <c r="C594">
        <f t="shared" si="508"/>
        <v>353.1</v>
      </c>
      <c r="D594">
        <v>-6.9115000000000002</v>
      </c>
      <c r="E594">
        <v>-4.7</v>
      </c>
      <c r="F594">
        <v>-8.5</v>
      </c>
      <c r="G594">
        <v>-2.8500999999999999</v>
      </c>
      <c r="H594">
        <v>-4.7794999999999996</v>
      </c>
      <c r="I594">
        <f t="shared" si="509"/>
        <v>3.4157999999999999</v>
      </c>
      <c r="J594">
        <v>27.613900000000001</v>
      </c>
      <c r="K594">
        <f t="shared" si="510"/>
        <v>-163599.86570674361</v>
      </c>
      <c r="L594">
        <f t="shared" si="506"/>
        <v>-81.799932853371814</v>
      </c>
      <c r="P594" s="23">
        <v>2.8920000000000001E-5</v>
      </c>
      <c r="Q594" s="27">
        <f>(K594)*10^F594</f>
        <v>-5.1734820053098206E-4</v>
      </c>
      <c r="R594" s="27">
        <f t="shared" si="512"/>
        <v>-4.7313081162390258</v>
      </c>
      <c r="S594">
        <f t="shared" si="507"/>
        <v>-5.1734820053098206E-4</v>
      </c>
      <c r="AA594" s="31"/>
    </row>
    <row r="595" spans="1:27">
      <c r="A595" t="s">
        <v>51</v>
      </c>
      <c r="B595">
        <v>96.6</v>
      </c>
      <c r="C595">
        <f t="shared" si="508"/>
        <v>369.6</v>
      </c>
      <c r="D595">
        <v>-6.5316999999999998</v>
      </c>
      <c r="E595">
        <v>-5.6</v>
      </c>
      <c r="F595">
        <v>-8.9</v>
      </c>
      <c r="G595">
        <v>-2.71</v>
      </c>
      <c r="H595">
        <v>-4.6773999999999996</v>
      </c>
      <c r="I595">
        <f t="shared" si="509"/>
        <v>3.8736000000000006</v>
      </c>
      <c r="J595">
        <v>26.297599999999999</v>
      </c>
      <c r="K595">
        <f t="shared" si="510"/>
        <v>-158689.79731207681</v>
      </c>
      <c r="L595">
        <f t="shared" si="506"/>
        <v>-79.34489865603841</v>
      </c>
      <c r="P595" s="23">
        <v>3.6059999999999997E-5</v>
      </c>
      <c r="Q595" s="27">
        <f t="shared" si="511"/>
        <v>-1.9977861842863847E-4</v>
      </c>
      <c r="R595" s="27">
        <f t="shared" si="512"/>
        <v>-5.7223540910734894</v>
      </c>
      <c r="S595">
        <f t="shared" si="507"/>
        <v>-1.9977861842863847E-4</v>
      </c>
      <c r="AA595" s="31"/>
    </row>
    <row r="596" spans="1:27">
      <c r="A596" t="s">
        <v>52</v>
      </c>
      <c r="B596">
        <v>135</v>
      </c>
      <c r="C596">
        <f t="shared" si="508"/>
        <v>408</v>
      </c>
      <c r="D596">
        <v>-6.6307</v>
      </c>
      <c r="E596">
        <v>-2.9</v>
      </c>
      <c r="F596">
        <v>-8.8000000000000007</v>
      </c>
      <c r="G596">
        <v>-3.0543999999999998</v>
      </c>
      <c r="H596">
        <v>-4.2153</v>
      </c>
      <c r="I596">
        <f t="shared" si="509"/>
        <v>3.9076000000000004</v>
      </c>
      <c r="J596">
        <v>23.7378</v>
      </c>
      <c r="K596">
        <f>-2.303*8.314*C596*(J596-I596)</f>
        <v>-154914.19535766717</v>
      </c>
      <c r="L596">
        <f>K596/2000</f>
        <v>-77.457097678833577</v>
      </c>
      <c r="P596">
        <v>1.147E-4</v>
      </c>
      <c r="Q596" s="27">
        <f t="shared" si="511"/>
        <v>-2.4552245363795654E-4</v>
      </c>
      <c r="R596" s="27">
        <f t="shared" si="512"/>
        <v>-17.768658207524425</v>
      </c>
      <c r="S596">
        <f t="shared" si="507"/>
        <v>-2.4552245363795654E-4</v>
      </c>
      <c r="AA596" s="31"/>
    </row>
    <row r="597" spans="1:27">
      <c r="A597" t="s">
        <v>53</v>
      </c>
      <c r="B597">
        <v>135</v>
      </c>
      <c r="C597">
        <f t="shared" si="508"/>
        <v>408</v>
      </c>
      <c r="D597">
        <v>-5.7622</v>
      </c>
      <c r="E597">
        <v>-5</v>
      </c>
      <c r="F597">
        <v>-8.76</v>
      </c>
      <c r="G597">
        <v>-2.6025</v>
      </c>
      <c r="H597">
        <v>-4.7927</v>
      </c>
      <c r="I597">
        <f>G597+D597-F597-H599</f>
        <v>0.39530000000000065</v>
      </c>
      <c r="J597">
        <v>23.7378</v>
      </c>
      <c r="K597">
        <f>-2.303*8.314*C597*(J597-I597)</f>
        <v>-182352.40215107999</v>
      </c>
      <c r="L597">
        <f t="shared" si="506"/>
        <v>-91.176201075539993</v>
      </c>
      <c r="P597" s="23">
        <v>2.9649999999999999E-5</v>
      </c>
      <c r="Q597" s="27">
        <f t="shared" si="511"/>
        <v>-3.168921555825857E-4</v>
      </c>
      <c r="R597" s="27">
        <f t="shared" si="512"/>
        <v>-5.406748723779522</v>
      </c>
      <c r="S597">
        <f t="shared" si="507"/>
        <v>-3.168921555825857E-4</v>
      </c>
      <c r="AA597" s="31"/>
    </row>
    <row r="598" spans="1:27">
      <c r="A598" s="11" t="s">
        <v>54</v>
      </c>
      <c r="B598">
        <v>20</v>
      </c>
      <c r="C598">
        <f t="shared" si="508"/>
        <v>293</v>
      </c>
      <c r="D598">
        <v>-6.9</v>
      </c>
      <c r="E598">
        <v>-8.02</v>
      </c>
      <c r="F598" s="10">
        <v>-9.5</v>
      </c>
      <c r="G598">
        <v>-3</v>
      </c>
      <c r="H598">
        <v>-5.3</v>
      </c>
      <c r="I598">
        <f>G598+D598+E598-H598-F598</f>
        <v>-3.120000000000001</v>
      </c>
      <c r="J598">
        <v>27.0413</v>
      </c>
      <c r="K598">
        <f>-2.303*8.314*C598*(J598-I598)</f>
        <v>-169208.2893433478</v>
      </c>
      <c r="L598">
        <f t="shared" si="506"/>
        <v>-84.604144671673907</v>
      </c>
      <c r="P598" s="23">
        <v>7.9170000000000006E-6</v>
      </c>
      <c r="Q598" s="27">
        <f t="shared" si="511"/>
        <v>-5.3508359330577517E-5</v>
      </c>
      <c r="R598" s="27">
        <f t="shared" si="512"/>
        <v>-1.3396220267312846</v>
      </c>
      <c r="S598">
        <f t="shared" si="507"/>
        <v>-5.3508359330577517E-5</v>
      </c>
      <c r="X598">
        <f>LOG(ABS(S598))</f>
        <v>-4.271578365127418</v>
      </c>
      <c r="AA598" s="31"/>
    </row>
    <row r="599" spans="1:27" ht="17">
      <c r="A599" s="14" t="s">
        <v>89</v>
      </c>
      <c r="B599" s="14"/>
      <c r="C599" s="14"/>
      <c r="AA599" s="31"/>
    </row>
    <row r="600" spans="1:27">
      <c r="AA600" s="31"/>
    </row>
    <row r="601" spans="1:27" ht="17">
      <c r="D601" s="7" t="s">
        <v>122</v>
      </c>
      <c r="E601" s="7"/>
      <c r="F601" s="7"/>
      <c r="G601" s="7"/>
      <c r="H601" s="7"/>
      <c r="Q601" s="27" t="s">
        <v>180</v>
      </c>
      <c r="R601" s="27" t="s">
        <v>173</v>
      </c>
      <c r="S601" t="s">
        <v>174</v>
      </c>
      <c r="AA601" s="31"/>
    </row>
    <row r="602" spans="1:27" ht="17">
      <c r="A602" t="s">
        <v>23</v>
      </c>
      <c r="B602" t="s">
        <v>24</v>
      </c>
      <c r="C602" t="s">
        <v>25</v>
      </c>
      <c r="D602" t="s">
        <v>73</v>
      </c>
      <c r="E602" t="s">
        <v>42</v>
      </c>
      <c r="F602" t="s">
        <v>45</v>
      </c>
      <c r="G602" t="s">
        <v>28</v>
      </c>
      <c r="H602" t="s">
        <v>68</v>
      </c>
      <c r="I602" t="s">
        <v>31</v>
      </c>
      <c r="J602" t="s">
        <v>32</v>
      </c>
      <c r="K602" t="s">
        <v>33</v>
      </c>
      <c r="L602" t="s">
        <v>38</v>
      </c>
      <c r="M602" t="s">
        <v>191</v>
      </c>
      <c r="N602" s="1" t="s">
        <v>190</v>
      </c>
      <c r="P602" t="s">
        <v>184</v>
      </c>
      <c r="Q602" s="27" t="s">
        <v>47</v>
      </c>
      <c r="R602" s="27" t="s">
        <v>47</v>
      </c>
      <c r="S602" t="s">
        <v>175</v>
      </c>
      <c r="T602" t="s">
        <v>195</v>
      </c>
      <c r="U602" t="s">
        <v>194</v>
      </c>
      <c r="V602" t="s">
        <v>200</v>
      </c>
      <c r="W602" s="1" t="s">
        <v>190</v>
      </c>
      <c r="AA602" s="31"/>
    </row>
    <row r="603" spans="1:27">
      <c r="A603" t="s">
        <v>48</v>
      </c>
      <c r="B603">
        <v>54.7</v>
      </c>
      <c r="C603">
        <f>B603+273</f>
        <v>327.7</v>
      </c>
      <c r="D603">
        <v>-6.9089999999999998</v>
      </c>
      <c r="E603">
        <v>-5.2</v>
      </c>
      <c r="F603">
        <v>-8.5</v>
      </c>
      <c r="G603">
        <v>-3.0752000000000002</v>
      </c>
      <c r="H603">
        <v>-5.6195000000000004</v>
      </c>
      <c r="I603">
        <f>3*G603+H603-2*D603-2*E603-3*F603</f>
        <v>34.872900000000001</v>
      </c>
      <c r="J603">
        <v>151.62549999999999</v>
      </c>
      <c r="K603">
        <f>-2.303*8.314*C603*(J603-I603)</f>
        <v>-732566.34084737673</v>
      </c>
      <c r="L603">
        <f t="shared" ref="L603:L609" si="513">K603/6000</f>
        <v>-122.09439014122945</v>
      </c>
      <c r="M603">
        <f t="shared" si="489"/>
        <v>-118.00987742033192</v>
      </c>
      <c r="N603">
        <f t="shared" si="499"/>
        <v>4.0845127208975214</v>
      </c>
      <c r="P603" s="23">
        <v>2.0760000000000001E-7</v>
      </c>
      <c r="Q603" s="27">
        <f>(K603/3)*10^F603</f>
        <v>-7.7219272475098427E-4</v>
      </c>
      <c r="R603" s="27">
        <f>(K603/2)*P603</f>
        <v>-7.6040386179957703E-2</v>
      </c>
      <c r="S603">
        <f t="shared" ref="S603:S609" si="514">IF(Q603&gt;R603, Q603,R603)</f>
        <v>-7.7219272475098427E-4</v>
      </c>
      <c r="T603">
        <f>ABS(MIN(S603:S608))</f>
        <v>7.7219272475098427E-4</v>
      </c>
      <c r="U603">
        <f>ABS(MAX(S603:S608))</f>
        <v>2.8926531552359627E-4</v>
      </c>
      <c r="V603">
        <f t="shared" ref="V603:V625" si="515">AVERAGE(LOG(T603),LOG(U603))</f>
        <v>-3.3254889659531974</v>
      </c>
      <c r="W603">
        <f t="shared" ref="W603:W625" si="516">ABS(V603-LOG(T603))</f>
        <v>0.21321467153521123</v>
      </c>
      <c r="AA603" s="31"/>
    </row>
    <row r="604" spans="1:27">
      <c r="A604" t="s">
        <v>49</v>
      </c>
      <c r="B604">
        <v>60.3</v>
      </c>
      <c r="C604">
        <f t="shared" ref="C604:C609" si="517">B604+273</f>
        <v>333.3</v>
      </c>
      <c r="D604">
        <v>-6.7397</v>
      </c>
      <c r="E604">
        <v>-5.2</v>
      </c>
      <c r="F604">
        <v>-8.76</v>
      </c>
      <c r="G604">
        <v>-2.7027000000000001</v>
      </c>
      <c r="H604">
        <v>-5.8804999999999996</v>
      </c>
      <c r="I604">
        <f t="shared" ref="I604:I608" si="518">3*G604+H604-2*D604-2*E604-3*F604</f>
        <v>36.1708</v>
      </c>
      <c r="J604">
        <v>149.34880000000001</v>
      </c>
      <c r="K604">
        <f t="shared" ref="K604:K607" si="519">-2.303*8.314*C604*(J604-I604)</f>
        <v>-722272.84458409087</v>
      </c>
      <c r="L604">
        <f t="shared" si="513"/>
        <v>-120.37880743068182</v>
      </c>
      <c r="P604" s="23">
        <v>2.9849999999999998E-7</v>
      </c>
      <c r="Q604" s="27">
        <f t="shared" ref="Q604:Q609" si="520">(K604/3)*10^F604</f>
        <v>-4.183887826338E-4</v>
      </c>
      <c r="R604" s="27">
        <f t="shared" ref="R604:R609" si="521">(K604/2)*P604</f>
        <v>-0.10779922205417555</v>
      </c>
      <c r="S604">
        <f t="shared" si="514"/>
        <v>-4.183887826338E-4</v>
      </c>
      <c r="AA604" s="31"/>
    </row>
    <row r="605" spans="1:27">
      <c r="A605" t="s">
        <v>50</v>
      </c>
      <c r="B605">
        <v>80.099999999999994</v>
      </c>
      <c r="C605">
        <f t="shared" si="517"/>
        <v>353.1</v>
      </c>
      <c r="D605">
        <v>-6.9115000000000002</v>
      </c>
      <c r="E605">
        <v>-4.7</v>
      </c>
      <c r="F605">
        <v>-8.5</v>
      </c>
      <c r="G605">
        <v>-2.8500999999999999</v>
      </c>
      <c r="H605">
        <v>-5.63</v>
      </c>
      <c r="I605">
        <f t="shared" si="518"/>
        <v>34.542700000000004</v>
      </c>
      <c r="J605">
        <v>140.92320000000001</v>
      </c>
      <c r="K605">
        <f t="shared" si="519"/>
        <v>-719223.22470839613</v>
      </c>
      <c r="L605">
        <f t="shared" si="513"/>
        <v>-119.87053745139936</v>
      </c>
      <c r="P605" s="23">
        <v>2.132E-7</v>
      </c>
      <c r="Q605" s="27">
        <f t="shared" si="520"/>
        <v>-7.5812784538987414E-4</v>
      </c>
      <c r="R605" s="27">
        <f t="shared" si="521"/>
        <v>-7.6669195753915023E-2</v>
      </c>
      <c r="S605">
        <f t="shared" si="514"/>
        <v>-7.5812784538987414E-4</v>
      </c>
      <c r="AA605" s="31"/>
    </row>
    <row r="606" spans="1:27">
      <c r="A606" t="s">
        <v>51</v>
      </c>
      <c r="B606">
        <v>96.6</v>
      </c>
      <c r="C606">
        <f t="shared" si="517"/>
        <v>369.6</v>
      </c>
      <c r="D606">
        <v>-6.5316999999999998</v>
      </c>
      <c r="E606">
        <v>-5.6</v>
      </c>
      <c r="F606">
        <v>-8.9</v>
      </c>
      <c r="G606">
        <v>-2.71</v>
      </c>
      <c r="H606">
        <v>-5.718</v>
      </c>
      <c r="I606">
        <f t="shared" si="518"/>
        <v>37.115400000000001</v>
      </c>
      <c r="J606">
        <v>134.5205</v>
      </c>
      <c r="K606">
        <f t="shared" si="519"/>
        <v>-689314.82234046434</v>
      </c>
      <c r="L606">
        <f t="shared" si="513"/>
        <v>-114.88580372341072</v>
      </c>
      <c r="P606" s="23">
        <v>5.0949999999999995E-7</v>
      </c>
      <c r="Q606" s="27">
        <f t="shared" si="520"/>
        <v>-2.8926531552359627E-4</v>
      </c>
      <c r="R606" s="27">
        <f t="shared" si="521"/>
        <v>-0.17560295099123327</v>
      </c>
      <c r="S606">
        <f t="shared" si="514"/>
        <v>-2.8926531552359627E-4</v>
      </c>
      <c r="AA606" s="31"/>
    </row>
    <row r="607" spans="1:27">
      <c r="A607" t="s">
        <v>52</v>
      </c>
      <c r="B607">
        <v>135</v>
      </c>
      <c r="C607">
        <f t="shared" si="517"/>
        <v>408</v>
      </c>
      <c r="D607">
        <v>-6.6307</v>
      </c>
      <c r="E607">
        <v>-2.9</v>
      </c>
      <c r="F607">
        <v>-8.8000000000000007</v>
      </c>
      <c r="G607">
        <v>-3.0543999999999998</v>
      </c>
      <c r="H607">
        <v>-5.5933999999999999</v>
      </c>
      <c r="I607">
        <f t="shared" si="518"/>
        <v>30.704800000000002</v>
      </c>
      <c r="J607">
        <v>122.2668</v>
      </c>
      <c r="K607">
        <f t="shared" si="519"/>
        <v>-715285.45124803192</v>
      </c>
      <c r="L607">
        <f t="shared" si="513"/>
        <v>-119.21424187467198</v>
      </c>
      <c r="P607" s="23">
        <v>4.221E-7</v>
      </c>
      <c r="Q607" s="27">
        <f t="shared" si="520"/>
        <v>-3.7788368078315871E-4</v>
      </c>
      <c r="R607" s="27">
        <f t="shared" si="521"/>
        <v>-0.15096099448589714</v>
      </c>
      <c r="S607">
        <f t="shared" si="514"/>
        <v>-3.7788368078315871E-4</v>
      </c>
      <c r="AA607" s="31"/>
    </row>
    <row r="608" spans="1:27">
      <c r="A608" t="s">
        <v>53</v>
      </c>
      <c r="B608">
        <v>135</v>
      </c>
      <c r="C608">
        <f t="shared" si="517"/>
        <v>408</v>
      </c>
      <c r="D608">
        <v>-5.7622</v>
      </c>
      <c r="E608">
        <v>-5</v>
      </c>
      <c r="F608">
        <v>-8.76</v>
      </c>
      <c r="G608">
        <v>-2.6025</v>
      </c>
      <c r="H608">
        <v>-5.23</v>
      </c>
      <c r="I608">
        <f t="shared" si="518"/>
        <v>34.7669</v>
      </c>
      <c r="J608">
        <v>122.2668</v>
      </c>
      <c r="K608">
        <f>-2.303*8.314*C608*(J608-I608)</f>
        <v>-683552.18819660635</v>
      </c>
      <c r="L608">
        <f t="shared" si="513"/>
        <v>-113.9253646994344</v>
      </c>
      <c r="P608" s="23">
        <v>3.1810000000000001E-6</v>
      </c>
      <c r="Q608" s="27">
        <f t="shared" si="520"/>
        <v>-3.9595918638050324E-4</v>
      </c>
      <c r="R608" s="27">
        <f t="shared" si="521"/>
        <v>-1.0871897553267025</v>
      </c>
      <c r="S608">
        <f t="shared" si="514"/>
        <v>-3.9595918638050324E-4</v>
      </c>
      <c r="AA608" s="31"/>
    </row>
    <row r="609" spans="1:27">
      <c r="A609" s="11" t="s">
        <v>54</v>
      </c>
      <c r="B609">
        <v>20</v>
      </c>
      <c r="C609">
        <f t="shared" si="517"/>
        <v>293</v>
      </c>
      <c r="D609">
        <v>-6.9</v>
      </c>
      <c r="E609">
        <v>-8.02</v>
      </c>
      <c r="F609" s="10">
        <v>-9.5</v>
      </c>
      <c r="G609">
        <v>-3</v>
      </c>
      <c r="H609">
        <v>-3.1</v>
      </c>
      <c r="I609">
        <f>E609+3*G609+H609-2*D609-3*F609</f>
        <v>22.18</v>
      </c>
      <c r="J609">
        <v>150.7379</v>
      </c>
      <c r="K609">
        <f>-2.303*8.314*C609*(J609-I609)</f>
        <v>-721224.2953908873</v>
      </c>
      <c r="L609">
        <f t="shared" si="513"/>
        <v>-120.20404923181455</v>
      </c>
      <c r="P609" s="23">
        <v>1.9999999999999999E-7</v>
      </c>
      <c r="Q609" s="27">
        <f t="shared" si="520"/>
        <v>-7.6023715909509328E-5</v>
      </c>
      <c r="R609" s="27">
        <f t="shared" si="521"/>
        <v>-7.2122429539088734E-2</v>
      </c>
      <c r="S609">
        <f t="shared" si="514"/>
        <v>-7.6023715909509328E-5</v>
      </c>
      <c r="X609">
        <f>LOG(ABS(S609))</f>
        <v>-4.1190509066409042</v>
      </c>
      <c r="AA609" s="31"/>
    </row>
    <row r="610" spans="1:27" ht="17">
      <c r="A610" s="14" t="s">
        <v>130</v>
      </c>
      <c r="B610" s="11"/>
      <c r="C610" s="11"/>
      <c r="K610" s="15"/>
      <c r="AA610" s="31"/>
    </row>
    <row r="611" spans="1:27">
      <c r="AA611" s="31"/>
    </row>
    <row r="612" spans="1:27" ht="17">
      <c r="D612" s="7" t="s">
        <v>133</v>
      </c>
      <c r="E612" s="7"/>
      <c r="F612" s="7"/>
      <c r="G612" s="7"/>
      <c r="H612" s="7"/>
      <c r="I612" s="7"/>
      <c r="Q612" s="27" t="s">
        <v>180</v>
      </c>
      <c r="R612" s="27" t="s">
        <v>173</v>
      </c>
      <c r="S612" t="s">
        <v>174</v>
      </c>
      <c r="AA612" s="31"/>
    </row>
    <row r="613" spans="1:27" ht="17">
      <c r="A613" t="s">
        <v>23</v>
      </c>
      <c r="B613" t="s">
        <v>24</v>
      </c>
      <c r="C613" t="s">
        <v>25</v>
      </c>
      <c r="D613" t="s">
        <v>73</v>
      </c>
      <c r="E613" t="s">
        <v>42</v>
      </c>
      <c r="F613" t="s">
        <v>45</v>
      </c>
      <c r="G613" t="s">
        <v>28</v>
      </c>
      <c r="H613" t="s">
        <v>93</v>
      </c>
      <c r="I613" t="s">
        <v>31</v>
      </c>
      <c r="J613" t="s">
        <v>32</v>
      </c>
      <c r="K613" t="s">
        <v>33</v>
      </c>
      <c r="L613" t="s">
        <v>38</v>
      </c>
      <c r="M613" t="s">
        <v>191</v>
      </c>
      <c r="N613" s="1" t="s">
        <v>190</v>
      </c>
      <c r="P613" t="s">
        <v>184</v>
      </c>
      <c r="Q613" s="27" t="s">
        <v>47</v>
      </c>
      <c r="R613" s="27" t="s">
        <v>47</v>
      </c>
      <c r="S613" t="s">
        <v>175</v>
      </c>
      <c r="T613" t="s">
        <v>195</v>
      </c>
      <c r="U613" t="s">
        <v>194</v>
      </c>
      <c r="V613" t="s">
        <v>200</v>
      </c>
      <c r="W613" s="1" t="s">
        <v>190</v>
      </c>
      <c r="AA613" s="31"/>
    </row>
    <row r="614" spans="1:27">
      <c r="A614" t="s">
        <v>48</v>
      </c>
      <c r="B614">
        <v>54.7</v>
      </c>
      <c r="C614">
        <f>B614+273</f>
        <v>327.7</v>
      </c>
      <c r="D614">
        <v>-6.9089999999999998</v>
      </c>
      <c r="E614">
        <v>-5.2</v>
      </c>
      <c r="F614">
        <v>-8.5</v>
      </c>
      <c r="G614">
        <v>-3.0752000000000002</v>
      </c>
      <c r="H614">
        <v>-3.0034000000000001</v>
      </c>
      <c r="I614">
        <f>3*G614+H614-D614-3*F614-2*E614</f>
        <v>30.58</v>
      </c>
      <c r="J614">
        <v>96.624799999999993</v>
      </c>
      <c r="K614">
        <f>-2.303*8.314*C614*(J614-I614)</f>
        <v>-414399.31503021624</v>
      </c>
      <c r="L614">
        <f t="shared" ref="L614:L620" si="522">K614/6000</f>
        <v>-69.066552505036043</v>
      </c>
      <c r="M614">
        <f t="shared" si="489"/>
        <v>-65.145382233562017</v>
      </c>
      <c r="N614">
        <f t="shared" ref="N614:N636" si="523">ABS(MAX(L614:L619)-M614)</f>
        <v>3.9211702714740255</v>
      </c>
      <c r="P614" s="23">
        <v>2.0760000000000001E-7</v>
      </c>
      <c r="Q614" s="27">
        <f>(K614/3)*10^F614</f>
        <v>-4.3681523210304361E-4</v>
      </c>
      <c r="R614" s="27">
        <f>(K614)*P614</f>
        <v>-8.6029297800272894E-2</v>
      </c>
      <c r="S614">
        <f t="shared" ref="S614:S620" si="524">IF(Q614&gt;R614, Q614,R614)</f>
        <v>-4.3681523210304361E-4</v>
      </c>
      <c r="T614">
        <f>ABS(MIN(S614:S619))</f>
        <v>4.3681523210304361E-4</v>
      </c>
      <c r="U614">
        <f>ABS(MAX(S614:S619))</f>
        <v>1.6280300301370899E-4</v>
      </c>
      <c r="V614">
        <f t="shared" si="515"/>
        <v>-3.5740199071742156</v>
      </c>
      <c r="W614">
        <f t="shared" si="516"/>
        <v>0.21431768133737839</v>
      </c>
      <c r="AA614" s="31"/>
    </row>
    <row r="615" spans="1:27">
      <c r="A615" t="s">
        <v>49</v>
      </c>
      <c r="B615">
        <v>60.3</v>
      </c>
      <c r="C615">
        <f t="shared" ref="C615:C620" si="525">B615+273</f>
        <v>333.3</v>
      </c>
      <c r="D615">
        <v>-6.7397</v>
      </c>
      <c r="E615">
        <v>-5.2</v>
      </c>
      <c r="F615">
        <v>-8.76</v>
      </c>
      <c r="G615">
        <v>-2.7027000000000001</v>
      </c>
      <c r="H615">
        <v>-3.9658000000000002</v>
      </c>
      <c r="I615">
        <f t="shared" ref="I615:I619" si="526">3*G615+H615-D615-3*F615-2*E615</f>
        <v>31.345800000000004</v>
      </c>
      <c r="J615">
        <v>95.141900000000007</v>
      </c>
      <c r="K615">
        <f t="shared" ref="K615:K620" si="527">-2.303*8.314*C615*(J615-I615)</f>
        <v>-407130.27814920846</v>
      </c>
      <c r="L615">
        <f t="shared" si="522"/>
        <v>-67.855046358201406</v>
      </c>
      <c r="P615" s="23">
        <v>2.9849999999999998E-7</v>
      </c>
      <c r="Q615" s="27">
        <f t="shared" ref="Q615:Q620" si="528">(K615/3)*10^F615</f>
        <v>-2.3583711159221903E-4</v>
      </c>
      <c r="R615" s="27">
        <f t="shared" ref="R615:R620" si="529">(K615)*P615</f>
        <v>-0.12152838802753872</v>
      </c>
      <c r="S615">
        <f t="shared" si="524"/>
        <v>-2.3583711159221903E-4</v>
      </c>
      <c r="AA615" s="31"/>
    </row>
    <row r="616" spans="1:27">
      <c r="A616" t="s">
        <v>50</v>
      </c>
      <c r="B616">
        <v>80.099999999999994</v>
      </c>
      <c r="C616">
        <f t="shared" si="525"/>
        <v>353.1</v>
      </c>
      <c r="D616">
        <v>-6.9115000000000002</v>
      </c>
      <c r="E616">
        <v>-4.7</v>
      </c>
      <c r="F616">
        <v>-8.5</v>
      </c>
      <c r="G616">
        <v>-2.8500999999999999</v>
      </c>
      <c r="H616">
        <v>-2.7109000000000001</v>
      </c>
      <c r="I616">
        <f t="shared" si="526"/>
        <v>30.5503</v>
      </c>
      <c r="J616">
        <v>89.628799999999998</v>
      </c>
      <c r="K616">
        <f t="shared" si="527"/>
        <v>-399421.22175525565</v>
      </c>
      <c r="L616">
        <f t="shared" si="522"/>
        <v>-66.570203625875948</v>
      </c>
      <c r="P616" s="23">
        <v>2.132E-7</v>
      </c>
      <c r="Q616" s="27">
        <f t="shared" si="528"/>
        <v>-4.2102693551793489E-4</v>
      </c>
      <c r="R616" s="27">
        <f t="shared" si="529"/>
        <v>-8.5156604478220502E-2</v>
      </c>
      <c r="S616">
        <f t="shared" si="524"/>
        <v>-4.2102693551793489E-4</v>
      </c>
      <c r="AA616" s="31"/>
    </row>
    <row r="617" spans="1:27">
      <c r="A617" t="s">
        <v>51</v>
      </c>
      <c r="B617">
        <v>96.6</v>
      </c>
      <c r="C617">
        <f t="shared" si="525"/>
        <v>369.6</v>
      </c>
      <c r="D617">
        <v>-6.5316999999999998</v>
      </c>
      <c r="E617">
        <v>-5.6</v>
      </c>
      <c r="F617">
        <v>-8.9</v>
      </c>
      <c r="G617">
        <v>-2.71</v>
      </c>
      <c r="H617">
        <v>-5.7118000000000002</v>
      </c>
      <c r="I617">
        <f t="shared" si="526"/>
        <v>30.589900000000004</v>
      </c>
      <c r="J617">
        <v>85.411000000000001</v>
      </c>
      <c r="K617">
        <f t="shared" si="527"/>
        <v>-387957.06597507553</v>
      </c>
      <c r="L617">
        <f t="shared" si="522"/>
        <v>-64.65951099584592</v>
      </c>
      <c r="P617" s="23">
        <v>5.0949999999999995E-7</v>
      </c>
      <c r="Q617" s="27">
        <f t="shared" si="528"/>
        <v>-1.6280300301370899E-4</v>
      </c>
      <c r="R617" s="27">
        <f t="shared" si="529"/>
        <v>-0.19766412511430095</v>
      </c>
      <c r="S617">
        <f t="shared" si="524"/>
        <v>-1.6280300301370899E-4</v>
      </c>
      <c r="AA617" s="31"/>
    </row>
    <row r="618" spans="1:27">
      <c r="A618" t="s">
        <v>52</v>
      </c>
      <c r="B618">
        <v>135</v>
      </c>
      <c r="C618">
        <f t="shared" si="525"/>
        <v>408</v>
      </c>
      <c r="D618">
        <v>-6.6307</v>
      </c>
      <c r="E618">
        <v>-2.9</v>
      </c>
      <c r="F618">
        <v>-8.8000000000000007</v>
      </c>
      <c r="G618">
        <v>-3.0543999999999998</v>
      </c>
      <c r="H618">
        <v>-3.0333999999999999</v>
      </c>
      <c r="I618">
        <f t="shared" si="526"/>
        <v>26.634100000000004</v>
      </c>
      <c r="J618">
        <v>77.260099999999994</v>
      </c>
      <c r="K618">
        <f t="shared" si="527"/>
        <v>-395492.03004393593</v>
      </c>
      <c r="L618">
        <f t="shared" si="522"/>
        <v>-65.915338340655993</v>
      </c>
      <c r="P618" s="23">
        <v>4.221E-7</v>
      </c>
      <c r="Q618" s="27">
        <f t="shared" si="528"/>
        <v>-2.089375420297524E-4</v>
      </c>
      <c r="R618" s="27">
        <f t="shared" si="529"/>
        <v>-0.16693718588154535</v>
      </c>
      <c r="S618">
        <f t="shared" si="524"/>
        <v>-2.089375420297524E-4</v>
      </c>
      <c r="AA618" s="31"/>
    </row>
    <row r="619" spans="1:27">
      <c r="A619" t="s">
        <v>53</v>
      </c>
      <c r="B619">
        <v>135</v>
      </c>
      <c r="C619">
        <f t="shared" si="525"/>
        <v>408</v>
      </c>
      <c r="D619">
        <v>-5.7622</v>
      </c>
      <c r="E619">
        <v>-5</v>
      </c>
      <c r="F619">
        <v>-8.76</v>
      </c>
      <c r="G619">
        <v>-2.6025</v>
      </c>
      <c r="H619">
        <v>-3.9975999999999998</v>
      </c>
      <c r="I619">
        <f t="shared" si="526"/>
        <v>30.237100000000002</v>
      </c>
      <c r="J619">
        <v>77.260099999999994</v>
      </c>
      <c r="K619">
        <f t="shared" si="527"/>
        <v>-367345.27177252795</v>
      </c>
      <c r="L619">
        <f t="shared" si="522"/>
        <v>-61.224211962087992</v>
      </c>
      <c r="P619" s="23">
        <v>3.1810000000000001E-6</v>
      </c>
      <c r="Q619" s="27">
        <f t="shared" si="528"/>
        <v>-2.1279097257448753E-4</v>
      </c>
      <c r="R619" s="27">
        <f t="shared" si="529"/>
        <v>-1.1685253095084114</v>
      </c>
      <c r="S619">
        <f t="shared" si="524"/>
        <v>-2.1279097257448753E-4</v>
      </c>
      <c r="AA619" s="31"/>
    </row>
    <row r="620" spans="1:27">
      <c r="A620" s="11" t="s">
        <v>54</v>
      </c>
      <c r="B620">
        <v>20</v>
      </c>
      <c r="C620">
        <f t="shared" si="525"/>
        <v>293</v>
      </c>
      <c r="D620">
        <v>-6.9</v>
      </c>
      <c r="E620">
        <v>-8.02</v>
      </c>
      <c r="F620" s="10">
        <v>-9.5</v>
      </c>
      <c r="G620">
        <v>-3</v>
      </c>
      <c r="H620">
        <v>-6.5</v>
      </c>
      <c r="I620">
        <f>E620+3*G620+H620-D620-3*F620</f>
        <v>11.880000000000003</v>
      </c>
      <c r="J620">
        <v>89.277500000000003</v>
      </c>
      <c r="K620">
        <f t="shared" si="527"/>
        <v>-434208.690422885</v>
      </c>
      <c r="L620">
        <f t="shared" si="522"/>
        <v>-72.36811507048084</v>
      </c>
      <c r="P620" s="23">
        <v>1.9999999999999999E-7</v>
      </c>
      <c r="Q620" s="27">
        <f t="shared" si="528"/>
        <v>-4.5769614719175162E-5</v>
      </c>
      <c r="R620" s="27">
        <f t="shared" si="529"/>
        <v>-8.6841738084577E-2</v>
      </c>
      <c r="S620">
        <f t="shared" si="524"/>
        <v>-4.5769614719175162E-5</v>
      </c>
      <c r="X620">
        <f>LOG(ABS(S620))</f>
        <v>-4.3394227433743273</v>
      </c>
      <c r="AA620" s="31"/>
    </row>
    <row r="621" spans="1:27" ht="17">
      <c r="A621" s="14" t="s">
        <v>139</v>
      </c>
      <c r="B621" s="14"/>
      <c r="C621" s="14"/>
      <c r="D621" s="14"/>
      <c r="K621" s="15"/>
      <c r="AA621" s="31"/>
    </row>
    <row r="622" spans="1:27">
      <c r="AA622" s="31"/>
    </row>
    <row r="623" spans="1:27" ht="17">
      <c r="D623" s="7" t="s">
        <v>143</v>
      </c>
      <c r="E623" s="7"/>
      <c r="F623" s="7"/>
      <c r="G623" s="7"/>
      <c r="H623" s="7"/>
      <c r="Q623" s="27" t="s">
        <v>180</v>
      </c>
      <c r="R623" s="27" t="s">
        <v>173</v>
      </c>
      <c r="S623" t="s">
        <v>174</v>
      </c>
      <c r="AA623" s="31"/>
    </row>
    <row r="624" spans="1:27" ht="17">
      <c r="A624" t="s">
        <v>23</v>
      </c>
      <c r="B624" t="s">
        <v>24</v>
      </c>
      <c r="C624" t="s">
        <v>25</v>
      </c>
      <c r="D624" t="s">
        <v>145</v>
      </c>
      <c r="E624" t="s">
        <v>42</v>
      </c>
      <c r="F624" t="s">
        <v>45</v>
      </c>
      <c r="G624" t="s">
        <v>28</v>
      </c>
      <c r="I624" t="s">
        <v>31</v>
      </c>
      <c r="J624" t="s">
        <v>32</v>
      </c>
      <c r="K624" t="s">
        <v>33</v>
      </c>
      <c r="L624" t="s">
        <v>37</v>
      </c>
      <c r="M624" t="s">
        <v>191</v>
      </c>
      <c r="N624" s="1" t="s">
        <v>190</v>
      </c>
      <c r="Q624" s="27" t="s">
        <v>47</v>
      </c>
      <c r="R624" s="27" t="s">
        <v>47</v>
      </c>
      <c r="S624" t="s">
        <v>175</v>
      </c>
      <c r="T624" t="s">
        <v>195</v>
      </c>
      <c r="U624" t="s">
        <v>194</v>
      </c>
      <c r="V624" t="s">
        <v>200</v>
      </c>
      <c r="W624" s="1" t="s">
        <v>190</v>
      </c>
      <c r="AA624" s="31"/>
    </row>
    <row r="625" spans="1:27">
      <c r="A625" t="s">
        <v>48</v>
      </c>
      <c r="B625">
        <v>54.7</v>
      </c>
      <c r="C625">
        <f>B625+273</f>
        <v>327.7</v>
      </c>
      <c r="D625">
        <v>-2.8990999999999998</v>
      </c>
      <c r="E625">
        <v>-5.2</v>
      </c>
      <c r="F625">
        <v>-8.5</v>
      </c>
      <c r="G625">
        <v>-3.0752000000000002</v>
      </c>
      <c r="I625">
        <f>G625+D625-2*E625-F625</f>
        <v>12.925700000000001</v>
      </c>
      <c r="J625">
        <v>42.6511</v>
      </c>
      <c r="K625">
        <f>-2.303*8.314*C625*(J625-I625)</f>
        <v>-186512.57024018836</v>
      </c>
      <c r="L625">
        <f t="shared" ref="L625:L631" si="530">K625/2000</f>
        <v>-93.256285120094176</v>
      </c>
      <c r="M625">
        <f t="shared" si="489"/>
        <v>-91.595577767487569</v>
      </c>
      <c r="N625">
        <f t="shared" si="523"/>
        <v>8.6099036721467712</v>
      </c>
      <c r="Q625" s="27">
        <f>(K625)*10^F625</f>
        <v>-5.898045342111331E-4</v>
      </c>
      <c r="R625" s="28" t="s">
        <v>177</v>
      </c>
      <c r="S625">
        <f>Q625</f>
        <v>-5.898045342111331E-4</v>
      </c>
      <c r="T625">
        <f>ABS(MIN(S625:S630))</f>
        <v>5.898045342111331E-4</v>
      </c>
      <c r="U625">
        <f>ABS(MAX(S625:S630))</f>
        <v>2.1245098316521066E-4</v>
      </c>
      <c r="V625">
        <f t="shared" si="515"/>
        <v>-3.4510165739202918</v>
      </c>
      <c r="W625">
        <f t="shared" si="516"/>
        <v>0.22172468085310326</v>
      </c>
      <c r="AA625" s="31"/>
    </row>
    <row r="626" spans="1:27">
      <c r="A626" t="s">
        <v>49</v>
      </c>
      <c r="B626">
        <v>60.3</v>
      </c>
      <c r="C626">
        <f t="shared" ref="C626:C631" si="531">B626+273</f>
        <v>333.3</v>
      </c>
      <c r="D626">
        <v>-5.8804999999999996</v>
      </c>
      <c r="E626">
        <v>-5.2</v>
      </c>
      <c r="F626">
        <v>-8.76</v>
      </c>
      <c r="G626">
        <v>-2.7027000000000001</v>
      </c>
      <c r="I626">
        <f t="shared" ref="I626:I630" si="532">G626+D626-2*E626-F626</f>
        <v>10.5768</v>
      </c>
      <c r="J626">
        <v>41.980600000000003</v>
      </c>
      <c r="K626">
        <f t="shared" ref="K626:K631" si="533">-2.303*8.314*C626*(J626-I626)</f>
        <v>-200410.96287926869</v>
      </c>
      <c r="L626">
        <f t="shared" si="530"/>
        <v>-100.20548143963434</v>
      </c>
      <c r="Q626" s="27">
        <f t="shared" ref="Q626:Q631" si="534">(K626)*10^F626</f>
        <v>-3.4827433738205288E-4</v>
      </c>
      <c r="R626" s="28" t="s">
        <v>177</v>
      </c>
      <c r="S626">
        <f t="shared" ref="S626:S631" si="535">Q626</f>
        <v>-3.4827433738205288E-4</v>
      </c>
      <c r="AA626" s="31"/>
    </row>
    <row r="627" spans="1:27">
      <c r="A627" t="s">
        <v>50</v>
      </c>
      <c r="B627">
        <v>80.099999999999994</v>
      </c>
      <c r="C627">
        <f t="shared" si="531"/>
        <v>353.1</v>
      </c>
      <c r="D627">
        <v>-2.9089999999999998</v>
      </c>
      <c r="E627">
        <v>-4.7</v>
      </c>
      <c r="F627">
        <v>-8.5</v>
      </c>
      <c r="G627">
        <v>-2.8500999999999999</v>
      </c>
      <c r="I627">
        <f t="shared" si="532"/>
        <v>12.1409</v>
      </c>
      <c r="J627">
        <v>39.486800000000002</v>
      </c>
      <c r="K627">
        <f t="shared" si="533"/>
        <v>-184881.68772052517</v>
      </c>
      <c r="L627">
        <f t="shared" si="530"/>
        <v>-92.440843860262589</v>
      </c>
      <c r="Q627" s="27">
        <f t="shared" si="534"/>
        <v>-5.8464723085284301E-4</v>
      </c>
      <c r="R627" s="28" t="s">
        <v>177</v>
      </c>
      <c r="S627">
        <f t="shared" si="535"/>
        <v>-5.8464723085284301E-4</v>
      </c>
      <c r="AA627" s="31"/>
    </row>
    <row r="628" spans="1:27">
      <c r="A628" t="s">
        <v>51</v>
      </c>
      <c r="B628">
        <v>96.6</v>
      </c>
      <c r="C628">
        <f t="shared" si="531"/>
        <v>369.6</v>
      </c>
      <c r="D628">
        <v>-3.6594000000000002</v>
      </c>
      <c r="E628">
        <v>-5.6</v>
      </c>
      <c r="F628">
        <v>-8.9</v>
      </c>
      <c r="G628">
        <v>-2.71</v>
      </c>
      <c r="I628">
        <f t="shared" si="532"/>
        <v>13.730599999999999</v>
      </c>
      <c r="J628">
        <v>37.576999999999998</v>
      </c>
      <c r="K628">
        <f t="shared" si="533"/>
        <v>-168755.81442306048</v>
      </c>
      <c r="L628">
        <f t="shared" si="530"/>
        <v>-84.377907211530243</v>
      </c>
      <c r="Q628" s="27">
        <f t="shared" si="534"/>
        <v>-2.1245098316521066E-4</v>
      </c>
      <c r="R628" s="28" t="s">
        <v>177</v>
      </c>
      <c r="S628">
        <f t="shared" si="535"/>
        <v>-2.1245098316521066E-4</v>
      </c>
      <c r="AA628" s="31"/>
    </row>
    <row r="629" spans="1:27">
      <c r="A629" t="s">
        <v>52</v>
      </c>
      <c r="B629">
        <v>135</v>
      </c>
      <c r="C629">
        <f t="shared" si="531"/>
        <v>408</v>
      </c>
      <c r="D629">
        <v>-3.1783999999999999</v>
      </c>
      <c r="E629">
        <v>-2.9</v>
      </c>
      <c r="F629">
        <v>-8.8000000000000007</v>
      </c>
      <c r="G629">
        <v>-3.0543999999999998</v>
      </c>
      <c r="I629">
        <f t="shared" si="532"/>
        <v>8.3672000000000004</v>
      </c>
      <c r="J629">
        <v>33.875399999999999</v>
      </c>
      <c r="K629">
        <f t="shared" si="533"/>
        <v>-199270.92404627518</v>
      </c>
      <c r="L629">
        <f t="shared" si="530"/>
        <v>-99.635462023137592</v>
      </c>
      <c r="Q629" s="27">
        <f t="shared" si="534"/>
        <v>-3.1582313097637565E-4</v>
      </c>
      <c r="R629" s="28" t="s">
        <v>177</v>
      </c>
      <c r="S629">
        <f t="shared" si="535"/>
        <v>-3.1582313097637565E-4</v>
      </c>
      <c r="AA629" s="31"/>
    </row>
    <row r="630" spans="1:27">
      <c r="A630" t="s">
        <v>53</v>
      </c>
      <c r="B630">
        <v>135</v>
      </c>
      <c r="C630">
        <f t="shared" si="531"/>
        <v>408</v>
      </c>
      <c r="D630">
        <v>-3.5276999999999998</v>
      </c>
      <c r="E630">
        <v>-5</v>
      </c>
      <c r="F630">
        <v>-8.76</v>
      </c>
      <c r="G630">
        <v>-2.6025</v>
      </c>
      <c r="I630">
        <f t="shared" si="532"/>
        <v>12.629799999999999</v>
      </c>
      <c r="J630">
        <v>33.875399999999999</v>
      </c>
      <c r="K630">
        <f t="shared" si="533"/>
        <v>-165971.3481906816</v>
      </c>
      <c r="L630">
        <f t="shared" si="530"/>
        <v>-82.985674095340798</v>
      </c>
      <c r="Q630" s="27">
        <f t="shared" si="534"/>
        <v>-2.8842514643441719E-4</v>
      </c>
      <c r="R630" s="28" t="s">
        <v>177</v>
      </c>
      <c r="S630">
        <f t="shared" si="535"/>
        <v>-2.8842514643441719E-4</v>
      </c>
      <c r="AA630" s="31"/>
    </row>
    <row r="631" spans="1:27">
      <c r="A631" s="11" t="s">
        <v>54</v>
      </c>
      <c r="B631">
        <v>20</v>
      </c>
      <c r="C631">
        <f t="shared" si="531"/>
        <v>293</v>
      </c>
      <c r="D631">
        <v>-10</v>
      </c>
      <c r="E631">
        <v>-8.02</v>
      </c>
      <c r="F631" s="10">
        <v>-9.5</v>
      </c>
      <c r="G631">
        <v>-3</v>
      </c>
      <c r="I631">
        <f>G631+D631-E631-F631</f>
        <v>4.5199999999999996</v>
      </c>
      <c r="J631">
        <v>41.598799999999997</v>
      </c>
      <c r="K631">
        <f t="shared" si="533"/>
        <v>-208016.24329535279</v>
      </c>
      <c r="L631">
        <f t="shared" si="530"/>
        <v>-104.00812164767639</v>
      </c>
      <c r="Q631" s="27">
        <f t="shared" si="534"/>
        <v>-6.5780511912504354E-5</v>
      </c>
      <c r="R631" s="28" t="s">
        <v>177</v>
      </c>
      <c r="S631">
        <f t="shared" si="535"/>
        <v>-6.5780511912504354E-5</v>
      </c>
      <c r="X631">
        <f>LOG(ABS(S631))</f>
        <v>-4.1819027511040359</v>
      </c>
      <c r="AA631" s="31"/>
    </row>
    <row r="632" spans="1:27" ht="17">
      <c r="A632" s="14" t="s">
        <v>148</v>
      </c>
      <c r="B632" s="14"/>
      <c r="C632" s="14"/>
      <c r="D632" s="14"/>
      <c r="K632" s="15"/>
      <c r="AA632" s="31"/>
    </row>
    <row r="633" spans="1:27">
      <c r="AA633" s="31"/>
    </row>
    <row r="634" spans="1:27" ht="17">
      <c r="D634" s="7" t="s">
        <v>152</v>
      </c>
      <c r="E634" s="7"/>
      <c r="F634" s="7"/>
      <c r="G634" s="7"/>
      <c r="H634" s="7"/>
      <c r="Q634" s="27" t="s">
        <v>180</v>
      </c>
      <c r="R634" s="27" t="s">
        <v>173</v>
      </c>
      <c r="S634" t="s">
        <v>174</v>
      </c>
      <c r="AA634" s="31"/>
    </row>
    <row r="635" spans="1:27" ht="17">
      <c r="A635" t="s">
        <v>23</v>
      </c>
      <c r="B635" t="s">
        <v>24</v>
      </c>
      <c r="C635" t="s">
        <v>25</v>
      </c>
      <c r="D635" t="s">
        <v>29</v>
      </c>
      <c r="E635" t="s">
        <v>42</v>
      </c>
      <c r="F635" t="s">
        <v>45</v>
      </c>
      <c r="G635" t="s">
        <v>28</v>
      </c>
      <c r="H635" t="s">
        <v>153</v>
      </c>
      <c r="I635" t="s">
        <v>31</v>
      </c>
      <c r="J635" t="s">
        <v>32</v>
      </c>
      <c r="K635" t="s">
        <v>33</v>
      </c>
      <c r="L635" t="s">
        <v>34</v>
      </c>
      <c r="M635" t="s">
        <v>191</v>
      </c>
      <c r="N635" s="1" t="s">
        <v>190</v>
      </c>
      <c r="P635" t="s">
        <v>182</v>
      </c>
      <c r="Q635" s="27" t="s">
        <v>47</v>
      </c>
      <c r="R635" s="27" t="s">
        <v>47</v>
      </c>
      <c r="S635" t="s">
        <v>175</v>
      </c>
      <c r="T635" t="s">
        <v>195</v>
      </c>
      <c r="U635" t="s">
        <v>194</v>
      </c>
      <c r="V635" t="s">
        <v>200</v>
      </c>
      <c r="W635" s="1" t="s">
        <v>190</v>
      </c>
      <c r="AA635" s="31"/>
    </row>
    <row r="636" spans="1:27">
      <c r="A636" t="s">
        <v>48</v>
      </c>
      <c r="B636">
        <v>54.7</v>
      </c>
      <c r="C636">
        <f>B636+273</f>
        <v>327.7</v>
      </c>
      <c r="D636">
        <v>-3.2303999999999999</v>
      </c>
      <c r="E636">
        <v>-5.2</v>
      </c>
      <c r="F636">
        <v>-8.5</v>
      </c>
      <c r="G636">
        <v>-3.0752000000000002</v>
      </c>
      <c r="H636">
        <v>-3.0996999999999999</v>
      </c>
      <c r="I636">
        <f>4*G636+D636-H636-4*F636-2*E636</f>
        <v>31.968499999999999</v>
      </c>
      <c r="J636">
        <v>56.279200000000003</v>
      </c>
      <c r="K636">
        <f>-2.303*8.314*C636*(J636-I636)</f>
        <v>-152537.93527885739</v>
      </c>
      <c r="L636">
        <f t="shared" ref="L636:L642" si="536">K636/8000</f>
        <v>-19.067241909857174</v>
      </c>
      <c r="M636">
        <f t="shared" ref="M636:M661" si="537">AVERAGE(MIN(L636:L641),MAX(L636:L641))</f>
        <v>-16.262369910065889</v>
      </c>
      <c r="N636">
        <f t="shared" si="523"/>
        <v>2.8048719997912865</v>
      </c>
      <c r="P636">
        <v>5.7790000000000003E-3</v>
      </c>
      <c r="Q636" s="27">
        <f>(K636/4)*10^F636</f>
        <v>-1.2059182626513515E-4</v>
      </c>
      <c r="R636" s="27">
        <f>(K636)*P636</f>
        <v>-881.5167279765169</v>
      </c>
      <c r="S636">
        <f t="shared" ref="S636:S642" si="538">IF(Q636&gt;R636, Q636,R636)</f>
        <v>-1.2059182626513515E-4</v>
      </c>
      <c r="T636">
        <f>ABS(MIN(S636:S641))</f>
        <v>1.2059182626513515E-4</v>
      </c>
      <c r="U636">
        <f>ABS(MAX(S636:S641))</f>
        <v>3.6739523130396872E-5</v>
      </c>
      <c r="V636">
        <f t="shared" ref="V636:V649" si="539">AVERAGE(LOG(T636),LOG(U636))</f>
        <v>-4.1767743063891443</v>
      </c>
      <c r="W636">
        <f t="shared" ref="W636:W649" si="540">ABS(V636-LOG(T636))</f>
        <v>0.25809217863565737</v>
      </c>
      <c r="AA636" s="31"/>
    </row>
    <row r="637" spans="1:27">
      <c r="A637" t="s">
        <v>49</v>
      </c>
      <c r="B637">
        <v>60.3</v>
      </c>
      <c r="C637">
        <f t="shared" ref="C637:C642" si="541">B637+273</f>
        <v>333.3</v>
      </c>
      <c r="D637">
        <v>-3.8155999999999999</v>
      </c>
      <c r="E637">
        <v>-5.2</v>
      </c>
      <c r="F637">
        <v>-8.76</v>
      </c>
      <c r="G637">
        <v>-2.7027000000000001</v>
      </c>
      <c r="H637">
        <v>-2.6000999999999999</v>
      </c>
      <c r="I637">
        <f t="shared" ref="I637:I641" si="542">4*G637+D637-H637-4*F637-2*E637</f>
        <v>33.413699999999999</v>
      </c>
      <c r="J637">
        <v>55.583799999999997</v>
      </c>
      <c r="K637">
        <f t="shared" ref="K637:K642" si="543">-2.303*8.314*C637*(J637-I637)</f>
        <v>-141483.86781630485</v>
      </c>
      <c r="L637">
        <f t="shared" si="536"/>
        <v>-17.685483477038105</v>
      </c>
      <c r="P637">
        <v>1.504E-2</v>
      </c>
      <c r="Q637" s="27">
        <f t="shared" ref="Q637:Q642" si="544">(K637/4)*10^F637</f>
        <v>-6.1467695686460316E-5</v>
      </c>
      <c r="R637" s="27">
        <f t="shared" ref="R637:R642" si="545">(K637)*P637</f>
        <v>-2127.917371957225</v>
      </c>
      <c r="S637">
        <f t="shared" si="538"/>
        <v>-6.1467695686460316E-5</v>
      </c>
      <c r="AA637" s="31"/>
    </row>
    <row r="638" spans="1:27">
      <c r="A638" t="s">
        <v>50</v>
      </c>
      <c r="B638">
        <v>80.099999999999994</v>
      </c>
      <c r="C638">
        <f t="shared" si="541"/>
        <v>353.1</v>
      </c>
      <c r="D638">
        <v>-2.7831999999999999</v>
      </c>
      <c r="E638">
        <v>-4.7</v>
      </c>
      <c r="F638">
        <v>-8.5</v>
      </c>
      <c r="G638">
        <v>-2.8500999999999999</v>
      </c>
      <c r="H638">
        <v>-3.76</v>
      </c>
      <c r="I638">
        <f t="shared" si="542"/>
        <v>32.976399999999998</v>
      </c>
      <c r="J638">
        <v>53.027000000000001</v>
      </c>
      <c r="K638">
        <f t="shared" si="543"/>
        <v>-135559.21610951415</v>
      </c>
      <c r="L638">
        <f t="shared" si="536"/>
        <v>-16.944902013689269</v>
      </c>
      <c r="P638">
        <v>1.7260000000000001E-3</v>
      </c>
      <c r="Q638" s="27">
        <f t="shared" si="544"/>
        <v>-1.0716897018326347E-4</v>
      </c>
      <c r="R638" s="27">
        <f t="shared" si="545"/>
        <v>-233.97520700502145</v>
      </c>
      <c r="S638">
        <f t="shared" si="538"/>
        <v>-1.0716897018326347E-4</v>
      </c>
      <c r="AA638" s="31"/>
    </row>
    <row r="639" spans="1:27">
      <c r="A639" t="s">
        <v>51</v>
      </c>
      <c r="B639">
        <v>96.6</v>
      </c>
      <c r="C639">
        <f t="shared" si="541"/>
        <v>369.6</v>
      </c>
      <c r="D639">
        <v>-4.0804999999999998</v>
      </c>
      <c r="E639">
        <v>-5.6</v>
      </c>
      <c r="F639">
        <v>-8.9</v>
      </c>
      <c r="G639">
        <v>-2.71</v>
      </c>
      <c r="H639">
        <v>-2.73</v>
      </c>
      <c r="I639">
        <f t="shared" si="542"/>
        <v>34.609499999999997</v>
      </c>
      <c r="J639">
        <v>51.104700000000001</v>
      </c>
      <c r="K639">
        <f t="shared" si="543"/>
        <v>-116732.96221112067</v>
      </c>
      <c r="L639">
        <f t="shared" si="536"/>
        <v>-14.591620276390083</v>
      </c>
      <c r="P639">
        <v>1.43E-2</v>
      </c>
      <c r="Q639" s="27">
        <f t="shared" si="544"/>
        <v>-3.6739523130396872E-5</v>
      </c>
      <c r="R639" s="27">
        <f t="shared" si="545"/>
        <v>-1669.2813596190256</v>
      </c>
      <c r="S639">
        <f t="shared" si="538"/>
        <v>-3.6739523130396872E-5</v>
      </c>
      <c r="AA639" s="31"/>
    </row>
    <row r="640" spans="1:27">
      <c r="A640" t="s">
        <v>52</v>
      </c>
      <c r="B640">
        <v>135</v>
      </c>
      <c r="C640">
        <f t="shared" si="541"/>
        <v>408</v>
      </c>
      <c r="D640">
        <v>-3.7812000000000001</v>
      </c>
      <c r="E640">
        <v>-2.9</v>
      </c>
      <c r="F640">
        <v>-8.8000000000000007</v>
      </c>
      <c r="G640">
        <v>-3.0543999999999998</v>
      </c>
      <c r="H640">
        <v>-3.5977000000000001</v>
      </c>
      <c r="I640">
        <f t="shared" si="542"/>
        <v>28.598900000000004</v>
      </c>
      <c r="J640">
        <v>47.492800000000003</v>
      </c>
      <c r="K640">
        <f t="shared" si="543"/>
        <v>-147599.78798339039</v>
      </c>
      <c r="L640">
        <f t="shared" si="536"/>
        <v>-18.4499734979238</v>
      </c>
      <c r="P640">
        <v>2.6210000000000001E-3</v>
      </c>
      <c r="Q640" s="27">
        <f t="shared" si="544"/>
        <v>-5.8482474795894495E-5</v>
      </c>
      <c r="R640" s="27">
        <f t="shared" si="545"/>
        <v>-386.85904430446624</v>
      </c>
      <c r="S640">
        <f t="shared" si="538"/>
        <v>-5.8482474795894495E-5</v>
      </c>
      <c r="AA640" s="31"/>
    </row>
    <row r="641" spans="1:27">
      <c r="A641" t="s">
        <v>53</v>
      </c>
      <c r="B641">
        <v>135</v>
      </c>
      <c r="C641">
        <f t="shared" si="541"/>
        <v>408</v>
      </c>
      <c r="D641">
        <v>-4.0387000000000004</v>
      </c>
      <c r="E641">
        <v>-5</v>
      </c>
      <c r="F641">
        <v>-8.76</v>
      </c>
      <c r="G641">
        <v>-2.6025</v>
      </c>
      <c r="H641">
        <v>-3.1202000000000001</v>
      </c>
      <c r="I641">
        <f t="shared" si="542"/>
        <v>33.711500000000001</v>
      </c>
      <c r="J641">
        <v>47.492800000000003</v>
      </c>
      <c r="K641">
        <f t="shared" si="543"/>
        <v>-107659.98328219682</v>
      </c>
      <c r="L641">
        <f t="shared" si="536"/>
        <v>-13.457497910274602</v>
      </c>
      <c r="P641">
        <v>7.5709999999999996E-3</v>
      </c>
      <c r="Q641" s="27">
        <f t="shared" si="544"/>
        <v>-4.6772902042736308E-5</v>
      </c>
      <c r="R641" s="27">
        <f t="shared" si="545"/>
        <v>-815.0937334295121</v>
      </c>
      <c r="S641">
        <f t="shared" si="538"/>
        <v>-4.6772902042736308E-5</v>
      </c>
      <c r="AA641" s="31"/>
    </row>
    <row r="642" spans="1:27">
      <c r="A642" s="11" t="s">
        <v>54</v>
      </c>
      <c r="B642">
        <v>20</v>
      </c>
      <c r="C642">
        <f t="shared" si="541"/>
        <v>293</v>
      </c>
      <c r="D642">
        <v>-8.9</v>
      </c>
      <c r="E642">
        <v>-8.02</v>
      </c>
      <c r="F642" s="10">
        <v>-9.5</v>
      </c>
      <c r="G642">
        <v>-3</v>
      </c>
      <c r="H642">
        <v>-2.5</v>
      </c>
      <c r="I642">
        <f>3*E642+4*G642+D642-H642-4*F642</f>
        <v>-4.4600000000000009</v>
      </c>
      <c r="J642">
        <v>29.340699999999998</v>
      </c>
      <c r="K642">
        <f t="shared" si="543"/>
        <v>-189625.73316162417</v>
      </c>
      <c r="L642">
        <f t="shared" si="536"/>
        <v>-23.703216645203021</v>
      </c>
      <c r="P642">
        <v>1.8100000000000002E-2</v>
      </c>
      <c r="Q642" s="27">
        <f t="shared" si="544"/>
        <v>-1.4991230494251335E-5</v>
      </c>
      <c r="R642" s="27">
        <f t="shared" si="545"/>
        <v>-3432.2257702253978</v>
      </c>
      <c r="S642">
        <f t="shared" si="538"/>
        <v>-1.4991230494251335E-5</v>
      </c>
      <c r="X642">
        <f>LOG(ABS(S642))</f>
        <v>-4.8241627183904887</v>
      </c>
      <c r="AA642" s="31"/>
    </row>
    <row r="643" spans="1:27" ht="17">
      <c r="A643" s="14" t="s">
        <v>156</v>
      </c>
      <c r="B643" s="14"/>
      <c r="C643" s="14"/>
      <c r="D643" s="14"/>
      <c r="K643" s="15"/>
      <c r="AA643" s="31"/>
    </row>
    <row r="644" spans="1:27">
      <c r="D644" t="s">
        <v>159</v>
      </c>
      <c r="G644" t="s">
        <v>160</v>
      </c>
      <c r="AA644" s="31"/>
    </row>
    <row r="645" spans="1:27">
      <c r="AA645" s="31"/>
    </row>
    <row r="646" spans="1:27">
      <c r="D646" s="4"/>
      <c r="E646" s="4"/>
      <c r="L646" s="1"/>
      <c r="O646" s="1"/>
      <c r="AA646" s="31"/>
    </row>
    <row r="647" spans="1:27" ht="17">
      <c r="D647" s="7" t="s">
        <v>22</v>
      </c>
      <c r="E647" s="7"/>
      <c r="F647" s="7"/>
      <c r="G647" s="7"/>
      <c r="H647" s="7"/>
      <c r="Q647" s="27" t="s">
        <v>180</v>
      </c>
      <c r="R647" s="27" t="s">
        <v>173</v>
      </c>
      <c r="S647" t="s">
        <v>174</v>
      </c>
      <c r="AA647" s="31"/>
    </row>
    <row r="648" spans="1:27" ht="17">
      <c r="A648" t="s">
        <v>23</v>
      </c>
      <c r="B648" t="s">
        <v>24</v>
      </c>
      <c r="C648" t="s">
        <v>25</v>
      </c>
      <c r="D648" t="s">
        <v>46</v>
      </c>
      <c r="E648" t="s">
        <v>42</v>
      </c>
      <c r="F648" t="s">
        <v>45</v>
      </c>
      <c r="G648" t="s">
        <v>28</v>
      </c>
      <c r="I648" t="s">
        <v>31</v>
      </c>
      <c r="J648" t="s">
        <v>32</v>
      </c>
      <c r="K648" t="s">
        <v>33</v>
      </c>
      <c r="L648" t="s">
        <v>34</v>
      </c>
      <c r="M648" t="s">
        <v>191</v>
      </c>
      <c r="N648" s="1" t="s">
        <v>190</v>
      </c>
      <c r="Q648" s="27" t="s">
        <v>47</v>
      </c>
      <c r="R648" s="27" t="s">
        <v>47</v>
      </c>
      <c r="S648" t="s">
        <v>175</v>
      </c>
      <c r="T648" t="s">
        <v>195</v>
      </c>
      <c r="U648" t="s">
        <v>194</v>
      </c>
      <c r="V648" t="s">
        <v>200</v>
      </c>
      <c r="W648" s="1" t="s">
        <v>190</v>
      </c>
      <c r="Z648" t="s">
        <v>208</v>
      </c>
      <c r="AA648" s="31"/>
    </row>
    <row r="649" spans="1:27">
      <c r="A649" t="s">
        <v>48</v>
      </c>
      <c r="B649">
        <v>54.7</v>
      </c>
      <c r="C649">
        <f>B649+273</f>
        <v>327.7</v>
      </c>
      <c r="D649">
        <v>-8.32</v>
      </c>
      <c r="E649">
        <v>-5.2</v>
      </c>
      <c r="F649">
        <v>-8.5</v>
      </c>
      <c r="G649">
        <v>-3.0752000000000002</v>
      </c>
      <c r="I649">
        <f>3*G649+D649-4*F649</f>
        <v>16.4544</v>
      </c>
      <c r="J649">
        <v>37.433799999999998</v>
      </c>
      <c r="K649">
        <f>-2.303*8.314*C649*(J649-I649)</f>
        <v>-131635.63202167195</v>
      </c>
      <c r="L649">
        <f>K649/8000</f>
        <v>-16.454454002708992</v>
      </c>
      <c r="M649">
        <f t="shared" si="537"/>
        <v>-11.396178567492896</v>
      </c>
      <c r="N649">
        <f t="shared" ref="N649:N661" si="546">ABS(MAX(L649:L654)-M649)</f>
        <v>5.0582754352160952</v>
      </c>
      <c r="Q649" s="27">
        <f>(K649/4)*10^F649</f>
        <v>-1.0406710460606959E-4</v>
      </c>
      <c r="R649" s="28" t="s">
        <v>177</v>
      </c>
      <c r="S649">
        <f>Q649</f>
        <v>-1.0406710460606959E-4</v>
      </c>
      <c r="T649">
        <f>ABS(MIN(S649:S654))</f>
        <v>1.0406710460606959E-4</v>
      </c>
      <c r="U649">
        <f>ABS(MAX(S649:S654))</f>
        <v>2.202802663160774E-5</v>
      </c>
      <c r="V649">
        <f t="shared" si="539"/>
        <v>-4.3198554677538281</v>
      </c>
      <c r="W649">
        <f t="shared" si="540"/>
        <v>0.33716893938003167</v>
      </c>
      <c r="Z649">
        <f>S559+S570+S581+S592+S603+S614+S625+S636+S649</f>
        <v>-4.3760612172716647E-3</v>
      </c>
      <c r="AA649" s="25">
        <f>-Z649</f>
        <v>4.3760612172716647E-3</v>
      </c>
    </row>
    <row r="650" spans="1:27">
      <c r="A650" t="s">
        <v>49</v>
      </c>
      <c r="B650">
        <v>60.3</v>
      </c>
      <c r="C650">
        <f t="shared" ref="C650:C655" si="547">B650+273</f>
        <v>333.3</v>
      </c>
      <c r="D650">
        <v>-5.27</v>
      </c>
      <c r="E650">
        <v>-5.2</v>
      </c>
      <c r="F650">
        <v>-8.76</v>
      </c>
      <c r="G650">
        <v>-2.7027000000000001</v>
      </c>
      <c r="I650">
        <f t="shared" ref="I650:I654" si="548">3*G650+D650-4*F650</f>
        <v>21.661899999999999</v>
      </c>
      <c r="J650">
        <v>36.763800000000003</v>
      </c>
      <c r="K650">
        <f t="shared" ref="K650:K655" si="549">-2.303*8.314*C650*(J650-I650)</f>
        <v>-96376.435982474359</v>
      </c>
      <c r="L650">
        <f t="shared" ref="L650:L655" si="550">K650/8000</f>
        <v>-12.047054497809295</v>
      </c>
      <c r="Q650" s="27">
        <f t="shared" ref="Q650:Q655" si="551">(K650/4)*10^F650</f>
        <v>-4.1870762580563702E-5</v>
      </c>
      <c r="R650" s="28" t="s">
        <v>177</v>
      </c>
      <c r="S650">
        <f t="shared" ref="S650:S655" si="552">Q650</f>
        <v>-4.1870762580563702E-5</v>
      </c>
      <c r="Z650">
        <f t="shared" ref="Z650:Z654" si="553">S560+S571+S582+S593+S604+S615+S626+S637+S650</f>
        <v>-2.3681494537670729E-3</v>
      </c>
      <c r="AA650" s="25">
        <f t="shared" ref="AA650:AA677" si="554">-Z650</f>
        <v>2.3681494537670729E-3</v>
      </c>
    </row>
    <row r="651" spans="1:27">
      <c r="A651" t="s">
        <v>50</v>
      </c>
      <c r="B651">
        <v>80.099999999999994</v>
      </c>
      <c r="C651">
        <f t="shared" si="547"/>
        <v>353.1</v>
      </c>
      <c r="D651">
        <v>-8.4</v>
      </c>
      <c r="E651">
        <v>-4.7</v>
      </c>
      <c r="F651">
        <v>-8.5</v>
      </c>
      <c r="G651">
        <v>-2.8500999999999999</v>
      </c>
      <c r="I651">
        <f t="shared" si="548"/>
        <v>17.049700000000001</v>
      </c>
      <c r="J651">
        <v>34.249299999999998</v>
      </c>
      <c r="K651">
        <f t="shared" si="549"/>
        <v>-116284.01610910389</v>
      </c>
      <c r="L651">
        <f t="shared" si="550"/>
        <v>-14.535502013637986</v>
      </c>
      <c r="Q651" s="27">
        <f t="shared" si="551"/>
        <v>-9.193058659411975E-5</v>
      </c>
      <c r="R651" s="28" t="s">
        <v>177</v>
      </c>
      <c r="S651">
        <f t="shared" si="552"/>
        <v>-9.193058659411975E-5</v>
      </c>
      <c r="Z651">
        <f t="shared" si="553"/>
        <v>-4.27465297788167E-3</v>
      </c>
      <c r="AA651" s="25">
        <f t="shared" si="554"/>
        <v>4.27465297788167E-3</v>
      </c>
    </row>
    <row r="652" spans="1:27">
      <c r="A652" t="s">
        <v>51</v>
      </c>
      <c r="B652">
        <v>96.6</v>
      </c>
      <c r="C652">
        <f t="shared" si="547"/>
        <v>369.6</v>
      </c>
      <c r="D652">
        <v>-6.1</v>
      </c>
      <c r="E652">
        <v>-5.6</v>
      </c>
      <c r="F652">
        <v>-8.9</v>
      </c>
      <c r="G652">
        <v>-2.71</v>
      </c>
      <c r="I652">
        <f t="shared" si="548"/>
        <v>21.370000000000005</v>
      </c>
      <c r="J652">
        <v>32.299799999999998</v>
      </c>
      <c r="K652">
        <f t="shared" si="549"/>
        <v>-77347.830300639311</v>
      </c>
      <c r="L652">
        <f t="shared" si="550"/>
        <v>-9.6684787875799145</v>
      </c>
      <c r="Q652" s="27">
        <f t="shared" si="551"/>
        <v>-2.4343787278154334E-5</v>
      </c>
      <c r="R652" s="28" t="s">
        <v>177</v>
      </c>
      <c r="S652">
        <f t="shared" si="552"/>
        <v>-2.4343787278154334E-5</v>
      </c>
      <c r="Z652">
        <f t="shared" si="553"/>
        <v>-1.6170187453807749E-3</v>
      </c>
      <c r="AA652" s="25">
        <f t="shared" si="554"/>
        <v>1.6170187453807749E-3</v>
      </c>
    </row>
    <row r="653" spans="1:27">
      <c r="A653" t="s">
        <v>52</v>
      </c>
      <c r="B653">
        <v>135</v>
      </c>
      <c r="C653">
        <f t="shared" si="547"/>
        <v>408</v>
      </c>
      <c r="D653">
        <v>-6.1</v>
      </c>
      <c r="E653">
        <v>-2.9</v>
      </c>
      <c r="F653">
        <v>-8.8000000000000007</v>
      </c>
      <c r="G653">
        <v>-3.0543999999999998</v>
      </c>
      <c r="I653">
        <f t="shared" si="548"/>
        <v>19.936800000000005</v>
      </c>
      <c r="J653">
        <v>28.462900000000001</v>
      </c>
      <c r="K653">
        <f t="shared" si="549"/>
        <v>-66606.182541729562</v>
      </c>
      <c r="L653">
        <f t="shared" si="550"/>
        <v>-8.3257728177161958</v>
      </c>
      <c r="Q653" s="27">
        <f t="shared" si="551"/>
        <v>-2.6390921321552236E-5</v>
      </c>
      <c r="R653" s="28" t="s">
        <v>177</v>
      </c>
      <c r="S653">
        <f t="shared" si="552"/>
        <v>-2.6390921321552236E-5</v>
      </c>
      <c r="Z653">
        <f t="shared" si="553"/>
        <v>-2.110814237929881E-3</v>
      </c>
      <c r="AA653" s="25">
        <f t="shared" si="554"/>
        <v>2.110814237929881E-3</v>
      </c>
    </row>
    <row r="654" spans="1:27">
      <c r="A654" t="s">
        <v>53</v>
      </c>
      <c r="B654">
        <v>135</v>
      </c>
      <c r="C654">
        <f t="shared" si="547"/>
        <v>408</v>
      </c>
      <c r="D654">
        <v>-5.26</v>
      </c>
      <c r="E654">
        <v>-5</v>
      </c>
      <c r="F654">
        <v>-8.76</v>
      </c>
      <c r="G654">
        <v>-2.6025</v>
      </c>
      <c r="I654">
        <f t="shared" si="548"/>
        <v>21.9725</v>
      </c>
      <c r="J654">
        <v>28.462900000000001</v>
      </c>
      <c r="K654">
        <f t="shared" si="549"/>
        <v>-50703.225058214404</v>
      </c>
      <c r="L654">
        <f t="shared" si="550"/>
        <v>-6.3379031322768009</v>
      </c>
      <c r="Q654" s="27">
        <f t="shared" si="551"/>
        <v>-2.202802663160774E-5</v>
      </c>
      <c r="R654" s="28" t="s">
        <v>177</v>
      </c>
      <c r="S654">
        <f t="shared" si="552"/>
        <v>-2.202802663160774E-5</v>
      </c>
      <c r="Z654">
        <f t="shared" si="553"/>
        <v>-2.1828441478647384E-3</v>
      </c>
      <c r="AA654" s="25">
        <f t="shared" si="554"/>
        <v>2.1828441478647384E-3</v>
      </c>
    </row>
    <row r="655" spans="1:27">
      <c r="A655" s="11" t="s">
        <v>54</v>
      </c>
      <c r="B655">
        <v>20</v>
      </c>
      <c r="C655">
        <f t="shared" si="547"/>
        <v>293</v>
      </c>
      <c r="D655">
        <v>-6.5</v>
      </c>
      <c r="E655">
        <v>-8.02</v>
      </c>
      <c r="F655">
        <v>-9.5</v>
      </c>
      <c r="G655">
        <v>-3</v>
      </c>
      <c r="I655">
        <f>3*E655+3*G655+D655-4*F655</f>
        <v>-1.5600000000000023</v>
      </c>
      <c r="J655">
        <v>23.533200000000001</v>
      </c>
      <c r="K655">
        <f t="shared" si="549"/>
        <v>-140775.67764487921</v>
      </c>
      <c r="L655">
        <f t="shared" si="550"/>
        <v>-17.596959705609901</v>
      </c>
      <c r="Q655" s="27">
        <f t="shared" si="551"/>
        <v>-1.1129294512786649E-5</v>
      </c>
      <c r="R655" s="28" t="s">
        <v>177</v>
      </c>
      <c r="S655">
        <f t="shared" si="552"/>
        <v>-1.1129294512786649E-5</v>
      </c>
      <c r="X655">
        <f>LOG(ABS(S655))</f>
        <v>-4.9535323647681331</v>
      </c>
      <c r="AA655" s="31"/>
    </row>
    <row r="656" spans="1:27" ht="17">
      <c r="A656" s="14" t="s">
        <v>60</v>
      </c>
      <c r="B656" s="14"/>
      <c r="C656" s="14"/>
      <c r="AA656" s="31"/>
    </row>
    <row r="657" spans="1:27">
      <c r="K657" s="15"/>
      <c r="AA657" s="31"/>
    </row>
    <row r="658" spans="1:27" ht="17">
      <c r="D658" s="4" t="s">
        <v>76</v>
      </c>
      <c r="J658" s="1"/>
      <c r="AA658" s="31"/>
    </row>
    <row r="659" spans="1:27" ht="17">
      <c r="C659">
        <v>60</v>
      </c>
      <c r="D659" s="7" t="s">
        <v>79</v>
      </c>
      <c r="E659" s="7"/>
      <c r="Q659" s="27" t="s">
        <v>180</v>
      </c>
      <c r="R659" s="27" t="s">
        <v>173</v>
      </c>
      <c r="S659" t="s">
        <v>174</v>
      </c>
      <c r="AA659" s="31"/>
    </row>
    <row r="660" spans="1:27" ht="17">
      <c r="A660" t="s">
        <v>23</v>
      </c>
      <c r="B660" t="s">
        <v>24</v>
      </c>
      <c r="C660" t="s">
        <v>25</v>
      </c>
      <c r="D660" t="s">
        <v>36</v>
      </c>
      <c r="E660" t="s">
        <v>77</v>
      </c>
      <c r="F660" t="s">
        <v>43</v>
      </c>
      <c r="G660" t="s">
        <v>31</v>
      </c>
      <c r="H660" t="s">
        <v>32</v>
      </c>
      <c r="I660" t="s">
        <v>33</v>
      </c>
      <c r="L660" t="s">
        <v>40</v>
      </c>
      <c r="M660" t="s">
        <v>191</v>
      </c>
      <c r="N660" s="1" t="s">
        <v>190</v>
      </c>
      <c r="P660" t="s">
        <v>184</v>
      </c>
      <c r="Q660" s="27" t="s">
        <v>47</v>
      </c>
      <c r="R660" s="27" t="s">
        <v>47</v>
      </c>
      <c r="S660" t="s">
        <v>175</v>
      </c>
      <c r="T660" t="s">
        <v>195</v>
      </c>
      <c r="U660" t="s">
        <v>194</v>
      </c>
      <c r="V660" t="s">
        <v>200</v>
      </c>
      <c r="W660" s="1" t="s">
        <v>190</v>
      </c>
      <c r="AA660" s="31"/>
    </row>
    <row r="661" spans="1:27">
      <c r="A661" t="s">
        <v>48</v>
      </c>
      <c r="B661">
        <v>54.7</v>
      </c>
      <c r="C661">
        <f>B661+273</f>
        <v>327.7</v>
      </c>
      <c r="D661">
        <v>-6.11</v>
      </c>
      <c r="E661">
        <v>-6.9089999999999998</v>
      </c>
      <c r="F661">
        <v>-4.7778</v>
      </c>
      <c r="G661">
        <f>2*F661-2*E661-D661</f>
        <v>10.372399999999999</v>
      </c>
      <c r="H661">
        <v>27.354500000000002</v>
      </c>
      <c r="I661">
        <f>-2.303*8.314*C661*(H661-G661)</f>
        <v>-106554.49948784216</v>
      </c>
      <c r="L661">
        <f t="shared" ref="L661:L667" si="555">I661/4000</f>
        <v>-26.638624871960538</v>
      </c>
      <c r="M661">
        <f t="shared" si="537"/>
        <v>-26.737365103615318</v>
      </c>
      <c r="N661">
        <f t="shared" si="546"/>
        <v>2.30893968489492</v>
      </c>
      <c r="P661" s="23">
        <v>2.0760000000000001E-7</v>
      </c>
      <c r="Q661" s="27">
        <f>(I661/2)*P661</f>
        <v>-1.1060357046838016E-2</v>
      </c>
      <c r="R661" s="27">
        <f>(I661)*10^D661</f>
        <v>-8.271262299125072E-2</v>
      </c>
      <c r="S661">
        <f t="shared" ref="S661:S667" si="556">IF(Q661&gt;R661, Q661,R661)</f>
        <v>-1.1060357046838016E-2</v>
      </c>
      <c r="T661">
        <f>ABS(MIN(S661:S666))</f>
        <v>5.6493920272836895E-2</v>
      </c>
      <c r="U661">
        <f>ABS(MAX(S661:S666))</f>
        <v>1.1060357046838016E-2</v>
      </c>
      <c r="V661">
        <f t="shared" ref="V661:V672" si="557">AVERAGE(LOG(T661),LOG(U661))</f>
        <v>-1.6021145701741817</v>
      </c>
      <c r="W661">
        <f t="shared" ref="W661:W672" si="558">ABS(V661-LOG(T661))</f>
        <v>0.35411628287805663</v>
      </c>
      <c r="AA661" s="31"/>
    </row>
    <row r="662" spans="1:27">
      <c r="A662" t="s">
        <v>49</v>
      </c>
      <c r="B662">
        <v>60.3</v>
      </c>
      <c r="C662">
        <f t="shared" ref="C662:C667" si="559">B662+273</f>
        <v>333.3</v>
      </c>
      <c r="D662">
        <v>-6.22</v>
      </c>
      <c r="E662">
        <v>-6.7397</v>
      </c>
      <c r="F662">
        <v>-4.7697000000000003</v>
      </c>
      <c r="G662">
        <f t="shared" ref="G662:G667" si="560">2*F662-2*E662-D662</f>
        <v>10.16</v>
      </c>
      <c r="H662">
        <v>26.883299999999998</v>
      </c>
      <c r="I662">
        <f t="shared" ref="I662:I667" si="561">-2.303*8.314*C662*(H662-G662)</f>
        <v>-106723.79315620636</v>
      </c>
      <c r="L662">
        <f t="shared" si="555"/>
        <v>-26.680948289051589</v>
      </c>
      <c r="P662" s="23">
        <v>2.9849999999999998E-7</v>
      </c>
      <c r="Q662" s="27">
        <f t="shared" ref="Q662:Q666" si="562">(I662/2)*P662</f>
        <v>-1.5928526128563797E-2</v>
      </c>
      <c r="R662" s="27">
        <f t="shared" ref="R662:R667" si="563">(I662)*10^D662</f>
        <v>-6.4307444628489016E-2</v>
      </c>
      <c r="S662">
        <f t="shared" si="556"/>
        <v>-1.5928526128563797E-2</v>
      </c>
      <c r="AA662" s="31"/>
    </row>
    <row r="663" spans="1:27">
      <c r="A663" t="s">
        <v>50</v>
      </c>
      <c r="B663">
        <v>80.099999999999994</v>
      </c>
      <c r="C663">
        <f t="shared" si="559"/>
        <v>353.1</v>
      </c>
      <c r="D663">
        <v>-4.5999999999999996</v>
      </c>
      <c r="E663">
        <v>-6.9115000000000002</v>
      </c>
      <c r="F663">
        <v>-4.7794999999999996</v>
      </c>
      <c r="G663">
        <f t="shared" si="560"/>
        <v>8.8640000000000008</v>
      </c>
      <c r="H663">
        <v>25.116099999999999</v>
      </c>
      <c r="I663">
        <f t="shared" si="561"/>
        <v>-109878.10520051442</v>
      </c>
      <c r="L663">
        <f t="shared" si="555"/>
        <v>-27.469526300128603</v>
      </c>
      <c r="P663" s="23">
        <v>2.132E-7</v>
      </c>
      <c r="Q663" s="27">
        <f t="shared" si="562"/>
        <v>-1.1713006014374836E-2</v>
      </c>
      <c r="R663" s="27">
        <f t="shared" si="563"/>
        <v>-2.7600132157315427</v>
      </c>
      <c r="S663">
        <f t="shared" si="556"/>
        <v>-1.1713006014374836E-2</v>
      </c>
      <c r="AA663" s="31"/>
    </row>
    <row r="664" spans="1:27">
      <c r="A664" t="s">
        <v>51</v>
      </c>
      <c r="B664">
        <v>96.6</v>
      </c>
      <c r="C664">
        <f t="shared" si="559"/>
        <v>369.6</v>
      </c>
      <c r="D664">
        <v>-3.62</v>
      </c>
      <c r="E664">
        <v>-6.5316999999999998</v>
      </c>
      <c r="F664">
        <v>-4.6773999999999996</v>
      </c>
      <c r="G664">
        <f t="shared" si="560"/>
        <v>7.3286000000000007</v>
      </c>
      <c r="H664">
        <v>23.746400000000001</v>
      </c>
      <c r="I664">
        <f t="shared" si="561"/>
        <v>-116185.21915404097</v>
      </c>
      <c r="L664">
        <f t="shared" si="555"/>
        <v>-29.046304788510241</v>
      </c>
      <c r="P664" s="23">
        <v>5.0949999999999995E-7</v>
      </c>
      <c r="Q664" s="27">
        <f t="shared" si="562"/>
        <v>-2.9598184579491933E-2</v>
      </c>
      <c r="R664" s="27">
        <f t="shared" si="563"/>
        <v>-27.870892841020702</v>
      </c>
      <c r="S664">
        <f t="shared" si="556"/>
        <v>-2.9598184579491933E-2</v>
      </c>
      <c r="AA664" s="31"/>
    </row>
    <row r="665" spans="1:27">
      <c r="A665" t="s">
        <v>52</v>
      </c>
      <c r="B665">
        <v>135</v>
      </c>
      <c r="C665">
        <f t="shared" si="559"/>
        <v>408</v>
      </c>
      <c r="D665">
        <v>-3.71</v>
      </c>
      <c r="E665">
        <v>-6.6307</v>
      </c>
      <c r="F665">
        <v>-4.2153</v>
      </c>
      <c r="G665">
        <f t="shared" si="560"/>
        <v>8.5408000000000008</v>
      </c>
      <c r="H665">
        <v>21.0489</v>
      </c>
      <c r="I665">
        <f t="shared" si="561"/>
        <v>-97713.701674881595</v>
      </c>
      <c r="L665">
        <f t="shared" si="555"/>
        <v>-24.428425418720398</v>
      </c>
      <c r="P665" s="23">
        <v>4.221E-7</v>
      </c>
      <c r="Q665" s="27">
        <f t="shared" si="562"/>
        <v>-2.0622476738483761E-2</v>
      </c>
      <c r="R665" s="27">
        <f t="shared" si="563"/>
        <v>-19.052653353313655</v>
      </c>
      <c r="S665">
        <f t="shared" si="556"/>
        <v>-2.0622476738483761E-2</v>
      </c>
      <c r="AA665" s="31"/>
    </row>
    <row r="666" spans="1:27">
      <c r="A666" t="s">
        <v>53</v>
      </c>
      <c r="B666">
        <v>135</v>
      </c>
      <c r="C666">
        <f t="shared" si="559"/>
        <v>408</v>
      </c>
      <c r="D666">
        <v>-6.25</v>
      </c>
      <c r="E666">
        <v>-5.7622</v>
      </c>
      <c r="F666">
        <v>-4.7927</v>
      </c>
      <c r="G666">
        <f t="shared" si="560"/>
        <v>8.1890000000000001</v>
      </c>
      <c r="H666">
        <v>21.0489</v>
      </c>
      <c r="I666">
        <f t="shared" si="561"/>
        <v>-100461.9752135664</v>
      </c>
      <c r="L666">
        <f t="shared" si="555"/>
        <v>-25.115493803391601</v>
      </c>
      <c r="P666" s="23">
        <v>3.1810000000000001E-6</v>
      </c>
      <c r="Q666" s="27">
        <f t="shared" si="562"/>
        <v>-0.15978477157717738</v>
      </c>
      <c r="R666" s="27">
        <f t="shared" si="563"/>
        <v>-5.6493920272836895E-2</v>
      </c>
      <c r="S666">
        <f t="shared" si="556"/>
        <v>-5.6493920272836895E-2</v>
      </c>
      <c r="AA666" s="31"/>
    </row>
    <row r="667" spans="1:27">
      <c r="A667" s="11" t="s">
        <v>54</v>
      </c>
      <c r="B667">
        <v>20</v>
      </c>
      <c r="C667">
        <f t="shared" si="559"/>
        <v>293</v>
      </c>
      <c r="D667">
        <v>-3.6</v>
      </c>
      <c r="E667">
        <v>-6.9</v>
      </c>
      <c r="F667">
        <v>-5.3</v>
      </c>
      <c r="G667">
        <f t="shared" si="560"/>
        <v>6.8000000000000007</v>
      </c>
      <c r="H667">
        <v>31.042400000000001</v>
      </c>
      <c r="I667">
        <f t="shared" si="561"/>
        <v>-136002.5938396944</v>
      </c>
      <c r="L667">
        <f t="shared" si="555"/>
        <v>-34.000648459923596</v>
      </c>
      <c r="P667" s="23">
        <v>1.9999999999999999E-7</v>
      </c>
      <c r="Q667" s="27">
        <f>(I667/2)*P667</f>
        <v>-1.360025938396944E-2</v>
      </c>
      <c r="R667" s="27">
        <f t="shared" si="563"/>
        <v>-34.162307011603637</v>
      </c>
      <c r="S667">
        <f t="shared" si="556"/>
        <v>-1.360025938396944E-2</v>
      </c>
      <c r="X667">
        <f>LOG(ABS(S667))</f>
        <v>-1.8664528086921064</v>
      </c>
      <c r="AA667" s="31"/>
    </row>
    <row r="668" spans="1:27">
      <c r="AA668" s="31"/>
    </row>
    <row r="669" spans="1:27">
      <c r="AA669" s="31"/>
    </row>
    <row r="670" spans="1:27" ht="17">
      <c r="C670">
        <v>61</v>
      </c>
      <c r="D670" s="7" t="s">
        <v>196</v>
      </c>
      <c r="E670" s="7"/>
      <c r="F670" s="7"/>
      <c r="G670" s="7"/>
      <c r="H670" s="7"/>
      <c r="Q670" s="27" t="s">
        <v>180</v>
      </c>
      <c r="R670" s="27" t="s">
        <v>173</v>
      </c>
      <c r="S670" t="s">
        <v>174</v>
      </c>
      <c r="AA670" s="31"/>
    </row>
    <row r="671" spans="1:27" ht="17">
      <c r="A671" t="s">
        <v>23</v>
      </c>
      <c r="B671" t="s">
        <v>24</v>
      </c>
      <c r="C671" t="s">
        <v>25</v>
      </c>
      <c r="D671" t="s">
        <v>97</v>
      </c>
      <c r="E671" t="s">
        <v>30</v>
      </c>
      <c r="F671" t="s">
        <v>39</v>
      </c>
      <c r="G671" t="s">
        <v>73</v>
      </c>
      <c r="H671" t="s">
        <v>31</v>
      </c>
      <c r="I671" t="s">
        <v>32</v>
      </c>
      <c r="J671" t="s">
        <v>33</v>
      </c>
      <c r="L671" t="s">
        <v>37</v>
      </c>
      <c r="M671" t="s">
        <v>191</v>
      </c>
      <c r="N671" s="1" t="s">
        <v>190</v>
      </c>
      <c r="P671" t="s">
        <v>184</v>
      </c>
      <c r="Q671" s="27" t="s">
        <v>47</v>
      </c>
      <c r="R671" s="27" t="s">
        <v>47</v>
      </c>
      <c r="S671" t="s">
        <v>175</v>
      </c>
      <c r="T671" t="s">
        <v>195</v>
      </c>
      <c r="U671" t="s">
        <v>194</v>
      </c>
      <c r="V671" t="s">
        <v>200</v>
      </c>
      <c r="W671" s="1" t="s">
        <v>190</v>
      </c>
      <c r="Z671" t="s">
        <v>209</v>
      </c>
      <c r="AA671" s="31"/>
    </row>
    <row r="672" spans="1:27">
      <c r="A672" t="s">
        <v>48</v>
      </c>
      <c r="B672">
        <v>54.7</v>
      </c>
      <c r="C672">
        <f>B672+273</f>
        <v>327.7</v>
      </c>
      <c r="D672">
        <v>-4.7778</v>
      </c>
      <c r="E672">
        <v>-5.2</v>
      </c>
      <c r="F672">
        <v>-2.8990999999999998</v>
      </c>
      <c r="G672">
        <v>-6.9089999999999998</v>
      </c>
      <c r="H672">
        <f>F672+D672-G672-2*E672</f>
        <v>9.6321000000000012</v>
      </c>
      <c r="I672">
        <v>12.8645</v>
      </c>
      <c r="J672">
        <f>-2.303*8.314*C672*(I672-H672)</f>
        <v>-20281.753384122148</v>
      </c>
      <c r="L672">
        <f>J672/2000</f>
        <v>-10.140876692061074</v>
      </c>
      <c r="M672">
        <f>AVERAGE(MIN(L672:L677),MAX(L672:L677))</f>
        <v>-13.295564786238003</v>
      </c>
      <c r="N672">
        <f>ABS(MAX(L672:L677)-M672)</f>
        <v>6.6274653607427991</v>
      </c>
      <c r="P672" s="23">
        <v>2.0760000000000001E-7</v>
      </c>
      <c r="Q672" s="27">
        <f>(J672)*(P672)</f>
        <v>-4.2104920025437583E-3</v>
      </c>
      <c r="R672" s="28" t="s">
        <v>177</v>
      </c>
      <c r="S672" s="23">
        <f>Q672</f>
        <v>-4.2104920025437583E-3</v>
      </c>
      <c r="T672">
        <f>ABS(MIN(S672:S677))</f>
        <v>6.6990845530331466E-2</v>
      </c>
      <c r="U672">
        <f>ABS(MAX(S672:S677))</f>
        <v>4.2104920025437583E-3</v>
      </c>
      <c r="V672">
        <f t="shared" si="557"/>
        <v>-1.7748258469523095</v>
      </c>
      <c r="W672">
        <f t="shared" si="558"/>
        <v>0.60084130626064902</v>
      </c>
      <c r="Z672" s="31">
        <f>S661</f>
        <v>-1.1060357046838016E-2</v>
      </c>
      <c r="AA672" s="31">
        <f t="shared" si="554"/>
        <v>1.1060357046838016E-2</v>
      </c>
    </row>
    <row r="673" spans="1:27">
      <c r="A673" t="s">
        <v>49</v>
      </c>
      <c r="B673">
        <v>60.3</v>
      </c>
      <c r="C673">
        <f t="shared" ref="C673:C678" si="564">B673+273</f>
        <v>333.3</v>
      </c>
      <c r="D673">
        <v>-4.7697000000000003</v>
      </c>
      <c r="E673">
        <v>-5.2</v>
      </c>
      <c r="F673">
        <v>-5.8804999999999996</v>
      </c>
      <c r="G673">
        <v>-6.7397</v>
      </c>
      <c r="H673">
        <f t="shared" ref="H673:H678" si="565">F673+D673-G673-2*E673</f>
        <v>6.4895000000000005</v>
      </c>
      <c r="I673">
        <v>12.653499999999999</v>
      </c>
      <c r="J673">
        <f t="shared" ref="J673:J678" si="566">-2.303*8.314*C673*(I673-H673)</f>
        <v>-39337.060329890388</v>
      </c>
      <c r="L673">
        <f t="shared" ref="L673:L677" si="567">J673/2000</f>
        <v>-19.668530164945192</v>
      </c>
      <c r="P673" s="23">
        <v>2.9849999999999998E-7</v>
      </c>
      <c r="Q673" s="27">
        <f t="shared" ref="Q673:Q678" si="568">(J673)*(P673)</f>
        <v>-1.1742112508472281E-2</v>
      </c>
      <c r="R673" s="28" t="s">
        <v>177</v>
      </c>
      <c r="S673" s="23">
        <f t="shared" ref="S673:S678" si="569">Q673</f>
        <v>-1.1742112508472281E-2</v>
      </c>
      <c r="Z673" s="31">
        <f t="shared" ref="Z673:Z677" si="570">S662+S673</f>
        <v>-2.7670638637036078E-2</v>
      </c>
      <c r="AA673" s="31">
        <f t="shared" si="554"/>
        <v>2.7670638637036078E-2</v>
      </c>
    </row>
    <row r="674" spans="1:27">
      <c r="A674" t="s">
        <v>50</v>
      </c>
      <c r="B674">
        <v>80.099999999999994</v>
      </c>
      <c r="C674">
        <f t="shared" si="564"/>
        <v>353.1</v>
      </c>
      <c r="D674">
        <v>-4.7794999999999996</v>
      </c>
      <c r="E674">
        <v>-4.7</v>
      </c>
      <c r="F674">
        <v>-2.9089999999999998</v>
      </c>
      <c r="G674">
        <v>-6.9115000000000002</v>
      </c>
      <c r="H674">
        <f t="shared" si="565"/>
        <v>8.6230000000000011</v>
      </c>
      <c r="I674">
        <v>11.8729</v>
      </c>
      <c r="J674">
        <f t="shared" si="566"/>
        <v>-21972.10539506597</v>
      </c>
      <c r="L674">
        <f t="shared" si="567"/>
        <v>-10.986052697532985</v>
      </c>
      <c r="P674" s="23">
        <v>2.132E-7</v>
      </c>
      <c r="Q674" s="27">
        <f t="shared" si="568"/>
        <v>-4.6844528702280645E-3</v>
      </c>
      <c r="R674" s="28" t="s">
        <v>177</v>
      </c>
      <c r="S674" s="23">
        <f t="shared" si="569"/>
        <v>-4.6844528702280645E-3</v>
      </c>
      <c r="Z674" s="31">
        <f t="shared" si="570"/>
        <v>-1.6397458884602902E-2</v>
      </c>
      <c r="AA674" s="31">
        <f t="shared" si="554"/>
        <v>1.6397458884602902E-2</v>
      </c>
    </row>
    <row r="675" spans="1:27">
      <c r="A675" t="s">
        <v>51</v>
      </c>
      <c r="B675">
        <v>96.6</v>
      </c>
      <c r="C675">
        <f t="shared" si="564"/>
        <v>369.6</v>
      </c>
      <c r="D675">
        <v>-4.6773999999999996</v>
      </c>
      <c r="E675">
        <v>-5.6</v>
      </c>
      <c r="F675">
        <v>-3.6594000000000002</v>
      </c>
      <c r="G675">
        <v>-6.5316999999999998</v>
      </c>
      <c r="H675">
        <f t="shared" si="565"/>
        <v>9.3948999999999998</v>
      </c>
      <c r="I675">
        <v>11.279400000000001</v>
      </c>
      <c r="J675">
        <f t="shared" si="566"/>
        <v>-13336.198850990408</v>
      </c>
      <c r="L675">
        <f t="shared" si="567"/>
        <v>-6.6680994254952042</v>
      </c>
      <c r="P675" s="23">
        <v>5.0949999999999995E-7</v>
      </c>
      <c r="Q675" s="27">
        <f t="shared" si="568"/>
        <v>-6.7947933145796119E-3</v>
      </c>
      <c r="R675" s="28" t="s">
        <v>177</v>
      </c>
      <c r="S675" s="23">
        <f t="shared" si="569"/>
        <v>-6.7947933145796119E-3</v>
      </c>
      <c r="Z675" s="31">
        <f t="shared" si="570"/>
        <v>-3.6392977894071546E-2</v>
      </c>
      <c r="AA675" s="31">
        <f t="shared" si="554"/>
        <v>3.6392977894071546E-2</v>
      </c>
    </row>
    <row r="676" spans="1:27">
      <c r="A676" t="s">
        <v>52</v>
      </c>
      <c r="B676">
        <v>135</v>
      </c>
      <c r="C676">
        <f t="shared" si="564"/>
        <v>408</v>
      </c>
      <c r="D676">
        <v>-4.2153</v>
      </c>
      <c r="E676">
        <v>-2.9</v>
      </c>
      <c r="F676">
        <v>-3.1783999999999999</v>
      </c>
      <c r="G676">
        <v>-6.6307</v>
      </c>
      <c r="H676">
        <f t="shared" si="565"/>
        <v>5.0369999999999999</v>
      </c>
      <c r="I676">
        <v>10.137600000000001</v>
      </c>
      <c r="J676">
        <f t="shared" si="566"/>
        <v>-39846.060293961607</v>
      </c>
      <c r="L676">
        <f t="shared" si="567"/>
        <v>-19.923030146980803</v>
      </c>
      <c r="P676" s="23">
        <v>4.221E-7</v>
      </c>
      <c r="Q676" s="27">
        <f t="shared" si="568"/>
        <v>-1.6819022050081196E-2</v>
      </c>
      <c r="R676" s="28" t="s">
        <v>177</v>
      </c>
      <c r="S676" s="23">
        <f t="shared" si="569"/>
        <v>-1.6819022050081196E-2</v>
      </c>
      <c r="Z676" s="31">
        <f t="shared" si="570"/>
        <v>-3.7441498788564953E-2</v>
      </c>
      <c r="AA676" s="31">
        <f t="shared" si="554"/>
        <v>3.7441498788564953E-2</v>
      </c>
    </row>
    <row r="677" spans="1:27">
      <c r="A677" t="s">
        <v>53</v>
      </c>
      <c r="B677">
        <v>135</v>
      </c>
      <c r="C677">
        <f t="shared" si="564"/>
        <v>408</v>
      </c>
      <c r="D677">
        <v>-4.7927</v>
      </c>
      <c r="E677">
        <v>-5</v>
      </c>
      <c r="F677">
        <v>-3.5276999999999998</v>
      </c>
      <c r="G677">
        <v>-5.7622</v>
      </c>
      <c r="H677">
        <f t="shared" si="565"/>
        <v>7.4418000000000006</v>
      </c>
      <c r="I677">
        <v>10.137600000000001</v>
      </c>
      <c r="J677">
        <f t="shared" si="566"/>
        <v>-21059.681084668802</v>
      </c>
      <c r="L677">
        <f t="shared" si="567"/>
        <v>-10.529840542334401</v>
      </c>
      <c r="P677" s="23">
        <v>3.1810000000000001E-6</v>
      </c>
      <c r="Q677" s="27">
        <f t="shared" si="568"/>
        <v>-6.6990845530331466E-2</v>
      </c>
      <c r="R677" s="28" t="s">
        <v>177</v>
      </c>
      <c r="S677" s="23">
        <f t="shared" si="569"/>
        <v>-6.6990845530331466E-2</v>
      </c>
      <c r="Z677" s="31">
        <f t="shared" si="570"/>
        <v>-0.12348476580316836</v>
      </c>
      <c r="AA677" s="31">
        <f t="shared" si="554"/>
        <v>0.12348476580316836</v>
      </c>
    </row>
    <row r="678" spans="1:27">
      <c r="A678" s="11" t="s">
        <v>54</v>
      </c>
      <c r="B678">
        <v>20</v>
      </c>
      <c r="C678">
        <f t="shared" si="564"/>
        <v>293</v>
      </c>
      <c r="D678">
        <v>-5.3</v>
      </c>
      <c r="E678">
        <v>-8.02</v>
      </c>
      <c r="F678">
        <v>-10</v>
      </c>
      <c r="G678">
        <v>-6.9</v>
      </c>
      <c r="H678">
        <f t="shared" si="565"/>
        <v>7.6399999999999988</v>
      </c>
      <c r="I678">
        <v>14.557499999999999</v>
      </c>
      <c r="J678">
        <f t="shared" si="566"/>
        <v>-38807.953952005002</v>
      </c>
      <c r="L678">
        <f>J678/2000</f>
        <v>-19.4039769760025</v>
      </c>
      <c r="P678" s="23">
        <v>1.9999999999999999E-7</v>
      </c>
      <c r="Q678" s="27">
        <f t="shared" si="568"/>
        <v>-7.7615907904010004E-3</v>
      </c>
      <c r="R678" s="28" t="s">
        <v>177</v>
      </c>
      <c r="S678" s="23">
        <f t="shared" si="569"/>
        <v>-7.7615907904010004E-3</v>
      </c>
      <c r="X678">
        <f>LOG(ABS(S678))</f>
        <v>-2.1100492580344925</v>
      </c>
    </row>
    <row r="689" spans="1:7" ht="17">
      <c r="B689" t="s">
        <v>184</v>
      </c>
      <c r="C689" t="s">
        <v>181</v>
      </c>
      <c r="D689" t="s">
        <v>182</v>
      </c>
      <c r="E689" t="s">
        <v>187</v>
      </c>
      <c r="F689" t="s">
        <v>188</v>
      </c>
      <c r="G689" t="s">
        <v>189</v>
      </c>
    </row>
    <row r="690" spans="1:7">
      <c r="A690" t="s">
        <v>48</v>
      </c>
      <c r="B690" s="23">
        <v>2.0760000000000001E-7</v>
      </c>
      <c r="C690" s="23">
        <v>2.8059999999999999E-5</v>
      </c>
      <c r="D690">
        <v>5.7790000000000003E-3</v>
      </c>
      <c r="E690" s="23">
        <v>3.2150000000000001E-6</v>
      </c>
      <c r="F690">
        <v>1.771E-3</v>
      </c>
      <c r="G690">
        <v>6.0639999999999999E-3</v>
      </c>
    </row>
    <row r="691" spans="1:7">
      <c r="A691" t="s">
        <v>49</v>
      </c>
      <c r="B691" s="23">
        <v>2.9849999999999998E-7</v>
      </c>
      <c r="C691" s="23">
        <v>2.7889999999999999E-5</v>
      </c>
      <c r="D691">
        <v>1.504E-2</v>
      </c>
      <c r="E691" s="23">
        <v>2.852E-6</v>
      </c>
      <c r="F691">
        <v>1.8589999999999999E-4</v>
      </c>
      <c r="G691" s="23">
        <v>5.8939999999999998E-6</v>
      </c>
    </row>
    <row r="692" spans="1:7">
      <c r="A692" t="s">
        <v>50</v>
      </c>
      <c r="B692" s="23">
        <v>2.132E-7</v>
      </c>
      <c r="C692" s="23">
        <v>2.8920000000000001E-5</v>
      </c>
      <c r="D692">
        <v>1.7260000000000001E-3</v>
      </c>
      <c r="E692" s="23">
        <v>2.0600000000000002E-6</v>
      </c>
      <c r="F692">
        <v>3.64E-3</v>
      </c>
      <c r="G692">
        <v>6.7070000000000003E-3</v>
      </c>
    </row>
    <row r="693" spans="1:7">
      <c r="A693" t="s">
        <v>51</v>
      </c>
      <c r="B693" s="23">
        <v>5.0949999999999995E-7</v>
      </c>
      <c r="C693" s="23">
        <v>3.6059999999999997E-5</v>
      </c>
      <c r="D693">
        <v>1.43E-2</v>
      </c>
      <c r="E693" s="23">
        <v>5.9859999999999999E-6</v>
      </c>
      <c r="F693" s="23">
        <v>3.4819999999999999E-6</v>
      </c>
      <c r="G693">
        <v>1.0970000000000001E-3</v>
      </c>
    </row>
    <row r="694" spans="1:7">
      <c r="A694" t="s">
        <v>52</v>
      </c>
      <c r="B694" s="23">
        <v>4.221E-7</v>
      </c>
      <c r="C694">
        <v>1.147E-4</v>
      </c>
      <c r="D694">
        <v>2.6210000000000001E-3</v>
      </c>
      <c r="E694" s="23">
        <v>8.7150000000000004E-6</v>
      </c>
      <c r="F694">
        <v>1.8649999999999999E-3</v>
      </c>
      <c r="G694">
        <v>4.215E-3</v>
      </c>
    </row>
    <row r="695" spans="1:7">
      <c r="A695" t="s">
        <v>53</v>
      </c>
      <c r="B695" s="23">
        <v>3.1810000000000001E-6</v>
      </c>
      <c r="C695" s="23">
        <v>2.9649999999999999E-5</v>
      </c>
      <c r="D695">
        <v>7.5709999999999996E-3</v>
      </c>
      <c r="E695" s="23">
        <v>1.0979999999999999E-6</v>
      </c>
      <c r="F695">
        <v>1.963E-4</v>
      </c>
      <c r="G695">
        <v>1.776E-3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larowe</dc:creator>
  <cp:lastModifiedBy>Magdalena Osburn</cp:lastModifiedBy>
  <dcterms:created xsi:type="dcterms:W3CDTF">2012-07-30T20:44:12Z</dcterms:created>
  <dcterms:modified xsi:type="dcterms:W3CDTF">2014-01-27T17:50:03Z</dcterms:modified>
</cp:coreProperties>
</file>