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gdalenaroseosburn/Dropbox/Research/Homestake/Geochemical Analyses/DeMMO geochem/SpecE8Jan2019/"/>
    </mc:Choice>
  </mc:AlternateContent>
  <xr:revisionPtr revIDLastSave="0" documentId="13_ncr:1_{FF3FBEA2-D2ED-7E41-90CA-ED7886D185C0}" xr6:coauthVersionLast="36" xr6:coauthVersionMax="36" xr10:uidLastSave="{00000000-0000-0000-0000-000000000000}"/>
  <bookViews>
    <workbookView xWindow="1960" yWindow="460" windowWidth="39960" windowHeight="27260" activeTab="4" xr2:uid="{36E70A36-0F09-ED4A-8B0A-8053B611798E}"/>
  </bookViews>
  <sheets>
    <sheet name="Jan2019 SpecE8 compelation" sheetId="1" r:id="rId1"/>
    <sheet name="SPCRT" sheetId="2" r:id="rId2"/>
    <sheet name="acetate" sheetId="7" r:id="rId3"/>
    <sheet name="O2" sheetId="3" r:id="rId4"/>
    <sheet name="NO3" sheetId="4" r:id="rId5"/>
    <sheet name="SO4" sheetId="5" r:id="rId6"/>
    <sheet name="HCO3-" sheetId="6" r:id="rId7"/>
    <sheet name="all rxns" sheetId="8" r:id="rId8"/>
    <sheet name="DeMMO energetics" sheetId="10" r:id="rId9"/>
    <sheet name="ED by site" sheetId="9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4" l="1"/>
  <c r="P5" i="4"/>
  <c r="N5" i="4"/>
  <c r="AA38" i="9" l="1"/>
  <c r="Z38" i="9"/>
  <c r="Y38" i="9"/>
  <c r="X38" i="9"/>
  <c r="W38" i="9"/>
  <c r="AA37" i="9"/>
  <c r="Z37" i="9"/>
  <c r="Y37" i="9"/>
  <c r="X37" i="9"/>
  <c r="W37" i="9"/>
  <c r="AA36" i="9"/>
  <c r="Z36" i="9"/>
  <c r="Y36" i="9"/>
  <c r="X36" i="9"/>
  <c r="W36" i="9"/>
  <c r="AA35" i="9"/>
  <c r="Z35" i="9"/>
  <c r="Y35" i="9"/>
  <c r="X35" i="9"/>
  <c r="W35" i="9"/>
  <c r="AA34" i="9"/>
  <c r="Z34" i="9"/>
  <c r="Y34" i="9"/>
  <c r="X34" i="9"/>
  <c r="W34" i="9"/>
  <c r="AA33" i="9"/>
  <c r="Z33" i="9"/>
  <c r="Y33" i="9"/>
  <c r="X33" i="9"/>
  <c r="W33" i="9"/>
  <c r="V38" i="9"/>
  <c r="V37" i="9"/>
  <c r="V36" i="9"/>
  <c r="V35" i="9"/>
  <c r="V34" i="9"/>
  <c r="V33" i="9"/>
  <c r="AA28" i="9"/>
  <c r="Z28" i="9"/>
  <c r="Y28" i="9"/>
  <c r="X28" i="9"/>
  <c r="W28" i="9"/>
  <c r="AA27" i="9"/>
  <c r="Z27" i="9"/>
  <c r="Y27" i="9"/>
  <c r="X27" i="9"/>
  <c r="W27" i="9"/>
  <c r="AA26" i="9"/>
  <c r="Z26" i="9"/>
  <c r="Y26" i="9"/>
  <c r="X26" i="9"/>
  <c r="W26" i="9"/>
  <c r="AA25" i="9"/>
  <c r="Z25" i="9"/>
  <c r="Y25" i="9"/>
  <c r="X25" i="9"/>
  <c r="W25" i="9"/>
  <c r="V28" i="9"/>
  <c r="V27" i="9"/>
  <c r="V26" i="9"/>
  <c r="V25" i="9"/>
  <c r="S45" i="9"/>
  <c r="R45" i="9"/>
  <c r="Q45" i="9"/>
  <c r="P45" i="9"/>
  <c r="O45" i="9"/>
  <c r="N45" i="9"/>
  <c r="S42" i="9"/>
  <c r="R42" i="9"/>
  <c r="Q42" i="9"/>
  <c r="P42" i="9"/>
  <c r="O42" i="9"/>
  <c r="N42" i="9"/>
  <c r="S41" i="9"/>
  <c r="R41" i="9"/>
  <c r="Q41" i="9"/>
  <c r="P41" i="9"/>
  <c r="O41" i="9"/>
  <c r="N41" i="9"/>
  <c r="S40" i="9"/>
  <c r="R40" i="9"/>
  <c r="Q40" i="9"/>
  <c r="P40" i="9"/>
  <c r="O40" i="9"/>
  <c r="N40" i="9"/>
  <c r="S38" i="9"/>
  <c r="Q38" i="9"/>
  <c r="P38" i="9"/>
  <c r="O38" i="9"/>
  <c r="N38" i="9"/>
  <c r="S37" i="9"/>
  <c r="R37" i="9"/>
  <c r="Q37" i="9"/>
  <c r="P37" i="9"/>
  <c r="O37" i="9"/>
  <c r="N37" i="9"/>
  <c r="S36" i="9"/>
  <c r="R36" i="9"/>
  <c r="Q36" i="9"/>
  <c r="P36" i="9"/>
  <c r="O36" i="9"/>
  <c r="N36" i="9"/>
  <c r="S35" i="9"/>
  <c r="R35" i="9"/>
  <c r="Q35" i="9"/>
  <c r="P35" i="9"/>
  <c r="O35" i="9"/>
  <c r="N35" i="9"/>
  <c r="S34" i="9"/>
  <c r="R34" i="9"/>
  <c r="Q34" i="9"/>
  <c r="P34" i="9"/>
  <c r="O34" i="9"/>
  <c r="N34" i="9"/>
  <c r="S33" i="9"/>
  <c r="P33" i="9"/>
  <c r="O33" i="9"/>
  <c r="N33" i="9"/>
  <c r="S32" i="9"/>
  <c r="R32" i="9"/>
  <c r="Q32" i="9"/>
  <c r="P32" i="9"/>
  <c r="O32" i="9"/>
  <c r="N32" i="9"/>
  <c r="S31" i="9"/>
  <c r="R31" i="9"/>
  <c r="Q31" i="9"/>
  <c r="P31" i="9"/>
  <c r="O31" i="9"/>
  <c r="N31" i="9"/>
  <c r="S30" i="9"/>
  <c r="R30" i="9"/>
  <c r="Q30" i="9"/>
  <c r="P30" i="9"/>
  <c r="O30" i="9"/>
  <c r="N30" i="9"/>
  <c r="S29" i="9"/>
  <c r="R29" i="9"/>
  <c r="Q29" i="9"/>
  <c r="P29" i="9"/>
  <c r="O29" i="9"/>
  <c r="N29" i="9"/>
  <c r="S28" i="9"/>
  <c r="R28" i="9"/>
  <c r="Q28" i="9"/>
  <c r="P28" i="9"/>
  <c r="O28" i="9"/>
  <c r="N28" i="9"/>
  <c r="S27" i="9"/>
  <c r="R27" i="9"/>
  <c r="Q27" i="9"/>
  <c r="P27" i="9"/>
  <c r="O27" i="9"/>
  <c r="N27" i="9"/>
  <c r="S26" i="9"/>
  <c r="R26" i="9"/>
  <c r="Q26" i="9"/>
  <c r="P26" i="9"/>
  <c r="O26" i="9"/>
  <c r="N26" i="9"/>
  <c r="S25" i="9"/>
  <c r="R25" i="9"/>
  <c r="Q25" i="9"/>
  <c r="P25" i="9"/>
  <c r="O25" i="9"/>
  <c r="N25" i="9"/>
  <c r="W25" i="5" l="1"/>
  <c r="W23" i="5"/>
  <c r="W22" i="5"/>
  <c r="W21" i="5"/>
  <c r="W20" i="5"/>
  <c r="N59" i="6" l="1"/>
  <c r="N58" i="6"/>
  <c r="N57" i="6"/>
  <c r="N56" i="6"/>
  <c r="N55" i="6"/>
  <c r="N54" i="6"/>
  <c r="N49" i="6"/>
  <c r="N48" i="6"/>
  <c r="N47" i="6"/>
  <c r="N46" i="6"/>
  <c r="N45" i="6"/>
  <c r="N44" i="6"/>
  <c r="N39" i="6"/>
  <c r="N38" i="6"/>
  <c r="N37" i="6"/>
  <c r="N36" i="6"/>
  <c r="N35" i="6"/>
  <c r="N34" i="6"/>
  <c r="N29" i="6"/>
  <c r="N28" i="6"/>
  <c r="N27" i="6"/>
  <c r="N26" i="6"/>
  <c r="N25" i="6"/>
  <c r="N24" i="6"/>
  <c r="N19" i="6"/>
  <c r="N18" i="6"/>
  <c r="N17" i="6"/>
  <c r="N16" i="6"/>
  <c r="N15" i="6"/>
  <c r="N14" i="6"/>
  <c r="N9" i="6"/>
  <c r="N8" i="6"/>
  <c r="N7" i="6"/>
  <c r="N6" i="6"/>
  <c r="N5" i="6"/>
  <c r="N4" i="6"/>
  <c r="D19" i="6"/>
  <c r="P19" i="6" s="1"/>
  <c r="D18" i="6"/>
  <c r="P18" i="6" s="1"/>
  <c r="D17" i="6"/>
  <c r="P17" i="6" s="1"/>
  <c r="Q17" i="6" s="1"/>
  <c r="Y5" i="6" s="1"/>
  <c r="D16" i="6"/>
  <c r="P16" i="6" s="1"/>
  <c r="Q16" i="6" s="1"/>
  <c r="Y4" i="6" s="1"/>
  <c r="D15" i="6"/>
  <c r="P15" i="6" s="1"/>
  <c r="D14" i="6"/>
  <c r="P14" i="6" s="1"/>
  <c r="D9" i="6"/>
  <c r="P9" i="6" s="1"/>
  <c r="D8" i="6"/>
  <c r="P8" i="6" s="1"/>
  <c r="D7" i="6"/>
  <c r="P7" i="6" s="1"/>
  <c r="D6" i="6"/>
  <c r="P6" i="6" s="1"/>
  <c r="D5" i="6"/>
  <c r="P5" i="6" s="1"/>
  <c r="D4" i="6"/>
  <c r="P4" i="6" s="1"/>
  <c r="D59" i="6"/>
  <c r="P59" i="6" s="1"/>
  <c r="D58" i="6"/>
  <c r="P58" i="6" s="1"/>
  <c r="D57" i="6"/>
  <c r="P57" i="6" s="1"/>
  <c r="Q57" i="6" s="1"/>
  <c r="AC5" i="6" s="1"/>
  <c r="D56" i="6"/>
  <c r="P56" i="6" s="1"/>
  <c r="Q56" i="6" s="1"/>
  <c r="AC4" i="6" s="1"/>
  <c r="D55" i="6"/>
  <c r="P55" i="6" s="1"/>
  <c r="D54" i="6"/>
  <c r="P54" i="6" s="1"/>
  <c r="D49" i="6"/>
  <c r="P49" i="6" s="1"/>
  <c r="Q49" i="6" s="1"/>
  <c r="AB7" i="6" s="1"/>
  <c r="D48" i="6"/>
  <c r="P48" i="6" s="1"/>
  <c r="Q48" i="6" s="1"/>
  <c r="AB6" i="6" s="1"/>
  <c r="D47" i="6"/>
  <c r="P47" i="6" s="1"/>
  <c r="D46" i="6"/>
  <c r="P46" i="6" s="1"/>
  <c r="D45" i="6"/>
  <c r="P45" i="6" s="1"/>
  <c r="Q45" i="6" s="1"/>
  <c r="AB3" i="6" s="1"/>
  <c r="D44" i="6"/>
  <c r="P44" i="6" s="1"/>
  <c r="Q44" i="6" s="1"/>
  <c r="AB2" i="6" s="1"/>
  <c r="D39" i="6"/>
  <c r="P39" i="6" s="1"/>
  <c r="D38" i="6"/>
  <c r="P38" i="6" s="1"/>
  <c r="D37" i="6"/>
  <c r="P37" i="6" s="1"/>
  <c r="Q37" i="6" s="1"/>
  <c r="AA5" i="6" s="1"/>
  <c r="D36" i="6"/>
  <c r="P36" i="6" s="1"/>
  <c r="Q36" i="6" s="1"/>
  <c r="AA4" i="6" s="1"/>
  <c r="D35" i="6"/>
  <c r="P35" i="6" s="1"/>
  <c r="D34" i="6"/>
  <c r="P34" i="6" s="1"/>
  <c r="D29" i="6"/>
  <c r="P29" i="6" s="1"/>
  <c r="Q29" i="6" s="1"/>
  <c r="Z7" i="6" s="1"/>
  <c r="D28" i="6"/>
  <c r="P28" i="6" s="1"/>
  <c r="Q28" i="6" s="1"/>
  <c r="Z6" i="6" s="1"/>
  <c r="D27" i="6"/>
  <c r="P27" i="6" s="1"/>
  <c r="D26" i="6"/>
  <c r="P26" i="6" s="1"/>
  <c r="D25" i="6"/>
  <c r="P25" i="6" s="1"/>
  <c r="Q25" i="6" s="1"/>
  <c r="Z3" i="6" s="1"/>
  <c r="D24" i="6"/>
  <c r="P24" i="6" s="1"/>
  <c r="Q24" i="6" s="1"/>
  <c r="Z2" i="6" s="1"/>
  <c r="Q53" i="6"/>
  <c r="M39" i="5"/>
  <c r="M38" i="5"/>
  <c r="M37" i="5"/>
  <c r="M36" i="5"/>
  <c r="M35" i="5"/>
  <c r="M34" i="5"/>
  <c r="M29" i="5"/>
  <c r="M28" i="5"/>
  <c r="M27" i="5"/>
  <c r="M26" i="5"/>
  <c r="M25" i="5"/>
  <c r="M24" i="5"/>
  <c r="M19" i="5"/>
  <c r="M18" i="5"/>
  <c r="M17" i="5"/>
  <c r="M16" i="5"/>
  <c r="M15" i="5"/>
  <c r="M14" i="5"/>
  <c r="M4" i="5"/>
  <c r="M9" i="5"/>
  <c r="M8" i="5"/>
  <c r="M7" i="5"/>
  <c r="M6" i="5"/>
  <c r="M5" i="5"/>
  <c r="D39" i="5"/>
  <c r="O39" i="5" s="1"/>
  <c r="D38" i="5"/>
  <c r="O38" i="5" s="1"/>
  <c r="D37" i="5"/>
  <c r="O37" i="5" s="1"/>
  <c r="R37" i="5" s="1"/>
  <c r="D36" i="5"/>
  <c r="O36" i="5" s="1"/>
  <c r="D35" i="5"/>
  <c r="O35" i="5" s="1"/>
  <c r="D34" i="5"/>
  <c r="O34" i="5" s="1"/>
  <c r="D29" i="5"/>
  <c r="O29" i="5" s="1"/>
  <c r="D28" i="5"/>
  <c r="O28" i="5" s="1"/>
  <c r="D27" i="5"/>
  <c r="O27" i="5" s="1"/>
  <c r="D26" i="5"/>
  <c r="O26" i="5" s="1"/>
  <c r="D25" i="5"/>
  <c r="O25" i="5" s="1"/>
  <c r="D24" i="5"/>
  <c r="O24" i="5" s="1"/>
  <c r="D19" i="5"/>
  <c r="O19" i="5" s="1"/>
  <c r="D18" i="5"/>
  <c r="O18" i="5" s="1"/>
  <c r="D17" i="5"/>
  <c r="O17" i="5" s="1"/>
  <c r="D16" i="5"/>
  <c r="O16" i="5" s="1"/>
  <c r="D15" i="5"/>
  <c r="O15" i="5" s="1"/>
  <c r="D14" i="5"/>
  <c r="O14" i="5" s="1"/>
  <c r="D9" i="5"/>
  <c r="D8" i="5"/>
  <c r="D7" i="5"/>
  <c r="D6" i="5"/>
  <c r="D5" i="5"/>
  <c r="D4" i="5"/>
  <c r="P33" i="5"/>
  <c r="P13" i="5"/>
  <c r="P23" i="5"/>
  <c r="M48" i="3"/>
  <c r="N60" i="4"/>
  <c r="N59" i="4"/>
  <c r="N58" i="4"/>
  <c r="N57" i="4"/>
  <c r="N56" i="4"/>
  <c r="N55" i="4"/>
  <c r="N50" i="4"/>
  <c r="N49" i="4"/>
  <c r="N48" i="4"/>
  <c r="N47" i="4"/>
  <c r="N46" i="4"/>
  <c r="N45" i="4"/>
  <c r="N40" i="4"/>
  <c r="N39" i="4"/>
  <c r="N38" i="4"/>
  <c r="N37" i="4"/>
  <c r="N36" i="4"/>
  <c r="N35" i="4"/>
  <c r="N30" i="4"/>
  <c r="N29" i="4"/>
  <c r="N28" i="4"/>
  <c r="N27" i="4"/>
  <c r="N26" i="4"/>
  <c r="N25" i="4"/>
  <c r="N20" i="4"/>
  <c r="N19" i="4"/>
  <c r="N18" i="4"/>
  <c r="N17" i="4"/>
  <c r="N16" i="4"/>
  <c r="N15" i="4"/>
  <c r="N10" i="4"/>
  <c r="N9" i="4"/>
  <c r="N8" i="4"/>
  <c r="N7" i="4"/>
  <c r="N6" i="4"/>
  <c r="D60" i="4"/>
  <c r="D59" i="4"/>
  <c r="P59" i="4" s="1"/>
  <c r="D58" i="4"/>
  <c r="P58" i="4" s="1"/>
  <c r="D57" i="4"/>
  <c r="P57" i="4" s="1"/>
  <c r="T57" i="4" s="1"/>
  <c r="D56" i="4"/>
  <c r="P56" i="4" s="1"/>
  <c r="D55" i="4"/>
  <c r="P55" i="4" s="1"/>
  <c r="D50" i="4"/>
  <c r="P50" i="4" s="1"/>
  <c r="T50" i="4" s="1"/>
  <c r="D49" i="4"/>
  <c r="P49" i="4" s="1"/>
  <c r="D48" i="4"/>
  <c r="P48" i="4" s="1"/>
  <c r="S48" i="4" s="1"/>
  <c r="D47" i="4"/>
  <c r="P47" i="4" s="1"/>
  <c r="D46" i="4"/>
  <c r="P46" i="4" s="1"/>
  <c r="T46" i="4" s="1"/>
  <c r="D45" i="4"/>
  <c r="P45" i="4" s="1"/>
  <c r="S45" i="4" s="1"/>
  <c r="D40" i="4"/>
  <c r="P40" i="4" s="1"/>
  <c r="D39" i="4"/>
  <c r="P39" i="4" s="1"/>
  <c r="T39" i="4" s="1"/>
  <c r="D38" i="4"/>
  <c r="P38" i="4" s="1"/>
  <c r="D37" i="4"/>
  <c r="P37" i="4" s="1"/>
  <c r="D36" i="4"/>
  <c r="P36" i="4" s="1"/>
  <c r="D35" i="4"/>
  <c r="P35" i="4" s="1"/>
  <c r="D30" i="4"/>
  <c r="P30" i="4" s="1"/>
  <c r="D29" i="4"/>
  <c r="P29" i="4" s="1"/>
  <c r="D28" i="4"/>
  <c r="P28" i="4" s="1"/>
  <c r="T28" i="4" s="1"/>
  <c r="D27" i="4"/>
  <c r="P27" i="4" s="1"/>
  <c r="D26" i="4"/>
  <c r="P26" i="4" s="1"/>
  <c r="D25" i="4"/>
  <c r="P25" i="4" s="1"/>
  <c r="S25" i="4" s="1"/>
  <c r="D20" i="4"/>
  <c r="P20" i="4" s="1"/>
  <c r="D19" i="4"/>
  <c r="P19" i="4" s="1"/>
  <c r="D18" i="4"/>
  <c r="P18" i="4" s="1"/>
  <c r="D17" i="4"/>
  <c r="P17" i="4" s="1"/>
  <c r="T17" i="4" s="1"/>
  <c r="D16" i="4"/>
  <c r="P16" i="4" s="1"/>
  <c r="D15" i="4"/>
  <c r="P15" i="4" s="1"/>
  <c r="D10" i="4"/>
  <c r="P10" i="4" s="1"/>
  <c r="S10" i="4" s="1"/>
  <c r="D9" i="4"/>
  <c r="P9" i="4" s="1"/>
  <c r="D8" i="4"/>
  <c r="P8" i="4" s="1"/>
  <c r="S8" i="4" s="1"/>
  <c r="D7" i="4"/>
  <c r="P7" i="4" s="1"/>
  <c r="D6" i="4"/>
  <c r="P6" i="4" s="1"/>
  <c r="Q6" i="4" s="1"/>
  <c r="X3" i="4" s="1"/>
  <c r="D5" i="4"/>
  <c r="T5" i="4" s="1"/>
  <c r="Q54" i="4"/>
  <c r="M68" i="3"/>
  <c r="M67" i="3"/>
  <c r="M66" i="3"/>
  <c r="M65" i="3"/>
  <c r="M64" i="3"/>
  <c r="M63" i="3"/>
  <c r="M59" i="3"/>
  <c r="M58" i="3"/>
  <c r="M57" i="3"/>
  <c r="M56" i="3"/>
  <c r="M55" i="3"/>
  <c r="M54" i="3"/>
  <c r="M49" i="3"/>
  <c r="M47" i="3"/>
  <c r="M46" i="3"/>
  <c r="M45" i="3"/>
  <c r="M44" i="3"/>
  <c r="M39" i="3"/>
  <c r="M38" i="3"/>
  <c r="M37" i="3"/>
  <c r="M36" i="3"/>
  <c r="M35" i="3"/>
  <c r="M34" i="3"/>
  <c r="M29" i="3"/>
  <c r="M28" i="3"/>
  <c r="M27" i="3"/>
  <c r="M26" i="3"/>
  <c r="M25" i="3"/>
  <c r="M24" i="3"/>
  <c r="M19" i="3"/>
  <c r="M18" i="3"/>
  <c r="M17" i="3"/>
  <c r="M16" i="3"/>
  <c r="M15" i="3"/>
  <c r="M14" i="3"/>
  <c r="D68" i="3"/>
  <c r="D67" i="3"/>
  <c r="D66" i="3"/>
  <c r="D65" i="3"/>
  <c r="D64" i="3"/>
  <c r="D63" i="3"/>
  <c r="D59" i="3"/>
  <c r="D58" i="3"/>
  <c r="D57" i="3"/>
  <c r="D56" i="3"/>
  <c r="D55" i="3"/>
  <c r="D54" i="3"/>
  <c r="D49" i="3"/>
  <c r="D48" i="3"/>
  <c r="D47" i="3"/>
  <c r="O47" i="3" s="1"/>
  <c r="D46" i="3"/>
  <c r="O46" i="3" s="1"/>
  <c r="T46" i="3" s="1"/>
  <c r="D45" i="3"/>
  <c r="O45" i="3" s="1"/>
  <c r="T45" i="3" s="1"/>
  <c r="D44" i="3"/>
  <c r="O44" i="3" s="1"/>
  <c r="D39" i="3"/>
  <c r="O39" i="3" s="1"/>
  <c r="D38" i="3"/>
  <c r="O38" i="3" s="1"/>
  <c r="T38" i="3" s="1"/>
  <c r="D37" i="3"/>
  <c r="O37" i="3" s="1"/>
  <c r="D36" i="3"/>
  <c r="O36" i="3" s="1"/>
  <c r="D35" i="3"/>
  <c r="O35" i="3" s="1"/>
  <c r="D34" i="3"/>
  <c r="O34" i="3" s="1"/>
  <c r="T34" i="3" s="1"/>
  <c r="D29" i="3"/>
  <c r="O29" i="3" s="1"/>
  <c r="D28" i="3"/>
  <c r="O28" i="3" s="1"/>
  <c r="D27" i="3"/>
  <c r="O27" i="3" s="1"/>
  <c r="S27" i="3" s="1"/>
  <c r="D26" i="3"/>
  <c r="O26" i="3" s="1"/>
  <c r="P26" i="3" s="1"/>
  <c r="AA4" i="3" s="1"/>
  <c r="D25" i="3"/>
  <c r="O25" i="3" s="1"/>
  <c r="S25" i="3" s="1"/>
  <c r="D24" i="3"/>
  <c r="O24" i="3" s="1"/>
  <c r="S24" i="3" s="1"/>
  <c r="D19" i="3"/>
  <c r="O19" i="3" s="1"/>
  <c r="D18" i="3"/>
  <c r="O18" i="3" s="1"/>
  <c r="T18" i="3" s="1"/>
  <c r="D17" i="3"/>
  <c r="O17" i="3" s="1"/>
  <c r="S17" i="3" s="1"/>
  <c r="D16" i="3"/>
  <c r="O16" i="3" s="1"/>
  <c r="D15" i="3"/>
  <c r="O15" i="3" s="1"/>
  <c r="S15" i="3" s="1"/>
  <c r="D14" i="3"/>
  <c r="O14" i="3" s="1"/>
  <c r="D9" i="3"/>
  <c r="D8" i="3"/>
  <c r="D7" i="3"/>
  <c r="D6" i="3"/>
  <c r="D5" i="3"/>
  <c r="D4" i="3"/>
  <c r="M9" i="3"/>
  <c r="M8" i="3"/>
  <c r="M7" i="3"/>
  <c r="M6" i="3"/>
  <c r="M5" i="3"/>
  <c r="M4" i="3"/>
  <c r="P62" i="3"/>
  <c r="Q43" i="6"/>
  <c r="Q33" i="6"/>
  <c r="Q23" i="6"/>
  <c r="Q71" i="6"/>
  <c r="Q13" i="6"/>
  <c r="Q3" i="6"/>
  <c r="P3" i="5"/>
  <c r="Q44" i="4"/>
  <c r="Q74" i="4"/>
  <c r="Q34" i="4"/>
  <c r="Q72" i="4"/>
  <c r="Q24" i="4"/>
  <c r="Q70" i="4"/>
  <c r="Q14" i="4"/>
  <c r="Q68" i="4"/>
  <c r="Q4" i="4"/>
  <c r="P53" i="3"/>
  <c r="P43" i="3"/>
  <c r="P33" i="3"/>
  <c r="P23" i="3"/>
  <c r="P13" i="3"/>
  <c r="P3" i="3"/>
  <c r="O48" i="3" l="1"/>
  <c r="P60" i="4"/>
  <c r="O4" i="5"/>
  <c r="O8" i="5"/>
  <c r="S8" i="5" s="1"/>
  <c r="Q26" i="6"/>
  <c r="Z4" i="6" s="1"/>
  <c r="T26" i="6"/>
  <c r="S26" i="6"/>
  <c r="Q38" i="6"/>
  <c r="AA6" i="6" s="1"/>
  <c r="T38" i="6"/>
  <c r="S38" i="6"/>
  <c r="Q58" i="6"/>
  <c r="AC6" i="6" s="1"/>
  <c r="T58" i="6"/>
  <c r="S58" i="6"/>
  <c r="Q18" i="6"/>
  <c r="Y6" i="6" s="1"/>
  <c r="T18" i="6"/>
  <c r="S18" i="6"/>
  <c r="U18" i="6" s="1"/>
  <c r="Y15" i="6" s="1"/>
  <c r="Q27" i="6"/>
  <c r="Z5" i="6" s="1"/>
  <c r="T27" i="6"/>
  <c r="S27" i="6"/>
  <c r="Q35" i="6"/>
  <c r="AA3" i="6" s="1"/>
  <c r="T35" i="6"/>
  <c r="S35" i="6"/>
  <c r="Q39" i="6"/>
  <c r="AA7" i="6" s="1"/>
  <c r="T39" i="6"/>
  <c r="S39" i="6"/>
  <c r="Q47" i="6"/>
  <c r="AB5" i="6" s="1"/>
  <c r="T47" i="6"/>
  <c r="S47" i="6"/>
  <c r="U47" i="6" s="1"/>
  <c r="AB14" i="6" s="1"/>
  <c r="Q55" i="6"/>
  <c r="AC3" i="6" s="1"/>
  <c r="T55" i="6"/>
  <c r="S55" i="6"/>
  <c r="Q59" i="6"/>
  <c r="AC7" i="6" s="1"/>
  <c r="T59" i="6"/>
  <c r="S59" i="6"/>
  <c r="T7" i="6"/>
  <c r="Q7" i="6"/>
  <c r="X5" i="6" s="1"/>
  <c r="S7" i="6"/>
  <c r="Q15" i="6"/>
  <c r="Y3" i="6" s="1"/>
  <c r="T15" i="6"/>
  <c r="S15" i="6"/>
  <c r="U15" i="6" s="1"/>
  <c r="Y12" i="6" s="1"/>
  <c r="Q19" i="6"/>
  <c r="Y7" i="6" s="1"/>
  <c r="T19" i="6"/>
  <c r="S19" i="6"/>
  <c r="Q34" i="6"/>
  <c r="AA2" i="6" s="1"/>
  <c r="S34" i="6"/>
  <c r="T34" i="6"/>
  <c r="Q54" i="6"/>
  <c r="AC2" i="6" s="1"/>
  <c r="T54" i="6"/>
  <c r="S54" i="6"/>
  <c r="T6" i="6"/>
  <c r="S6" i="6"/>
  <c r="Q6" i="6"/>
  <c r="X4" i="6" s="1"/>
  <c r="T8" i="6"/>
  <c r="S8" i="6"/>
  <c r="Q8" i="6"/>
  <c r="X6" i="6" s="1"/>
  <c r="Q46" i="6"/>
  <c r="AB4" i="6" s="1"/>
  <c r="T46" i="6"/>
  <c r="S46" i="6"/>
  <c r="Q14" i="6"/>
  <c r="Y2" i="6" s="1"/>
  <c r="S14" i="6"/>
  <c r="T14" i="6"/>
  <c r="T4" i="6"/>
  <c r="S4" i="6"/>
  <c r="Q4" i="6"/>
  <c r="X2" i="6" s="1"/>
  <c r="T5" i="6"/>
  <c r="S5" i="6"/>
  <c r="Q5" i="6"/>
  <c r="X3" i="6" s="1"/>
  <c r="T9" i="6"/>
  <c r="S9" i="6"/>
  <c r="Q9" i="6"/>
  <c r="X7" i="6" s="1"/>
  <c r="S24" i="6"/>
  <c r="S28" i="6"/>
  <c r="U28" i="6" s="1"/>
  <c r="Z15" i="6" s="1"/>
  <c r="S44" i="6"/>
  <c r="T24" i="6"/>
  <c r="T28" i="6"/>
  <c r="T44" i="6"/>
  <c r="T48" i="6"/>
  <c r="T56" i="6"/>
  <c r="S16" i="6"/>
  <c r="S25" i="6"/>
  <c r="S29" i="6"/>
  <c r="S36" i="6"/>
  <c r="S45" i="6"/>
  <c r="S49" i="6"/>
  <c r="S57" i="6"/>
  <c r="T16" i="6"/>
  <c r="T36" i="6"/>
  <c r="S48" i="6"/>
  <c r="S56" i="6"/>
  <c r="T17" i="6"/>
  <c r="T37" i="6"/>
  <c r="S17" i="6"/>
  <c r="U17" i="6" s="1"/>
  <c r="Y14" i="6" s="1"/>
  <c r="T25" i="6"/>
  <c r="T29" i="6"/>
  <c r="S37" i="6"/>
  <c r="U37" i="6" s="1"/>
  <c r="AA14" i="6" s="1"/>
  <c r="T45" i="6"/>
  <c r="T49" i="6"/>
  <c r="T57" i="6"/>
  <c r="O7" i="5"/>
  <c r="S7" i="5" s="1"/>
  <c r="O9" i="5"/>
  <c r="R9" i="5" s="1"/>
  <c r="O6" i="5"/>
  <c r="R6" i="5" s="1"/>
  <c r="O5" i="5"/>
  <c r="P5" i="5" s="1"/>
  <c r="W3" i="5" s="1"/>
  <c r="P8" i="5"/>
  <c r="W6" i="5" s="1"/>
  <c r="R8" i="5"/>
  <c r="P25" i="5"/>
  <c r="Y3" i="5" s="1"/>
  <c r="R25" i="5"/>
  <c r="S25" i="5"/>
  <c r="P34" i="5"/>
  <c r="Z2" i="5" s="1"/>
  <c r="S34" i="5"/>
  <c r="R34" i="5"/>
  <c r="S4" i="5"/>
  <c r="P4" i="5"/>
  <c r="W2" i="5" s="1"/>
  <c r="R4" i="5"/>
  <c r="S16" i="5"/>
  <c r="P16" i="5"/>
  <c r="X4" i="5" s="1"/>
  <c r="R16" i="5"/>
  <c r="P24" i="5"/>
  <c r="Y2" i="5" s="1"/>
  <c r="S24" i="5"/>
  <c r="R24" i="5"/>
  <c r="P28" i="5"/>
  <c r="Y6" i="5" s="1"/>
  <c r="S28" i="5"/>
  <c r="R28" i="5"/>
  <c r="P36" i="5"/>
  <c r="Z4" i="5" s="1"/>
  <c r="S36" i="5"/>
  <c r="R36" i="5"/>
  <c r="T36" i="5" s="1"/>
  <c r="Z13" i="5" s="1"/>
  <c r="Z22" i="5" s="1"/>
  <c r="R17" i="5"/>
  <c r="P17" i="5"/>
  <c r="X5" i="5" s="1"/>
  <c r="S17" i="5"/>
  <c r="P29" i="5"/>
  <c r="Y7" i="5" s="1"/>
  <c r="R29" i="5"/>
  <c r="S29" i="5"/>
  <c r="P14" i="5"/>
  <c r="X2" i="5" s="1"/>
  <c r="S14" i="5"/>
  <c r="R14" i="5"/>
  <c r="P18" i="5"/>
  <c r="X6" i="5" s="1"/>
  <c r="S18" i="5"/>
  <c r="R18" i="5"/>
  <c r="P26" i="5"/>
  <c r="Y4" i="5" s="1"/>
  <c r="S26" i="5"/>
  <c r="R26" i="5"/>
  <c r="P38" i="5"/>
  <c r="Z6" i="5" s="1"/>
  <c r="S38" i="5"/>
  <c r="R38" i="5"/>
  <c r="R7" i="5"/>
  <c r="P7" i="5"/>
  <c r="W5" i="5" s="1"/>
  <c r="R15" i="5"/>
  <c r="S15" i="5"/>
  <c r="P15" i="5"/>
  <c r="X3" i="5" s="1"/>
  <c r="R19" i="5"/>
  <c r="P19" i="5"/>
  <c r="X7" i="5" s="1"/>
  <c r="S19" i="5"/>
  <c r="P27" i="5"/>
  <c r="Y5" i="5" s="1"/>
  <c r="R27" i="5"/>
  <c r="S27" i="5"/>
  <c r="R35" i="5"/>
  <c r="S35" i="5"/>
  <c r="P35" i="5"/>
  <c r="Z3" i="5" s="1"/>
  <c r="R39" i="5"/>
  <c r="S39" i="5"/>
  <c r="P39" i="5"/>
  <c r="Z7" i="5" s="1"/>
  <c r="S37" i="5"/>
  <c r="T37" i="5" s="1"/>
  <c r="Z14" i="5" s="1"/>
  <c r="Z23" i="5" s="1"/>
  <c r="P37" i="5"/>
  <c r="Z5" i="5" s="1"/>
  <c r="Q8" i="4"/>
  <c r="X5" i="4" s="1"/>
  <c r="T8" i="4"/>
  <c r="U8" i="4" s="1"/>
  <c r="X14" i="4" s="1"/>
  <c r="X23" i="4" s="1"/>
  <c r="T10" i="4"/>
  <c r="U10" i="4" s="1"/>
  <c r="X16" i="4" s="1"/>
  <c r="X25" i="4" s="1"/>
  <c r="Q19" i="4"/>
  <c r="Y6" i="4" s="1"/>
  <c r="S19" i="4"/>
  <c r="T19" i="4"/>
  <c r="Q35" i="4"/>
  <c r="AA2" i="4" s="1"/>
  <c r="T35" i="4"/>
  <c r="S35" i="4"/>
  <c r="Q55" i="4"/>
  <c r="AC2" i="4" s="1"/>
  <c r="T55" i="4"/>
  <c r="S55" i="4"/>
  <c r="Q59" i="4"/>
  <c r="AC6" i="4" s="1"/>
  <c r="S59" i="4"/>
  <c r="T59" i="4"/>
  <c r="Q20" i="4"/>
  <c r="Y7" i="4" s="1"/>
  <c r="T20" i="4"/>
  <c r="S20" i="4"/>
  <c r="T36" i="4"/>
  <c r="Q36" i="4"/>
  <c r="AA3" i="4" s="1"/>
  <c r="S36" i="4"/>
  <c r="U36" i="4" s="1"/>
  <c r="AA12" i="4" s="1"/>
  <c r="AA21" i="4" s="1"/>
  <c r="Q18" i="4"/>
  <c r="Y5" i="4" s="1"/>
  <c r="T18" i="4"/>
  <c r="S18" i="4"/>
  <c r="Q30" i="4"/>
  <c r="Z7" i="4" s="1"/>
  <c r="T30" i="4"/>
  <c r="Q27" i="4"/>
  <c r="Z4" i="4" s="1"/>
  <c r="T27" i="4"/>
  <c r="S27" i="4"/>
  <c r="Q39" i="4"/>
  <c r="AA6" i="4" s="1"/>
  <c r="S39" i="4"/>
  <c r="U39" i="4" s="1"/>
  <c r="AA15" i="4" s="1"/>
  <c r="AA24" i="4" s="1"/>
  <c r="Q28" i="4"/>
  <c r="Z5" i="4" s="1"/>
  <c r="S28" i="4"/>
  <c r="U28" i="4" s="1"/>
  <c r="Z14" i="4" s="1"/>
  <c r="Z23" i="4" s="1"/>
  <c r="Q40" i="4"/>
  <c r="AA7" i="4" s="1"/>
  <c r="T40" i="4"/>
  <c r="S40" i="4"/>
  <c r="Q56" i="4"/>
  <c r="AC3" i="4" s="1"/>
  <c r="T56" i="4"/>
  <c r="S56" i="4"/>
  <c r="Q60" i="4"/>
  <c r="AC7" i="4" s="1"/>
  <c r="T60" i="4"/>
  <c r="S60" i="4"/>
  <c r="Q9" i="4"/>
  <c r="X6" i="4" s="1"/>
  <c r="T9" i="4"/>
  <c r="S9" i="4"/>
  <c r="Q45" i="4"/>
  <c r="AB2" i="4" s="1"/>
  <c r="T45" i="4"/>
  <c r="U45" i="4" s="1"/>
  <c r="AB11" i="4" s="1"/>
  <c r="AB20" i="4" s="1"/>
  <c r="Q50" i="4"/>
  <c r="AB7" i="4" s="1"/>
  <c r="Q26" i="4"/>
  <c r="Z3" i="4" s="1"/>
  <c r="S26" i="4"/>
  <c r="Q15" i="4"/>
  <c r="Y2" i="4" s="1"/>
  <c r="T15" i="4"/>
  <c r="S15" i="4"/>
  <c r="T38" i="4"/>
  <c r="S38" i="4"/>
  <c r="Q58" i="4"/>
  <c r="AC5" i="4" s="1"/>
  <c r="T58" i="4"/>
  <c r="S58" i="4"/>
  <c r="S50" i="4"/>
  <c r="U50" i="4" s="1"/>
  <c r="AB16" i="4" s="1"/>
  <c r="AB25" i="4" s="1"/>
  <c r="Q7" i="4"/>
  <c r="X4" i="4" s="1"/>
  <c r="T7" i="4"/>
  <c r="S7" i="4"/>
  <c r="Q47" i="4"/>
  <c r="AB4" i="4" s="1"/>
  <c r="T47" i="4"/>
  <c r="S47" i="4"/>
  <c r="Q16" i="4"/>
  <c r="Y3" i="4" s="1"/>
  <c r="T16" i="4"/>
  <c r="S16" i="4"/>
  <c r="Q38" i="4"/>
  <c r="AA5" i="4" s="1"/>
  <c r="Q48" i="4"/>
  <c r="AB5" i="4" s="1"/>
  <c r="S30" i="4"/>
  <c r="U30" i="4" s="1"/>
  <c r="Z16" i="4" s="1"/>
  <c r="Z25" i="4" s="1"/>
  <c r="U5" i="4"/>
  <c r="X11" i="4" s="1"/>
  <c r="X20" i="4" s="1"/>
  <c r="Q5" i="4"/>
  <c r="X2" i="4" s="1"/>
  <c r="Q17" i="4"/>
  <c r="Y4" i="4" s="1"/>
  <c r="S17" i="4"/>
  <c r="U17" i="4" s="1"/>
  <c r="Y13" i="4" s="1"/>
  <c r="Y22" i="4" s="1"/>
  <c r="Q25" i="4"/>
  <c r="Z2" i="4" s="1"/>
  <c r="T25" i="4"/>
  <c r="U25" i="4" s="1"/>
  <c r="Z11" i="4" s="1"/>
  <c r="Z20" i="4" s="1"/>
  <c r="Q29" i="4"/>
  <c r="Z6" i="4" s="1"/>
  <c r="T29" i="4"/>
  <c r="S29" i="4"/>
  <c r="Q37" i="4"/>
  <c r="AA4" i="4" s="1"/>
  <c r="S37" i="4"/>
  <c r="Q49" i="4"/>
  <c r="AB6" i="4" s="1"/>
  <c r="T49" i="4"/>
  <c r="S49" i="4"/>
  <c r="Q57" i="4"/>
  <c r="AC4" i="4" s="1"/>
  <c r="S57" i="4"/>
  <c r="U57" i="4" s="1"/>
  <c r="AC13" i="4" s="1"/>
  <c r="AC22" i="4" s="1"/>
  <c r="T6" i="4"/>
  <c r="S6" i="4"/>
  <c r="S46" i="4"/>
  <c r="U46" i="4" s="1"/>
  <c r="AB12" i="4" s="1"/>
  <c r="AB21" i="4" s="1"/>
  <c r="Q46" i="4"/>
  <c r="AB3" i="4" s="1"/>
  <c r="T26" i="4"/>
  <c r="T37" i="4"/>
  <c r="T48" i="4"/>
  <c r="U48" i="4" s="1"/>
  <c r="AB14" i="4" s="1"/>
  <c r="AB23" i="4" s="1"/>
  <c r="Q10" i="4"/>
  <c r="X7" i="4" s="1"/>
  <c r="O6" i="3"/>
  <c r="S6" i="3" s="1"/>
  <c r="O55" i="3"/>
  <c r="S55" i="3" s="1"/>
  <c r="O59" i="3"/>
  <c r="T59" i="3" s="1"/>
  <c r="O66" i="3"/>
  <c r="S66" i="3" s="1"/>
  <c r="O54" i="3"/>
  <c r="S54" i="3" s="1"/>
  <c r="O65" i="3"/>
  <c r="T65" i="3" s="1"/>
  <c r="O4" i="3"/>
  <c r="T4" i="3" s="1"/>
  <c r="O8" i="3"/>
  <c r="P8" i="3" s="1"/>
  <c r="Y6" i="3" s="1"/>
  <c r="O49" i="3"/>
  <c r="T49" i="3" s="1"/>
  <c r="O57" i="3"/>
  <c r="P57" i="3" s="1"/>
  <c r="AD5" i="3" s="1"/>
  <c r="O64" i="3"/>
  <c r="P64" i="3" s="1"/>
  <c r="AE3" i="3" s="1"/>
  <c r="O68" i="3"/>
  <c r="T68" i="3" s="1"/>
  <c r="O5" i="3"/>
  <c r="P5" i="3" s="1"/>
  <c r="Y3" i="3" s="1"/>
  <c r="O9" i="3"/>
  <c r="S9" i="3" s="1"/>
  <c r="O58" i="3"/>
  <c r="T58" i="3" s="1"/>
  <c r="S45" i="3"/>
  <c r="U45" i="3" s="1"/>
  <c r="AC12" i="3" s="1"/>
  <c r="AC21" i="3" s="1"/>
  <c r="T26" i="3"/>
  <c r="P24" i="3"/>
  <c r="AA2" i="3" s="1"/>
  <c r="P45" i="3"/>
  <c r="AC3" i="3" s="1"/>
  <c r="O7" i="3"/>
  <c r="S7" i="3" s="1"/>
  <c r="P36" i="3"/>
  <c r="AB4" i="3" s="1"/>
  <c r="S36" i="3"/>
  <c r="T36" i="3"/>
  <c r="P28" i="3"/>
  <c r="AA6" i="3" s="1"/>
  <c r="S28" i="3"/>
  <c r="T28" i="3"/>
  <c r="T39" i="3"/>
  <c r="P39" i="3"/>
  <c r="AB7" i="3" s="1"/>
  <c r="S39" i="3"/>
  <c r="P19" i="3"/>
  <c r="Z7" i="3" s="1"/>
  <c r="T19" i="3"/>
  <c r="P35" i="3"/>
  <c r="AB3" i="3" s="1"/>
  <c r="T35" i="3"/>
  <c r="P47" i="3"/>
  <c r="AC5" i="3" s="1"/>
  <c r="T47" i="3"/>
  <c r="P59" i="3"/>
  <c r="AD7" i="3" s="1"/>
  <c r="T37" i="3"/>
  <c r="P37" i="3"/>
  <c r="AB5" i="3" s="1"/>
  <c r="S4" i="3"/>
  <c r="U4" i="3" s="1"/>
  <c r="Y11" i="3" s="1"/>
  <c r="Y20" i="3" s="1"/>
  <c r="P44" i="3"/>
  <c r="AC2" i="3" s="1"/>
  <c r="S44" i="3"/>
  <c r="O56" i="3"/>
  <c r="O67" i="3"/>
  <c r="P14" i="3"/>
  <c r="Z2" i="3" s="1"/>
  <c r="S14" i="3"/>
  <c r="P25" i="3"/>
  <c r="AA3" i="3" s="1"/>
  <c r="T25" i="3"/>
  <c r="U25" i="3" s="1"/>
  <c r="AA12" i="3" s="1"/>
  <c r="AA21" i="3" s="1"/>
  <c r="T14" i="3"/>
  <c r="P17" i="3"/>
  <c r="Z5" i="3" s="1"/>
  <c r="T17" i="3"/>
  <c r="U17" i="3" s="1"/>
  <c r="Z14" i="3" s="1"/>
  <c r="Z23" i="3" s="1"/>
  <c r="P34" i="3"/>
  <c r="AB2" i="3" s="1"/>
  <c r="S34" i="3"/>
  <c r="U34" i="3" s="1"/>
  <c r="AB11" i="3" s="1"/>
  <c r="AB20" i="3" s="1"/>
  <c r="P15" i="3"/>
  <c r="Z3" i="3" s="1"/>
  <c r="T15" i="3"/>
  <c r="U15" i="3" s="1"/>
  <c r="Z12" i="3" s="1"/>
  <c r="Z21" i="3" s="1"/>
  <c r="P27" i="3"/>
  <c r="AA5" i="3" s="1"/>
  <c r="T27" i="3"/>
  <c r="U27" i="3" s="1"/>
  <c r="AA14" i="3" s="1"/>
  <c r="AA23" i="3" s="1"/>
  <c r="P55" i="3"/>
  <c r="AD3" i="3" s="1"/>
  <c r="P29" i="3"/>
  <c r="AA7" i="3" s="1"/>
  <c r="T29" i="3"/>
  <c r="S29" i="3"/>
  <c r="S37" i="3"/>
  <c r="P16" i="3"/>
  <c r="Z4" i="3" s="1"/>
  <c r="S16" i="3"/>
  <c r="P48" i="3"/>
  <c r="AC6" i="3" s="1"/>
  <c r="S48" i="3"/>
  <c r="O63" i="3"/>
  <c r="S5" i="3"/>
  <c r="P46" i="3"/>
  <c r="AC4" i="3" s="1"/>
  <c r="S46" i="3"/>
  <c r="U46" i="3" s="1"/>
  <c r="AC13" i="3" s="1"/>
  <c r="AC22" i="3" s="1"/>
  <c r="S19" i="3"/>
  <c r="S35" i="3"/>
  <c r="S47" i="3"/>
  <c r="P38" i="3"/>
  <c r="AB6" i="3" s="1"/>
  <c r="S38" i="3"/>
  <c r="U38" i="3" s="1"/>
  <c r="AB15" i="3" s="1"/>
  <c r="AB24" i="3" s="1"/>
  <c r="P18" i="3"/>
  <c r="Z6" i="3" s="1"/>
  <c r="S18" i="3"/>
  <c r="U18" i="3" s="1"/>
  <c r="Z15" i="3" s="1"/>
  <c r="Z24" i="3" s="1"/>
  <c r="T16" i="3"/>
  <c r="T24" i="3"/>
  <c r="U24" i="3" s="1"/>
  <c r="AA11" i="3" s="1"/>
  <c r="AA20" i="3" s="1"/>
  <c r="T44" i="3"/>
  <c r="T48" i="3"/>
  <c r="S26" i="3"/>
  <c r="T6" i="3" l="1"/>
  <c r="P54" i="3"/>
  <c r="AD2" i="3" s="1"/>
  <c r="U47" i="3"/>
  <c r="AC14" i="3" s="1"/>
  <c r="AC23" i="3" s="1"/>
  <c r="P49" i="3"/>
  <c r="AC7" i="3" s="1"/>
  <c r="T9" i="3"/>
  <c r="S57" i="3"/>
  <c r="T57" i="3"/>
  <c r="P9" i="3"/>
  <c r="Y7" i="3" s="1"/>
  <c r="P65" i="3"/>
  <c r="AE4" i="3" s="1"/>
  <c r="T55" i="3"/>
  <c r="U55" i="3" s="1"/>
  <c r="AD12" i="3" s="1"/>
  <c r="AD21" i="3" s="1"/>
  <c r="S9" i="5"/>
  <c r="T9" i="5"/>
  <c r="W16" i="5" s="1"/>
  <c r="T4" i="5"/>
  <c r="W11" i="5" s="1"/>
  <c r="T5" i="3"/>
  <c r="U5" i="3" s="1"/>
  <c r="Y12" i="3" s="1"/>
  <c r="Y21" i="3" s="1"/>
  <c r="P6" i="3"/>
  <c r="Y4" i="3" s="1"/>
  <c r="S6" i="5"/>
  <c r="U48" i="6"/>
  <c r="AB15" i="6" s="1"/>
  <c r="U49" i="6"/>
  <c r="AB16" i="6" s="1"/>
  <c r="U25" i="6"/>
  <c r="Z12" i="6" s="1"/>
  <c r="U14" i="6"/>
  <c r="Y11" i="6" s="1"/>
  <c r="S65" i="3"/>
  <c r="U65" i="3" s="1"/>
  <c r="AE13" i="3" s="1"/>
  <c r="AE22" i="3" s="1"/>
  <c r="T54" i="3"/>
  <c r="U54" i="3" s="1"/>
  <c r="AD11" i="3" s="1"/>
  <c r="AD20" i="3" s="1"/>
  <c r="S49" i="3"/>
  <c r="U49" i="3" s="1"/>
  <c r="AC16" i="3" s="1"/>
  <c r="AC25" i="3" s="1"/>
  <c r="U7" i="4"/>
  <c r="X13" i="4" s="1"/>
  <c r="X22" i="4" s="1"/>
  <c r="U58" i="4"/>
  <c r="AC14" i="4" s="1"/>
  <c r="AC23" i="4" s="1"/>
  <c r="U60" i="4"/>
  <c r="AC16" i="4" s="1"/>
  <c r="AC25" i="4" s="1"/>
  <c r="P9" i="5"/>
  <c r="W7" i="5" s="1"/>
  <c r="T25" i="5"/>
  <c r="Y12" i="5" s="1"/>
  <c r="Y21" i="5" s="1"/>
  <c r="U5" i="6"/>
  <c r="X12" i="6" s="1"/>
  <c r="X21" i="6" s="1"/>
  <c r="U46" i="6"/>
  <c r="AB13" i="6" s="1"/>
  <c r="U8" i="6"/>
  <c r="X15" i="6" s="1"/>
  <c r="X24" i="6" s="1"/>
  <c r="U59" i="6"/>
  <c r="AC16" i="6" s="1"/>
  <c r="AC25" i="6" s="1"/>
  <c r="U35" i="6"/>
  <c r="AA12" i="6" s="1"/>
  <c r="U38" i="6"/>
  <c r="AA15" i="6" s="1"/>
  <c r="U36" i="6"/>
  <c r="AA13" i="6" s="1"/>
  <c r="U7" i="6"/>
  <c r="X14" i="6" s="1"/>
  <c r="X23" i="6" s="1"/>
  <c r="U56" i="6"/>
  <c r="AC13" i="6" s="1"/>
  <c r="AC22" i="6" s="1"/>
  <c r="U45" i="6"/>
  <c r="AB12" i="6" s="1"/>
  <c r="U16" i="6"/>
  <c r="Y13" i="6" s="1"/>
  <c r="U24" i="6"/>
  <c r="Z11" i="6" s="1"/>
  <c r="U4" i="6"/>
  <c r="X11" i="6" s="1"/>
  <c r="X20" i="6" s="1"/>
  <c r="U6" i="6"/>
  <c r="X13" i="6" s="1"/>
  <c r="X22" i="6" s="1"/>
  <c r="U19" i="6"/>
  <c r="Y16" i="6" s="1"/>
  <c r="U55" i="6"/>
  <c r="AC12" i="6" s="1"/>
  <c r="AC21" i="6" s="1"/>
  <c r="U27" i="6"/>
  <c r="Z14" i="6" s="1"/>
  <c r="U26" i="6"/>
  <c r="Z13" i="6" s="1"/>
  <c r="U57" i="6"/>
  <c r="AC14" i="6" s="1"/>
  <c r="AC23" i="6" s="1"/>
  <c r="U29" i="6"/>
  <c r="Z16" i="6" s="1"/>
  <c r="U44" i="6"/>
  <c r="AB11" i="6" s="1"/>
  <c r="U9" i="6"/>
  <c r="X16" i="6" s="1"/>
  <c r="X25" i="6" s="1"/>
  <c r="U54" i="6"/>
  <c r="AC11" i="6" s="1"/>
  <c r="AC20" i="6" s="1"/>
  <c r="U34" i="6"/>
  <c r="AA11" i="6" s="1"/>
  <c r="U39" i="6"/>
  <c r="AA16" i="6" s="1"/>
  <c r="U58" i="6"/>
  <c r="AC15" i="6" s="1"/>
  <c r="AC24" i="6" s="1"/>
  <c r="R5" i="5"/>
  <c r="T35" i="5"/>
  <c r="Z12" i="5" s="1"/>
  <c r="Z21" i="5" s="1"/>
  <c r="T7" i="5"/>
  <c r="W14" i="5" s="1"/>
  <c r="T38" i="5"/>
  <c r="Z15" i="5" s="1"/>
  <c r="Z24" i="5" s="1"/>
  <c r="P6" i="5"/>
  <c r="W4" i="5" s="1"/>
  <c r="T17" i="5"/>
  <c r="X14" i="5" s="1"/>
  <c r="S5" i="5"/>
  <c r="T39" i="5"/>
  <c r="Z16" i="5" s="1"/>
  <c r="Z25" i="5" s="1"/>
  <c r="T15" i="5"/>
  <c r="X12" i="5" s="1"/>
  <c r="T29" i="5"/>
  <c r="Y16" i="5" s="1"/>
  <c r="Y25" i="5" s="1"/>
  <c r="T27" i="5"/>
  <c r="Y14" i="5" s="1"/>
  <c r="Y23" i="5" s="1"/>
  <c r="T19" i="5"/>
  <c r="X16" i="5" s="1"/>
  <c r="T14" i="5"/>
  <c r="X11" i="5" s="1"/>
  <c r="T6" i="5"/>
  <c r="W13" i="5" s="1"/>
  <c r="T16" i="5"/>
  <c r="X13" i="5" s="1"/>
  <c r="T8" i="5"/>
  <c r="W15" i="5" s="1"/>
  <c r="T18" i="5"/>
  <c r="X15" i="5" s="1"/>
  <c r="T24" i="5"/>
  <c r="Y11" i="5" s="1"/>
  <c r="Y20" i="5" s="1"/>
  <c r="T26" i="5"/>
  <c r="Y13" i="5" s="1"/>
  <c r="Y22" i="5" s="1"/>
  <c r="T28" i="5"/>
  <c r="Y15" i="5" s="1"/>
  <c r="Y24" i="5" s="1"/>
  <c r="T34" i="5"/>
  <c r="Z11" i="5" s="1"/>
  <c r="Z20" i="5" s="1"/>
  <c r="U37" i="4"/>
  <c r="AA13" i="4" s="1"/>
  <c r="AA22" i="4" s="1"/>
  <c r="U27" i="4"/>
  <c r="Z13" i="4" s="1"/>
  <c r="Z22" i="4" s="1"/>
  <c r="U35" i="4"/>
  <c r="AA11" i="4" s="1"/>
  <c r="AA20" i="4" s="1"/>
  <c r="U56" i="4"/>
  <c r="AC12" i="4" s="1"/>
  <c r="AC21" i="4" s="1"/>
  <c r="U18" i="4"/>
  <c r="Y14" i="4" s="1"/>
  <c r="U55" i="4"/>
  <c r="AC11" i="4" s="1"/>
  <c r="AC20" i="4" s="1"/>
  <c r="U26" i="4"/>
  <c r="Z12" i="4" s="1"/>
  <c r="Z21" i="4" s="1"/>
  <c r="U6" i="4"/>
  <c r="X12" i="4" s="1"/>
  <c r="X21" i="4" s="1"/>
  <c r="U49" i="4"/>
  <c r="AB15" i="4" s="1"/>
  <c r="AB24" i="4" s="1"/>
  <c r="U47" i="4"/>
  <c r="AB13" i="4" s="1"/>
  <c r="AB22" i="4" s="1"/>
  <c r="U15" i="4"/>
  <c r="Y11" i="4" s="1"/>
  <c r="Y20" i="4" s="1"/>
  <c r="U20" i="4"/>
  <c r="Y16" i="4" s="1"/>
  <c r="Y25" i="4" s="1"/>
  <c r="U59" i="4"/>
  <c r="AC15" i="4" s="1"/>
  <c r="AC24" i="4" s="1"/>
  <c r="U38" i="4"/>
  <c r="AA14" i="4" s="1"/>
  <c r="AA23" i="4" s="1"/>
  <c r="U19" i="4"/>
  <c r="Y15" i="4" s="1"/>
  <c r="U29" i="4"/>
  <c r="Z15" i="4" s="1"/>
  <c r="Z24" i="4" s="1"/>
  <c r="U16" i="4"/>
  <c r="Y12" i="4" s="1"/>
  <c r="Y21" i="4" s="1"/>
  <c r="U9" i="4"/>
  <c r="X15" i="4" s="1"/>
  <c r="X24" i="4" s="1"/>
  <c r="U40" i="4"/>
  <c r="AA16" i="4" s="1"/>
  <c r="AA25" i="4" s="1"/>
  <c r="S59" i="3"/>
  <c r="U59" i="3" s="1"/>
  <c r="AD16" i="3" s="1"/>
  <c r="AD25" i="3" s="1"/>
  <c r="T8" i="3"/>
  <c r="S64" i="3"/>
  <c r="P68" i="3"/>
  <c r="AE7" i="3" s="1"/>
  <c r="S58" i="3"/>
  <c r="U58" i="3" s="1"/>
  <c r="AD15" i="3" s="1"/>
  <c r="AD24" i="3" s="1"/>
  <c r="P4" i="3"/>
  <c r="Y2" i="3" s="1"/>
  <c r="T64" i="3"/>
  <c r="T66" i="3"/>
  <c r="U66" i="3" s="1"/>
  <c r="AE14" i="3" s="1"/>
  <c r="AE23" i="3" s="1"/>
  <c r="S68" i="3"/>
  <c r="U68" i="3" s="1"/>
  <c r="AE16" i="3" s="1"/>
  <c r="AE25" i="3" s="1"/>
  <c r="P58" i="3"/>
  <c r="AD6" i="3" s="1"/>
  <c r="P66" i="3"/>
  <c r="AE5" i="3" s="1"/>
  <c r="S8" i="3"/>
  <c r="U19" i="3"/>
  <c r="Z16" i="3" s="1"/>
  <c r="Z25" i="3" s="1"/>
  <c r="T7" i="3"/>
  <c r="U7" i="3" s="1"/>
  <c r="Y14" i="3" s="1"/>
  <c r="Y23" i="3" s="1"/>
  <c r="U26" i="3"/>
  <c r="AA13" i="3" s="1"/>
  <c r="AA22" i="3" s="1"/>
  <c r="P7" i="3"/>
  <c r="Y5" i="3" s="1"/>
  <c r="U37" i="3"/>
  <c r="AB14" i="3" s="1"/>
  <c r="AB23" i="3" s="1"/>
  <c r="P63" i="3"/>
  <c r="AE2" i="3" s="1"/>
  <c r="S63" i="3"/>
  <c r="T63" i="3"/>
  <c r="P56" i="3"/>
  <c r="AD4" i="3" s="1"/>
  <c r="S56" i="3"/>
  <c r="T56" i="3"/>
  <c r="U48" i="3"/>
  <c r="AC15" i="3" s="1"/>
  <c r="AC24" i="3" s="1"/>
  <c r="U14" i="3"/>
  <c r="Z11" i="3" s="1"/>
  <c r="Z20" i="3" s="1"/>
  <c r="U44" i="3"/>
  <c r="AC11" i="3" s="1"/>
  <c r="AC20" i="3" s="1"/>
  <c r="U28" i="3"/>
  <c r="AA15" i="3" s="1"/>
  <c r="AA24" i="3" s="1"/>
  <c r="U35" i="3"/>
  <c r="AB12" i="3" s="1"/>
  <c r="AB21" i="3" s="1"/>
  <c r="U29" i="3"/>
  <c r="AA16" i="3" s="1"/>
  <c r="AA25" i="3" s="1"/>
  <c r="U9" i="3"/>
  <c r="Y16" i="3" s="1"/>
  <c r="Y25" i="3" s="1"/>
  <c r="U39" i="3"/>
  <c r="AB16" i="3" s="1"/>
  <c r="AB25" i="3" s="1"/>
  <c r="U36" i="3"/>
  <c r="AB13" i="3" s="1"/>
  <c r="AB22" i="3" s="1"/>
  <c r="U16" i="3"/>
  <c r="Z13" i="3" s="1"/>
  <c r="Z22" i="3" s="1"/>
  <c r="P67" i="3"/>
  <c r="AE6" i="3" s="1"/>
  <c r="S67" i="3"/>
  <c r="T67" i="3"/>
  <c r="U6" i="3"/>
  <c r="Y13" i="3" s="1"/>
  <c r="Y22" i="3" s="1"/>
  <c r="U57" i="3" l="1"/>
  <c r="AD14" i="3" s="1"/>
  <c r="AD23" i="3" s="1"/>
  <c r="U64" i="3"/>
  <c r="AE12" i="3" s="1"/>
  <c r="AE21" i="3" s="1"/>
  <c r="U8" i="3"/>
  <c r="Y15" i="3" s="1"/>
  <c r="Y24" i="3" s="1"/>
  <c r="T5" i="5"/>
  <c r="W12" i="5" s="1"/>
  <c r="U63" i="3"/>
  <c r="AE11" i="3" s="1"/>
  <c r="AE20" i="3" s="1"/>
  <c r="U67" i="3"/>
  <c r="AE15" i="3" s="1"/>
  <c r="AE24" i="3" s="1"/>
  <c r="U56" i="3"/>
  <c r="AD13" i="3" s="1"/>
  <c r="AD22" i="3" s="1"/>
</calcChain>
</file>

<file path=xl/sharedStrings.xml><?xml version="1.0" encoding="utf-8"?>
<sst xmlns="http://schemas.openxmlformats.org/spreadsheetml/2006/main" count="1605" uniqueCount="157">
  <si>
    <t>rct e-</t>
  </si>
  <si>
    <t>O2 + 2H2 = 2H2O</t>
  </si>
  <si>
    <t>sample</t>
  </si>
  <si>
    <t>temp 'C</t>
  </si>
  <si>
    <t>temp K</t>
  </si>
  <si>
    <t>[H2]</t>
  </si>
  <si>
    <t>[O2]</t>
  </si>
  <si>
    <r>
      <t xml:space="preserve">log </t>
    </r>
    <r>
      <rPr>
        <i/>
        <sz val="11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 xml:space="preserve"> H2 </t>
    </r>
  </si>
  <si>
    <r>
      <t xml:space="preserve">log </t>
    </r>
    <r>
      <rPr>
        <i/>
        <sz val="11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 xml:space="preserve"> O</t>
    </r>
    <r>
      <rPr>
        <vertAlign val="subscript"/>
        <sz val="11"/>
        <color theme="1"/>
        <rFont val="Calibri"/>
        <family val="2"/>
        <scheme val="minor"/>
      </rPr>
      <t>2</t>
    </r>
  </si>
  <si>
    <t>log Q</t>
  </si>
  <si>
    <t>log K</t>
  </si>
  <si>
    <r>
      <rPr>
        <sz val="11"/>
        <color theme="1"/>
        <rFont val="Symbol"/>
        <family val="1"/>
        <charset val="2"/>
      </rPr>
      <t>D</t>
    </r>
    <r>
      <rPr>
        <i/>
        <sz val="11"/>
        <color theme="1"/>
        <rFont val="Calibri"/>
        <family val="2"/>
        <scheme val="minor"/>
      </rPr>
      <t>G</t>
    </r>
    <r>
      <rPr>
        <i/>
        <vertAlign val="subscript"/>
        <sz val="11"/>
        <color theme="1"/>
        <rFont val="Calibri"/>
        <family val="2"/>
        <scheme val="minor"/>
      </rPr>
      <t>r</t>
    </r>
  </si>
  <si>
    <t>O2 + 4Fe++ + 6H2O = 4FeOOHfer + 8H+</t>
  </si>
  <si>
    <t>3O2 + 4NH4+ =6H2O + 2N2 + 4H+</t>
  </si>
  <si>
    <t>2O2 +  NH4+ = NO3- +  2H+ + H2O</t>
  </si>
  <si>
    <t>O2 + 2H+ + 2HS- =2S0 + 2H2O</t>
  </si>
  <si>
    <t>2O2 + HS- = SO4-- + H+</t>
  </si>
  <si>
    <t>2O2 + CH4 = HCO3- + H++ H2O</t>
  </si>
  <si>
    <t>/ ED</t>
  </si>
  <si>
    <t>/EA</t>
  </si>
  <si>
    <t>Lesser</t>
  </si>
  <si>
    <r>
      <rPr>
        <sz val="11"/>
        <color theme="1"/>
        <rFont val="Symbol"/>
        <family val="1"/>
        <charset val="2"/>
      </rPr>
      <t>D</t>
    </r>
    <r>
      <rPr>
        <i/>
        <sz val="11"/>
        <color theme="1"/>
        <rFont val="Calibri"/>
        <family val="2"/>
        <scheme val="minor"/>
      </rPr>
      <t>G</t>
    </r>
    <r>
      <rPr>
        <i/>
        <vertAlign val="subscript"/>
        <sz val="11"/>
        <color theme="1"/>
        <rFont val="Calibri"/>
        <family val="2"/>
        <scheme val="minor"/>
      </rPr>
      <t>r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J / kg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</t>
    </r>
  </si>
  <si>
    <t>Exergonicity</t>
  </si>
  <si>
    <t>H2</t>
  </si>
  <si>
    <t>O2</t>
  </si>
  <si>
    <t>per kg H2O</t>
  </si>
  <si>
    <r>
      <t xml:space="preserve">log </t>
    </r>
    <r>
      <rPr>
        <i/>
        <sz val="11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 xml:space="preserve"> Fe++</t>
    </r>
  </si>
  <si>
    <r>
      <t xml:space="preserve">log </t>
    </r>
    <r>
      <rPr>
        <i/>
        <sz val="11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 xml:space="preserve"> H+</t>
    </r>
  </si>
  <si>
    <t>Fe++</t>
  </si>
  <si>
    <t>[N2]</t>
  </si>
  <si>
    <r>
      <t xml:space="preserve">log </t>
    </r>
    <r>
      <rPr>
        <i/>
        <sz val="11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 xml:space="preserve"> NH4+</t>
    </r>
  </si>
  <si>
    <t>NH4+</t>
  </si>
  <si>
    <r>
      <t xml:space="preserve">log </t>
    </r>
    <r>
      <rPr>
        <i/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>NH4+</t>
    </r>
  </si>
  <si>
    <r>
      <t xml:space="preserve">log </t>
    </r>
    <r>
      <rPr>
        <i/>
        <sz val="11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 xml:space="preserve"> NO3-</t>
    </r>
  </si>
  <si>
    <r>
      <t xml:space="preserve">log </t>
    </r>
    <r>
      <rPr>
        <i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HS-</t>
    </r>
  </si>
  <si>
    <r>
      <t xml:space="preserve">log </t>
    </r>
    <r>
      <rPr>
        <i/>
        <sz val="11"/>
        <color rgb="FF000000"/>
        <rFont val="Calibri"/>
        <family val="2"/>
        <scheme val="minor"/>
      </rPr>
      <t>a</t>
    </r>
    <r>
      <rPr>
        <sz val="12"/>
        <color rgb="FF000000"/>
        <rFont val="Calibri"/>
        <family val="2"/>
        <scheme val="minor"/>
      </rPr>
      <t xml:space="preserve"> H+</t>
    </r>
  </si>
  <si>
    <t>HS-</t>
  </si>
  <si>
    <r>
      <t xml:space="preserve">log </t>
    </r>
    <r>
      <rPr>
        <i/>
        <sz val="11"/>
        <color rgb="FF000000"/>
        <rFont val="Calibri"/>
        <family val="2"/>
        <scheme val="minor"/>
      </rPr>
      <t>a</t>
    </r>
    <r>
      <rPr>
        <sz val="12"/>
        <color rgb="FF000000"/>
        <rFont val="Calibri"/>
        <family val="2"/>
        <scheme val="minor"/>
      </rPr>
      <t xml:space="preserve"> O</t>
    </r>
    <r>
      <rPr>
        <vertAlign val="subscript"/>
        <sz val="11"/>
        <color rgb="FF000000"/>
        <rFont val="Calibri"/>
        <family val="2"/>
        <scheme val="minor"/>
      </rPr>
      <t>2</t>
    </r>
  </si>
  <si>
    <r>
      <t xml:space="preserve">log </t>
    </r>
    <r>
      <rPr>
        <i/>
        <sz val="11"/>
        <color rgb="FF000000"/>
        <rFont val="Calibri"/>
        <family val="2"/>
        <scheme val="minor"/>
      </rPr>
      <t xml:space="preserve">a </t>
    </r>
    <r>
      <rPr>
        <sz val="11"/>
        <color rgb="FF000000"/>
        <rFont val="Calibri"/>
        <family val="2"/>
        <scheme val="minor"/>
      </rPr>
      <t>HS-</t>
    </r>
  </si>
  <si>
    <r>
      <t xml:space="preserve">log </t>
    </r>
    <r>
      <rPr>
        <i/>
        <sz val="11"/>
        <color rgb="FF000000"/>
        <rFont val="Calibri"/>
        <family val="2"/>
        <scheme val="minor"/>
      </rPr>
      <t>a</t>
    </r>
    <r>
      <rPr>
        <sz val="12"/>
        <color rgb="FF000000"/>
        <rFont val="Calibri"/>
        <family val="2"/>
        <scheme val="minor"/>
      </rPr>
      <t xml:space="preserve"> SO4--</t>
    </r>
  </si>
  <si>
    <r>
      <t>D</t>
    </r>
    <r>
      <rPr>
        <i/>
        <sz val="11"/>
        <color rgb="FF000000"/>
        <rFont val="Calibri"/>
        <family val="2"/>
        <scheme val="minor"/>
      </rPr>
      <t>G</t>
    </r>
    <r>
      <rPr>
        <i/>
        <vertAlign val="subscript"/>
        <sz val="11"/>
        <color rgb="FF000000"/>
        <rFont val="Calibri"/>
        <family val="2"/>
        <scheme val="minor"/>
      </rPr>
      <t>r</t>
    </r>
  </si>
  <si>
    <t>[CH4]</t>
  </si>
  <si>
    <r>
      <t xml:space="preserve">log </t>
    </r>
    <r>
      <rPr>
        <i/>
        <sz val="11"/>
        <color rgb="FF000000"/>
        <rFont val="Calibri"/>
        <family val="2"/>
        <scheme val="minor"/>
      </rPr>
      <t>a</t>
    </r>
    <r>
      <rPr>
        <sz val="12"/>
        <color rgb="FF000000"/>
        <rFont val="Calibri"/>
        <family val="2"/>
        <scheme val="minor"/>
      </rPr>
      <t xml:space="preserve"> CH4</t>
    </r>
  </si>
  <si>
    <r>
      <t xml:space="preserve">log </t>
    </r>
    <r>
      <rPr>
        <i/>
        <sz val="11"/>
        <color rgb="FF000000"/>
        <rFont val="Calibri"/>
        <family val="2"/>
        <scheme val="minor"/>
      </rPr>
      <t>a</t>
    </r>
    <r>
      <rPr>
        <sz val="12"/>
        <color rgb="FF000000"/>
        <rFont val="Calibri"/>
        <family val="2"/>
        <scheme val="minor"/>
      </rPr>
      <t xml:space="preserve"> HCO3-</t>
    </r>
  </si>
  <si>
    <r>
      <t>D</t>
    </r>
    <r>
      <rPr>
        <i/>
        <sz val="11"/>
        <color rgb="FF000000"/>
        <rFont val="Calibri"/>
        <family val="2"/>
      </rPr>
      <t>G</t>
    </r>
    <r>
      <rPr>
        <i/>
        <vertAlign val="subscript"/>
        <sz val="11"/>
        <color rgb="FF000000"/>
        <rFont val="Calibri"/>
        <family val="2"/>
      </rPr>
      <t>r</t>
    </r>
  </si>
  <si>
    <t>CH4</t>
  </si>
  <si>
    <t xml:space="preserve">2NO3- + 2H+ + 5H2 = N2 + 6H2O </t>
  </si>
  <si>
    <t>NO3-</t>
  </si>
  <si>
    <t>NO3</t>
  </si>
  <si>
    <t>NO3 + 2H+ + 4H2 = NH4+ + 3H2O</t>
  </si>
  <si>
    <t>2NO3- + 10Fe++ + 14H2O = N2 + 10FeOOH + 18H+</t>
  </si>
  <si>
    <r>
      <t xml:space="preserve">log </t>
    </r>
    <r>
      <rPr>
        <i/>
        <sz val="11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 xml:space="preserve"> N2 </t>
    </r>
  </si>
  <si>
    <t>NO3 +  8Fe++ + 13H2O = NH4+ +  8FeOOH + 14H+</t>
  </si>
  <si>
    <t>2NO3- + 7H+ + 5HS- = 5S0 + N2 + 6H2O</t>
  </si>
  <si>
    <r>
      <t xml:space="preserve">log </t>
    </r>
    <r>
      <rPr>
        <i/>
        <sz val="11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 xml:space="preserve"> HS-</t>
    </r>
  </si>
  <si>
    <t>NO3 + 6H+ + 4HS- = 4S0 +  NH4+ + 3H2O</t>
  </si>
  <si>
    <t>8NO3- + 3H+ + 5HS- = 5SO4-- + 4N2 + 4H2O</t>
  </si>
  <si>
    <r>
      <t xml:space="preserve">log </t>
    </r>
    <r>
      <rPr>
        <i/>
        <sz val="11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 xml:space="preserve"> SO4--</t>
    </r>
  </si>
  <si>
    <t>NO3 + H+ +  HS- + H2O = SO4-- +  NH4+</t>
  </si>
  <si>
    <r>
      <t xml:space="preserve">log </t>
    </r>
    <r>
      <rPr>
        <i/>
        <sz val="11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 xml:space="preserve"> CH4 </t>
    </r>
  </si>
  <si>
    <t>8NO3- + 3H+ +  5CH4 = 5HCO3- + 4N2 + 9H2O</t>
  </si>
  <si>
    <r>
      <t xml:space="preserve">log </t>
    </r>
    <r>
      <rPr>
        <i/>
        <sz val="11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 xml:space="preserve"> CH4</t>
    </r>
  </si>
  <si>
    <r>
      <t xml:space="preserve">log </t>
    </r>
    <r>
      <rPr>
        <i/>
        <sz val="11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 xml:space="preserve"> HCO3-</t>
    </r>
  </si>
  <si>
    <t>NO3 + 1H+ + CH4 = HCO3- + NH4+</t>
  </si>
  <si>
    <t>SO4-- + H+ +4H2 = HS- + 4H2O</t>
  </si>
  <si>
    <t>SO4--</t>
  </si>
  <si>
    <t>SO4</t>
  </si>
  <si>
    <t>SO4-- + 8Fe++ + 12H2O = 8FeOOH + 15H+ +HS-</t>
  </si>
  <si>
    <t>SO4-- + CH4 + = HCO3- +HS- + H2O</t>
  </si>
  <si>
    <t>HCO3- + H+ + 4H2 = CH4 + 3H2O</t>
  </si>
  <si>
    <t>HCO3-</t>
  </si>
  <si>
    <t>HCO3</t>
  </si>
  <si>
    <t>HCO3- + 8Fe++ + 13H2O = 8FeOOH + 15H+ + CH4</t>
  </si>
  <si>
    <r>
      <t xml:space="preserve">log </t>
    </r>
    <r>
      <rPr>
        <i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 xml:space="preserve"> Fe++</t>
    </r>
  </si>
  <si>
    <t>Fe</t>
  </si>
  <si>
    <t>3HCO3- + 8NH4+ = 4N2 + 5H+ + 3CH4 + 9H2O</t>
  </si>
  <si>
    <r>
      <t xml:space="preserve">log </t>
    </r>
    <r>
      <rPr>
        <i/>
        <sz val="11"/>
        <color rgb="FF000000"/>
        <rFont val="Calibri"/>
        <family val="2"/>
        <scheme val="minor"/>
      </rPr>
      <t>a</t>
    </r>
    <r>
      <rPr>
        <sz val="12"/>
        <color rgb="FF000000"/>
        <rFont val="Calibri"/>
        <family val="2"/>
        <scheme val="minor"/>
      </rPr>
      <t xml:space="preserve"> N2 </t>
    </r>
  </si>
  <si>
    <r>
      <t xml:space="preserve">log </t>
    </r>
    <r>
      <rPr>
        <i/>
        <sz val="12"/>
        <color rgb="FF000000"/>
        <rFont val="Calibri"/>
        <family val="2"/>
        <scheme val="minor"/>
      </rPr>
      <t>a</t>
    </r>
    <r>
      <rPr>
        <sz val="12"/>
        <color rgb="FF000000"/>
        <rFont val="Calibri"/>
        <family val="2"/>
        <scheme val="minor"/>
      </rPr>
      <t xml:space="preserve"> NH4+</t>
    </r>
  </si>
  <si>
    <t>NH4</t>
  </si>
  <si>
    <r>
      <t xml:space="preserve">log </t>
    </r>
    <r>
      <rPr>
        <i/>
        <sz val="12"/>
        <color rgb="FF000000"/>
        <rFont val="Calibri"/>
        <family val="2"/>
        <scheme val="minor"/>
      </rPr>
      <t>a</t>
    </r>
    <r>
      <rPr>
        <sz val="12"/>
        <color rgb="FF000000"/>
        <rFont val="Calibri"/>
        <family val="2"/>
        <scheme val="minor"/>
      </rPr>
      <t xml:space="preserve"> NO3-</t>
    </r>
  </si>
  <si>
    <t>HCO3- + NH4+= NO3- + H+ + CH4</t>
  </si>
  <si>
    <t>HCO3- + 5H+ + 4HS- = 4S0 + CH4 + 3H2O</t>
  </si>
  <si>
    <r>
      <t xml:space="preserve">log </t>
    </r>
    <r>
      <rPr>
        <i/>
        <sz val="12"/>
        <color rgb="FF000000"/>
        <rFont val="Calibri"/>
        <family val="2"/>
        <scheme val="minor"/>
      </rPr>
      <t>a</t>
    </r>
    <r>
      <rPr>
        <sz val="12"/>
        <color rgb="FF000000"/>
        <rFont val="Calibri"/>
        <family val="2"/>
        <scheme val="minor"/>
      </rPr>
      <t xml:space="preserve"> HS-</t>
    </r>
  </si>
  <si>
    <t>HS</t>
  </si>
  <si>
    <t>HCO3- + HS- + H2O = SO4-- + CH4</t>
  </si>
  <si>
    <r>
      <t xml:space="preserve">log </t>
    </r>
    <r>
      <rPr>
        <i/>
        <sz val="12"/>
        <color rgb="FF000000"/>
        <rFont val="Calibri"/>
        <family val="2"/>
        <scheme val="minor"/>
      </rPr>
      <t>a</t>
    </r>
    <r>
      <rPr>
        <sz val="12"/>
        <color rgb="FF000000"/>
        <rFont val="Calibri"/>
        <family val="2"/>
        <scheme val="minor"/>
      </rPr>
      <t xml:space="preserve"> SO4--</t>
    </r>
  </si>
  <si>
    <t>CH3COO- + 4H2O --&gt; 2HCO3- + 8e- + 9H+</t>
  </si>
  <si>
    <r>
      <t xml:space="preserve">O2 + 4H+ + </t>
    </r>
    <r>
      <rPr>
        <sz val="12"/>
        <color rgb="FFFF0000"/>
        <rFont val="Calibri"/>
        <family val="2"/>
        <scheme val="minor"/>
      </rPr>
      <t>4e-</t>
    </r>
    <r>
      <rPr>
        <sz val="12"/>
        <color theme="1"/>
        <rFont val="Calibri"/>
        <family val="2"/>
        <scheme val="minor"/>
      </rPr>
      <t xml:space="preserve"> = 2H2O</t>
    </r>
  </si>
  <si>
    <r>
      <t xml:space="preserve">2NO3- + 12H+ + </t>
    </r>
    <r>
      <rPr>
        <sz val="12"/>
        <color rgb="FFFF0000"/>
        <rFont val="Calibri"/>
        <family val="2"/>
        <scheme val="minor"/>
      </rPr>
      <t>10e-</t>
    </r>
    <r>
      <rPr>
        <sz val="12"/>
        <color theme="1"/>
        <rFont val="Calibri"/>
        <family val="2"/>
        <scheme val="minor"/>
      </rPr>
      <t xml:space="preserve"> = N2 + 6H2O</t>
    </r>
  </si>
  <si>
    <r>
      <t xml:space="preserve">NO3 + 10H+ + </t>
    </r>
    <r>
      <rPr>
        <sz val="12"/>
        <color rgb="FFFF0000"/>
        <rFont val="Calibri"/>
        <family val="2"/>
        <scheme val="minor"/>
      </rPr>
      <t>8e-</t>
    </r>
    <r>
      <rPr>
        <sz val="12"/>
        <color theme="1"/>
        <rFont val="Calibri"/>
        <family val="2"/>
        <scheme val="minor"/>
      </rPr>
      <t xml:space="preserve"> = NH4+ + 3H2O</t>
    </r>
  </si>
  <si>
    <r>
      <t xml:space="preserve">SO4-- + </t>
    </r>
    <r>
      <rPr>
        <sz val="12"/>
        <color rgb="FFFF0000"/>
        <rFont val="Calibri"/>
        <family val="2"/>
        <scheme val="minor"/>
      </rPr>
      <t>8e-</t>
    </r>
    <r>
      <rPr>
        <sz val="12"/>
        <color theme="1"/>
        <rFont val="Calibri"/>
        <family val="2"/>
        <scheme val="minor"/>
      </rPr>
      <t xml:space="preserve"> + 9H+ = HS- + 4H2O</t>
    </r>
  </si>
  <si>
    <r>
      <t>HCO3- +</t>
    </r>
    <r>
      <rPr>
        <sz val="12"/>
        <color rgb="FFFF0000"/>
        <rFont val="Calibri"/>
        <family val="2"/>
        <scheme val="minor"/>
      </rPr>
      <t xml:space="preserve"> 8e-</t>
    </r>
    <r>
      <rPr>
        <sz val="12"/>
        <color theme="1"/>
        <rFont val="Calibri"/>
        <family val="2"/>
        <scheme val="minor"/>
      </rPr>
      <t xml:space="preserve"> + 9H+ = CH4 + 3H2O</t>
    </r>
  </si>
  <si>
    <t>e- acceptor</t>
  </si>
  <si>
    <t>reduced product</t>
  </si>
  <si>
    <t>e- donor</t>
  </si>
  <si>
    <t>oxidized product</t>
  </si>
  <si>
    <t>accept mult.</t>
  </si>
  <si>
    <t>electron acceptor half rxn</t>
  </si>
  <si>
    <t>donor mult.</t>
  </si>
  <si>
    <t>donor half reaction</t>
  </si>
  <si>
    <t>reaction e-</t>
  </si>
  <si>
    <t>H2O</t>
  </si>
  <si>
    <t>CH3COO-</t>
  </si>
  <si>
    <t>N2</t>
  </si>
  <si>
    <t>SO4-</t>
  </si>
  <si>
    <t>full reaction</t>
  </si>
  <si>
    <t>CH3COO- + 2O2 --&gt; 2HCO3- + H+</t>
  </si>
  <si>
    <t>5CH3COO- + 8NO3- + 3H+ __&gt; 10HCO3- + 4N2</t>
  </si>
  <si>
    <t>CH3COO- + NO3 + H+ + H2O --&gt; NH4+ + 2HCO3-</t>
  </si>
  <si>
    <t>CH3COO- + SO4-- --&gt; 2HCO3- + HS-</t>
  </si>
  <si>
    <t>CH3COO- + H2O --&gt; HCO3- + CH4</t>
  </si>
  <si>
    <t>TEMP(degC</t>
  </si>
  <si>
    <t>)  PRES(bars)</t>
  </si>
  <si>
    <t>logK</t>
  </si>
  <si>
    <t>CO2</t>
  </si>
  <si>
    <t>H+</t>
  </si>
  <si>
    <t>D1</t>
  </si>
  <si>
    <t>molality</t>
  </si>
  <si>
    <t>D2</t>
  </si>
  <si>
    <t>D3</t>
  </si>
  <si>
    <t>D4</t>
  </si>
  <si>
    <t>D5</t>
  </si>
  <si>
    <t>D6</t>
  </si>
  <si>
    <t>O2(aq)</t>
  </si>
  <si>
    <t>H2(aq)</t>
  </si>
  <si>
    <t>CH4(aq)</t>
  </si>
  <si>
    <t>CO2(aq)</t>
  </si>
  <si>
    <t>act. Coef</t>
  </si>
  <si>
    <t>log act</t>
  </si>
  <si>
    <t>mg/kg sol'n</t>
  </si>
  <si>
    <r>
      <t xml:space="preserve">log </t>
    </r>
    <r>
      <rPr>
        <i/>
        <sz val="11"/>
        <color rgb="FF000000"/>
        <rFont val="Calibri"/>
        <family val="2"/>
        <scheme val="minor"/>
      </rPr>
      <t>a</t>
    </r>
    <r>
      <rPr>
        <sz val="12"/>
        <color rgb="FF000000"/>
        <rFont val="Calibri"/>
        <family val="2"/>
        <scheme val="minor"/>
      </rPr>
      <t xml:space="preserve"> CH3OO-</t>
    </r>
  </si>
  <si>
    <t>[CH3COO-]</t>
  </si>
  <si>
    <t>log act coeff</t>
  </si>
  <si>
    <r>
      <t xml:space="preserve">log </t>
    </r>
    <r>
      <rPr>
        <i/>
        <sz val="11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 xml:space="preserve"> CH3COO-</t>
    </r>
  </si>
  <si>
    <t>[CH3COO]</t>
  </si>
  <si>
    <r>
      <t xml:space="preserve">log </t>
    </r>
    <r>
      <rPr>
        <i/>
        <sz val="12"/>
        <color rgb="FF000000"/>
        <rFont val="Calibri"/>
        <family val="2"/>
        <scheme val="minor"/>
      </rPr>
      <t>a</t>
    </r>
    <r>
      <rPr>
        <sz val="12"/>
        <color rgb="FF000000"/>
        <rFont val="Calibri"/>
        <family val="2"/>
        <scheme val="minor"/>
      </rPr>
      <t xml:space="preserve"> CH3COO-</t>
    </r>
  </si>
  <si>
    <r>
      <rPr>
        <sz val="12"/>
        <color theme="1"/>
        <rFont val="Symbol"/>
        <family val="1"/>
        <charset val="2"/>
      </rPr>
      <t>D</t>
    </r>
    <r>
      <rPr>
        <i/>
        <sz val="12"/>
        <color theme="1"/>
        <rFont val="Calibri"/>
        <family val="2"/>
        <scheme val="minor"/>
      </rPr>
      <t>G</t>
    </r>
    <r>
      <rPr>
        <i/>
        <vertAlign val="subscript"/>
        <sz val="12"/>
        <color theme="1"/>
        <rFont val="Calibri"/>
        <family val="2"/>
        <scheme val="minor"/>
      </rPr>
      <t xml:space="preserve">r </t>
    </r>
    <r>
      <rPr>
        <sz val="12"/>
        <color theme="1"/>
        <rFont val="Calibri"/>
        <family val="2"/>
        <scheme val="minor"/>
      </rPr>
      <t>per mol e- (kJ)</t>
    </r>
  </si>
  <si>
    <r>
      <rPr>
        <sz val="12"/>
        <color theme="1"/>
        <rFont val="Symbol"/>
        <family val="1"/>
        <charset val="2"/>
      </rPr>
      <t>D</t>
    </r>
    <r>
      <rPr>
        <i/>
        <sz val="12"/>
        <color theme="1"/>
        <rFont val="Calibri"/>
        <family val="2"/>
        <scheme val="minor"/>
      </rPr>
      <t>G</t>
    </r>
    <r>
      <rPr>
        <i/>
        <vertAlign val="subscript"/>
        <sz val="12"/>
        <color theme="1"/>
        <rFont val="Calibri"/>
        <family val="2"/>
        <scheme val="minor"/>
      </rPr>
      <t xml:space="preserve">r </t>
    </r>
    <r>
      <rPr>
        <sz val="12"/>
        <color theme="1"/>
        <rFont val="Calibri"/>
        <family val="2"/>
        <scheme val="minor"/>
      </rPr>
      <t>per kg H2O (J)</t>
    </r>
  </si>
  <si>
    <r>
      <rPr>
        <sz val="12"/>
        <color theme="1"/>
        <rFont val="Calibri (Body)"/>
      </rPr>
      <t>log</t>
    </r>
    <r>
      <rPr>
        <sz val="12"/>
        <color theme="1"/>
        <rFont val="Symbol"/>
        <family val="1"/>
        <charset val="2"/>
      </rPr>
      <t xml:space="preserve"> -D</t>
    </r>
    <r>
      <rPr>
        <i/>
        <sz val="12"/>
        <color theme="1"/>
        <rFont val="Calibri"/>
        <family val="2"/>
        <scheme val="minor"/>
      </rPr>
      <t>G</t>
    </r>
    <r>
      <rPr>
        <i/>
        <vertAlign val="subscript"/>
        <sz val="12"/>
        <color theme="1"/>
        <rFont val="Calibri"/>
        <family val="2"/>
        <scheme val="minor"/>
      </rPr>
      <t xml:space="preserve">r </t>
    </r>
    <r>
      <rPr>
        <sz val="12"/>
        <color theme="1"/>
        <rFont val="Calibri"/>
        <family val="2"/>
        <scheme val="minor"/>
      </rPr>
      <t>per kg H2O (J)</t>
    </r>
  </si>
  <si>
    <t>DGr per mol e- (kJ)</t>
  </si>
  <si>
    <t>log -DGr per kg H2O (J)</t>
  </si>
  <si>
    <t>EA</t>
  </si>
  <si>
    <t>ED</t>
  </si>
  <si>
    <t>acetate</t>
  </si>
  <si>
    <t>Acetate</t>
  </si>
  <si>
    <t>D1_DG</t>
  </si>
  <si>
    <t>D2_DG</t>
  </si>
  <si>
    <t>D3_DG</t>
  </si>
  <si>
    <t>D4_DG</t>
  </si>
  <si>
    <t>D5_DG</t>
  </si>
  <si>
    <t>D6_DG</t>
  </si>
  <si>
    <t>D1_ED</t>
  </si>
  <si>
    <t>D2_ED</t>
  </si>
  <si>
    <t>D3_ED</t>
  </si>
  <si>
    <t>D4_ED</t>
  </si>
  <si>
    <t>D5_ED</t>
  </si>
  <si>
    <t>D6_ED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</si>
</sst>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2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i/>
      <vertAlign val="subscript"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Symbol"/>
      <family val="1"/>
      <charset val="2"/>
    </font>
    <font>
      <i/>
      <vertAlign val="subscript"/>
      <sz val="11"/>
      <color rgb="FF000000"/>
      <name val="Calibri"/>
      <family val="2"/>
      <scheme val="minor"/>
    </font>
    <font>
      <i/>
      <sz val="11"/>
      <color rgb="FF000000"/>
      <name val="Calibri"/>
      <family val="2"/>
    </font>
    <font>
      <i/>
      <vertAlign val="subscript"/>
      <sz val="11"/>
      <color rgb="FF000000"/>
      <name val="Calibri"/>
      <family val="2"/>
    </font>
    <font>
      <sz val="10"/>
      <name val="Verdana"/>
      <family val="2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theme="1"/>
      <name val="Symbol"/>
      <family val="1"/>
      <charset val="2"/>
    </font>
    <font>
      <i/>
      <vertAlign val="subscript"/>
      <sz val="12"/>
      <color theme="1"/>
      <name val="Calibri"/>
      <family val="2"/>
      <scheme val="minor"/>
    </font>
    <font>
      <sz val="12"/>
      <color theme="1"/>
      <name val="Calibri"/>
      <family val="1"/>
      <charset val="2"/>
      <scheme val="minor"/>
    </font>
    <font>
      <sz val="12"/>
      <color theme="1"/>
      <name val="Calibri (Body)"/>
    </font>
    <font>
      <u/>
      <sz val="12"/>
      <color theme="1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CDDC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17" fillId="0" borderId="0"/>
    <xf numFmtId="0" fontId="24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 wrapText="1"/>
    </xf>
    <xf numFmtId="0" fontId="2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7" fillId="4" borderId="0" xfId="0" applyFont="1" applyFill="1"/>
    <xf numFmtId="164" fontId="0" fillId="0" borderId="0" xfId="0" applyNumberFormat="1"/>
    <xf numFmtId="0" fontId="9" fillId="5" borderId="0" xfId="0" applyFont="1" applyFill="1"/>
    <xf numFmtId="0" fontId="9" fillId="6" borderId="0" xfId="0" applyFont="1" applyFill="1"/>
    <xf numFmtId="0" fontId="9" fillId="0" borderId="0" xfId="0" applyFont="1"/>
    <xf numFmtId="0" fontId="13" fillId="0" borderId="0" xfId="0" applyFont="1"/>
    <xf numFmtId="0" fontId="0" fillId="0" borderId="0" xfId="0" applyBorder="1"/>
    <xf numFmtId="0" fontId="2" fillId="0" borderId="1" xfId="0" applyFont="1" applyBorder="1"/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0" xfId="0" applyFont="1" applyFill="1" applyAlignment="1">
      <alignment horizontal="right"/>
    </xf>
    <xf numFmtId="11" fontId="0" fillId="0" borderId="0" xfId="0" applyNumberFormat="1" applyFill="1"/>
    <xf numFmtId="0" fontId="7" fillId="0" borderId="0" xfId="1" applyFont="1" applyFill="1" applyAlignment="1">
      <alignment horizontal="center" wrapText="1"/>
    </xf>
    <xf numFmtId="0" fontId="9" fillId="0" borderId="0" xfId="0" applyFont="1" applyFill="1" applyBorder="1" applyAlignment="1">
      <alignment horizontal="right" vertical="center"/>
    </xf>
    <xf numFmtId="0" fontId="7" fillId="0" borderId="0" xfId="1" applyFont="1" applyFill="1" applyAlignment="1">
      <alignment horizontal="right"/>
    </xf>
    <xf numFmtId="0" fontId="2" fillId="0" borderId="0" xfId="0" applyFont="1" applyBorder="1"/>
    <xf numFmtId="0" fontId="0" fillId="0" borderId="0" xfId="0" applyFont="1"/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3" borderId="0" xfId="0" applyFont="1" applyFill="1"/>
    <xf numFmtId="0" fontId="2" fillId="2" borderId="1" xfId="0" applyFont="1" applyFill="1" applyBorder="1"/>
    <xf numFmtId="0" fontId="2" fillId="2" borderId="0" xfId="0" applyFont="1" applyFill="1"/>
    <xf numFmtId="0" fontId="2" fillId="7" borderId="0" xfId="0" applyFont="1" applyFill="1"/>
    <xf numFmtId="0" fontId="2" fillId="7" borderId="0" xfId="0" applyFont="1" applyFill="1" applyBorder="1"/>
    <xf numFmtId="0" fontId="2" fillId="8" borderId="0" xfId="0" applyFont="1" applyFill="1"/>
    <xf numFmtId="0" fontId="0" fillId="9" borderId="0" xfId="0" applyFill="1"/>
    <xf numFmtId="0" fontId="9" fillId="10" borderId="0" xfId="0" applyFont="1" applyFill="1"/>
    <xf numFmtId="0" fontId="9" fillId="11" borderId="0" xfId="0" applyFont="1" applyFill="1"/>
    <xf numFmtId="0" fontId="2" fillId="3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7" borderId="0" xfId="0" applyFont="1" applyFill="1" applyBorder="1" applyAlignment="1">
      <alignment wrapText="1"/>
    </xf>
    <xf numFmtId="0" fontId="2" fillId="8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0" fillId="0" borderId="0" xfId="0" applyFill="1" applyAlignment="1">
      <alignment horizontal="center"/>
    </xf>
    <xf numFmtId="11" fontId="0" fillId="0" borderId="0" xfId="0" applyNumberFormat="1"/>
    <xf numFmtId="0" fontId="2" fillId="0" borderId="0" xfId="0" applyFont="1" applyFill="1"/>
    <xf numFmtId="2" fontId="0" fillId="0" borderId="0" xfId="0" applyNumberFormat="1"/>
    <xf numFmtId="0" fontId="2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0" fontId="2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0" fillId="12" borderId="0" xfId="0" applyFill="1"/>
    <xf numFmtId="0" fontId="0" fillId="7" borderId="0" xfId="0" applyFill="1"/>
    <xf numFmtId="0" fontId="0" fillId="8" borderId="0" xfId="0" applyFill="1"/>
    <xf numFmtId="0" fontId="2" fillId="13" borderId="0" xfId="0" applyFont="1" applyFill="1" applyAlignment="1">
      <alignment wrapText="1"/>
    </xf>
    <xf numFmtId="0" fontId="2" fillId="13" borderId="0" xfId="0" applyFont="1" applyFill="1" applyBorder="1" applyAlignment="1">
      <alignment wrapText="1"/>
    </xf>
    <xf numFmtId="0" fontId="2" fillId="14" borderId="0" xfId="0" applyFont="1" applyFill="1" applyAlignment="1">
      <alignment wrapText="1"/>
    </xf>
    <xf numFmtId="0" fontId="2" fillId="15" borderId="0" xfId="0" applyFont="1" applyFill="1" applyAlignment="1">
      <alignment wrapText="1"/>
    </xf>
    <xf numFmtId="0" fontId="2" fillId="16" borderId="0" xfId="0" applyFont="1" applyFill="1" applyAlignment="1">
      <alignment wrapText="1"/>
    </xf>
    <xf numFmtId="0" fontId="2" fillId="17" borderId="0" xfId="0" applyFont="1" applyFill="1" applyAlignment="1">
      <alignment wrapText="1"/>
    </xf>
    <xf numFmtId="0" fontId="2" fillId="17" borderId="0" xfId="0" applyFont="1" applyFill="1" applyBorder="1" applyAlignment="1">
      <alignment wrapText="1"/>
    </xf>
    <xf numFmtId="0" fontId="2" fillId="18" borderId="0" xfId="0" applyFont="1" applyFill="1" applyAlignment="1">
      <alignment wrapText="1"/>
    </xf>
    <xf numFmtId="0" fontId="2" fillId="18" borderId="0" xfId="0" applyFont="1" applyFill="1" applyBorder="1" applyAlignment="1">
      <alignment wrapText="1"/>
    </xf>
    <xf numFmtId="165" fontId="0" fillId="0" borderId="0" xfId="0" applyNumberFormat="1"/>
    <xf numFmtId="2" fontId="0" fillId="0" borderId="0" xfId="0" applyNumberFormat="1" applyFill="1"/>
    <xf numFmtId="0" fontId="24" fillId="0" borderId="0" xfId="2"/>
  </cellXfs>
  <cellStyles count="3">
    <cellStyle name="Hyperlink" xfId="2" builtinId="8"/>
    <cellStyle name="Normal" xfId="0" builtinId="0"/>
    <cellStyle name="Normal 2" xfId="1" xr:uid="{F4CC3C76-17AE-6A4E-B949-15EA18729C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Symbol" pitchFamily="2" charset="2"/>
              </a:rPr>
              <a:t>D</a:t>
            </a:r>
            <a:r>
              <a:rPr lang="en-US"/>
              <a:t>G</a:t>
            </a:r>
            <a:r>
              <a:rPr lang="en-US" baseline="0"/>
              <a:t> per mol e-</a:t>
            </a:r>
            <a:endParaRPr lang="en-US"/>
          </a:p>
        </c:rich>
      </c:tx>
      <c:layout>
        <c:manualLayout>
          <c:xMode val="edge"/>
          <c:yMode val="edge"/>
          <c:x val="0.6131756347504379"/>
          <c:y val="1.319835268060605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0694353954196472"/>
          <c:y val="8.9616439748113938E-2"/>
          <c:w val="0.56349828932506096"/>
          <c:h val="0.8948687466945534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'all rxns'!$G$19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rxns'!$F$20:$F$37</c:f>
              <c:strCache>
                <c:ptCount val="18"/>
                <c:pt idx="0">
                  <c:v>O2 + 2H2 = 2H2O</c:v>
                </c:pt>
                <c:pt idx="1">
                  <c:v>O2 + 4Fe++ + 6H2O = 4FeOOHfer + 8H+</c:v>
                </c:pt>
                <c:pt idx="2">
                  <c:v>2O2 +  NH4+ = NO3- +  2H+ + H2O</c:v>
                </c:pt>
                <c:pt idx="3">
                  <c:v>O2 + 2H+ + 2HS- =2S0 + 2H2O</c:v>
                </c:pt>
                <c:pt idx="4">
                  <c:v>2O2 + HS- = SO4-- + H+</c:v>
                </c:pt>
                <c:pt idx="5">
                  <c:v>2O2 + CH4 = HCO3- + H++ H2O</c:v>
                </c:pt>
                <c:pt idx="6">
                  <c:v>CH3COO- + 2O2 --&gt; 2HCO3- + H+</c:v>
                </c:pt>
                <c:pt idx="7">
                  <c:v>NO3 + 2H+ + 4H2 = NH4+ + 3H2O</c:v>
                </c:pt>
                <c:pt idx="8">
                  <c:v>NO3 +  8Fe++ + 13H2O = NH4+ +  8FeOOH + 14H+</c:v>
                </c:pt>
                <c:pt idx="9">
                  <c:v>NO3 + 6H+ + 4HS- = 4S0 +  NH4+ + 3H2O</c:v>
                </c:pt>
                <c:pt idx="10">
                  <c:v>NO3 + H+ +  HS- + H2O = SO4-- +  NH4+</c:v>
                </c:pt>
                <c:pt idx="11">
                  <c:v>NO3 + 1H+ + CH4 = HCO3- + NH4+</c:v>
                </c:pt>
                <c:pt idx="12">
                  <c:v>CH3COO- + NO3 + H+ + H2O --&gt; NH4+ + 2HCO3-</c:v>
                </c:pt>
                <c:pt idx="13">
                  <c:v>SO4-- + H+ +4H2 = HS- + 4H2O</c:v>
                </c:pt>
                <c:pt idx="14">
                  <c:v>SO4-- + CH4 + = HCO3- +HS- + H2O</c:v>
                </c:pt>
                <c:pt idx="15">
                  <c:v>CH3COO- + SO4-- --&gt; 2HCO3- + HS-</c:v>
                </c:pt>
                <c:pt idx="16">
                  <c:v>HCO3- + H+ + 4H2 = CH4 + 3H2O</c:v>
                </c:pt>
                <c:pt idx="17">
                  <c:v>CH3COO- + H2O --&gt; HCO3- + CH4</c:v>
                </c:pt>
              </c:strCache>
            </c:strRef>
          </c:cat>
          <c:val>
            <c:numRef>
              <c:f>'all rxns'!$G$20:$G$37</c:f>
              <c:numCache>
                <c:formatCode>General</c:formatCode>
                <c:ptCount val="18"/>
                <c:pt idx="0">
                  <c:v>-97.441217069572517</c:v>
                </c:pt>
                <c:pt idx="1">
                  <c:v>-66.809713118968332</c:v>
                </c:pt>
                <c:pt idx="2">
                  <c:v>-40.27165375177551</c:v>
                </c:pt>
                <c:pt idx="3">
                  <c:v>-80.98498807893229</c:v>
                </c:pt>
                <c:pt idx="4">
                  <c:v>-93.195754087327131</c:v>
                </c:pt>
                <c:pt idx="5">
                  <c:v>-95.824750241649724</c:v>
                </c:pt>
                <c:pt idx="6">
                  <c:v>-100.14242535358213</c:v>
                </c:pt>
                <c:pt idx="7">
                  <c:v>-59.71990588485491</c:v>
                </c:pt>
                <c:pt idx="8">
                  <c:v>-8.6851867640712861</c:v>
                </c:pt>
                <c:pt idx="9">
                  <c:v>-48.364497637963673</c:v>
                </c:pt>
                <c:pt idx="10">
                  <c:v>-54.199305521488881</c:v>
                </c:pt>
                <c:pt idx="11">
                  <c:v>-56.828233870994858</c:v>
                </c:pt>
                <c:pt idx="12">
                  <c:v>-61.145908982927246</c:v>
                </c:pt>
                <c:pt idx="13">
                  <c:v>-4.2453951774287919</c:v>
                </c:pt>
                <c:pt idx="14">
                  <c:v>-2.628928349505991</c:v>
                </c:pt>
                <c:pt idx="15">
                  <c:v>-6.946603461438376</c:v>
                </c:pt>
                <c:pt idx="16" formatCode="0.00">
                  <c:v>-28.517892207640674</c:v>
                </c:pt>
                <c:pt idx="17" formatCode="0.00">
                  <c:v>-4.3176751119323846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F-FF4E-B126-1BC02FB8288F}"/>
            </c:ext>
          </c:extLst>
        </c:ser>
        <c:ser>
          <c:idx val="1"/>
          <c:order val="1"/>
          <c:tx>
            <c:strRef>
              <c:f>'all rxns'!$H$19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'all rxns'!$F$20:$F$37</c:f>
              <c:strCache>
                <c:ptCount val="18"/>
                <c:pt idx="0">
                  <c:v>O2 + 2H2 = 2H2O</c:v>
                </c:pt>
                <c:pt idx="1">
                  <c:v>O2 + 4Fe++ + 6H2O = 4FeOOHfer + 8H+</c:v>
                </c:pt>
                <c:pt idx="2">
                  <c:v>2O2 +  NH4+ = NO3- +  2H+ + H2O</c:v>
                </c:pt>
                <c:pt idx="3">
                  <c:v>O2 + 2H+ + 2HS- =2S0 + 2H2O</c:v>
                </c:pt>
                <c:pt idx="4">
                  <c:v>2O2 + HS- = SO4-- + H+</c:v>
                </c:pt>
                <c:pt idx="5">
                  <c:v>2O2 + CH4 = HCO3- + H++ H2O</c:v>
                </c:pt>
                <c:pt idx="6">
                  <c:v>CH3COO- + 2O2 --&gt; 2HCO3- + H+</c:v>
                </c:pt>
                <c:pt idx="7">
                  <c:v>NO3 + 2H+ + 4H2 = NH4+ + 3H2O</c:v>
                </c:pt>
                <c:pt idx="8">
                  <c:v>NO3 +  8Fe++ + 13H2O = NH4+ +  8FeOOH + 14H+</c:v>
                </c:pt>
                <c:pt idx="9">
                  <c:v>NO3 + 6H+ + 4HS- = 4S0 +  NH4+ + 3H2O</c:v>
                </c:pt>
                <c:pt idx="10">
                  <c:v>NO3 + H+ +  HS- + H2O = SO4-- +  NH4+</c:v>
                </c:pt>
                <c:pt idx="11">
                  <c:v>NO3 + 1H+ + CH4 = HCO3- + NH4+</c:v>
                </c:pt>
                <c:pt idx="12">
                  <c:v>CH3COO- + NO3 + H+ + H2O --&gt; NH4+ + 2HCO3-</c:v>
                </c:pt>
                <c:pt idx="13">
                  <c:v>SO4-- + H+ +4H2 = HS- + 4H2O</c:v>
                </c:pt>
                <c:pt idx="14">
                  <c:v>SO4-- + CH4 + = HCO3- +HS- + H2O</c:v>
                </c:pt>
                <c:pt idx="15">
                  <c:v>CH3COO- + SO4-- --&gt; 2HCO3- + HS-</c:v>
                </c:pt>
                <c:pt idx="16">
                  <c:v>HCO3- + H+ + 4H2 = CH4 + 3H2O</c:v>
                </c:pt>
                <c:pt idx="17">
                  <c:v>CH3COO- + H2O --&gt; HCO3- + CH4</c:v>
                </c:pt>
              </c:strCache>
            </c:strRef>
          </c:cat>
          <c:val>
            <c:numRef>
              <c:f>'all rxns'!$H$20:$H$37</c:f>
              <c:numCache>
                <c:formatCode>General</c:formatCode>
                <c:ptCount val="18"/>
                <c:pt idx="0">
                  <c:v>-98.15613621684696</c:v>
                </c:pt>
                <c:pt idx="1">
                  <c:v>-67.850998843854015</c:v>
                </c:pt>
                <c:pt idx="2">
                  <c:v>-39.705810685957879</c:v>
                </c:pt>
                <c:pt idx="3">
                  <c:v>-83.773460563567511</c:v>
                </c:pt>
                <c:pt idx="4">
                  <c:v>-95.407172040750211</c:v>
                </c:pt>
                <c:pt idx="5">
                  <c:v>-96.692649548700814</c:v>
                </c:pt>
                <c:pt idx="6">
                  <c:v>-101.04424262598984</c:v>
                </c:pt>
                <c:pt idx="7">
                  <c:v>-57.487054165932399</c:v>
                </c:pt>
                <c:pt idx="8">
                  <c:v>-34.88214496626243</c:v>
                </c:pt>
                <c:pt idx="9">
                  <c:v>-41.177835782739642</c:v>
                </c:pt>
                <c:pt idx="10">
                  <c:v>-55.219725672313992</c:v>
                </c:pt>
                <c:pt idx="11">
                  <c:v>-56.505203180264608</c:v>
                </c:pt>
                <c:pt idx="12">
                  <c:v>-60.856796257553611</c:v>
                </c:pt>
                <c:pt idx="13">
                  <c:v>-2.7489641760967398</c:v>
                </c:pt>
                <c:pt idx="14">
                  <c:v>-1.2854775079506142</c:v>
                </c:pt>
                <c:pt idx="15">
                  <c:v>-5.6370705852396243</c:v>
                </c:pt>
                <c:pt idx="16" formatCode="0.00">
                  <c:v>-28.383444470927415</c:v>
                </c:pt>
                <c:pt idx="17" formatCode="0.00">
                  <c:v>-4.3515930772890083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7F-FF4E-B126-1BC02FB8288F}"/>
            </c:ext>
          </c:extLst>
        </c:ser>
        <c:ser>
          <c:idx val="2"/>
          <c:order val="2"/>
          <c:tx>
            <c:strRef>
              <c:f>'all rxns'!$I$19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'all rxns'!$F$20:$F$37</c:f>
              <c:strCache>
                <c:ptCount val="18"/>
                <c:pt idx="0">
                  <c:v>O2 + 2H2 = 2H2O</c:v>
                </c:pt>
                <c:pt idx="1">
                  <c:v>O2 + 4Fe++ + 6H2O = 4FeOOHfer + 8H+</c:v>
                </c:pt>
                <c:pt idx="2">
                  <c:v>2O2 +  NH4+ = NO3- +  2H+ + H2O</c:v>
                </c:pt>
                <c:pt idx="3">
                  <c:v>O2 + 2H+ + 2HS- =2S0 + 2H2O</c:v>
                </c:pt>
                <c:pt idx="4">
                  <c:v>2O2 + HS- = SO4-- + H+</c:v>
                </c:pt>
                <c:pt idx="5">
                  <c:v>2O2 + CH4 = HCO3- + H++ H2O</c:v>
                </c:pt>
                <c:pt idx="6">
                  <c:v>CH3COO- + 2O2 --&gt; 2HCO3- + H+</c:v>
                </c:pt>
                <c:pt idx="7">
                  <c:v>NO3 + 2H+ + 4H2 = NH4+ + 3H2O</c:v>
                </c:pt>
                <c:pt idx="8">
                  <c:v>NO3 +  8Fe++ + 13H2O = NH4+ +  8FeOOH + 14H+</c:v>
                </c:pt>
                <c:pt idx="9">
                  <c:v>NO3 + 6H+ + 4HS- = 4S0 +  NH4+ + 3H2O</c:v>
                </c:pt>
                <c:pt idx="10">
                  <c:v>NO3 + H+ +  HS- + H2O = SO4-- +  NH4+</c:v>
                </c:pt>
                <c:pt idx="11">
                  <c:v>NO3 + 1H+ + CH4 = HCO3- + NH4+</c:v>
                </c:pt>
                <c:pt idx="12">
                  <c:v>CH3COO- + NO3 + H+ + H2O --&gt; NH4+ + 2HCO3-</c:v>
                </c:pt>
                <c:pt idx="13">
                  <c:v>SO4-- + H+ +4H2 = HS- + 4H2O</c:v>
                </c:pt>
                <c:pt idx="14">
                  <c:v>SO4-- + CH4 + = HCO3- +HS- + H2O</c:v>
                </c:pt>
                <c:pt idx="15">
                  <c:v>CH3COO- + SO4-- --&gt; 2HCO3- + HS-</c:v>
                </c:pt>
                <c:pt idx="16">
                  <c:v>HCO3- + H+ + 4H2 = CH4 + 3H2O</c:v>
                </c:pt>
                <c:pt idx="17">
                  <c:v>CH3COO- + H2O --&gt; HCO3- + CH4</c:v>
                </c:pt>
              </c:strCache>
            </c:strRef>
          </c:cat>
          <c:val>
            <c:numRef>
              <c:f>'all rxns'!$I$20:$I$37</c:f>
              <c:numCache>
                <c:formatCode>General</c:formatCode>
                <c:ptCount val="18"/>
                <c:pt idx="0">
                  <c:v>-98.590225094028767</c:v>
                </c:pt>
                <c:pt idx="1">
                  <c:v>-66.884723483788974</c:v>
                </c:pt>
                <c:pt idx="2">
                  <c:v>-41.291283412843164</c:v>
                </c:pt>
                <c:pt idx="3">
                  <c:v>-83.31363591708778</c:v>
                </c:pt>
                <c:pt idx="4">
                  <c:v>-94.003012265544669</c:v>
                </c:pt>
                <c:pt idx="5">
                  <c:v>-96.939470808776605</c:v>
                </c:pt>
                <c:pt idx="6">
                  <c:v>-100.23772618411942</c:v>
                </c:pt>
                <c:pt idx="7">
                  <c:v>-60.107210491670351</c:v>
                </c:pt>
                <c:pt idx="8">
                  <c:v>-5.9355583975524855</c:v>
                </c:pt>
                <c:pt idx="9">
                  <c:v>-50.447158935698916</c:v>
                </c:pt>
                <c:pt idx="10">
                  <c:v>-54.11593247486222</c:v>
                </c:pt>
                <c:pt idx="11">
                  <c:v>-57.052391018094141</c:v>
                </c:pt>
                <c:pt idx="12">
                  <c:v>-60.350577176518634</c:v>
                </c:pt>
                <c:pt idx="13">
                  <c:v>-4.5872128284840885</c:v>
                </c:pt>
                <c:pt idx="14">
                  <c:v>-2.9364585432319186</c:v>
                </c:pt>
                <c:pt idx="15">
                  <c:v>-6.2347139185747498</c:v>
                </c:pt>
                <c:pt idx="16" formatCode="0.00">
                  <c:v>-28.124841208858658</c:v>
                </c:pt>
                <c:pt idx="17" formatCode="0.00">
                  <c:v>-3.2982553753428312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7F-FF4E-B126-1BC02FB8288F}"/>
            </c:ext>
          </c:extLst>
        </c:ser>
        <c:ser>
          <c:idx val="3"/>
          <c:order val="3"/>
          <c:tx>
            <c:strRef>
              <c:f>'all rxns'!$J$19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'all rxns'!$F$20:$F$37</c:f>
              <c:strCache>
                <c:ptCount val="18"/>
                <c:pt idx="0">
                  <c:v>O2 + 2H2 = 2H2O</c:v>
                </c:pt>
                <c:pt idx="1">
                  <c:v>O2 + 4Fe++ + 6H2O = 4FeOOHfer + 8H+</c:v>
                </c:pt>
                <c:pt idx="2">
                  <c:v>2O2 +  NH4+ = NO3- +  2H+ + H2O</c:v>
                </c:pt>
                <c:pt idx="3">
                  <c:v>O2 + 2H+ + 2HS- =2S0 + 2H2O</c:v>
                </c:pt>
                <c:pt idx="4">
                  <c:v>2O2 + HS- = SO4-- + H+</c:v>
                </c:pt>
                <c:pt idx="5">
                  <c:v>2O2 + CH4 = HCO3- + H++ H2O</c:v>
                </c:pt>
                <c:pt idx="6">
                  <c:v>CH3COO- + 2O2 --&gt; 2HCO3- + H+</c:v>
                </c:pt>
                <c:pt idx="7">
                  <c:v>NO3 + 2H+ + 4H2 = NH4+ + 3H2O</c:v>
                </c:pt>
                <c:pt idx="8">
                  <c:v>NO3 +  8Fe++ + 13H2O = NH4+ +  8FeOOH + 14H+</c:v>
                </c:pt>
                <c:pt idx="9">
                  <c:v>NO3 + 6H+ + 4HS- = 4S0 +  NH4+ + 3H2O</c:v>
                </c:pt>
                <c:pt idx="10">
                  <c:v>NO3 + H+ +  HS- + H2O = SO4-- +  NH4+</c:v>
                </c:pt>
                <c:pt idx="11">
                  <c:v>NO3 + 1H+ + CH4 = HCO3- + NH4+</c:v>
                </c:pt>
                <c:pt idx="12">
                  <c:v>CH3COO- + NO3 + H+ + H2O --&gt; NH4+ + 2HCO3-</c:v>
                </c:pt>
                <c:pt idx="13">
                  <c:v>SO4-- + H+ +4H2 = HS- + 4H2O</c:v>
                </c:pt>
                <c:pt idx="14">
                  <c:v>SO4-- + CH4 + = HCO3- +HS- + H2O</c:v>
                </c:pt>
                <c:pt idx="15">
                  <c:v>CH3COO- + SO4-- --&gt; 2HCO3- + HS-</c:v>
                </c:pt>
                <c:pt idx="16">
                  <c:v>HCO3- + H+ + 4H2 = CH4 + 3H2O</c:v>
                </c:pt>
                <c:pt idx="17">
                  <c:v>CH3COO- + H2O --&gt; HCO3- + CH4</c:v>
                </c:pt>
              </c:strCache>
            </c:strRef>
          </c:cat>
          <c:val>
            <c:numRef>
              <c:f>'all rxns'!$J$20:$J$37</c:f>
              <c:numCache>
                <c:formatCode>General</c:formatCode>
                <c:ptCount val="18"/>
                <c:pt idx="0">
                  <c:v>-96.436316371422294</c:v>
                </c:pt>
                <c:pt idx="1">
                  <c:v>-56.12518587995865</c:v>
                </c:pt>
                <c:pt idx="2">
                  <c:v>-42.2000472683685</c:v>
                </c:pt>
                <c:pt idx="3">
                  <c:v>-84.190042012122362</c:v>
                </c:pt>
                <c:pt idx="4">
                  <c:v>-95.49482842271189</c:v>
                </c:pt>
                <c:pt idx="5">
                  <c:v>-97.117961567461265</c:v>
                </c:pt>
                <c:pt idx="6">
                  <c:v>-99.546154607055172</c:v>
                </c:pt>
                <c:pt idx="7">
                  <c:v>-60.017805712370873</c:v>
                </c:pt>
                <c:pt idx="8">
                  <c:v>26.545051855583363</c:v>
                </c:pt>
                <c:pt idx="9">
                  <c:v>-59.334463122193597</c:v>
                </c:pt>
                <c:pt idx="10">
                  <c:v>-56.18558482137982</c:v>
                </c:pt>
                <c:pt idx="11">
                  <c:v>-57.808647241373428</c:v>
                </c:pt>
                <c:pt idx="12">
                  <c:v>-60.236911005723108</c:v>
                </c:pt>
                <c:pt idx="13">
                  <c:v>-0.94148794871039676</c:v>
                </c:pt>
                <c:pt idx="14">
                  <c:v>-1.6230624199936123</c:v>
                </c:pt>
                <c:pt idx="15">
                  <c:v>-4.0513261843432877</c:v>
                </c:pt>
                <c:pt idx="16" formatCode="0.00">
                  <c:v>-26.688835284642888</c:v>
                </c:pt>
                <c:pt idx="17" formatCode="0.00">
                  <c:v>-2.4281930395939115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7F-FF4E-B126-1BC02FB8288F}"/>
            </c:ext>
          </c:extLst>
        </c:ser>
        <c:ser>
          <c:idx val="4"/>
          <c:order val="4"/>
          <c:tx>
            <c:strRef>
              <c:f>'all rxns'!$K$19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rxns'!$F$20:$F$37</c:f>
              <c:strCache>
                <c:ptCount val="18"/>
                <c:pt idx="0">
                  <c:v>O2 + 2H2 = 2H2O</c:v>
                </c:pt>
                <c:pt idx="1">
                  <c:v>O2 + 4Fe++ + 6H2O = 4FeOOHfer + 8H+</c:v>
                </c:pt>
                <c:pt idx="2">
                  <c:v>2O2 +  NH4+ = NO3- +  2H+ + H2O</c:v>
                </c:pt>
                <c:pt idx="3">
                  <c:v>O2 + 2H+ + 2HS- =2S0 + 2H2O</c:v>
                </c:pt>
                <c:pt idx="4">
                  <c:v>2O2 + HS- = SO4-- + H+</c:v>
                </c:pt>
                <c:pt idx="5">
                  <c:v>2O2 + CH4 = HCO3- + H++ H2O</c:v>
                </c:pt>
                <c:pt idx="6">
                  <c:v>CH3COO- + 2O2 --&gt; 2HCO3- + H+</c:v>
                </c:pt>
                <c:pt idx="7">
                  <c:v>NO3 + 2H+ + 4H2 = NH4+ + 3H2O</c:v>
                </c:pt>
                <c:pt idx="8">
                  <c:v>NO3 +  8Fe++ + 13H2O = NH4+ +  8FeOOH + 14H+</c:v>
                </c:pt>
                <c:pt idx="9">
                  <c:v>NO3 + 6H+ + 4HS- = 4S0 +  NH4+ + 3H2O</c:v>
                </c:pt>
                <c:pt idx="10">
                  <c:v>NO3 + H+ +  HS- + H2O = SO4-- +  NH4+</c:v>
                </c:pt>
                <c:pt idx="11">
                  <c:v>NO3 + 1H+ + CH4 = HCO3- + NH4+</c:v>
                </c:pt>
                <c:pt idx="12">
                  <c:v>CH3COO- + NO3 + H+ + H2O --&gt; NH4+ + 2HCO3-</c:v>
                </c:pt>
                <c:pt idx="13">
                  <c:v>SO4-- + H+ +4H2 = HS- + 4H2O</c:v>
                </c:pt>
                <c:pt idx="14">
                  <c:v>SO4-- + CH4 + = HCO3- +HS- + H2O</c:v>
                </c:pt>
                <c:pt idx="15">
                  <c:v>CH3COO- + SO4-- --&gt; 2HCO3- + HS-</c:v>
                </c:pt>
                <c:pt idx="16">
                  <c:v>HCO3- + H+ + 4H2 = CH4 + 3H2O</c:v>
                </c:pt>
                <c:pt idx="17">
                  <c:v>CH3COO- + H2O --&gt; HCO3- + CH4</c:v>
                </c:pt>
              </c:strCache>
            </c:strRef>
          </c:cat>
          <c:val>
            <c:numRef>
              <c:f>'all rxns'!$K$20:$K$37</c:f>
              <c:numCache>
                <c:formatCode>General</c:formatCode>
                <c:ptCount val="18"/>
                <c:pt idx="0">
                  <c:v>-96.311928782397786</c:v>
                </c:pt>
                <c:pt idx="1">
                  <c:v>-62.27252712934829</c:v>
                </c:pt>
                <c:pt idx="2">
                  <c:v>-43.565157141548923</c:v>
                </c:pt>
                <c:pt idx="3">
                  <c:v>-81.863112103414949</c:v>
                </c:pt>
                <c:pt idx="4">
                  <c:v>-96.385876432969567</c:v>
                </c:pt>
                <c:pt idx="5">
                  <c:v>-97.996753803265804</c:v>
                </c:pt>
                <c:pt idx="6">
                  <c:v>-100.70386498361651</c:v>
                </c:pt>
                <c:pt idx="7">
                  <c:v>-58.390275474329059</c:v>
                </c:pt>
                <c:pt idx="8">
                  <c:v>20.797229773239152</c:v>
                </c:pt>
                <c:pt idx="9">
                  <c:v>-55.228466462306642</c:v>
                </c:pt>
                <c:pt idx="10">
                  <c:v>-55.642471208160757</c:v>
                </c:pt>
                <c:pt idx="11">
                  <c:v>-57.253275651779894</c:v>
                </c:pt>
                <c:pt idx="12">
                  <c:v>-59.960386832130581</c:v>
                </c:pt>
                <c:pt idx="13">
                  <c:v>7.3947650571798834E-2</c:v>
                </c:pt>
                <c:pt idx="14">
                  <c:v>-1.6108044436191398</c:v>
                </c:pt>
                <c:pt idx="15">
                  <c:v>-4.3179156239698324</c:v>
                </c:pt>
                <c:pt idx="16" formatCode="0.00">
                  <c:v>-26.600807663521095</c:v>
                </c:pt>
                <c:pt idx="17" formatCode="0.00">
                  <c:v>-2.7071111803506933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7F-FF4E-B126-1BC02FB8288F}"/>
            </c:ext>
          </c:extLst>
        </c:ser>
        <c:ser>
          <c:idx val="5"/>
          <c:order val="5"/>
          <c:tx>
            <c:strRef>
              <c:f>'all rxns'!$L$19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'all rxns'!$F$20:$F$37</c:f>
              <c:strCache>
                <c:ptCount val="18"/>
                <c:pt idx="0">
                  <c:v>O2 + 2H2 = 2H2O</c:v>
                </c:pt>
                <c:pt idx="1">
                  <c:v>O2 + 4Fe++ + 6H2O = 4FeOOHfer + 8H+</c:v>
                </c:pt>
                <c:pt idx="2">
                  <c:v>2O2 +  NH4+ = NO3- +  2H+ + H2O</c:v>
                </c:pt>
                <c:pt idx="3">
                  <c:v>O2 + 2H+ + 2HS- =2S0 + 2H2O</c:v>
                </c:pt>
                <c:pt idx="4">
                  <c:v>2O2 + HS- = SO4-- + H+</c:v>
                </c:pt>
                <c:pt idx="5">
                  <c:v>2O2 + CH4 = HCO3- + H++ H2O</c:v>
                </c:pt>
                <c:pt idx="6">
                  <c:v>CH3COO- + 2O2 --&gt; 2HCO3- + H+</c:v>
                </c:pt>
                <c:pt idx="7">
                  <c:v>NO3 + 2H+ + 4H2 = NH4+ + 3H2O</c:v>
                </c:pt>
                <c:pt idx="8">
                  <c:v>NO3 +  8Fe++ + 13H2O = NH4+ +  8FeOOH + 14H+</c:v>
                </c:pt>
                <c:pt idx="9">
                  <c:v>NO3 + 6H+ + 4HS- = 4S0 +  NH4+ + 3H2O</c:v>
                </c:pt>
                <c:pt idx="10">
                  <c:v>NO3 + H+ +  HS- + H2O = SO4-- +  NH4+</c:v>
                </c:pt>
                <c:pt idx="11">
                  <c:v>NO3 + 1H+ + CH4 = HCO3- + NH4+</c:v>
                </c:pt>
                <c:pt idx="12">
                  <c:v>CH3COO- + NO3 + H+ + H2O --&gt; NH4+ + 2HCO3-</c:v>
                </c:pt>
                <c:pt idx="13">
                  <c:v>SO4-- + H+ +4H2 = HS- + 4H2O</c:v>
                </c:pt>
                <c:pt idx="14">
                  <c:v>SO4-- + CH4 + = HCO3- +HS- + H2O</c:v>
                </c:pt>
                <c:pt idx="15">
                  <c:v>CH3COO- + SO4-- --&gt; 2HCO3- + HS-</c:v>
                </c:pt>
                <c:pt idx="16">
                  <c:v>HCO3- + H+ + 4H2 = CH4 + 3H2O</c:v>
                </c:pt>
                <c:pt idx="17">
                  <c:v>CH3COO- + H2O --&gt; HCO3- + CH4</c:v>
                </c:pt>
              </c:strCache>
            </c:strRef>
          </c:cat>
          <c:val>
            <c:numRef>
              <c:f>'all rxns'!$L$20:$L$37</c:f>
              <c:numCache>
                <c:formatCode>General</c:formatCode>
                <c:ptCount val="18"/>
                <c:pt idx="0">
                  <c:v>-97.482458768876299</c:v>
                </c:pt>
                <c:pt idx="1">
                  <c:v>-75.957904223589495</c:v>
                </c:pt>
                <c:pt idx="2">
                  <c:v>-41.904637383066053</c:v>
                </c:pt>
                <c:pt idx="3">
                  <c:v>-82.047562266443535</c:v>
                </c:pt>
                <c:pt idx="4">
                  <c:v>-94.39935616629657</c:v>
                </c:pt>
                <c:pt idx="5">
                  <c:v>-98.644763286755179</c:v>
                </c:pt>
                <c:pt idx="6">
                  <c:v>-101.07481850557822</c:v>
                </c:pt>
                <c:pt idx="7">
                  <c:v>-59.323063990873557</c:v>
                </c:pt>
                <c:pt idx="8">
                  <c:v>-7.8361456925813293</c:v>
                </c:pt>
                <c:pt idx="9">
                  <c:v>-51.378864154816888</c:v>
                </c:pt>
                <c:pt idx="10">
                  <c:v>-54.367304843053908</c:v>
                </c:pt>
                <c:pt idx="11">
                  <c:v>-58.612782448928996</c:v>
                </c:pt>
                <c:pt idx="12">
                  <c:v>-61.042767182335574</c:v>
                </c:pt>
                <c:pt idx="13">
                  <c:v>-3.0831026025797361</c:v>
                </c:pt>
                <c:pt idx="14">
                  <c:v>-4.2454776058751005</c:v>
                </c:pt>
                <c:pt idx="15">
                  <c:v>-6.675462339281661</c:v>
                </c:pt>
                <c:pt idx="16" formatCode="0.00">
                  <c:v>-25.648021896068421</c:v>
                </c:pt>
                <c:pt idx="17" formatCode="0.00">
                  <c:v>-2.4299847334065618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7F-FF4E-B126-1BC02FB82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38744127"/>
        <c:axId val="1020595055"/>
      </c:barChart>
      <c:catAx>
        <c:axId val="838744127"/>
        <c:scaling>
          <c:orientation val="maxMin"/>
        </c:scaling>
        <c:delete val="0"/>
        <c:axPos val="r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595055"/>
        <c:crosses val="autoZero"/>
        <c:auto val="1"/>
        <c:lblAlgn val="ctr"/>
        <c:lblOffset val="100"/>
        <c:noMultiLvlLbl val="0"/>
      </c:catAx>
      <c:valAx>
        <c:axId val="1020595055"/>
        <c:scaling>
          <c:orientation val="maxMin"/>
          <c:max val="50"/>
          <c:min val="-1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744127"/>
        <c:crosses val="autoZero"/>
        <c:crossBetween val="between"/>
        <c:majorUnit val="2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+mn-lt"/>
              </a:rPr>
              <a:t>log</a:t>
            </a:r>
            <a:r>
              <a:rPr lang="en-US">
                <a:latin typeface="Symbol" pitchFamily="2" charset="2"/>
              </a:rPr>
              <a:t>(-D</a:t>
            </a:r>
            <a:r>
              <a:rPr lang="en-US"/>
              <a:t>G</a:t>
            </a:r>
            <a:r>
              <a:rPr lang="en-US" baseline="0"/>
              <a:t> per kg H2O)</a:t>
            </a:r>
            <a:endParaRPr lang="en-US"/>
          </a:p>
        </c:rich>
      </c:tx>
      <c:layout>
        <c:manualLayout>
          <c:xMode val="edge"/>
          <c:yMode val="edge"/>
          <c:x val="0.27200985668158389"/>
          <c:y val="1.72600799035964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035332121946287E-2"/>
          <c:y val="8.9683932077239528E-2"/>
          <c:w val="0.84737126833965903"/>
          <c:h val="0.8948011864188344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'all rxns'!$P$19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'all rxns'!$F$20:$F$37</c:f>
              <c:strCache>
                <c:ptCount val="18"/>
                <c:pt idx="0">
                  <c:v>O2 + 2H2 = 2H2O</c:v>
                </c:pt>
                <c:pt idx="1">
                  <c:v>O2 + 4Fe++ + 6H2O = 4FeOOHfer + 8H+</c:v>
                </c:pt>
                <c:pt idx="2">
                  <c:v>2O2 +  NH4+ = NO3- +  2H+ + H2O</c:v>
                </c:pt>
                <c:pt idx="3">
                  <c:v>O2 + 2H+ + 2HS- =2S0 + 2H2O</c:v>
                </c:pt>
                <c:pt idx="4">
                  <c:v>2O2 + HS- = SO4-- + H+</c:v>
                </c:pt>
                <c:pt idx="5">
                  <c:v>2O2 + CH4 = HCO3- + H++ H2O</c:v>
                </c:pt>
                <c:pt idx="6">
                  <c:v>CH3COO- + 2O2 --&gt; 2HCO3- + H+</c:v>
                </c:pt>
                <c:pt idx="7">
                  <c:v>NO3 + 2H+ + 4H2 = NH4+ + 3H2O</c:v>
                </c:pt>
                <c:pt idx="8">
                  <c:v>NO3 +  8Fe++ + 13H2O = NH4+ +  8FeOOH + 14H+</c:v>
                </c:pt>
                <c:pt idx="9">
                  <c:v>NO3 + 6H+ + 4HS- = 4S0 +  NH4+ + 3H2O</c:v>
                </c:pt>
                <c:pt idx="10">
                  <c:v>NO3 + H+ +  HS- + H2O = SO4-- +  NH4+</c:v>
                </c:pt>
                <c:pt idx="11">
                  <c:v>NO3 + 1H+ + CH4 = HCO3- + NH4+</c:v>
                </c:pt>
                <c:pt idx="12">
                  <c:v>CH3COO- + NO3 + H+ + H2O --&gt; NH4+ + 2HCO3-</c:v>
                </c:pt>
                <c:pt idx="13">
                  <c:v>SO4-- + H+ +4H2 = HS- + 4H2O</c:v>
                </c:pt>
                <c:pt idx="14">
                  <c:v>SO4-- + CH4 + = HCO3- +HS- + H2O</c:v>
                </c:pt>
                <c:pt idx="15">
                  <c:v>CH3COO- + SO4-- --&gt; 2HCO3- + HS-</c:v>
                </c:pt>
                <c:pt idx="16">
                  <c:v>HCO3- + H+ + 4H2 = CH4 + 3H2O</c:v>
                </c:pt>
                <c:pt idx="17">
                  <c:v>CH3COO- + H2O --&gt; HCO3- + CH4</c:v>
                </c:pt>
              </c:strCache>
            </c:strRef>
          </c:cat>
          <c:val>
            <c:numRef>
              <c:f>'all rxns'!$P$20:$P$37</c:f>
              <c:numCache>
                <c:formatCode>General</c:formatCode>
                <c:ptCount val="18"/>
                <c:pt idx="0">
                  <c:v>-4.6310460584994049</c:v>
                </c:pt>
                <c:pt idx="1">
                  <c:v>-7.7556064229193006E-2</c:v>
                </c:pt>
                <c:pt idx="2">
                  <c:v>-0.29739620688881507</c:v>
                </c:pt>
                <c:pt idx="3">
                  <c:v>-2.4232095607116344</c:v>
                </c:pt>
                <c:pt idx="4">
                  <c:v>-1.7601579652337296</c:v>
                </c:pt>
                <c:pt idx="5">
                  <c:v>-3.4341910796530106</c:v>
                </c:pt>
                <c:pt idx="6">
                  <c:v>9.8222434260869323E-2</c:v>
                </c:pt>
                <c:pt idx="7">
                  <c:v>-4.8436696436580515</c:v>
                </c:pt>
                <c:pt idx="8">
                  <c:v>-0.52340174308391008</c:v>
                </c:pt>
                <c:pt idx="9">
                  <c:v>-2.6470874021939861</c:v>
                </c:pt>
                <c:pt idx="10">
                  <c:v>-1.9955603702059659</c:v>
                </c:pt>
                <c:pt idx="11">
                  <c:v>-3.6611046165435721</c:v>
                </c:pt>
                <c:pt idx="12">
                  <c:v>0.36888528912068835</c:v>
                </c:pt>
                <c:pt idx="13">
                  <c:v>-5.9918706360550011</c:v>
                </c:pt>
                <c:pt idx="14">
                  <c:v>-4.9958900259042798</c:v>
                </c:pt>
                <c:pt idx="15">
                  <c:v>-0.41315270001780796</c:v>
                </c:pt>
                <c:pt idx="16">
                  <c:v>-5.164671335159726</c:v>
                </c:pt>
                <c:pt idx="17">
                  <c:v>-0.61967524814167796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0-5D40-81CB-C26F86447BAC}"/>
            </c:ext>
          </c:extLst>
        </c:ser>
        <c:ser>
          <c:idx val="1"/>
          <c:order val="1"/>
          <c:tx>
            <c:strRef>
              <c:f>'all rxns'!$Q$19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'all rxns'!$F$20:$F$37</c:f>
              <c:strCache>
                <c:ptCount val="18"/>
                <c:pt idx="0">
                  <c:v>O2 + 2H2 = 2H2O</c:v>
                </c:pt>
                <c:pt idx="1">
                  <c:v>O2 + 4Fe++ + 6H2O = 4FeOOHfer + 8H+</c:v>
                </c:pt>
                <c:pt idx="2">
                  <c:v>2O2 +  NH4+ = NO3- +  2H+ + H2O</c:v>
                </c:pt>
                <c:pt idx="3">
                  <c:v>O2 + 2H+ + 2HS- =2S0 + 2H2O</c:v>
                </c:pt>
                <c:pt idx="4">
                  <c:v>2O2 + HS- = SO4-- + H+</c:v>
                </c:pt>
                <c:pt idx="5">
                  <c:v>2O2 + CH4 = HCO3- + H++ H2O</c:v>
                </c:pt>
                <c:pt idx="6">
                  <c:v>CH3COO- + 2O2 --&gt; 2HCO3- + H+</c:v>
                </c:pt>
                <c:pt idx="7">
                  <c:v>NO3 + 2H+ + 4H2 = NH4+ + 3H2O</c:v>
                </c:pt>
                <c:pt idx="8">
                  <c:v>NO3 +  8Fe++ + 13H2O = NH4+ +  8FeOOH + 14H+</c:v>
                </c:pt>
                <c:pt idx="9">
                  <c:v>NO3 + 6H+ + 4HS- = 4S0 +  NH4+ + 3H2O</c:v>
                </c:pt>
                <c:pt idx="10">
                  <c:v>NO3 + H+ +  HS- + H2O = SO4-- +  NH4+</c:v>
                </c:pt>
                <c:pt idx="11">
                  <c:v>NO3 + 1H+ + CH4 = HCO3- + NH4+</c:v>
                </c:pt>
                <c:pt idx="12">
                  <c:v>CH3COO- + NO3 + H+ + H2O --&gt; NH4+ + 2HCO3-</c:v>
                </c:pt>
                <c:pt idx="13">
                  <c:v>SO4-- + H+ +4H2 = HS- + 4H2O</c:v>
                </c:pt>
                <c:pt idx="14">
                  <c:v>SO4-- + CH4 + = HCO3- +HS- + H2O</c:v>
                </c:pt>
                <c:pt idx="15">
                  <c:v>CH3COO- + SO4-- --&gt; 2HCO3- + HS-</c:v>
                </c:pt>
                <c:pt idx="16">
                  <c:v>HCO3- + H+ + 4H2 = CH4 + 3H2O</c:v>
                </c:pt>
                <c:pt idx="17">
                  <c:v>CH3COO- + H2O --&gt; HCO3- + CH4</c:v>
                </c:pt>
              </c:strCache>
            </c:strRef>
          </c:cat>
          <c:val>
            <c:numRef>
              <c:f>'all rxns'!$Q$20:$Q$37</c:f>
              <c:numCache>
                <c:formatCode>General</c:formatCode>
                <c:ptCount val="18"/>
                <c:pt idx="0">
                  <c:v>-4.5606144144079943</c:v>
                </c:pt>
                <c:pt idx="1">
                  <c:v>-0.50947891198415529</c:v>
                </c:pt>
                <c:pt idx="2">
                  <c:v>-2.7589584993167326</c:v>
                </c:pt>
                <c:pt idx="3">
                  <c:v>-1.1617048389210352</c:v>
                </c:pt>
                <c:pt idx="4">
                  <c:v>-0.50317028036034894</c:v>
                </c:pt>
                <c:pt idx="5">
                  <c:v>-3.542962840130746</c:v>
                </c:pt>
                <c:pt idx="6">
                  <c:v>0.7038288740236579</c:v>
                </c:pt>
                <c:pt idx="7">
                  <c:v>-4.7929618145747162</c:v>
                </c:pt>
                <c:pt idx="8">
                  <c:v>-0.79843197469975447</c:v>
                </c:pt>
                <c:pt idx="9">
                  <c:v>-1.4701477775160097</c:v>
                </c:pt>
                <c:pt idx="10">
                  <c:v>-0.74065705873450338</c:v>
                </c:pt>
                <c:pt idx="11">
                  <c:v>-3.7762678600695594</c:v>
                </c:pt>
                <c:pt idx="12">
                  <c:v>0.19363343224881377</c:v>
                </c:pt>
                <c:pt idx="13">
                  <c:v>-6.1133627888011306</c:v>
                </c:pt>
                <c:pt idx="14">
                  <c:v>-5.4192918187805059</c:v>
                </c:pt>
                <c:pt idx="15">
                  <c:v>-0.51061000008828472</c:v>
                </c:pt>
                <c:pt idx="16">
                  <c:v>-5.0994667709539874</c:v>
                </c:pt>
                <c:pt idx="17">
                  <c:v>-0.62301519582312404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B0-5D40-81CB-C26F86447BAC}"/>
            </c:ext>
          </c:extLst>
        </c:ser>
        <c:ser>
          <c:idx val="2"/>
          <c:order val="2"/>
          <c:tx>
            <c:strRef>
              <c:f>'all rxns'!$R$19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'all rxns'!$F$20:$F$37</c:f>
              <c:strCache>
                <c:ptCount val="18"/>
                <c:pt idx="0">
                  <c:v>O2 + 2H2 = 2H2O</c:v>
                </c:pt>
                <c:pt idx="1">
                  <c:v>O2 + 4Fe++ + 6H2O = 4FeOOHfer + 8H+</c:v>
                </c:pt>
                <c:pt idx="2">
                  <c:v>2O2 +  NH4+ = NO3- +  2H+ + H2O</c:v>
                </c:pt>
                <c:pt idx="3">
                  <c:v>O2 + 2H+ + 2HS- =2S0 + 2H2O</c:v>
                </c:pt>
                <c:pt idx="4">
                  <c:v>2O2 + HS- = SO4-- + H+</c:v>
                </c:pt>
                <c:pt idx="5">
                  <c:v>2O2 + CH4 = HCO3- + H++ H2O</c:v>
                </c:pt>
                <c:pt idx="6">
                  <c:v>CH3COO- + 2O2 --&gt; 2HCO3- + H+</c:v>
                </c:pt>
                <c:pt idx="7">
                  <c:v>NO3 + 2H+ + 4H2 = NH4+ + 3H2O</c:v>
                </c:pt>
                <c:pt idx="8">
                  <c:v>NO3 +  8Fe++ + 13H2O = NH4+ +  8FeOOH + 14H+</c:v>
                </c:pt>
                <c:pt idx="9">
                  <c:v>NO3 + 6H+ + 4HS- = 4S0 +  NH4+ + 3H2O</c:v>
                </c:pt>
                <c:pt idx="10">
                  <c:v>NO3 + H+ +  HS- + H2O = SO4-- +  NH4+</c:v>
                </c:pt>
                <c:pt idx="11">
                  <c:v>NO3 + 1H+ + CH4 = HCO3- + NH4+</c:v>
                </c:pt>
                <c:pt idx="12">
                  <c:v>CH3COO- + NO3 + H+ + H2O --&gt; NH4+ + 2HCO3-</c:v>
                </c:pt>
                <c:pt idx="13">
                  <c:v>SO4-- + H+ +4H2 = HS- + 4H2O</c:v>
                </c:pt>
                <c:pt idx="14">
                  <c:v>SO4-- + CH4 + = HCO3- +HS- + H2O</c:v>
                </c:pt>
                <c:pt idx="15">
                  <c:v>CH3COO- + SO4-- --&gt; 2HCO3- + HS-</c:v>
                </c:pt>
                <c:pt idx="16">
                  <c:v>HCO3- + H+ + 4H2 = CH4 + 3H2O</c:v>
                </c:pt>
                <c:pt idx="17">
                  <c:v>CH3COO- + H2O --&gt; HCO3- + CH4</c:v>
                </c:pt>
              </c:strCache>
            </c:strRef>
          </c:cat>
          <c:val>
            <c:numRef>
              <c:f>'all rxns'!$R$20:$R$37</c:f>
              <c:numCache>
                <c:formatCode>General</c:formatCode>
                <c:ptCount val="18"/>
                <c:pt idx="0">
                  <c:v>-4.2734508014853256</c:v>
                </c:pt>
                <c:pt idx="1">
                  <c:v>0.30157873194677903</c:v>
                </c:pt>
                <c:pt idx="2">
                  <c:v>0.41215512184762454</c:v>
                </c:pt>
                <c:pt idx="3">
                  <c:v>-1.6007174163379738</c:v>
                </c:pt>
                <c:pt idx="4">
                  <c:v>-0.94623174257058618</c:v>
                </c:pt>
                <c:pt idx="5">
                  <c:v>-2.4776484799429448</c:v>
                </c:pt>
                <c:pt idx="6">
                  <c:v>0.49160765886376068</c:v>
                </c:pt>
                <c:pt idx="7">
                  <c:v>-4.4883580863342898</c:v>
                </c:pt>
                <c:pt idx="8">
                  <c:v>-0.75028662180291639</c:v>
                </c:pt>
                <c:pt idx="9">
                  <c:v>-1.8185967915793528</c:v>
                </c:pt>
                <c:pt idx="10">
                  <c:v>-1.1860483668767163</c:v>
                </c:pt>
                <c:pt idx="11">
                  <c:v>-2.7078752744736874</c:v>
                </c:pt>
                <c:pt idx="12">
                  <c:v>0.27125788033053383</c:v>
                </c:pt>
                <c:pt idx="13">
                  <c:v>-5.6057357695088683</c:v>
                </c:pt>
                <c:pt idx="14">
                  <c:v>-3.9963252506531348</c:v>
                </c:pt>
                <c:pt idx="15">
                  <c:v>-0.71460701703750951</c:v>
                </c:pt>
                <c:pt idx="16">
                  <c:v>-4.8181945805238726</c:v>
                </c:pt>
                <c:pt idx="17">
                  <c:v>-0.99113926869355551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B0-5D40-81CB-C26F86447BAC}"/>
            </c:ext>
          </c:extLst>
        </c:ser>
        <c:ser>
          <c:idx val="3"/>
          <c:order val="3"/>
          <c:tx>
            <c:strRef>
              <c:f>'all rxns'!$S$19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'all rxns'!$F$20:$F$37</c:f>
              <c:strCache>
                <c:ptCount val="18"/>
                <c:pt idx="0">
                  <c:v>O2 + 2H2 = 2H2O</c:v>
                </c:pt>
                <c:pt idx="1">
                  <c:v>O2 + 4Fe++ + 6H2O = 4FeOOHfer + 8H+</c:v>
                </c:pt>
                <c:pt idx="2">
                  <c:v>2O2 +  NH4+ = NO3- +  2H+ + H2O</c:v>
                </c:pt>
                <c:pt idx="3">
                  <c:v>O2 + 2H+ + 2HS- =2S0 + 2H2O</c:v>
                </c:pt>
                <c:pt idx="4">
                  <c:v>2O2 + HS- = SO4-- + H+</c:v>
                </c:pt>
                <c:pt idx="5">
                  <c:v>2O2 + CH4 = HCO3- + H++ H2O</c:v>
                </c:pt>
                <c:pt idx="6">
                  <c:v>CH3COO- + 2O2 --&gt; 2HCO3- + H+</c:v>
                </c:pt>
                <c:pt idx="7">
                  <c:v>NO3 + 2H+ + 4H2 = NH4+ + 3H2O</c:v>
                </c:pt>
                <c:pt idx="8">
                  <c:v>NO3 +  8Fe++ + 13H2O = NH4+ +  8FeOOH + 14H+</c:v>
                </c:pt>
                <c:pt idx="9">
                  <c:v>NO3 + 6H+ + 4HS- = 4S0 +  NH4+ + 3H2O</c:v>
                </c:pt>
                <c:pt idx="10">
                  <c:v>NO3 + H+ +  HS- + H2O = SO4-- +  NH4+</c:v>
                </c:pt>
                <c:pt idx="11">
                  <c:v>NO3 + 1H+ + CH4 = HCO3- + NH4+</c:v>
                </c:pt>
                <c:pt idx="12">
                  <c:v>CH3COO- + NO3 + H+ + H2O --&gt; NH4+ + 2HCO3-</c:v>
                </c:pt>
                <c:pt idx="13">
                  <c:v>SO4-- + H+ +4H2 = HS- + 4H2O</c:v>
                </c:pt>
                <c:pt idx="14">
                  <c:v>SO4-- + CH4 + = HCO3- +HS- + H2O</c:v>
                </c:pt>
                <c:pt idx="15">
                  <c:v>CH3COO- + SO4-- --&gt; 2HCO3- + HS-</c:v>
                </c:pt>
                <c:pt idx="16">
                  <c:v>HCO3- + H+ + 4H2 = CH4 + 3H2O</c:v>
                </c:pt>
                <c:pt idx="17">
                  <c:v>CH3COO- + H2O --&gt; HCO3- + CH4</c:v>
                </c:pt>
              </c:strCache>
            </c:strRef>
          </c:cat>
          <c:val>
            <c:numRef>
              <c:f>'all rxns'!$S$20:$S$37</c:f>
              <c:numCache>
                <c:formatCode>General</c:formatCode>
                <c:ptCount val="18"/>
                <c:pt idx="0">
                  <c:v>-4.3923033388820345</c:v>
                </c:pt>
                <c:pt idx="1">
                  <c:v>-4.2134157097138027</c:v>
                </c:pt>
                <c:pt idx="2">
                  <c:v>-0.2774991900129255</c:v>
                </c:pt>
                <c:pt idx="3">
                  <c:v>2.244859880999309E-2</c:v>
                </c:pt>
                <c:pt idx="4">
                  <c:v>7.7167725324335787E-2</c:v>
                </c:pt>
                <c:pt idx="5">
                  <c:v>-1.4578480073137103</c:v>
                </c:pt>
                <c:pt idx="6">
                  <c:v>9.5212360789750081E-2</c:v>
                </c:pt>
                <c:pt idx="7">
                  <c:v>-4.5982638386224615</c:v>
                </c:pt>
                <c:pt idx="8">
                  <c:v>0</c:v>
                </c:pt>
                <c:pt idx="9">
                  <c:v>0.45976452754816949</c:v>
                </c:pt>
                <c:pt idx="10">
                  <c:v>0.86034926006453161</c:v>
                </c:pt>
                <c:pt idx="11">
                  <c:v>-1.6831547588973672</c:v>
                </c:pt>
                <c:pt idx="12">
                  <c:v>0.20172974873344235</c:v>
                </c:pt>
                <c:pt idx="13">
                  <c:v>-6.4027291866236613</c:v>
                </c:pt>
                <c:pt idx="14">
                  <c:v>-3.2348123433140334</c:v>
                </c:pt>
                <c:pt idx="15">
                  <c:v>-0.97053573314714214</c:v>
                </c:pt>
                <c:pt idx="16">
                  <c:v>-4.9502143305775439</c:v>
                </c:pt>
                <c:pt idx="17">
                  <c:v>-1.1928497342077633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B0-5D40-81CB-C26F86447BAC}"/>
            </c:ext>
          </c:extLst>
        </c:ser>
        <c:ser>
          <c:idx val="4"/>
          <c:order val="4"/>
          <c:tx>
            <c:strRef>
              <c:f>'all rxns'!$T$19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rxns'!$F$20:$F$37</c:f>
              <c:strCache>
                <c:ptCount val="18"/>
                <c:pt idx="0">
                  <c:v>O2 + 2H2 = 2H2O</c:v>
                </c:pt>
                <c:pt idx="1">
                  <c:v>O2 + 4Fe++ + 6H2O = 4FeOOHfer + 8H+</c:v>
                </c:pt>
                <c:pt idx="2">
                  <c:v>2O2 +  NH4+ = NO3- +  2H+ + H2O</c:v>
                </c:pt>
                <c:pt idx="3">
                  <c:v>O2 + 2H+ + 2HS- =2S0 + 2H2O</c:v>
                </c:pt>
                <c:pt idx="4">
                  <c:v>2O2 + HS- = SO4-- + H+</c:v>
                </c:pt>
                <c:pt idx="5">
                  <c:v>2O2 + CH4 = HCO3- + H++ H2O</c:v>
                </c:pt>
                <c:pt idx="6">
                  <c:v>CH3COO- + 2O2 --&gt; 2HCO3- + H+</c:v>
                </c:pt>
                <c:pt idx="7">
                  <c:v>NO3 + 2H+ + 4H2 = NH4+ + 3H2O</c:v>
                </c:pt>
                <c:pt idx="8">
                  <c:v>NO3 +  8Fe++ + 13H2O = NH4+ +  8FeOOH + 14H+</c:v>
                </c:pt>
                <c:pt idx="9">
                  <c:v>NO3 + 6H+ + 4HS- = 4S0 +  NH4+ + 3H2O</c:v>
                </c:pt>
                <c:pt idx="10">
                  <c:v>NO3 + H+ +  HS- + H2O = SO4-- +  NH4+</c:v>
                </c:pt>
                <c:pt idx="11">
                  <c:v>NO3 + 1H+ + CH4 = HCO3- + NH4+</c:v>
                </c:pt>
                <c:pt idx="12">
                  <c:v>CH3COO- + NO3 + H+ + H2O --&gt; NH4+ + 2HCO3-</c:v>
                </c:pt>
                <c:pt idx="13">
                  <c:v>SO4-- + H+ +4H2 = HS- + 4H2O</c:v>
                </c:pt>
                <c:pt idx="14">
                  <c:v>SO4-- + CH4 + = HCO3- +HS- + H2O</c:v>
                </c:pt>
                <c:pt idx="15">
                  <c:v>CH3COO- + SO4-- --&gt; 2HCO3- + HS-</c:v>
                </c:pt>
                <c:pt idx="16">
                  <c:v>HCO3- + H+ + 4H2 = CH4 + 3H2O</c:v>
                </c:pt>
                <c:pt idx="17">
                  <c:v>CH3COO- + H2O --&gt; HCO3- + CH4</c:v>
                </c:pt>
              </c:strCache>
            </c:strRef>
          </c:cat>
          <c:val>
            <c:numRef>
              <c:f>'all rxns'!$T$20:$T$37</c:f>
              <c:numCache>
                <c:formatCode>General</c:formatCode>
                <c:ptCount val="18"/>
                <c:pt idx="0">
                  <c:v>-4.4140428353921557</c:v>
                </c:pt>
                <c:pt idx="1">
                  <c:v>-4.1849280212888145</c:v>
                </c:pt>
                <c:pt idx="2">
                  <c:v>0.5814450377892173</c:v>
                </c:pt>
                <c:pt idx="3">
                  <c:v>0.1830679273827362</c:v>
                </c:pt>
                <c:pt idx="4">
                  <c:v>0.85605306871635889</c:v>
                </c:pt>
                <c:pt idx="5">
                  <c:v>-1.7718481782199438</c:v>
                </c:pt>
                <c:pt idx="6">
                  <c:v>0.4324754033449979</c:v>
                </c:pt>
                <c:pt idx="7">
                  <c:v>-4.6313823915240668</c:v>
                </c:pt>
                <c:pt idx="8">
                  <c:v>0</c:v>
                </c:pt>
                <c:pt idx="9">
                  <c:v>1.2142660911831098E-2</c:v>
                </c:pt>
                <c:pt idx="10">
                  <c:v>0.61744607772311466</c:v>
                </c:pt>
                <c:pt idx="11">
                  <c:v>-2.0052595287399426</c:v>
                </c:pt>
                <c:pt idx="12">
                  <c:v>0.20729369040122184</c:v>
                </c:pt>
                <c:pt idx="13">
                  <c:v>0</c:v>
                </c:pt>
                <c:pt idx="14">
                  <c:v>-3.5560170489091476</c:v>
                </c:pt>
                <c:pt idx="15">
                  <c:v>-0.93529658404944305</c:v>
                </c:pt>
                <c:pt idx="16">
                  <c:v>-4.9728280926595154</c:v>
                </c:pt>
                <c:pt idx="17">
                  <c:v>-1.1380646431202357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B0-5D40-81CB-C26F86447BAC}"/>
            </c:ext>
          </c:extLst>
        </c:ser>
        <c:ser>
          <c:idx val="5"/>
          <c:order val="5"/>
          <c:tx>
            <c:strRef>
              <c:f>'all rxns'!$U$19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'all rxns'!$F$20:$F$37</c:f>
              <c:strCache>
                <c:ptCount val="18"/>
                <c:pt idx="0">
                  <c:v>O2 + 2H2 = 2H2O</c:v>
                </c:pt>
                <c:pt idx="1">
                  <c:v>O2 + 4Fe++ + 6H2O = 4FeOOHfer + 8H+</c:v>
                </c:pt>
                <c:pt idx="2">
                  <c:v>2O2 +  NH4+ = NO3- +  2H+ + H2O</c:v>
                </c:pt>
                <c:pt idx="3">
                  <c:v>O2 + 2H+ + 2HS- =2S0 + 2H2O</c:v>
                </c:pt>
                <c:pt idx="4">
                  <c:v>2O2 + HS- = SO4-- + H+</c:v>
                </c:pt>
                <c:pt idx="5">
                  <c:v>2O2 + CH4 = HCO3- + H++ H2O</c:v>
                </c:pt>
                <c:pt idx="6">
                  <c:v>CH3COO- + 2O2 --&gt; 2HCO3- + H+</c:v>
                </c:pt>
                <c:pt idx="7">
                  <c:v>NO3 + 2H+ + 4H2 = NH4+ + 3H2O</c:v>
                </c:pt>
                <c:pt idx="8">
                  <c:v>NO3 +  8Fe++ + 13H2O = NH4+ +  8FeOOH + 14H+</c:v>
                </c:pt>
                <c:pt idx="9">
                  <c:v>NO3 + 6H+ + 4HS- = 4S0 +  NH4+ + 3H2O</c:v>
                </c:pt>
                <c:pt idx="10">
                  <c:v>NO3 + H+ +  HS- + H2O = SO4-- +  NH4+</c:v>
                </c:pt>
                <c:pt idx="11">
                  <c:v>NO3 + 1H+ + CH4 = HCO3- + NH4+</c:v>
                </c:pt>
                <c:pt idx="12">
                  <c:v>CH3COO- + NO3 + H+ + H2O --&gt; NH4+ + 2HCO3-</c:v>
                </c:pt>
                <c:pt idx="13">
                  <c:v>SO4-- + H+ +4H2 = HS- + 4H2O</c:v>
                </c:pt>
                <c:pt idx="14">
                  <c:v>SO4-- + CH4 + = HCO3- +HS- + H2O</c:v>
                </c:pt>
                <c:pt idx="15">
                  <c:v>CH3COO- + SO4-- --&gt; 2HCO3- + HS-</c:v>
                </c:pt>
                <c:pt idx="16">
                  <c:v>HCO3- + H+ + 4H2 = CH4 + 3H2O</c:v>
                </c:pt>
                <c:pt idx="17">
                  <c:v>CH3COO- + H2O --&gt; HCO3- + CH4</c:v>
                </c:pt>
              </c:strCache>
            </c:strRef>
          </c:cat>
          <c:val>
            <c:numRef>
              <c:f>'all rxns'!$U$20:$U$37</c:f>
              <c:numCache>
                <c:formatCode>General</c:formatCode>
                <c:ptCount val="18"/>
                <c:pt idx="0">
                  <c:v>-4.2326328417071313</c:v>
                </c:pt>
                <c:pt idx="1">
                  <c:v>-3.3067195839087661E-2</c:v>
                </c:pt>
                <c:pt idx="2">
                  <c:v>2.0549392248104537E-2</c:v>
                </c:pt>
                <c:pt idx="3">
                  <c:v>-0.51469146727990633</c:v>
                </c:pt>
                <c:pt idx="4">
                  <c:v>0.1482718741695371</c:v>
                </c:pt>
                <c:pt idx="5">
                  <c:v>-0.6052153282359356</c:v>
                </c:pt>
                <c:pt idx="6">
                  <c:v>0.402930275525402</c:v>
                </c:pt>
                <c:pt idx="7">
                  <c:v>-4.448335742515372</c:v>
                </c:pt>
                <c:pt idx="8">
                  <c:v>-1.0195376673603989</c:v>
                </c:pt>
                <c:pt idx="9">
                  <c:v>-0.71797265045822145</c:v>
                </c:pt>
                <c:pt idx="10">
                  <c:v>-9.135935390910134E-2</c:v>
                </c:pt>
                <c:pt idx="11">
                  <c:v>-0.83129702465468525</c:v>
                </c:pt>
                <c:pt idx="12">
                  <c:v>0.28915252549493331</c:v>
                </c:pt>
                <c:pt idx="13">
                  <c:v>-5.7325713385745427</c:v>
                </c:pt>
                <c:pt idx="14">
                  <c:v>-1.9713628088285566</c:v>
                </c:pt>
                <c:pt idx="15">
                  <c:v>-0.67200033717260466</c:v>
                </c:pt>
                <c:pt idx="16">
                  <c:v>-4.8125054406553778</c:v>
                </c:pt>
                <c:pt idx="17">
                  <c:v>-1.1108781421624341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B0-5D40-81CB-C26F86447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38744127"/>
        <c:axId val="1020595055"/>
      </c:barChart>
      <c:catAx>
        <c:axId val="838744127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high"/>
        <c:crossAx val="1020595055"/>
        <c:crosses val="autoZero"/>
        <c:auto val="1"/>
        <c:lblAlgn val="ctr"/>
        <c:lblOffset val="100"/>
        <c:noMultiLvlLbl val="0"/>
      </c:catAx>
      <c:valAx>
        <c:axId val="102059505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74412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5055805654230856"/>
          <c:y val="0.74371244849682916"/>
          <c:w val="0.13674956098113633"/>
          <c:h val="0.1428077696211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</a:t>
            </a:r>
            <a:r>
              <a:rPr lang="en-US" baseline="0"/>
              <a:t> Density - e- acceptor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'ED by site'!$U$25</c:f>
              <c:strCache>
                <c:ptCount val="1"/>
                <c:pt idx="0">
                  <c:v>O2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'ED by site'!$V$24:$AA$24</c:f>
              <c:strCache>
                <c:ptCount val="6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</c:strCache>
            </c:strRef>
          </c:cat>
          <c:val>
            <c:numRef>
              <c:f>'ED by site'!$V$25:$AA$25</c:f>
              <c:numCache>
                <c:formatCode>0.000</c:formatCode>
                <c:ptCount val="6"/>
                <c:pt idx="0">
                  <c:v>2.6159788205879422</c:v>
                </c:pt>
                <c:pt idx="1">
                  <c:v>5.7505501822557861</c:v>
                </c:pt>
                <c:pt idx="2">
                  <c:v>7.8291071089753599</c:v>
                </c:pt>
                <c:pt idx="3">
                  <c:v>4.0554074760598589</c:v>
                </c:pt>
                <c:pt idx="4">
                  <c:v>15.241610461917947</c:v>
                </c:pt>
                <c:pt idx="5">
                  <c:v>6.4649183920666449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A-6240-9C7F-5F7EE912DC72}"/>
            </c:ext>
          </c:extLst>
        </c:ser>
        <c:ser>
          <c:idx val="1"/>
          <c:order val="1"/>
          <c:tx>
            <c:strRef>
              <c:f>'ED by site'!$U$26</c:f>
              <c:strCache>
                <c:ptCount val="1"/>
                <c:pt idx="0">
                  <c:v>NO3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'ED by site'!$V$24:$AA$24</c:f>
              <c:strCache>
                <c:ptCount val="6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</c:strCache>
            </c:strRef>
          </c:cat>
          <c:val>
            <c:numRef>
              <c:f>'ED by site'!$V$26:$AA$26</c:f>
              <c:numCache>
                <c:formatCode>0.000</c:formatCode>
                <c:ptCount val="6"/>
                <c:pt idx="0">
                  <c:v>2.6504475922022088</c:v>
                </c:pt>
                <c:pt idx="1">
                  <c:v>1.9366427721535551</c:v>
                </c:pt>
                <c:pt idx="2">
                  <c:v>2.1275309453659688</c:v>
                </c:pt>
                <c:pt idx="3">
                  <c:v>11.744641287066367</c:v>
                </c:pt>
                <c:pt idx="4">
                  <c:v>6.79424349219435</c:v>
                </c:pt>
                <c:pt idx="5">
                  <c:v>3.190877732653199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1A-6240-9C7F-5F7EE912DC72}"/>
            </c:ext>
          </c:extLst>
        </c:ser>
        <c:ser>
          <c:idx val="2"/>
          <c:order val="2"/>
          <c:tx>
            <c:strRef>
              <c:f>'ED by site'!$U$27</c:f>
              <c:strCache>
                <c:ptCount val="1"/>
                <c:pt idx="0">
                  <c:v>SO4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'ED by site'!$V$24:$AA$24</c:f>
              <c:strCache>
                <c:ptCount val="6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</c:strCache>
            </c:strRef>
          </c:cat>
          <c:val>
            <c:numRef>
              <c:f>'ED by site'!$V$27:$AA$27</c:f>
              <c:numCache>
                <c:formatCode>0.000</c:formatCode>
                <c:ptCount val="6"/>
                <c:pt idx="0">
                  <c:v>0.38624226643567838</c:v>
                </c:pt>
                <c:pt idx="1">
                  <c:v>0.30860037047668964</c:v>
                </c:pt>
                <c:pt idx="2">
                  <c:v>0.19303031615839833</c:v>
                </c:pt>
                <c:pt idx="3">
                  <c:v>0.10760258289514199</c:v>
                </c:pt>
                <c:pt idx="4">
                  <c:v>0.11634353238709999</c:v>
                </c:pt>
                <c:pt idx="5">
                  <c:v>0.22349721212748366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1A-6240-9C7F-5F7EE912DC72}"/>
            </c:ext>
          </c:extLst>
        </c:ser>
        <c:ser>
          <c:idx val="3"/>
          <c:order val="3"/>
          <c:tx>
            <c:strRef>
              <c:f>'ED by site'!$U$28</c:f>
              <c:strCache>
                <c:ptCount val="1"/>
                <c:pt idx="0">
                  <c:v>HCO3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'ED by site'!$V$24:$AA$24</c:f>
              <c:strCache>
                <c:ptCount val="6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</c:strCache>
            </c:strRef>
          </c:cat>
          <c:val>
            <c:numRef>
              <c:f>'ED by site'!$V$28:$AA$28</c:f>
              <c:numCache>
                <c:formatCode>0.000</c:formatCode>
                <c:ptCount val="6"/>
                <c:pt idx="0">
                  <c:v>0.24006958051757038</c:v>
                </c:pt>
                <c:pt idx="1">
                  <c:v>0.23823156446425028</c:v>
                </c:pt>
                <c:pt idx="2">
                  <c:v>0.10207641299879779</c:v>
                </c:pt>
                <c:pt idx="3">
                  <c:v>6.4154361982499367E-2</c:v>
                </c:pt>
                <c:pt idx="4">
                  <c:v>7.2777794171053539E-2</c:v>
                </c:pt>
                <c:pt idx="5">
                  <c:v>7.748331237334756E-2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1A-6240-9C7F-5F7EE912D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5779888"/>
        <c:axId val="735781568"/>
      </c:barChart>
      <c:catAx>
        <c:axId val="7357798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81568"/>
        <c:crosses val="autoZero"/>
        <c:auto val="1"/>
        <c:lblAlgn val="ctr"/>
        <c:lblOffset val="100"/>
        <c:noMultiLvlLbl val="0"/>
      </c:catAx>
      <c:valAx>
        <c:axId val="735781568"/>
        <c:scaling>
          <c:orientation val="minMax"/>
          <c:max val="16"/>
        </c:scaling>
        <c:delete val="0"/>
        <c:axPos val="t"/>
        <c:numFmt formatCode="General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79888"/>
        <c:crosses val="autoZero"/>
        <c:crossBetween val="between"/>
        <c:majorUnit val="2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density - e- donor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'ED by site'!$U$33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'ED by site'!$V$24:$AA$24</c:f>
              <c:strCache>
                <c:ptCount val="6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</c:strCache>
            </c:strRef>
          </c:cat>
          <c:val>
            <c:numRef>
              <c:f>'ED by site'!$V$33:$AA$33</c:f>
              <c:numCache>
                <c:formatCode>0.000</c:formatCode>
                <c:ptCount val="6"/>
                <c:pt idx="0">
                  <c:v>4.5581858481479172E-5</c:v>
                </c:pt>
                <c:pt idx="1">
                  <c:v>5.2334522848150921E-5</c:v>
                </c:pt>
                <c:pt idx="2">
                  <c:v>1.0343768819229181E-4</c:v>
                </c:pt>
                <c:pt idx="3">
                  <c:v>7.7352283922264809E-5</c:v>
                </c:pt>
                <c:pt idx="4">
                  <c:v>7.2557465370483147E-5</c:v>
                </c:pt>
                <c:pt idx="5">
                  <c:v>1.1139620301394204E-4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8-3946-BCDE-D4F9741B7650}"/>
            </c:ext>
          </c:extLst>
        </c:ser>
        <c:ser>
          <c:idx val="1"/>
          <c:order val="1"/>
          <c:tx>
            <c:strRef>
              <c:f>'ED by site'!$U$34</c:f>
              <c:strCache>
                <c:ptCount val="1"/>
                <c:pt idx="0">
                  <c:v>Fe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'ED by site'!$V$24:$AA$24</c:f>
              <c:strCache>
                <c:ptCount val="6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</c:strCache>
            </c:strRef>
          </c:cat>
          <c:val>
            <c:numRef>
              <c:f>'ED by site'!$V$34:$AA$34</c:f>
              <c:numCache>
                <c:formatCode>0.000</c:formatCode>
                <c:ptCount val="6"/>
                <c:pt idx="0">
                  <c:v>1.1360965516099428</c:v>
                </c:pt>
                <c:pt idx="1">
                  <c:v>0.4684631357741309</c:v>
                </c:pt>
                <c:pt idx="2">
                  <c:v>2.1802392395273631</c:v>
                </c:pt>
                <c:pt idx="3">
                  <c:v>6.1176452609154879E-5</c:v>
                </c:pt>
                <c:pt idx="4">
                  <c:v>6.5323880958686342E-5</c:v>
                </c:pt>
                <c:pt idx="5">
                  <c:v>1.022287408977284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58-3946-BCDE-D4F9741B7650}"/>
            </c:ext>
          </c:extLst>
        </c:ser>
        <c:ser>
          <c:idx val="2"/>
          <c:order val="2"/>
          <c:tx>
            <c:strRef>
              <c:f>'ED by site'!$U$35</c:f>
              <c:strCache>
                <c:ptCount val="1"/>
                <c:pt idx="0">
                  <c:v>NH4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'ED by site'!$V$24:$AA$24</c:f>
              <c:strCache>
                <c:ptCount val="6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</c:strCache>
            </c:strRef>
          </c:cat>
          <c:val>
            <c:numRef>
              <c:f>'ED by site'!$V$35:$AA$35</c:f>
              <c:numCache>
                <c:formatCode>0.000</c:formatCode>
                <c:ptCount val="6"/>
                <c:pt idx="0">
                  <c:v>0.50420110497222947</c:v>
                </c:pt>
                <c:pt idx="1">
                  <c:v>1.7419733264143436E-3</c:v>
                </c:pt>
                <c:pt idx="2">
                  <c:v>2.5831826903074688</c:v>
                </c:pt>
                <c:pt idx="3">
                  <c:v>0.52783819123275311</c:v>
                </c:pt>
                <c:pt idx="4">
                  <c:v>3.8145651593140242</c:v>
                </c:pt>
                <c:pt idx="5">
                  <c:v>1.0484540273243126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58-3946-BCDE-D4F9741B7650}"/>
            </c:ext>
          </c:extLst>
        </c:ser>
        <c:ser>
          <c:idx val="3"/>
          <c:order val="3"/>
          <c:tx>
            <c:strRef>
              <c:f>'ED by site'!$U$36</c:f>
              <c:strCache>
                <c:ptCount val="1"/>
                <c:pt idx="0">
                  <c:v>HS-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'ED by site'!$V$24:$AA$24</c:f>
              <c:strCache>
                <c:ptCount val="6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</c:strCache>
            </c:strRef>
          </c:cat>
          <c:val>
            <c:numRef>
              <c:f>'ED by site'!$V$36:$AA$36</c:f>
              <c:numCache>
                <c:formatCode>0.000</c:formatCode>
                <c:ptCount val="6"/>
                <c:pt idx="0">
                  <c:v>3.3502125145490641E-2</c:v>
                </c:pt>
                <c:pt idx="1">
                  <c:v>0.59840768060953853</c:v>
                </c:pt>
                <c:pt idx="2">
                  <c:v>0.21859720871813867</c:v>
                </c:pt>
                <c:pt idx="3">
                  <c:v>12.380154443225926</c:v>
                </c:pt>
                <c:pt idx="4">
                  <c:v>13.875716525205126</c:v>
                </c:pt>
                <c:pt idx="5">
                  <c:v>2.7143651805289757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58-3946-BCDE-D4F9741B7650}"/>
            </c:ext>
          </c:extLst>
        </c:ser>
        <c:ser>
          <c:idx val="4"/>
          <c:order val="4"/>
          <c:tx>
            <c:strRef>
              <c:f>'ED by site'!$U$37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'ED by site'!$V$24:$AA$24</c:f>
              <c:strCache>
                <c:ptCount val="6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</c:strCache>
            </c:strRef>
          </c:cat>
          <c:val>
            <c:numRef>
              <c:f>'ED by site'!$V$37:$AA$37</c:f>
              <c:numCache>
                <c:formatCode>0.000</c:formatCode>
                <c:ptCount val="6"/>
                <c:pt idx="0">
                  <c:v>5.962825438546582E-4</c:v>
                </c:pt>
                <c:pt idx="1">
                  <c:v>4.5764141749383947E-4</c:v>
                </c:pt>
                <c:pt idx="2">
                  <c:v>5.3895462347908034E-3</c:v>
                </c:pt>
                <c:pt idx="3">
                  <c:v>5.6170022036903591E-2</c:v>
                </c:pt>
                <c:pt idx="4">
                  <c:v>2.7067905497553592E-2</c:v>
                </c:pt>
                <c:pt idx="5">
                  <c:v>0.40634160672736308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58-3946-BCDE-D4F9741B7650}"/>
            </c:ext>
          </c:extLst>
        </c:ser>
        <c:ser>
          <c:idx val="5"/>
          <c:order val="5"/>
          <c:tx>
            <c:strRef>
              <c:f>'ED by site'!$U$38</c:f>
              <c:strCache>
                <c:ptCount val="1"/>
                <c:pt idx="0">
                  <c:v>Acetate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'ED by site'!$V$24:$AA$24</c:f>
              <c:strCache>
                <c:ptCount val="6"/>
                <c:pt idx="0">
                  <c:v>D1</c:v>
                </c:pt>
                <c:pt idx="1">
                  <c:v>D2</c:v>
                </c:pt>
                <c:pt idx="2">
                  <c:v>D3</c:v>
                </c:pt>
                <c:pt idx="3">
                  <c:v>D4</c:v>
                </c:pt>
                <c:pt idx="4">
                  <c:v>D5</c:v>
                </c:pt>
                <c:pt idx="5">
                  <c:v>D6</c:v>
                </c:pt>
              </c:strCache>
            </c:strRef>
          </c:cat>
          <c:val>
            <c:numRef>
              <c:f>'ED by site'!$V$38:$AA$38</c:f>
              <c:numCache>
                <c:formatCode>0.000</c:formatCode>
                <c:ptCount val="6"/>
                <c:pt idx="0">
                  <c:v>4.2182966136134006</c:v>
                </c:pt>
                <c:pt idx="1">
                  <c:v>7.1649021236998545</c:v>
                </c:pt>
                <c:pt idx="2">
                  <c:v>5.2642326610225707</c:v>
                </c:pt>
                <c:pt idx="3">
                  <c:v>3.007504522771753</c:v>
                </c:pt>
                <c:pt idx="4">
                  <c:v>4.5074878093074187</c:v>
                </c:pt>
                <c:pt idx="5">
                  <c:v>4.765217029459726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58-3946-BCDE-D4F9741B7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5779888"/>
        <c:axId val="735781568"/>
      </c:barChart>
      <c:catAx>
        <c:axId val="7357798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81568"/>
        <c:crosses val="autoZero"/>
        <c:auto val="1"/>
        <c:lblAlgn val="ctr"/>
        <c:lblOffset val="100"/>
        <c:noMultiLvlLbl val="0"/>
      </c:catAx>
      <c:valAx>
        <c:axId val="735781568"/>
        <c:scaling>
          <c:orientation val="minMax"/>
          <c:min val="1.0000000000000003E-4"/>
        </c:scaling>
        <c:delete val="0"/>
        <c:axPos val="t"/>
        <c:numFmt formatCode="#,##0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798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203200</xdr:colOff>
      <xdr:row>18</xdr:row>
      <xdr:rowOff>215901</xdr:rowOff>
    </xdr:from>
    <xdr:to>
      <xdr:col>28</xdr:col>
      <xdr:colOff>533400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EBA563-4ED6-BE4A-913A-5A72433B7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533400</xdr:colOff>
      <xdr:row>18</xdr:row>
      <xdr:rowOff>215901</xdr:rowOff>
    </xdr:from>
    <xdr:to>
      <xdr:col>32</xdr:col>
      <xdr:colOff>762000</xdr:colOff>
      <xdr:row>38</xdr:row>
      <xdr:rowOff>184356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6BFAA0-2C25-F644-BA8A-36B864F71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482600</xdr:colOff>
      <xdr:row>15</xdr:row>
      <xdr:rowOff>63500</xdr:rowOff>
    </xdr:from>
    <xdr:to>
      <xdr:col>32</xdr:col>
      <xdr:colOff>279400</xdr:colOff>
      <xdr:row>34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1ECA2A-3964-874E-A22B-8A4492A5F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292100</xdr:colOff>
      <xdr:row>15</xdr:row>
      <xdr:rowOff>63500</xdr:rowOff>
    </xdr:from>
    <xdr:to>
      <xdr:col>37</xdr:col>
      <xdr:colOff>38100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2F9BA1-17BC-FC41-9CA2-2F86F3EDD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D@_D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7328D-1FE4-A44C-B378-8DC2ECFF3149}">
  <dimension ref="A1:N31"/>
  <sheetViews>
    <sheetView workbookViewId="0">
      <selection activeCell="P14" sqref="P14"/>
    </sheetView>
  </sheetViews>
  <sheetFormatPr baseColWidth="10" defaultRowHeight="16"/>
  <sheetData>
    <row r="1" spans="1:14">
      <c r="C1" s="5" t="s">
        <v>24</v>
      </c>
      <c r="D1" s="5" t="s">
        <v>23</v>
      </c>
      <c r="E1" s="5" t="s">
        <v>45</v>
      </c>
      <c r="F1" s="5" t="s">
        <v>114</v>
      </c>
      <c r="G1" s="5" t="s">
        <v>28</v>
      </c>
      <c r="H1" s="5" t="s">
        <v>115</v>
      </c>
      <c r="I1" s="5" t="s">
        <v>31</v>
      </c>
      <c r="J1" s="5" t="s">
        <v>47</v>
      </c>
      <c r="K1" s="5" t="s">
        <v>65</v>
      </c>
      <c r="L1" s="5" t="s">
        <v>70</v>
      </c>
      <c r="M1" s="5" t="s">
        <v>36</v>
      </c>
      <c r="N1" s="5" t="s">
        <v>102</v>
      </c>
    </row>
    <row r="2" spans="1:14">
      <c r="A2" t="s">
        <v>116</v>
      </c>
      <c r="B2" t="s">
        <v>117</v>
      </c>
      <c r="C2" s="17">
        <v>3.1300000000000001E-6</v>
      </c>
      <c r="D2" s="17">
        <v>1.2E-10</v>
      </c>
      <c r="E2" s="17">
        <v>4.8E-10</v>
      </c>
      <c r="F2" s="15">
        <v>5.7430000000000003E-4</v>
      </c>
      <c r="G2" s="17">
        <v>3.4499999999999998E-5</v>
      </c>
      <c r="H2" s="17">
        <v>7.0000000000000005E-8</v>
      </c>
      <c r="I2" s="17">
        <v>5.4600000000000002E-6</v>
      </c>
      <c r="J2" s="17">
        <v>4.78E-6</v>
      </c>
      <c r="K2" s="15">
        <v>2.7599999999999999E-3</v>
      </c>
      <c r="L2" s="15">
        <v>3.5019999999999999E-3</v>
      </c>
      <c r="M2" s="17">
        <v>2.33E-8</v>
      </c>
      <c r="N2" s="17">
        <v>6.9500000000000004E-6</v>
      </c>
    </row>
    <row r="3" spans="1:14">
      <c r="A3" t="s">
        <v>118</v>
      </c>
      <c r="B3" t="s">
        <v>117</v>
      </c>
      <c r="C3" s="17">
        <v>1.2510000000000001E-5</v>
      </c>
      <c r="D3" s="17">
        <v>1.4010000000000001E-10</v>
      </c>
      <c r="E3" s="17">
        <v>3.703E-10</v>
      </c>
      <c r="F3" s="15">
        <v>2.7950000000000002E-4</v>
      </c>
      <c r="G3" s="17">
        <v>4.5600000000000004E-6</v>
      </c>
      <c r="H3" s="17">
        <v>2.7360000000000001E-8</v>
      </c>
      <c r="I3" s="17">
        <v>5.4839999999999997E-9</v>
      </c>
      <c r="J3" s="17">
        <v>3.208E-6</v>
      </c>
      <c r="K3" s="15">
        <v>7.3720000000000003E-4</v>
      </c>
      <c r="L3" s="15">
        <v>4.3179999999999998E-3</v>
      </c>
      <c r="M3" s="17">
        <v>4.1129999999999998E-7</v>
      </c>
      <c r="N3" s="17">
        <v>6.8430000000000004E-6</v>
      </c>
    </row>
    <row r="4" spans="1:14">
      <c r="A4" t="s">
        <v>119</v>
      </c>
      <c r="B4" t="s">
        <v>117</v>
      </c>
      <c r="C4" s="17">
        <v>1.5639999999999999E-5</v>
      </c>
      <c r="D4" s="17">
        <v>2.7020000000000001E-10</v>
      </c>
      <c r="E4" s="17">
        <v>4.293E-9</v>
      </c>
      <c r="F4" s="15">
        <v>1.392E-3</v>
      </c>
      <c r="G4" s="17">
        <v>2.9940000000000001E-5</v>
      </c>
      <c r="H4" s="17">
        <v>9.2850000000000001E-8</v>
      </c>
      <c r="I4" s="17">
        <v>1.06E-5</v>
      </c>
      <c r="J4" s="17">
        <v>4.741E-6</v>
      </c>
      <c r="K4" s="15">
        <v>1.17E-2</v>
      </c>
      <c r="L4" s="15">
        <v>7.9450000000000007E-3</v>
      </c>
      <c r="M4" s="17">
        <v>1.505E-7</v>
      </c>
      <c r="N4" s="17">
        <v>3.8680000000000001E-6</v>
      </c>
    </row>
    <row r="5" spans="1:14">
      <c r="A5" t="s">
        <v>120</v>
      </c>
      <c r="B5" t="s">
        <v>117</v>
      </c>
      <c r="C5" s="17">
        <v>3.1269999999999999E-6</v>
      </c>
      <c r="D5" s="17">
        <v>2.101E-10</v>
      </c>
      <c r="E5" s="17">
        <v>4.4850000000000001E-8</v>
      </c>
      <c r="F5" s="15">
        <v>1.3990000000000001E-4</v>
      </c>
      <c r="G5" s="17">
        <v>1.09E-9</v>
      </c>
      <c r="H5" s="17">
        <v>5.6400000000000004E-9</v>
      </c>
      <c r="I5" s="17">
        <v>7.1320000000000002E-5</v>
      </c>
      <c r="J5" s="17">
        <v>1.613E-5</v>
      </c>
      <c r="K5" s="15">
        <v>2.8E-3</v>
      </c>
      <c r="L5" s="15">
        <v>1.2919999999999999E-2</v>
      </c>
      <c r="M5" s="17">
        <v>2.429E-5</v>
      </c>
      <c r="N5" s="17">
        <v>3.3019999999999999E-6</v>
      </c>
    </row>
    <row r="6" spans="1:14">
      <c r="A6" t="s">
        <v>121</v>
      </c>
      <c r="B6" t="s">
        <v>117</v>
      </c>
      <c r="C6" s="17">
        <v>2.1889999999999999E-5</v>
      </c>
      <c r="D6" s="17">
        <v>2.0010000000000001E-10</v>
      </c>
      <c r="E6" s="17">
        <v>2.1570000000000001E-8</v>
      </c>
      <c r="F6" s="17">
        <v>6.4319999999999994E-5</v>
      </c>
      <c r="G6" s="17">
        <v>1.049E-9</v>
      </c>
      <c r="H6" s="17">
        <v>2.8149999999999999E-9</v>
      </c>
      <c r="I6" s="17">
        <v>2.1489999999999999E-5</v>
      </c>
      <c r="J6" s="17">
        <v>1.291E-5</v>
      </c>
      <c r="K6" s="15">
        <v>1.683E-3</v>
      </c>
      <c r="L6" s="15">
        <v>1.2829999999999999E-2</v>
      </c>
      <c r="M6" s="17">
        <v>9.3100000000000006E-6</v>
      </c>
      <c r="N6" s="17">
        <v>3.36E-6</v>
      </c>
    </row>
    <row r="7" spans="1:14">
      <c r="A7" t="s">
        <v>122</v>
      </c>
      <c r="B7" t="s">
        <v>117</v>
      </c>
      <c r="C7" s="17">
        <v>6.2550000000000003E-6</v>
      </c>
      <c r="D7" s="17">
        <v>3.0020000000000001E-10</v>
      </c>
      <c r="E7" s="17">
        <v>3.1450000000000002E-7</v>
      </c>
      <c r="F7" s="17">
        <v>3.2809999999999999E-5</v>
      </c>
      <c r="G7" s="17">
        <v>1.22E-5</v>
      </c>
      <c r="H7" s="17">
        <v>9.603E-9</v>
      </c>
      <c r="I7" s="17">
        <v>4.887E-6</v>
      </c>
      <c r="J7" s="17">
        <v>4.7840000000000003E-6</v>
      </c>
      <c r="K7" s="15">
        <v>3.4810000000000001E-2</v>
      </c>
      <c r="L7" s="15">
        <v>2.1250000000000002E-3</v>
      </c>
      <c r="M7" s="17">
        <v>1.863E-6</v>
      </c>
      <c r="N7" s="17">
        <v>3.985E-6</v>
      </c>
    </row>
    <row r="8" spans="1:14"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>
      <c r="C9" s="15" t="s">
        <v>123</v>
      </c>
      <c r="D9" s="15" t="s">
        <v>124</v>
      </c>
      <c r="E9" s="15" t="s">
        <v>125</v>
      </c>
      <c r="F9" s="15" t="s">
        <v>126</v>
      </c>
      <c r="G9" s="15" t="s">
        <v>28</v>
      </c>
      <c r="H9" s="15" t="s">
        <v>115</v>
      </c>
      <c r="I9" s="15" t="s">
        <v>31</v>
      </c>
      <c r="J9" s="15" t="s">
        <v>47</v>
      </c>
      <c r="K9" s="15" t="s">
        <v>65</v>
      </c>
      <c r="L9" s="15" t="s">
        <v>70</v>
      </c>
      <c r="M9" s="15" t="s">
        <v>36</v>
      </c>
      <c r="N9" s="15" t="s">
        <v>102</v>
      </c>
    </row>
    <row r="10" spans="1:14">
      <c r="A10" t="s">
        <v>116</v>
      </c>
      <c r="B10" t="s">
        <v>127</v>
      </c>
      <c r="C10" s="15">
        <v>1.0043</v>
      </c>
      <c r="D10" s="15">
        <v>1.0043</v>
      </c>
      <c r="E10" s="15">
        <v>1.0043</v>
      </c>
      <c r="F10" s="15">
        <v>1</v>
      </c>
      <c r="G10" s="15">
        <v>0.63109999999999999</v>
      </c>
      <c r="H10" s="15">
        <v>0.90129999999999999</v>
      </c>
      <c r="I10" s="15">
        <v>0.87870000000000004</v>
      </c>
      <c r="J10" s="15">
        <v>0.88080000000000003</v>
      </c>
      <c r="K10" s="15">
        <v>0.61099999999999999</v>
      </c>
      <c r="L10" s="15">
        <v>0.88670000000000004</v>
      </c>
      <c r="M10" s="15">
        <v>0.88280000000000003</v>
      </c>
      <c r="N10" s="15">
        <v>0.88670000000000004</v>
      </c>
    </row>
    <row r="11" spans="1:14">
      <c r="A11" t="s">
        <v>118</v>
      </c>
      <c r="B11" t="s">
        <v>127</v>
      </c>
      <c r="C11" s="15">
        <v>1.0024999999999999</v>
      </c>
      <c r="D11" s="15">
        <v>1.0024999999999999</v>
      </c>
      <c r="E11" s="15">
        <v>1.0024999999999999</v>
      </c>
      <c r="F11" s="15">
        <v>1</v>
      </c>
      <c r="G11" s="15">
        <v>0.69010000000000005</v>
      </c>
      <c r="H11" s="15">
        <v>0.91810000000000003</v>
      </c>
      <c r="I11" s="15">
        <v>0.90329999999999999</v>
      </c>
      <c r="J11" s="15">
        <v>0.90459999999999996</v>
      </c>
      <c r="K11" s="15">
        <v>0.67600000000000005</v>
      </c>
      <c r="L11" s="15">
        <v>0.90839999999999999</v>
      </c>
      <c r="M11" s="15">
        <v>0.90590000000000004</v>
      </c>
      <c r="N11" s="15">
        <v>0.90839999999999999</v>
      </c>
    </row>
    <row r="12" spans="1:14">
      <c r="A12" t="s">
        <v>119</v>
      </c>
      <c r="B12" t="s">
        <v>127</v>
      </c>
      <c r="C12" s="15">
        <v>1.0145999999999999</v>
      </c>
      <c r="D12" s="15">
        <v>1.0145999999999999</v>
      </c>
      <c r="E12" s="15">
        <v>1.0145999999999999</v>
      </c>
      <c r="F12" s="15">
        <v>1</v>
      </c>
      <c r="G12" s="15">
        <v>0.47860000000000003</v>
      </c>
      <c r="H12" s="15">
        <v>0.85550000000000004</v>
      </c>
      <c r="I12" s="15">
        <v>0.80020000000000002</v>
      </c>
      <c r="J12" s="15">
        <v>0.80579999999999996</v>
      </c>
      <c r="K12" s="15">
        <v>0.43869999999999998</v>
      </c>
      <c r="L12" s="15">
        <v>0.82110000000000005</v>
      </c>
      <c r="M12" s="15">
        <v>0.81120000000000003</v>
      </c>
      <c r="N12" s="15">
        <v>0.82110000000000005</v>
      </c>
    </row>
    <row r="13" spans="1:14">
      <c r="A13" t="s">
        <v>120</v>
      </c>
      <c r="B13" t="s">
        <v>127</v>
      </c>
      <c r="C13" s="15">
        <v>1.0056</v>
      </c>
      <c r="D13" s="15">
        <v>1.0056</v>
      </c>
      <c r="E13" s="15">
        <v>1.0056</v>
      </c>
      <c r="F13" s="15">
        <v>1</v>
      </c>
      <c r="G13" s="15">
        <v>0.58779999999999999</v>
      </c>
      <c r="H13" s="15">
        <v>0.88870000000000005</v>
      </c>
      <c r="I13" s="15">
        <v>0.85919999999999996</v>
      </c>
      <c r="J13" s="15">
        <v>0.86199999999999999</v>
      </c>
      <c r="K13" s="15">
        <v>0.56289999999999996</v>
      </c>
      <c r="L13" s="15">
        <v>0.86980000000000002</v>
      </c>
      <c r="M13" s="15">
        <v>0.86470000000000002</v>
      </c>
      <c r="N13" s="15">
        <v>0.86980000000000002</v>
      </c>
    </row>
    <row r="14" spans="1:14">
      <c r="A14" t="s">
        <v>121</v>
      </c>
      <c r="B14" t="s">
        <v>127</v>
      </c>
      <c r="C14" s="15">
        <v>1.0046999999999999</v>
      </c>
      <c r="D14" s="15">
        <v>1.0046999999999999</v>
      </c>
      <c r="E14" s="15">
        <v>1.0046999999999999</v>
      </c>
      <c r="F14" s="15">
        <v>1</v>
      </c>
      <c r="G14" s="15">
        <v>0.59989999999999999</v>
      </c>
      <c r="H14" s="15">
        <v>0.89219999999999999</v>
      </c>
      <c r="I14" s="15">
        <v>0.86519999999999997</v>
      </c>
      <c r="J14" s="15">
        <v>0.86780000000000002</v>
      </c>
      <c r="K14" s="15">
        <v>0.57669999999999999</v>
      </c>
      <c r="L14" s="15">
        <v>0.87480000000000002</v>
      </c>
      <c r="M14" s="15">
        <v>0.87019999999999997</v>
      </c>
      <c r="N14" s="15">
        <v>0.87480000000000002</v>
      </c>
    </row>
    <row r="15" spans="1:14">
      <c r="A15" t="s">
        <v>122</v>
      </c>
      <c r="B15" t="s">
        <v>127</v>
      </c>
      <c r="C15" s="15">
        <v>1.0314000000000001</v>
      </c>
      <c r="D15" s="15">
        <v>1.0314000000000001</v>
      </c>
      <c r="E15" s="15">
        <v>1.0314000000000001</v>
      </c>
      <c r="F15" s="15">
        <v>1</v>
      </c>
      <c r="G15" s="15">
        <v>0.38690000000000002</v>
      </c>
      <c r="H15" s="15">
        <v>0.82720000000000005</v>
      </c>
      <c r="I15" s="15">
        <v>0.73750000000000004</v>
      </c>
      <c r="J15" s="15">
        <v>0.74739999999999995</v>
      </c>
      <c r="K15" s="15">
        <v>0.33300000000000002</v>
      </c>
      <c r="L15" s="15">
        <v>0.7732</v>
      </c>
      <c r="M15" s="15">
        <v>0.75660000000000005</v>
      </c>
      <c r="N15" s="15">
        <v>0.7732</v>
      </c>
    </row>
    <row r="16" spans="1:14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1:14">
      <c r="C17" s="33" t="s">
        <v>123</v>
      </c>
      <c r="D17" s="33" t="s">
        <v>124</v>
      </c>
      <c r="E17" s="33" t="s">
        <v>125</v>
      </c>
      <c r="F17" s="33" t="s">
        <v>126</v>
      </c>
      <c r="G17" s="33" t="s">
        <v>28</v>
      </c>
      <c r="H17" s="33" t="s">
        <v>115</v>
      </c>
      <c r="I17" s="33" t="s">
        <v>31</v>
      </c>
      <c r="J17" s="33" t="s">
        <v>47</v>
      </c>
      <c r="K17" s="33" t="s">
        <v>65</v>
      </c>
      <c r="L17" s="33" t="s">
        <v>70</v>
      </c>
      <c r="M17" s="33" t="s">
        <v>36</v>
      </c>
      <c r="N17" s="33" t="s">
        <v>102</v>
      </c>
    </row>
    <row r="18" spans="1:14">
      <c r="A18" t="s">
        <v>116</v>
      </c>
      <c r="B18" t="s">
        <v>128</v>
      </c>
      <c r="C18" s="15">
        <v>-5.5030000000000001</v>
      </c>
      <c r="D18" s="15">
        <v>-9.9186999999999994</v>
      </c>
      <c r="E18" s="15">
        <v>-9.3165999999999993</v>
      </c>
      <c r="F18" s="15">
        <v>-3.2408999999999999</v>
      </c>
      <c r="G18" s="15">
        <v>-4.6619000000000002</v>
      </c>
      <c r="H18" s="15">
        <v>-7.2</v>
      </c>
      <c r="I18" s="15">
        <v>-5.3193000000000001</v>
      </c>
      <c r="J18" s="15">
        <v>-5.3754</v>
      </c>
      <c r="K18" s="15">
        <v>-2.7730000000000001</v>
      </c>
      <c r="L18" s="15">
        <v>-2.5078999999999998</v>
      </c>
      <c r="M18" s="15">
        <v>-7.6878000000000002</v>
      </c>
      <c r="N18" s="15">
        <v>-5.2103000000000002</v>
      </c>
    </row>
    <row r="19" spans="1:14">
      <c r="A19" t="s">
        <v>118</v>
      </c>
      <c r="B19" t="s">
        <v>128</v>
      </c>
      <c r="C19" s="15">
        <v>-4.9016999999999999</v>
      </c>
      <c r="D19" s="15">
        <v>-9.8524999999999991</v>
      </c>
      <c r="E19" s="15">
        <v>-9.4304000000000006</v>
      </c>
      <c r="F19" s="15">
        <v>-3.5537000000000001</v>
      </c>
      <c r="G19" s="15">
        <v>-5.5021000000000004</v>
      </c>
      <c r="H19" s="15">
        <v>-7.6</v>
      </c>
      <c r="I19" s="15">
        <v>-8.3050999999999995</v>
      </c>
      <c r="J19" s="15">
        <v>-5.5373000000000001</v>
      </c>
      <c r="K19" s="15">
        <v>-3.3025000000000002</v>
      </c>
      <c r="L19" s="15">
        <v>-2.4064999999999999</v>
      </c>
      <c r="M19" s="15">
        <v>-6.4287999999999998</v>
      </c>
      <c r="N19" s="15">
        <v>-5.2065000000000001</v>
      </c>
    </row>
    <row r="20" spans="1:14">
      <c r="A20" t="s">
        <v>119</v>
      </c>
      <c r="B20" t="s">
        <v>128</v>
      </c>
      <c r="C20" s="15">
        <v>-4.7995999999999999</v>
      </c>
      <c r="D20" s="15">
        <v>-9.5619999999999994</v>
      </c>
      <c r="E20" s="15">
        <v>-8.3609000000000009</v>
      </c>
      <c r="F20" s="15">
        <v>-2.8563999999999998</v>
      </c>
      <c r="G20" s="15">
        <v>-4.8437999999999999</v>
      </c>
      <c r="H20" s="15">
        <v>-7.1</v>
      </c>
      <c r="I20" s="15">
        <v>-5.0713999999999997</v>
      </c>
      <c r="J20" s="15">
        <v>-5.4179000000000004</v>
      </c>
      <c r="K20" s="15">
        <v>-2.2894999999999999</v>
      </c>
      <c r="L20" s="15">
        <v>-2.1855000000000002</v>
      </c>
      <c r="M20" s="15">
        <v>-6.9134000000000002</v>
      </c>
      <c r="N20" s="15">
        <v>-5.4981</v>
      </c>
    </row>
    <row r="21" spans="1:14">
      <c r="A21" t="s">
        <v>120</v>
      </c>
      <c r="B21" t="s">
        <v>128</v>
      </c>
      <c r="C21" s="15">
        <v>-5.5023999999999997</v>
      </c>
      <c r="D21" s="15">
        <v>-9.6750000000000007</v>
      </c>
      <c r="E21" s="15">
        <v>-7.3457999999999997</v>
      </c>
      <c r="F21" s="15">
        <v>-3.8540999999999999</v>
      </c>
      <c r="G21" s="15">
        <v>-9.1935000000000002</v>
      </c>
      <c r="H21" s="15">
        <v>-8.3000000000000007</v>
      </c>
      <c r="I21" s="15">
        <v>-4.2126999999999999</v>
      </c>
      <c r="J21" s="15">
        <v>-4.8569000000000004</v>
      </c>
      <c r="K21" s="15">
        <v>-2.8025000000000002</v>
      </c>
      <c r="L21" s="15">
        <v>-1.9494</v>
      </c>
      <c r="M21" s="15">
        <v>-4.6778000000000004</v>
      </c>
      <c r="N21" s="15">
        <v>-5.5418000000000003</v>
      </c>
    </row>
    <row r="22" spans="1:14">
      <c r="A22" t="s">
        <v>121</v>
      </c>
      <c r="B22" t="s">
        <v>128</v>
      </c>
      <c r="C22" s="15">
        <v>-4.6577000000000002</v>
      </c>
      <c r="D22" s="15">
        <v>-9.6966000000000001</v>
      </c>
      <c r="E22" s="15">
        <v>-7.6642000000000001</v>
      </c>
      <c r="F22" s="15">
        <v>-4.1917</v>
      </c>
      <c r="G22" s="15">
        <v>-9.2012</v>
      </c>
      <c r="H22" s="15">
        <v>-8.6</v>
      </c>
      <c r="I22" s="15">
        <v>-4.7306999999999997</v>
      </c>
      <c r="J22" s="15">
        <v>-4.9508000000000001</v>
      </c>
      <c r="K22" s="15">
        <v>-3.0129000000000001</v>
      </c>
      <c r="L22" s="15">
        <v>-1.9497</v>
      </c>
      <c r="M22" s="15">
        <v>-5.0914000000000001</v>
      </c>
      <c r="N22" s="15">
        <v>-5.5317999999999996</v>
      </c>
    </row>
    <row r="23" spans="1:14">
      <c r="A23" t="s">
        <v>122</v>
      </c>
      <c r="B23" t="s">
        <v>128</v>
      </c>
      <c r="C23" s="15">
        <v>-5.1904000000000003</v>
      </c>
      <c r="D23" s="15">
        <v>-9.5091999999999999</v>
      </c>
      <c r="E23" s="15">
        <v>-6.4889000000000001</v>
      </c>
      <c r="F23" s="15">
        <v>-4.484</v>
      </c>
      <c r="G23" s="15">
        <v>-5.3259999999999996</v>
      </c>
      <c r="H23" s="15">
        <v>-8.1</v>
      </c>
      <c r="I23" s="15">
        <v>-5.4432</v>
      </c>
      <c r="J23" s="15">
        <v>-5.4466999999999999</v>
      </c>
      <c r="K23" s="15">
        <v>-1.9358</v>
      </c>
      <c r="L23" s="15">
        <v>-2.7843</v>
      </c>
      <c r="M23" s="15">
        <v>-5.8509000000000002</v>
      </c>
      <c r="N23" s="15">
        <v>-5.5113000000000003</v>
      </c>
    </row>
    <row r="24" spans="1:14"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1:14">
      <c r="C25" s="15" t="s">
        <v>123</v>
      </c>
      <c r="D25" s="15" t="s">
        <v>124</v>
      </c>
      <c r="E25" s="15" t="s">
        <v>125</v>
      </c>
      <c r="F25" s="15" t="s">
        <v>126</v>
      </c>
      <c r="G25" s="15" t="s">
        <v>28</v>
      </c>
      <c r="H25" s="15" t="s">
        <v>115</v>
      </c>
      <c r="I25" s="15" t="s">
        <v>31</v>
      </c>
      <c r="J25" s="15" t="s">
        <v>47</v>
      </c>
      <c r="K25" s="15" t="s">
        <v>65</v>
      </c>
      <c r="L25" s="15" t="s">
        <v>70</v>
      </c>
      <c r="M25" s="15" t="s">
        <v>36</v>
      </c>
      <c r="N25" s="15" t="s">
        <v>102</v>
      </c>
    </row>
    <row r="26" spans="1:14">
      <c r="A26" t="s">
        <v>116</v>
      </c>
      <c r="B26" t="s">
        <v>129</v>
      </c>
      <c r="C26" s="15">
        <v>9.9989999999999996E-2</v>
      </c>
      <c r="D26" s="17">
        <v>2.4200000000000002E-7</v>
      </c>
      <c r="E26" s="17">
        <v>7.7000000000000008E-6</v>
      </c>
      <c r="F26" s="15">
        <v>25.25</v>
      </c>
      <c r="G26" s="15">
        <v>1.9259999999999999</v>
      </c>
      <c r="H26" s="17">
        <v>7.0500000000000006E-5</v>
      </c>
      <c r="I26" s="15">
        <v>9.8320000000000005E-2</v>
      </c>
      <c r="J26" s="15">
        <v>0.29630000000000001</v>
      </c>
      <c r="K26" s="15">
        <v>264.89999999999998</v>
      </c>
      <c r="L26" s="15">
        <v>213.5</v>
      </c>
      <c r="M26" s="15">
        <v>7.6809999999999997E-4</v>
      </c>
      <c r="N26" s="15">
        <v>0.41</v>
      </c>
    </row>
    <row r="27" spans="1:14">
      <c r="A27" t="s">
        <v>118</v>
      </c>
      <c r="B27" t="s">
        <v>129</v>
      </c>
      <c r="C27" s="15">
        <v>0.40010000000000001</v>
      </c>
      <c r="D27" s="17">
        <v>2.8229999999999998E-7</v>
      </c>
      <c r="E27" s="17">
        <v>5.9370000000000001E-6</v>
      </c>
      <c r="F27" s="15">
        <v>12.29</v>
      </c>
      <c r="G27" s="15">
        <v>0.2545</v>
      </c>
      <c r="H27" s="17">
        <v>2.756E-5</v>
      </c>
      <c r="I27" s="17">
        <v>9.8869999999999994E-5</v>
      </c>
      <c r="J27" s="15">
        <v>0.1988</v>
      </c>
      <c r="K27" s="15">
        <v>70.78</v>
      </c>
      <c r="L27" s="15">
        <v>263.3</v>
      </c>
      <c r="M27" s="15">
        <v>1.359E-2</v>
      </c>
      <c r="N27" s="15">
        <v>0.40379999999999999</v>
      </c>
    </row>
    <row r="28" spans="1:14">
      <c r="A28" t="s">
        <v>119</v>
      </c>
      <c r="B28" t="s">
        <v>129</v>
      </c>
      <c r="C28" s="15">
        <v>0.49890000000000001</v>
      </c>
      <c r="D28" s="17">
        <v>5.4300000000000003E-7</v>
      </c>
      <c r="E28" s="17">
        <v>6.8670000000000005E-5</v>
      </c>
      <c r="F28" s="15">
        <v>61.07</v>
      </c>
      <c r="G28" s="15">
        <v>1.667</v>
      </c>
      <c r="H28" s="17">
        <v>9.3300000000000005E-5</v>
      </c>
      <c r="I28" s="15">
        <v>0.19070000000000001</v>
      </c>
      <c r="J28" s="15">
        <v>0.29310000000000003</v>
      </c>
      <c r="K28" s="15">
        <v>1121</v>
      </c>
      <c r="L28" s="15">
        <v>483.3</v>
      </c>
      <c r="M28" s="15">
        <v>4.9610000000000001E-3</v>
      </c>
      <c r="N28" s="15">
        <v>0.22770000000000001</v>
      </c>
    </row>
    <row r="29" spans="1:14">
      <c r="A29" t="s">
        <v>120</v>
      </c>
      <c r="B29" t="s">
        <v>129</v>
      </c>
      <c r="C29" s="15">
        <v>9.9919999999999995E-2</v>
      </c>
      <c r="D29" s="17">
        <v>4.2300000000000002E-7</v>
      </c>
      <c r="E29" s="15">
        <v>7.1840000000000001E-4</v>
      </c>
      <c r="F29" s="15">
        <v>6.149</v>
      </c>
      <c r="G29" s="17">
        <v>6.0760000000000001E-5</v>
      </c>
      <c r="H29" s="17">
        <v>5.6760000000000004E-6</v>
      </c>
      <c r="I29" s="15">
        <v>1.2849999999999999</v>
      </c>
      <c r="J29" s="15">
        <v>0.99860000000000004</v>
      </c>
      <c r="K29" s="15">
        <v>268.5</v>
      </c>
      <c r="L29" s="15">
        <v>786.9</v>
      </c>
      <c r="M29" s="15">
        <v>0.80179999999999996</v>
      </c>
      <c r="N29" s="15">
        <v>0.1946</v>
      </c>
    </row>
    <row r="30" spans="1:14">
      <c r="A30" t="s">
        <v>121</v>
      </c>
      <c r="B30" t="s">
        <v>129</v>
      </c>
      <c r="C30" s="15">
        <v>0.69950000000000001</v>
      </c>
      <c r="D30" s="17">
        <v>4.0289999999999999E-7</v>
      </c>
      <c r="E30" s="15">
        <v>3.455E-4</v>
      </c>
      <c r="F30" s="15">
        <v>2.827</v>
      </c>
      <c r="G30" s="17">
        <v>5.8499999999999999E-5</v>
      </c>
      <c r="H30" s="17">
        <v>2.8339999999999999E-6</v>
      </c>
      <c r="I30" s="15">
        <v>0.38700000000000001</v>
      </c>
      <c r="J30" s="15">
        <v>0.79910000000000003</v>
      </c>
      <c r="K30" s="15">
        <v>161.4</v>
      </c>
      <c r="L30" s="15">
        <v>781.9</v>
      </c>
      <c r="M30" s="15">
        <v>0.30740000000000001</v>
      </c>
      <c r="N30" s="15">
        <v>0.1981</v>
      </c>
    </row>
    <row r="31" spans="1:14">
      <c r="A31" t="s">
        <v>122</v>
      </c>
      <c r="B31" t="s">
        <v>129</v>
      </c>
      <c r="C31" s="15">
        <v>0.1988</v>
      </c>
      <c r="D31" s="17">
        <v>6.0119999999999996E-7</v>
      </c>
      <c r="E31" s="15">
        <v>5.012E-3</v>
      </c>
      <c r="F31" s="15">
        <v>1.4339999999999999</v>
      </c>
      <c r="G31" s="15">
        <v>0.67689999999999995</v>
      </c>
      <c r="H31" s="17">
        <v>9.6150000000000003E-6</v>
      </c>
      <c r="I31" s="15">
        <v>8.7569999999999995E-2</v>
      </c>
      <c r="J31" s="15">
        <v>0.29459999999999997</v>
      </c>
      <c r="K31" s="15">
        <v>3322</v>
      </c>
      <c r="L31" s="15">
        <v>128.80000000000001</v>
      </c>
      <c r="M31" s="15">
        <v>6.1210000000000001E-2</v>
      </c>
      <c r="N31" s="15">
        <v>0.23369999999999999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169AB-7006-C44E-A2FF-75F278A59FDA}">
  <dimension ref="A2:AA45"/>
  <sheetViews>
    <sheetView workbookViewId="0">
      <selection activeCell="A24" sqref="A24:I45"/>
    </sheetView>
  </sheetViews>
  <sheetFormatPr baseColWidth="10" defaultRowHeight="16"/>
  <cols>
    <col min="1" max="1" width="47.83203125" customWidth="1"/>
    <col min="2" max="2" width="5.33203125" bestFit="1" customWidth="1"/>
    <col min="3" max="3" width="9.1640625" customWidth="1"/>
    <col min="4" max="4" width="7.33203125" customWidth="1"/>
    <col min="5" max="6" width="6.33203125" bestFit="1" customWidth="1"/>
    <col min="7" max="7" width="7.33203125" customWidth="1"/>
    <col min="8" max="8" width="5.33203125" bestFit="1" customWidth="1"/>
    <col min="9" max="9" width="6.33203125" bestFit="1" customWidth="1"/>
    <col min="10" max="10" width="7.33203125" customWidth="1"/>
    <col min="11" max="11" width="5.33203125" bestFit="1" customWidth="1"/>
    <col min="12" max="12" width="6.33203125" bestFit="1" customWidth="1"/>
    <col min="13" max="13" width="7.33203125" customWidth="1"/>
    <col min="14" max="14" width="5.6640625" bestFit="1" customWidth="1"/>
    <col min="15" max="15" width="6.5" bestFit="1" customWidth="1"/>
    <col min="16" max="16" width="7.33203125" customWidth="1"/>
    <col min="17" max="17" width="5.6640625" bestFit="1" customWidth="1"/>
    <col min="18" max="18" width="6.33203125" customWidth="1"/>
    <col min="19" max="19" width="7.5" bestFit="1" customWidth="1"/>
  </cols>
  <sheetData>
    <row r="2" spans="1:19" ht="17">
      <c r="A2" s="48" t="s">
        <v>140</v>
      </c>
      <c r="B2" t="s">
        <v>116</v>
      </c>
      <c r="C2" t="s">
        <v>141</v>
      </c>
      <c r="D2" s="48" t="s">
        <v>142</v>
      </c>
      <c r="E2" t="s">
        <v>118</v>
      </c>
      <c r="F2" t="s">
        <v>141</v>
      </c>
      <c r="G2" s="48" t="s">
        <v>142</v>
      </c>
      <c r="H2" t="s">
        <v>119</v>
      </c>
      <c r="I2" t="s">
        <v>141</v>
      </c>
      <c r="J2" s="48" t="s">
        <v>142</v>
      </c>
      <c r="K2" t="s">
        <v>120</v>
      </c>
      <c r="L2" t="s">
        <v>141</v>
      </c>
      <c r="M2" s="48" t="s">
        <v>142</v>
      </c>
      <c r="N2" t="s">
        <v>121</v>
      </c>
      <c r="O2" t="s">
        <v>141</v>
      </c>
      <c r="P2" s="48" t="s">
        <v>142</v>
      </c>
      <c r="Q2" t="s">
        <v>122</v>
      </c>
      <c r="R2" t="s">
        <v>141</v>
      </c>
      <c r="S2" s="48" t="s">
        <v>142</v>
      </c>
    </row>
    <row r="3" spans="1:19" ht="17">
      <c r="A3" s="46" t="s">
        <v>1</v>
      </c>
      <c r="B3" s="63">
        <v>0.36888528912068835</v>
      </c>
      <c r="C3" s="4" t="s">
        <v>48</v>
      </c>
      <c r="D3" s="60" t="s">
        <v>143</v>
      </c>
      <c r="E3" s="45">
        <v>0.7038288740236579</v>
      </c>
      <c r="F3" s="50" t="s">
        <v>24</v>
      </c>
      <c r="G3" s="60" t="s">
        <v>143</v>
      </c>
      <c r="H3" s="45">
        <v>0.49160765886376068</v>
      </c>
      <c r="I3" s="50" t="s">
        <v>24</v>
      </c>
      <c r="J3" s="60" t="s">
        <v>143</v>
      </c>
      <c r="K3" s="63">
        <v>0.86034926006453161</v>
      </c>
      <c r="L3" s="4" t="s">
        <v>48</v>
      </c>
      <c r="M3" s="57" t="s">
        <v>36</v>
      </c>
      <c r="N3" s="45">
        <v>0.85605306871635889</v>
      </c>
      <c r="O3" s="50" t="s">
        <v>24</v>
      </c>
      <c r="P3" s="57" t="s">
        <v>36</v>
      </c>
      <c r="Q3" s="45">
        <v>0.402930275525402</v>
      </c>
      <c r="R3" s="50" t="s">
        <v>24</v>
      </c>
      <c r="S3" s="60" t="s">
        <v>143</v>
      </c>
    </row>
    <row r="4" spans="1:19" ht="17">
      <c r="A4" s="46" t="s">
        <v>12</v>
      </c>
      <c r="B4" s="45">
        <v>9.8222434260869323E-2</v>
      </c>
      <c r="C4" s="50" t="s">
        <v>24</v>
      </c>
      <c r="D4" s="60" t="s">
        <v>143</v>
      </c>
      <c r="E4" s="63">
        <v>0.19363343224881377</v>
      </c>
      <c r="F4" s="4" t="s">
        <v>48</v>
      </c>
      <c r="G4" s="60" t="s">
        <v>143</v>
      </c>
      <c r="H4" s="45">
        <v>0.41215512184762454</v>
      </c>
      <c r="I4" s="50" t="s">
        <v>24</v>
      </c>
      <c r="J4" s="56" t="s">
        <v>78</v>
      </c>
      <c r="K4" s="63">
        <v>0.45976452754816949</v>
      </c>
      <c r="L4" s="4" t="s">
        <v>48</v>
      </c>
      <c r="M4" s="57" t="s">
        <v>36</v>
      </c>
      <c r="N4" s="63">
        <v>0.61744607772311466</v>
      </c>
      <c r="O4" s="4" t="s">
        <v>48</v>
      </c>
      <c r="P4" s="57" t="s">
        <v>36</v>
      </c>
      <c r="Q4" s="63">
        <v>0.28915252549493331</v>
      </c>
      <c r="R4" s="4" t="s">
        <v>48</v>
      </c>
      <c r="S4" s="60" t="s">
        <v>143</v>
      </c>
    </row>
    <row r="5" spans="1:19" ht="17">
      <c r="A5" s="46" t="s">
        <v>14</v>
      </c>
      <c r="B5" s="45">
        <v>-7.7556064229193006E-2</v>
      </c>
      <c r="C5" s="50" t="s">
        <v>24</v>
      </c>
      <c r="D5" s="55" t="s">
        <v>28</v>
      </c>
      <c r="E5" s="45">
        <v>-0.50317028036034894</v>
      </c>
      <c r="F5" s="50" t="s">
        <v>24</v>
      </c>
      <c r="G5" s="57" t="s">
        <v>36</v>
      </c>
      <c r="H5" s="45">
        <v>0.30157873194677903</v>
      </c>
      <c r="I5" s="50" t="s">
        <v>24</v>
      </c>
      <c r="J5" s="55" t="s">
        <v>28</v>
      </c>
      <c r="K5" s="63">
        <v>0.20172974873344235</v>
      </c>
      <c r="L5" s="4" t="s">
        <v>48</v>
      </c>
      <c r="M5" s="60" t="s">
        <v>143</v>
      </c>
      <c r="N5" s="45">
        <v>0.5814450377892173</v>
      </c>
      <c r="O5" s="50" t="s">
        <v>24</v>
      </c>
      <c r="P5" s="56" t="s">
        <v>78</v>
      </c>
      <c r="Q5" s="45">
        <v>0.1482718741695371</v>
      </c>
      <c r="R5" s="50" t="s">
        <v>24</v>
      </c>
      <c r="S5" s="57" t="s">
        <v>36</v>
      </c>
    </row>
    <row r="6" spans="1:19" ht="17">
      <c r="A6" s="46" t="s">
        <v>15</v>
      </c>
      <c r="B6" s="45">
        <v>-0.29739620688881507</v>
      </c>
      <c r="C6" s="50" t="s">
        <v>24</v>
      </c>
      <c r="D6" s="56" t="s">
        <v>78</v>
      </c>
      <c r="E6" s="45">
        <v>-0.50947891198415529</v>
      </c>
      <c r="F6" s="50" t="s">
        <v>24</v>
      </c>
      <c r="G6" s="55" t="s">
        <v>28</v>
      </c>
      <c r="H6" s="63">
        <v>0.27125788033053383</v>
      </c>
      <c r="I6" s="4" t="s">
        <v>48</v>
      </c>
      <c r="J6" s="60" t="s">
        <v>143</v>
      </c>
      <c r="K6" s="45">
        <v>9.5212360789750081E-2</v>
      </c>
      <c r="L6" s="50" t="s">
        <v>24</v>
      </c>
      <c r="M6" s="60" t="s">
        <v>143</v>
      </c>
      <c r="N6" s="45">
        <v>0.4324754033449979</v>
      </c>
      <c r="O6" s="50" t="s">
        <v>24</v>
      </c>
      <c r="P6" s="60" t="s">
        <v>143</v>
      </c>
      <c r="Q6" s="45">
        <v>2.0549392248104537E-2</v>
      </c>
      <c r="R6" s="50" t="s">
        <v>24</v>
      </c>
      <c r="S6" s="56" t="s">
        <v>78</v>
      </c>
    </row>
    <row r="7" spans="1:19" ht="17">
      <c r="A7" s="46" t="s">
        <v>16</v>
      </c>
      <c r="B7" s="45">
        <v>-0.41315270001780796</v>
      </c>
      <c r="C7" s="51" t="s">
        <v>66</v>
      </c>
      <c r="D7" s="61" t="s">
        <v>143</v>
      </c>
      <c r="E7" s="45">
        <v>-0.51061000008828472</v>
      </c>
      <c r="F7" s="51" t="s">
        <v>66</v>
      </c>
      <c r="G7" s="61" t="s">
        <v>143</v>
      </c>
      <c r="H7" s="45">
        <v>-0.71460701703750951</v>
      </c>
      <c r="I7" s="51" t="s">
        <v>66</v>
      </c>
      <c r="J7" s="61" t="s">
        <v>143</v>
      </c>
      <c r="K7" s="45">
        <v>7.7167725324335787E-2</v>
      </c>
      <c r="L7" s="50" t="s">
        <v>24</v>
      </c>
      <c r="M7" s="57" t="s">
        <v>36</v>
      </c>
      <c r="N7" s="63">
        <v>0.20729369040122184</v>
      </c>
      <c r="O7" s="4" t="s">
        <v>48</v>
      </c>
      <c r="P7" s="60" t="s">
        <v>143</v>
      </c>
      <c r="Q7" s="45">
        <v>-3.3067195839087661E-2</v>
      </c>
      <c r="R7" s="50" t="s">
        <v>24</v>
      </c>
      <c r="S7" s="55" t="s">
        <v>28</v>
      </c>
    </row>
    <row r="8" spans="1:19" ht="17">
      <c r="A8" s="46" t="s">
        <v>17</v>
      </c>
      <c r="B8" s="63">
        <v>-0.52340174308391008</v>
      </c>
      <c r="C8" s="4" t="s">
        <v>48</v>
      </c>
      <c r="D8" s="55" t="s">
        <v>28</v>
      </c>
      <c r="E8" s="63">
        <v>-0.62301519582312404</v>
      </c>
      <c r="F8" s="52" t="s">
        <v>70</v>
      </c>
      <c r="G8" s="60" t="s">
        <v>143</v>
      </c>
      <c r="H8" s="63">
        <v>-0.75028662180291639</v>
      </c>
      <c r="I8" s="4" t="s">
        <v>48</v>
      </c>
      <c r="J8" s="55" t="s">
        <v>28</v>
      </c>
      <c r="K8" s="45">
        <v>2.244859880999309E-2</v>
      </c>
      <c r="L8" s="50" t="s">
        <v>24</v>
      </c>
      <c r="M8" s="57" t="s">
        <v>36</v>
      </c>
      <c r="N8" s="45">
        <v>0.1830679273827362</v>
      </c>
      <c r="O8" s="50" t="s">
        <v>24</v>
      </c>
      <c r="P8" s="57" t="s">
        <v>36</v>
      </c>
      <c r="Q8" s="63">
        <v>-9.135935390910134E-2</v>
      </c>
      <c r="R8" s="4" t="s">
        <v>48</v>
      </c>
      <c r="S8" s="57" t="s">
        <v>36</v>
      </c>
    </row>
    <row r="9" spans="1:19" ht="17">
      <c r="A9" s="46" t="s">
        <v>106</v>
      </c>
      <c r="B9" s="63">
        <v>-0.61967524814167796</v>
      </c>
      <c r="C9" s="52" t="s">
        <v>70</v>
      </c>
      <c r="D9" s="60" t="s">
        <v>143</v>
      </c>
      <c r="E9" s="63">
        <v>-0.74065705873450338</v>
      </c>
      <c r="F9" s="4" t="s">
        <v>48</v>
      </c>
      <c r="G9" s="57" t="s">
        <v>36</v>
      </c>
      <c r="H9" s="45">
        <v>-0.94623174257058618</v>
      </c>
      <c r="I9" s="50" t="s">
        <v>24</v>
      </c>
      <c r="J9" s="57" t="s">
        <v>36</v>
      </c>
      <c r="K9" s="63">
        <v>0</v>
      </c>
      <c r="L9" s="4" t="s">
        <v>48</v>
      </c>
      <c r="M9" s="55" t="s">
        <v>28</v>
      </c>
      <c r="N9" s="63">
        <v>1.2142660911831098E-2</v>
      </c>
      <c r="O9" s="4" t="s">
        <v>48</v>
      </c>
      <c r="P9" s="57" t="s">
        <v>36</v>
      </c>
      <c r="Q9" s="45">
        <v>-0.51469146727990633</v>
      </c>
      <c r="R9" s="50" t="s">
        <v>24</v>
      </c>
      <c r="S9" s="57" t="s">
        <v>36</v>
      </c>
    </row>
    <row r="10" spans="1:19" ht="17">
      <c r="A10" s="46" t="s">
        <v>49</v>
      </c>
      <c r="B10" s="45">
        <v>-1.7601579652337296</v>
      </c>
      <c r="C10" s="50" t="s">
        <v>24</v>
      </c>
      <c r="D10" s="57" t="s">
        <v>36</v>
      </c>
      <c r="E10" s="63">
        <v>-0.79843197469975447</v>
      </c>
      <c r="F10" s="4" t="s">
        <v>48</v>
      </c>
      <c r="G10" s="55" t="s">
        <v>28</v>
      </c>
      <c r="H10" s="63">
        <v>-0.99113926869355551</v>
      </c>
      <c r="I10" s="52" t="s">
        <v>70</v>
      </c>
      <c r="J10" s="60" t="s">
        <v>143</v>
      </c>
      <c r="K10" s="45">
        <v>-0.2774991900129255</v>
      </c>
      <c r="L10" s="50" t="s">
        <v>24</v>
      </c>
      <c r="M10" s="56" t="s">
        <v>78</v>
      </c>
      <c r="N10" s="63">
        <v>0</v>
      </c>
      <c r="O10" s="4" t="s">
        <v>48</v>
      </c>
      <c r="P10" s="55" t="s">
        <v>28</v>
      </c>
      <c r="Q10" s="45">
        <v>-0.6052153282359356</v>
      </c>
      <c r="R10" s="50" t="s">
        <v>24</v>
      </c>
      <c r="S10" s="58" t="s">
        <v>45</v>
      </c>
    </row>
    <row r="11" spans="1:19" ht="17">
      <c r="A11" s="46" t="s">
        <v>52</v>
      </c>
      <c r="B11" s="63">
        <v>-1.9955603702059659</v>
      </c>
      <c r="C11" s="4" t="s">
        <v>48</v>
      </c>
      <c r="D11" s="57" t="s">
        <v>36</v>
      </c>
      <c r="E11" s="45">
        <v>-1.1617048389210352</v>
      </c>
      <c r="F11" s="50" t="s">
        <v>24</v>
      </c>
      <c r="G11" s="57" t="s">
        <v>36</v>
      </c>
      <c r="H11" s="63">
        <v>-1.1860483668767163</v>
      </c>
      <c r="I11" s="4" t="s">
        <v>48</v>
      </c>
      <c r="J11" s="57" t="s">
        <v>36</v>
      </c>
      <c r="K11" s="45">
        <v>-0.97053573314714214</v>
      </c>
      <c r="L11" s="51" t="s">
        <v>66</v>
      </c>
      <c r="M11" s="61" t="s">
        <v>143</v>
      </c>
      <c r="N11" s="45">
        <v>0</v>
      </c>
      <c r="O11" s="51" t="s">
        <v>66</v>
      </c>
      <c r="P11" s="54" t="s">
        <v>23</v>
      </c>
      <c r="Q11" s="45">
        <v>-0.67200033717260466</v>
      </c>
      <c r="R11" s="51" t="s">
        <v>66</v>
      </c>
      <c r="S11" s="61" t="s">
        <v>143</v>
      </c>
    </row>
    <row r="12" spans="1:19" ht="17">
      <c r="A12" s="46" t="s">
        <v>55</v>
      </c>
      <c r="B12" s="45">
        <v>-2.4232095607116344</v>
      </c>
      <c r="C12" s="50" t="s">
        <v>24</v>
      </c>
      <c r="D12" s="57" t="s">
        <v>36</v>
      </c>
      <c r="E12" s="63">
        <v>-1.4701477775160097</v>
      </c>
      <c r="F12" s="4" t="s">
        <v>48</v>
      </c>
      <c r="G12" s="57" t="s">
        <v>36</v>
      </c>
      <c r="H12" s="45">
        <v>-1.6007174163379738</v>
      </c>
      <c r="I12" s="50" t="s">
        <v>24</v>
      </c>
      <c r="J12" s="57" t="s">
        <v>36</v>
      </c>
      <c r="K12" s="63">
        <v>-1.1928497342077633</v>
      </c>
      <c r="L12" s="52" t="s">
        <v>70</v>
      </c>
      <c r="M12" s="60" t="s">
        <v>143</v>
      </c>
      <c r="N12" s="45">
        <v>-0.93529658404944305</v>
      </c>
      <c r="O12" s="51" t="s">
        <v>66</v>
      </c>
      <c r="P12" s="61" t="s">
        <v>143</v>
      </c>
      <c r="Q12" s="63">
        <v>-0.71797265045822145</v>
      </c>
      <c r="R12" s="4" t="s">
        <v>48</v>
      </c>
      <c r="S12" s="57" t="s">
        <v>36</v>
      </c>
    </row>
    <row r="13" spans="1:19" ht="17">
      <c r="A13" s="46" t="s">
        <v>58</v>
      </c>
      <c r="B13" s="63">
        <v>-2.6470874021939861</v>
      </c>
      <c r="C13" s="4" t="s">
        <v>48</v>
      </c>
      <c r="D13" s="57" t="s">
        <v>36</v>
      </c>
      <c r="E13" s="45">
        <v>-2.7589584993167326</v>
      </c>
      <c r="F13" s="50" t="s">
        <v>24</v>
      </c>
      <c r="G13" s="56" t="s">
        <v>78</v>
      </c>
      <c r="H13" s="63">
        <v>-1.8185967915793528</v>
      </c>
      <c r="I13" s="4" t="s">
        <v>48</v>
      </c>
      <c r="J13" s="57" t="s">
        <v>36</v>
      </c>
      <c r="K13" s="45">
        <v>-1.4578480073137103</v>
      </c>
      <c r="L13" s="50" t="s">
        <v>24</v>
      </c>
      <c r="M13" s="58" t="s">
        <v>45</v>
      </c>
      <c r="N13" s="63">
        <v>-1.1380646431202357</v>
      </c>
      <c r="O13" s="52" t="s">
        <v>70</v>
      </c>
      <c r="P13" s="60" t="s">
        <v>143</v>
      </c>
      <c r="Q13" s="63">
        <v>-0.83129702465468525</v>
      </c>
      <c r="R13" s="4" t="s">
        <v>48</v>
      </c>
      <c r="S13" s="58" t="s">
        <v>45</v>
      </c>
    </row>
    <row r="14" spans="1:19" ht="17">
      <c r="A14" s="46" t="s">
        <v>63</v>
      </c>
      <c r="B14" s="45">
        <v>-3.4341910796530106</v>
      </c>
      <c r="C14" s="50" t="s">
        <v>24</v>
      </c>
      <c r="D14" s="58" t="s">
        <v>45</v>
      </c>
      <c r="E14" s="45">
        <v>-3.542962840130746</v>
      </c>
      <c r="F14" s="50" t="s">
        <v>24</v>
      </c>
      <c r="G14" s="58" t="s">
        <v>45</v>
      </c>
      <c r="H14" s="45">
        <v>-2.4776484799429448</v>
      </c>
      <c r="I14" s="50" t="s">
        <v>24</v>
      </c>
      <c r="J14" s="58" t="s">
        <v>45</v>
      </c>
      <c r="K14" s="63">
        <v>-1.6831547588973672</v>
      </c>
      <c r="L14" s="4" t="s">
        <v>48</v>
      </c>
      <c r="M14" s="58" t="s">
        <v>45</v>
      </c>
      <c r="N14" s="45">
        <v>-1.7718481782199438</v>
      </c>
      <c r="O14" s="50" t="s">
        <v>24</v>
      </c>
      <c r="P14" s="58" t="s">
        <v>45</v>
      </c>
      <c r="Q14" s="63">
        <v>-1.0195376673603989</v>
      </c>
      <c r="R14" s="4" t="s">
        <v>48</v>
      </c>
      <c r="S14" s="55" t="s">
        <v>28</v>
      </c>
    </row>
    <row r="15" spans="1:19" ht="17">
      <c r="A15" s="46" t="s">
        <v>108</v>
      </c>
      <c r="B15" s="63">
        <v>-3.6611046165435721</v>
      </c>
      <c r="C15" s="4" t="s">
        <v>48</v>
      </c>
      <c r="D15" s="58" t="s">
        <v>45</v>
      </c>
      <c r="E15" s="63">
        <v>-3.7762678600695594</v>
      </c>
      <c r="F15" s="4" t="s">
        <v>48</v>
      </c>
      <c r="G15" s="58" t="s">
        <v>45</v>
      </c>
      <c r="H15" s="63">
        <v>-2.7078752744736874</v>
      </c>
      <c r="I15" s="4" t="s">
        <v>48</v>
      </c>
      <c r="J15" s="58" t="s">
        <v>45</v>
      </c>
      <c r="K15" s="45">
        <v>-3.2348123433140334</v>
      </c>
      <c r="L15" s="51" t="s">
        <v>66</v>
      </c>
      <c r="M15" s="59" t="s">
        <v>45</v>
      </c>
      <c r="N15" s="63">
        <v>-2.0052595287399426</v>
      </c>
      <c r="O15" s="4" t="s">
        <v>48</v>
      </c>
      <c r="P15" s="58" t="s">
        <v>45</v>
      </c>
      <c r="Q15" s="63">
        <v>-1.1108781421624341</v>
      </c>
      <c r="R15" s="52" t="s">
        <v>70</v>
      </c>
      <c r="S15" s="60" t="s">
        <v>143</v>
      </c>
    </row>
    <row r="16" spans="1:19" ht="17">
      <c r="A16" s="46" t="s">
        <v>64</v>
      </c>
      <c r="B16" s="45">
        <v>-4.6310460584994049</v>
      </c>
      <c r="C16" s="50" t="s">
        <v>24</v>
      </c>
      <c r="D16" s="53" t="s">
        <v>23</v>
      </c>
      <c r="E16" s="45">
        <v>-4.5606144144079943</v>
      </c>
      <c r="F16" s="50" t="s">
        <v>24</v>
      </c>
      <c r="G16" s="53" t="s">
        <v>23</v>
      </c>
      <c r="H16" s="45">
        <v>-3.9963252506531348</v>
      </c>
      <c r="I16" s="51" t="s">
        <v>66</v>
      </c>
      <c r="J16" s="59" t="s">
        <v>45</v>
      </c>
      <c r="K16" s="45">
        <v>-4.2134157097138027</v>
      </c>
      <c r="L16" s="50" t="s">
        <v>24</v>
      </c>
      <c r="M16" s="55" t="s">
        <v>28</v>
      </c>
      <c r="N16" s="45">
        <v>-3.5560170489091476</v>
      </c>
      <c r="O16" s="51" t="s">
        <v>66</v>
      </c>
      <c r="P16" s="59" t="s">
        <v>45</v>
      </c>
      <c r="Q16" s="45">
        <v>-1.9713628088285566</v>
      </c>
      <c r="R16" s="51" t="s">
        <v>66</v>
      </c>
      <c r="S16" s="59" t="s">
        <v>45</v>
      </c>
    </row>
    <row r="17" spans="1:27" ht="17">
      <c r="A17" s="49" t="s">
        <v>68</v>
      </c>
      <c r="B17" s="63">
        <v>-4.8436696436580515</v>
      </c>
      <c r="C17" s="4" t="s">
        <v>48</v>
      </c>
      <c r="D17" s="53" t="s">
        <v>23</v>
      </c>
      <c r="E17" s="63">
        <v>-4.7929618145747162</v>
      </c>
      <c r="F17" s="4" t="s">
        <v>48</v>
      </c>
      <c r="G17" s="53" t="s">
        <v>23</v>
      </c>
      <c r="H17" s="45">
        <v>-4.2734508014853256</v>
      </c>
      <c r="I17" s="50" t="s">
        <v>24</v>
      </c>
      <c r="J17" s="53" t="s">
        <v>23</v>
      </c>
      <c r="K17" s="45">
        <v>-4.3923033388820345</v>
      </c>
      <c r="L17" s="50" t="s">
        <v>24</v>
      </c>
      <c r="M17" s="53" t="s">
        <v>23</v>
      </c>
      <c r="N17" s="45">
        <v>-4.1849280212888145</v>
      </c>
      <c r="O17" s="50" t="s">
        <v>24</v>
      </c>
      <c r="P17" s="55" t="s">
        <v>28</v>
      </c>
      <c r="Q17" s="45">
        <v>-4.2326328417071313</v>
      </c>
      <c r="R17" s="50" t="s">
        <v>24</v>
      </c>
      <c r="S17" s="53" t="s">
        <v>23</v>
      </c>
    </row>
    <row r="18" spans="1:27" ht="17">
      <c r="A18" s="46" t="s">
        <v>109</v>
      </c>
      <c r="B18" s="45">
        <v>-4.9958900259042798</v>
      </c>
      <c r="C18" s="51" t="s">
        <v>66</v>
      </c>
      <c r="D18" s="59" t="s">
        <v>45</v>
      </c>
      <c r="E18" s="63">
        <v>-5.0994667709539874</v>
      </c>
      <c r="F18" s="52" t="s">
        <v>70</v>
      </c>
      <c r="G18" s="53" t="s">
        <v>23</v>
      </c>
      <c r="H18" s="63">
        <v>-4.4883580863342898</v>
      </c>
      <c r="I18" s="4" t="s">
        <v>48</v>
      </c>
      <c r="J18" s="53" t="s">
        <v>23</v>
      </c>
      <c r="K18" s="63">
        <v>-4.5982638386224615</v>
      </c>
      <c r="L18" s="4" t="s">
        <v>48</v>
      </c>
      <c r="M18" s="53" t="s">
        <v>23</v>
      </c>
      <c r="N18" s="45">
        <v>-4.4140428353921557</v>
      </c>
      <c r="O18" s="50" t="s">
        <v>24</v>
      </c>
      <c r="P18" s="53" t="s">
        <v>23</v>
      </c>
      <c r="Q18" s="63">
        <v>-4.448335742515372</v>
      </c>
      <c r="R18" s="4" t="s">
        <v>48</v>
      </c>
      <c r="S18" s="53" t="s">
        <v>23</v>
      </c>
    </row>
    <row r="19" spans="1:27" ht="17">
      <c r="A19" s="46" t="s">
        <v>69</v>
      </c>
      <c r="B19" s="63">
        <v>-5.164671335159726</v>
      </c>
      <c r="C19" s="52" t="s">
        <v>70</v>
      </c>
      <c r="D19" s="53" t="s">
        <v>23</v>
      </c>
      <c r="E19" s="45">
        <v>-5.4192918187805059</v>
      </c>
      <c r="F19" s="51" t="s">
        <v>66</v>
      </c>
      <c r="G19" s="59" t="s">
        <v>45</v>
      </c>
      <c r="H19" s="63">
        <v>-4.8181945805238726</v>
      </c>
      <c r="I19" s="52" t="s">
        <v>70</v>
      </c>
      <c r="J19" s="53" t="s">
        <v>23</v>
      </c>
      <c r="K19" s="63">
        <v>-4.9502143305775439</v>
      </c>
      <c r="L19" s="52" t="s">
        <v>70</v>
      </c>
      <c r="M19" s="53" t="s">
        <v>23</v>
      </c>
      <c r="N19" s="63">
        <v>-4.6313823915240668</v>
      </c>
      <c r="O19" s="4" t="s">
        <v>48</v>
      </c>
      <c r="P19" s="53" t="s">
        <v>23</v>
      </c>
      <c r="Q19" s="63">
        <v>-4.8125054406553778</v>
      </c>
      <c r="R19" s="52" t="s">
        <v>70</v>
      </c>
      <c r="S19" s="53" t="s">
        <v>23</v>
      </c>
    </row>
    <row r="20" spans="1:27" ht="17">
      <c r="A20" s="46" t="s">
        <v>110</v>
      </c>
      <c r="B20" s="45">
        <v>-5.9918706360550011</v>
      </c>
      <c r="C20" s="51" t="s">
        <v>66</v>
      </c>
      <c r="D20" s="54" t="s">
        <v>23</v>
      </c>
      <c r="E20" s="45">
        <v>-6.1133627888011306</v>
      </c>
      <c r="F20" s="51" t="s">
        <v>66</v>
      </c>
      <c r="G20" s="54" t="s">
        <v>23</v>
      </c>
      <c r="H20" s="45">
        <v>-5.6057357695088683</v>
      </c>
      <c r="I20" s="51" t="s">
        <v>66</v>
      </c>
      <c r="J20" s="54" t="s">
        <v>23</v>
      </c>
      <c r="K20" s="45">
        <v>-6.4027291866236613</v>
      </c>
      <c r="L20" s="51" t="s">
        <v>66</v>
      </c>
      <c r="M20" s="54" t="s">
        <v>23</v>
      </c>
      <c r="N20" s="63">
        <v>-4.9728280926595154</v>
      </c>
      <c r="O20" s="52" t="s">
        <v>70</v>
      </c>
      <c r="P20" s="53" t="s">
        <v>23</v>
      </c>
      <c r="Q20" s="45">
        <v>-5.7325713385745427</v>
      </c>
      <c r="R20" s="51" t="s">
        <v>66</v>
      </c>
      <c r="S20" s="54" t="s">
        <v>23</v>
      </c>
    </row>
    <row r="23" spans="1:27">
      <c r="D23" s="54"/>
      <c r="G23" s="54"/>
      <c r="J23" s="54"/>
      <c r="L23" s="54"/>
      <c r="O23" s="54"/>
    </row>
    <row r="24" spans="1:27" ht="17">
      <c r="A24" s="48" t="s">
        <v>140</v>
      </c>
      <c r="B24" t="s">
        <v>141</v>
      </c>
      <c r="C24" t="s">
        <v>142</v>
      </c>
      <c r="D24" t="s">
        <v>116</v>
      </c>
      <c r="E24" t="s">
        <v>118</v>
      </c>
      <c r="F24" t="s">
        <v>119</v>
      </c>
      <c r="G24" t="s">
        <v>120</v>
      </c>
      <c r="H24" t="s">
        <v>121</v>
      </c>
      <c r="I24" t="s">
        <v>122</v>
      </c>
      <c r="J24" s="54"/>
      <c r="L24" t="s">
        <v>141</v>
      </c>
      <c r="M24" t="s">
        <v>142</v>
      </c>
      <c r="N24" t="s">
        <v>116</v>
      </c>
      <c r="O24" t="s">
        <v>118</v>
      </c>
      <c r="P24" t="s">
        <v>119</v>
      </c>
      <c r="Q24" t="s">
        <v>120</v>
      </c>
      <c r="R24" t="s">
        <v>121</v>
      </c>
      <c r="S24" t="s">
        <v>122</v>
      </c>
      <c r="V24" t="s">
        <v>116</v>
      </c>
      <c r="W24" t="s">
        <v>118</v>
      </c>
      <c r="X24" t="s">
        <v>119</v>
      </c>
      <c r="Y24" t="s">
        <v>120</v>
      </c>
      <c r="Z24" t="s">
        <v>121</v>
      </c>
      <c r="AA24" t="s">
        <v>122</v>
      </c>
    </row>
    <row r="25" spans="1:27" ht="17">
      <c r="A25" s="46" t="s">
        <v>1</v>
      </c>
      <c r="B25" s="50" t="s">
        <v>24</v>
      </c>
      <c r="C25" s="53" t="s">
        <v>23</v>
      </c>
      <c r="D25">
        <v>-4.6310460584994049</v>
      </c>
      <c r="E25">
        <v>-4.5606144144079943</v>
      </c>
      <c r="F25">
        <v>-4.2734508014853256</v>
      </c>
      <c r="G25">
        <v>-4.3923033388820345</v>
      </c>
      <c r="H25">
        <v>-4.4140428353921557</v>
      </c>
      <c r="I25">
        <v>-4.2326328417071313</v>
      </c>
      <c r="J25" s="54"/>
      <c r="L25" s="50" t="s">
        <v>24</v>
      </c>
      <c r="M25" s="53" t="s">
        <v>23</v>
      </c>
      <c r="N25" s="62">
        <f>10^D25</f>
        <v>2.338589209669735E-5</v>
      </c>
      <c r="O25" s="62">
        <f t="shared" ref="O25:S25" si="0">10^E25</f>
        <v>2.750334936796051E-5</v>
      </c>
      <c r="P25" s="62">
        <f t="shared" si="0"/>
        <v>5.3278157640813151E-5</v>
      </c>
      <c r="Q25" s="62">
        <f t="shared" si="0"/>
        <v>4.0522540139271569E-5</v>
      </c>
      <c r="R25" s="62">
        <f t="shared" si="0"/>
        <v>3.8544033898715529E-5</v>
      </c>
      <c r="S25" s="62">
        <f t="shared" si="0"/>
        <v>5.8528468244833281E-5</v>
      </c>
      <c r="U25" t="s">
        <v>24</v>
      </c>
      <c r="V25" s="62">
        <f>SUM(N25:N31)</f>
        <v>2.6159788205879422</v>
      </c>
      <c r="W25" s="62">
        <f t="shared" ref="W25:AA25" si="1">SUM(O25:O31)</f>
        <v>5.7505501822557861</v>
      </c>
      <c r="X25" s="62">
        <f t="shared" si="1"/>
        <v>7.8291071089753599</v>
      </c>
      <c r="Y25" s="62">
        <f t="shared" si="1"/>
        <v>4.0554074760598589</v>
      </c>
      <c r="Z25" s="62">
        <f t="shared" si="1"/>
        <v>15.241610461917947</v>
      </c>
      <c r="AA25" s="62">
        <f t="shared" si="1"/>
        <v>6.4649183920666449</v>
      </c>
    </row>
    <row r="26" spans="1:27" ht="17">
      <c r="A26" s="46" t="s">
        <v>12</v>
      </c>
      <c r="B26" s="50" t="s">
        <v>24</v>
      </c>
      <c r="C26" s="55" t="s">
        <v>28</v>
      </c>
      <c r="D26">
        <v>-7.7556064229193006E-2</v>
      </c>
      <c r="E26">
        <v>-0.50947891198415529</v>
      </c>
      <c r="F26">
        <v>0.30157873194677903</v>
      </c>
      <c r="G26">
        <v>-4.2134157097138027</v>
      </c>
      <c r="H26">
        <v>-4.1849280212888145</v>
      </c>
      <c r="I26">
        <v>-3.3067195839087661E-2</v>
      </c>
      <c r="J26" s="54"/>
      <c r="L26" s="50" t="s">
        <v>24</v>
      </c>
      <c r="M26" s="55" t="s">
        <v>28</v>
      </c>
      <c r="N26" s="62">
        <f t="shared" ref="N26:N45" si="2">10^D26</f>
        <v>0.83645760824948345</v>
      </c>
      <c r="O26" s="62">
        <f t="shared" ref="O26:O45" si="3">10^E26</f>
        <v>0.30940055472797429</v>
      </c>
      <c r="P26" s="62">
        <f t="shared" ref="P26:P45" si="4">10^F26</f>
        <v>2.0025286211046418</v>
      </c>
      <c r="Q26" s="62">
        <f t="shared" ref="Q26:Q45" si="5">10^G26</f>
        <v>6.1176452609154879E-5</v>
      </c>
      <c r="R26" s="62">
        <f t="shared" ref="R26:R45" si="6">10^H26</f>
        <v>6.5323880958686342E-5</v>
      </c>
      <c r="S26" s="62">
        <f t="shared" ref="S26:S45" si="7">10^I26</f>
        <v>0.92668643152779173</v>
      </c>
      <c r="U26" t="s">
        <v>48</v>
      </c>
      <c r="V26" s="62">
        <f>SUM(N32:N37)</f>
        <v>2.6504475922022088</v>
      </c>
      <c r="W26" s="62">
        <f t="shared" ref="W26:AA26" si="8">SUM(O32:O37)</f>
        <v>1.9366427721535551</v>
      </c>
      <c r="X26" s="62">
        <f t="shared" si="8"/>
        <v>2.1275309453659688</v>
      </c>
      <c r="Y26" s="62">
        <f t="shared" si="8"/>
        <v>11.744641287066367</v>
      </c>
      <c r="Z26" s="62">
        <f t="shared" si="8"/>
        <v>6.79424349219435</v>
      </c>
      <c r="AA26" s="62">
        <f t="shared" si="8"/>
        <v>3.190877732653199</v>
      </c>
    </row>
    <row r="27" spans="1:27" ht="17">
      <c r="A27" s="46" t="s">
        <v>14</v>
      </c>
      <c r="B27" s="50" t="s">
        <v>24</v>
      </c>
      <c r="C27" s="56" t="s">
        <v>78</v>
      </c>
      <c r="D27">
        <v>-0.29739620688881507</v>
      </c>
      <c r="E27">
        <v>-2.7589584993167326</v>
      </c>
      <c r="F27">
        <v>0.41215512184762454</v>
      </c>
      <c r="G27">
        <v>-0.2774991900129255</v>
      </c>
      <c r="H27">
        <v>0.5814450377892173</v>
      </c>
      <c r="I27">
        <v>2.0549392248104537E-2</v>
      </c>
      <c r="J27" s="54"/>
      <c r="L27" s="50" t="s">
        <v>24</v>
      </c>
      <c r="M27" s="56" t="s">
        <v>78</v>
      </c>
      <c r="N27" s="62">
        <f t="shared" si="2"/>
        <v>0.50420110497222947</v>
      </c>
      <c r="O27" s="62">
        <f t="shared" si="3"/>
        <v>1.7419733264143436E-3</v>
      </c>
      <c r="P27" s="62">
        <f t="shared" si="4"/>
        <v>2.5831826903074688</v>
      </c>
      <c r="Q27" s="62">
        <f t="shared" si="5"/>
        <v>0.52783819123275311</v>
      </c>
      <c r="R27" s="62">
        <f t="shared" si="6"/>
        <v>3.8145651593140242</v>
      </c>
      <c r="S27" s="62">
        <f t="shared" si="7"/>
        <v>1.0484540273243126</v>
      </c>
      <c r="U27" t="s">
        <v>66</v>
      </c>
      <c r="V27" s="62">
        <f>SUM(N38:N41)</f>
        <v>0.38624226643567838</v>
      </c>
      <c r="W27" s="62">
        <f t="shared" ref="W27:AA27" si="9">SUM(O38:O41)</f>
        <v>0.30860037047668964</v>
      </c>
      <c r="X27" s="62">
        <f t="shared" si="9"/>
        <v>0.19303031615839833</v>
      </c>
      <c r="Y27" s="62">
        <f t="shared" si="9"/>
        <v>0.10760258289514199</v>
      </c>
      <c r="Z27" s="62">
        <f t="shared" si="9"/>
        <v>0.11634353238709999</v>
      </c>
      <c r="AA27" s="62">
        <f t="shared" si="9"/>
        <v>0.22349721212748366</v>
      </c>
    </row>
    <row r="28" spans="1:27" ht="17">
      <c r="A28" s="46" t="s">
        <v>15</v>
      </c>
      <c r="B28" s="50" t="s">
        <v>24</v>
      </c>
      <c r="C28" s="57" t="s">
        <v>36</v>
      </c>
      <c r="D28">
        <v>-2.4232095607116344</v>
      </c>
      <c r="E28">
        <v>-1.1617048389210352</v>
      </c>
      <c r="F28">
        <v>-1.6007174163379738</v>
      </c>
      <c r="G28">
        <v>2.244859880999309E-2</v>
      </c>
      <c r="H28">
        <v>0.1830679273827362</v>
      </c>
      <c r="I28">
        <v>-0.51469146727990633</v>
      </c>
      <c r="J28" s="54"/>
      <c r="L28" s="50" t="s">
        <v>24</v>
      </c>
      <c r="M28" s="57" t="s">
        <v>36</v>
      </c>
      <c r="N28" s="62">
        <f t="shared" si="2"/>
        <v>3.7739004444782434E-3</v>
      </c>
      <c r="O28" s="62">
        <f t="shared" si="3"/>
        <v>6.8912048659590622E-2</v>
      </c>
      <c r="P28" s="62">
        <f t="shared" si="4"/>
        <v>2.5077404411043412E-2</v>
      </c>
      <c r="Q28" s="62">
        <f t="shared" si="5"/>
        <v>1.0530490454876265</v>
      </c>
      <c r="R28" s="62">
        <f t="shared" si="6"/>
        <v>1.5242911473655865</v>
      </c>
      <c r="S28" s="62">
        <f t="shared" si="7"/>
        <v>0.30570921700476861</v>
      </c>
      <c r="U28" t="s">
        <v>71</v>
      </c>
      <c r="V28" s="62">
        <f>SUM(N42:N45)</f>
        <v>0.24006958051757038</v>
      </c>
      <c r="W28" s="62">
        <f t="shared" ref="W28:AA28" si="10">SUM(O42:O45)</f>
        <v>0.23823156446425028</v>
      </c>
      <c r="X28" s="62">
        <f t="shared" si="10"/>
        <v>0.10207641299879779</v>
      </c>
      <c r="Y28" s="62">
        <f t="shared" si="10"/>
        <v>6.4154361982499367E-2</v>
      </c>
      <c r="Z28" s="62">
        <f t="shared" si="10"/>
        <v>7.2777794171053539E-2</v>
      </c>
      <c r="AA28" s="62">
        <f t="shared" si="10"/>
        <v>7.748331237334756E-2</v>
      </c>
    </row>
    <row r="29" spans="1:27" ht="17">
      <c r="A29" s="46" t="s">
        <v>16</v>
      </c>
      <c r="B29" s="50" t="s">
        <v>24</v>
      </c>
      <c r="C29" s="57" t="s">
        <v>36</v>
      </c>
      <c r="D29">
        <v>-1.7601579652337296</v>
      </c>
      <c r="E29">
        <v>-0.50317028036034894</v>
      </c>
      <c r="F29">
        <v>-0.94623174257058618</v>
      </c>
      <c r="G29">
        <v>7.7167725324335787E-2</v>
      </c>
      <c r="H29">
        <v>0.85605306871635889</v>
      </c>
      <c r="I29">
        <v>0.1482718741695371</v>
      </c>
      <c r="J29" s="54"/>
      <c r="L29" s="50" t="s">
        <v>24</v>
      </c>
      <c r="M29" s="57" t="s">
        <v>36</v>
      </c>
      <c r="N29" s="62">
        <f t="shared" si="2"/>
        <v>1.7371688561877773E-2</v>
      </c>
      <c r="O29" s="62">
        <f t="shared" si="3"/>
        <v>0.31392775888288443</v>
      </c>
      <c r="P29" s="62">
        <f t="shared" si="4"/>
        <v>0.11317962676771579</v>
      </c>
      <c r="Q29" s="62">
        <f t="shared" si="5"/>
        <v>1.1944493139112802</v>
      </c>
      <c r="R29" s="62">
        <f t="shared" si="6"/>
        <v>7.1788200767275745</v>
      </c>
      <c r="S29" s="62">
        <f t="shared" si="7"/>
        <v>1.4069280043024841</v>
      </c>
    </row>
    <row r="30" spans="1:27" ht="17">
      <c r="A30" s="46" t="s">
        <v>17</v>
      </c>
      <c r="B30" s="50" t="s">
        <v>24</v>
      </c>
      <c r="C30" s="58" t="s">
        <v>45</v>
      </c>
      <c r="D30">
        <v>-3.4341910796530106</v>
      </c>
      <c r="E30">
        <v>-3.542962840130746</v>
      </c>
      <c r="F30">
        <v>-2.4776484799429448</v>
      </c>
      <c r="G30">
        <v>-1.4578480073137103</v>
      </c>
      <c r="H30">
        <v>-1.7718481782199438</v>
      </c>
      <c r="I30">
        <v>-0.6052153282359356</v>
      </c>
      <c r="L30" s="50" t="s">
        <v>24</v>
      </c>
      <c r="M30" s="58" t="s">
        <v>45</v>
      </c>
      <c r="N30" s="62">
        <f t="shared" si="2"/>
        <v>3.6796704092793489E-4</v>
      </c>
      <c r="O30" s="62">
        <f t="shared" si="3"/>
        <v>2.8644230502307085E-4</v>
      </c>
      <c r="P30" s="62">
        <f t="shared" si="4"/>
        <v>3.3292891854566227E-3</v>
      </c>
      <c r="Q30" s="62">
        <f t="shared" si="5"/>
        <v>3.4845924610405102E-2</v>
      </c>
      <c r="R30" s="62">
        <f t="shared" si="6"/>
        <v>1.6910319836291543E-2</v>
      </c>
      <c r="S30" s="62">
        <f t="shared" si="7"/>
        <v>0.24819022442947594</v>
      </c>
    </row>
    <row r="31" spans="1:27" ht="17">
      <c r="A31" s="46" t="s">
        <v>106</v>
      </c>
      <c r="B31" s="50" t="s">
        <v>24</v>
      </c>
      <c r="C31" s="60" t="s">
        <v>143</v>
      </c>
      <c r="D31">
        <v>9.8222434260869323E-2</v>
      </c>
      <c r="E31">
        <v>0.7038288740236579</v>
      </c>
      <c r="F31">
        <v>0.49160765886376068</v>
      </c>
      <c r="G31">
        <v>9.5212360789750081E-2</v>
      </c>
      <c r="H31">
        <v>0.4324754033449979</v>
      </c>
      <c r="I31">
        <v>0.402930275525402</v>
      </c>
      <c r="L31" s="50" t="s">
        <v>24</v>
      </c>
      <c r="M31" s="60" t="s">
        <v>143</v>
      </c>
      <c r="N31" s="62">
        <f t="shared" si="2"/>
        <v>1.2537831654268483</v>
      </c>
      <c r="O31" s="62">
        <f t="shared" si="3"/>
        <v>5.0562539010045313</v>
      </c>
      <c r="P31" s="62">
        <f t="shared" si="4"/>
        <v>3.1017561990413922</v>
      </c>
      <c r="Q31" s="62">
        <f t="shared" si="5"/>
        <v>1.245123301825046</v>
      </c>
      <c r="R31" s="62">
        <f t="shared" si="6"/>
        <v>2.7069198907596124</v>
      </c>
      <c r="S31" s="62">
        <f t="shared" si="7"/>
        <v>2.5288919590095671</v>
      </c>
    </row>
    <row r="32" spans="1:27" ht="17">
      <c r="A32" s="46" t="s">
        <v>49</v>
      </c>
      <c r="B32" s="4" t="s">
        <v>48</v>
      </c>
      <c r="C32" s="53" t="s">
        <v>23</v>
      </c>
      <c r="D32" s="15">
        <v>-4.8436696436580515</v>
      </c>
      <c r="E32" s="15">
        <v>-4.7929618145747162</v>
      </c>
      <c r="F32" s="15">
        <v>-4.4883580863342898</v>
      </c>
      <c r="G32" s="15">
        <v>-4.5982638386224615</v>
      </c>
      <c r="H32" s="15">
        <v>-4.6313823915240668</v>
      </c>
      <c r="I32" s="15">
        <v>-4.448335742515372</v>
      </c>
      <c r="L32" s="4" t="s">
        <v>48</v>
      </c>
      <c r="M32" s="53" t="s">
        <v>23</v>
      </c>
      <c r="N32" s="62">
        <f t="shared" si="2"/>
        <v>1.4332777412365151E-5</v>
      </c>
      <c r="O32" s="62">
        <f t="shared" si="3"/>
        <v>1.610787257729425E-5</v>
      </c>
      <c r="P32" s="62">
        <f t="shared" si="4"/>
        <v>3.2481936549698636E-5</v>
      </c>
      <c r="Q32" s="62">
        <f t="shared" si="5"/>
        <v>2.5219481960338213E-5</v>
      </c>
      <c r="R32" s="62">
        <f t="shared" si="6"/>
        <v>2.3367788244826482E-5</v>
      </c>
      <c r="S32" s="62">
        <f t="shared" si="7"/>
        <v>3.5617567620120436E-5</v>
      </c>
    </row>
    <row r="33" spans="1:27" ht="17">
      <c r="A33" s="46" t="s">
        <v>52</v>
      </c>
      <c r="B33" s="4" t="s">
        <v>48</v>
      </c>
      <c r="C33" s="55" t="s">
        <v>28</v>
      </c>
      <c r="D33" s="15">
        <v>-0.52340174308391008</v>
      </c>
      <c r="E33" s="15">
        <v>-0.79843197469975447</v>
      </c>
      <c r="F33" s="15">
        <v>-0.75028662180291639</v>
      </c>
      <c r="G33" s="15">
        <v>0</v>
      </c>
      <c r="H33" s="15">
        <v>0</v>
      </c>
      <c r="I33" s="15">
        <v>-1.0195376673603989</v>
      </c>
      <c r="L33" s="4" t="s">
        <v>48</v>
      </c>
      <c r="M33" s="55" t="s">
        <v>28</v>
      </c>
      <c r="N33" s="62">
        <f t="shared" si="2"/>
        <v>0.29963894336045938</v>
      </c>
      <c r="O33" s="62">
        <f t="shared" si="3"/>
        <v>0.15906258104615664</v>
      </c>
      <c r="P33" s="62">
        <f t="shared" si="4"/>
        <v>0.17771061842272137</v>
      </c>
      <c r="Q33" s="62"/>
      <c r="R33" s="62"/>
      <c r="S33" s="62">
        <f t="shared" si="7"/>
        <v>9.5600977449492197E-2</v>
      </c>
      <c r="U33" t="s">
        <v>23</v>
      </c>
      <c r="V33" s="62">
        <f t="shared" ref="V33:AA34" si="11">SUM(N25,N32,N38,N42)</f>
        <v>4.5581858481479172E-5</v>
      </c>
      <c r="W33" s="62">
        <f t="shared" si="11"/>
        <v>5.2334522848150921E-5</v>
      </c>
      <c r="X33" s="62">
        <f t="shared" si="11"/>
        <v>1.0343768819229181E-4</v>
      </c>
      <c r="Y33" s="62">
        <f t="shared" si="11"/>
        <v>7.7352283922264809E-5</v>
      </c>
      <c r="Z33" s="62">
        <f t="shared" si="11"/>
        <v>7.2557465370483147E-5</v>
      </c>
      <c r="AA33" s="62">
        <f t="shared" si="11"/>
        <v>1.1139620301394204E-4</v>
      </c>
    </row>
    <row r="34" spans="1:27" ht="17">
      <c r="A34" s="46" t="s">
        <v>55</v>
      </c>
      <c r="B34" s="4" t="s">
        <v>48</v>
      </c>
      <c r="C34" s="57" t="s">
        <v>36</v>
      </c>
      <c r="D34" s="15">
        <v>-2.6470874021939861</v>
      </c>
      <c r="E34" s="15">
        <v>-1.4701477775160097</v>
      </c>
      <c r="F34" s="15">
        <v>-1.8185967915793528</v>
      </c>
      <c r="G34" s="15">
        <v>0.45976452754816949</v>
      </c>
      <c r="H34" s="15">
        <v>1.2142660911831098E-2</v>
      </c>
      <c r="I34" s="15">
        <v>-0.71797265045822145</v>
      </c>
      <c r="L34" s="4" t="s">
        <v>48</v>
      </c>
      <c r="M34" s="57" t="s">
        <v>36</v>
      </c>
      <c r="N34" s="62">
        <f t="shared" si="2"/>
        <v>2.2537855899291046E-3</v>
      </c>
      <c r="O34" s="62">
        <f t="shared" si="3"/>
        <v>3.3872887714881603E-2</v>
      </c>
      <c r="P34" s="62">
        <f t="shared" si="4"/>
        <v>1.5184594839645373E-2</v>
      </c>
      <c r="Q34" s="62">
        <f t="shared" si="5"/>
        <v>2.8824682184761654</v>
      </c>
      <c r="R34" s="62">
        <f t="shared" si="6"/>
        <v>1.0283540455281497</v>
      </c>
      <c r="S34" s="62">
        <f t="shared" si="7"/>
        <v>0.19143764784084769</v>
      </c>
      <c r="U34" t="s">
        <v>74</v>
      </c>
      <c r="V34" s="62">
        <f t="shared" si="11"/>
        <v>1.1360965516099428</v>
      </c>
      <c r="W34" s="62">
        <f t="shared" si="11"/>
        <v>0.4684631357741309</v>
      </c>
      <c r="X34" s="62">
        <f t="shared" si="11"/>
        <v>2.1802392395273631</v>
      </c>
      <c r="Y34" s="62">
        <f t="shared" si="11"/>
        <v>6.1176452609154879E-5</v>
      </c>
      <c r="Z34" s="62">
        <f t="shared" si="11"/>
        <v>6.5323880958686342E-5</v>
      </c>
      <c r="AA34" s="62">
        <f t="shared" si="11"/>
        <v>1.022287408977284</v>
      </c>
    </row>
    <row r="35" spans="1:27" ht="17">
      <c r="A35" s="46" t="s">
        <v>58</v>
      </c>
      <c r="B35" s="4" t="s">
        <v>48</v>
      </c>
      <c r="C35" s="57" t="s">
        <v>36</v>
      </c>
      <c r="D35" s="15">
        <v>-1.9955603702059659</v>
      </c>
      <c r="E35" s="15">
        <v>-0.74065705873450338</v>
      </c>
      <c r="F35" s="15">
        <v>-1.1860483668767163</v>
      </c>
      <c r="G35" s="15">
        <v>0.86034926006453161</v>
      </c>
      <c r="H35" s="15">
        <v>0.61744607772311466</v>
      </c>
      <c r="I35" s="15">
        <v>-9.135935390910134E-2</v>
      </c>
      <c r="L35" s="4" t="s">
        <v>48</v>
      </c>
      <c r="M35" s="57" t="s">
        <v>36</v>
      </c>
      <c r="N35" s="62">
        <f t="shared" si="2"/>
        <v>1.0102750549205524E-2</v>
      </c>
      <c r="O35" s="62">
        <f t="shared" si="3"/>
        <v>0.1816949853521819</v>
      </c>
      <c r="P35" s="62">
        <f t="shared" si="4"/>
        <v>6.5155582699734094E-2</v>
      </c>
      <c r="Q35" s="62">
        <f t="shared" si="5"/>
        <v>7.2501878653508536</v>
      </c>
      <c r="R35" s="62">
        <f t="shared" si="6"/>
        <v>4.1442512555838142</v>
      </c>
      <c r="S35" s="62">
        <f t="shared" si="7"/>
        <v>0.81029031138087537</v>
      </c>
      <c r="U35" t="s">
        <v>78</v>
      </c>
      <c r="V35" s="62">
        <f t="shared" ref="V35:AA35" si="12">SUM(N27,N44)</f>
        <v>0.50420110497222947</v>
      </c>
      <c r="W35" s="62">
        <f t="shared" si="12"/>
        <v>1.7419733264143436E-3</v>
      </c>
      <c r="X35" s="62">
        <f t="shared" si="12"/>
        <v>2.5831826903074688</v>
      </c>
      <c r="Y35" s="62">
        <f t="shared" si="12"/>
        <v>0.52783819123275311</v>
      </c>
      <c r="Z35" s="62">
        <f t="shared" si="12"/>
        <v>3.8145651593140242</v>
      </c>
      <c r="AA35" s="62">
        <f t="shared" si="12"/>
        <v>1.0484540273243126</v>
      </c>
    </row>
    <row r="36" spans="1:27" ht="17">
      <c r="A36" s="46" t="s">
        <v>63</v>
      </c>
      <c r="B36" s="4" t="s">
        <v>48</v>
      </c>
      <c r="C36" s="58" t="s">
        <v>45</v>
      </c>
      <c r="D36" s="15">
        <v>-3.6611046165435721</v>
      </c>
      <c r="E36" s="15">
        <v>-3.7762678600695594</v>
      </c>
      <c r="F36" s="15">
        <v>-2.7078752744736874</v>
      </c>
      <c r="G36" s="15">
        <v>-1.6831547588973672</v>
      </c>
      <c r="H36" s="15">
        <v>-2.0052595287399426</v>
      </c>
      <c r="I36" s="15">
        <v>-0.83129702465468525</v>
      </c>
      <c r="L36" s="4" t="s">
        <v>48</v>
      </c>
      <c r="M36" s="58" t="s">
        <v>45</v>
      </c>
      <c r="N36" s="62">
        <f t="shared" si="2"/>
        <v>2.1822041806462026E-4</v>
      </c>
      <c r="O36" s="62">
        <f t="shared" si="3"/>
        <v>1.6739101390121573E-4</v>
      </c>
      <c r="P36" s="62">
        <f t="shared" si="4"/>
        <v>1.9594073171254238E-3</v>
      </c>
      <c r="Q36" s="62">
        <f t="shared" si="5"/>
        <v>2.0741742630204788E-2</v>
      </c>
      <c r="R36" s="62">
        <f t="shared" si="6"/>
        <v>9.8796252464711312E-3</v>
      </c>
      <c r="S36" s="62">
        <f t="shared" si="7"/>
        <v>0.14746976064150535</v>
      </c>
      <c r="U36" t="s">
        <v>36</v>
      </c>
      <c r="V36" s="62">
        <f t="shared" ref="V36:AA36" si="13">SUM(N28,N29,N34,N35)</f>
        <v>3.3502125145490641E-2</v>
      </c>
      <c r="W36" s="62">
        <f t="shared" si="13"/>
        <v>0.59840768060953853</v>
      </c>
      <c r="X36" s="62">
        <f t="shared" si="13"/>
        <v>0.21859720871813867</v>
      </c>
      <c r="Y36" s="62">
        <f t="shared" si="13"/>
        <v>12.380154443225926</v>
      </c>
      <c r="Z36" s="62">
        <f t="shared" si="13"/>
        <v>13.875716525205126</v>
      </c>
      <c r="AA36" s="62">
        <f t="shared" si="13"/>
        <v>2.7143651805289757</v>
      </c>
    </row>
    <row r="37" spans="1:27" ht="17">
      <c r="A37" s="46" t="s">
        <v>108</v>
      </c>
      <c r="B37" s="4" t="s">
        <v>48</v>
      </c>
      <c r="C37" s="60" t="s">
        <v>143</v>
      </c>
      <c r="D37" s="15">
        <v>0.36888528912068835</v>
      </c>
      <c r="E37" s="15">
        <v>0.19363343224881377</v>
      </c>
      <c r="F37" s="15">
        <v>0.27125788033053383</v>
      </c>
      <c r="G37" s="15">
        <v>0.20172974873344235</v>
      </c>
      <c r="H37" s="15">
        <v>0.20729369040122184</v>
      </c>
      <c r="I37" s="15">
        <v>0.28915252549493331</v>
      </c>
      <c r="L37" s="4" t="s">
        <v>48</v>
      </c>
      <c r="M37" s="60" t="s">
        <v>143</v>
      </c>
      <c r="N37" s="62">
        <f t="shared" si="2"/>
        <v>2.338219559507138</v>
      </c>
      <c r="O37" s="62">
        <f t="shared" si="3"/>
        <v>1.5618288191538563</v>
      </c>
      <c r="P37" s="62">
        <f t="shared" si="4"/>
        <v>1.8674882601501928</v>
      </c>
      <c r="Q37" s="62">
        <f t="shared" si="5"/>
        <v>1.5912182411271818</v>
      </c>
      <c r="R37" s="62">
        <f t="shared" si="6"/>
        <v>1.6117351980476702</v>
      </c>
      <c r="S37" s="62">
        <f t="shared" si="7"/>
        <v>1.9460434177728583</v>
      </c>
      <c r="U37" t="s">
        <v>45</v>
      </c>
      <c r="V37" s="62">
        <f t="shared" ref="V37:AA37" si="14">SUM(N30,N36,N40)</f>
        <v>5.962825438546582E-4</v>
      </c>
      <c r="W37" s="62">
        <f t="shared" si="14"/>
        <v>4.5764141749383947E-4</v>
      </c>
      <c r="X37" s="62">
        <f t="shared" si="14"/>
        <v>5.3895462347908034E-3</v>
      </c>
      <c r="Y37" s="62">
        <f t="shared" si="14"/>
        <v>5.6170022036903591E-2</v>
      </c>
      <c r="Z37" s="62">
        <f t="shared" si="14"/>
        <v>2.7067905497553592E-2</v>
      </c>
      <c r="AA37" s="62">
        <f t="shared" si="14"/>
        <v>0.40634160672736308</v>
      </c>
    </row>
    <row r="38" spans="1:27" ht="17">
      <c r="A38" s="46" t="s">
        <v>64</v>
      </c>
      <c r="B38" s="51" t="s">
        <v>66</v>
      </c>
      <c r="C38" s="53" t="s">
        <v>23</v>
      </c>
      <c r="D38">
        <v>-5.9918706360550011</v>
      </c>
      <c r="E38">
        <v>-6.1133627888011306</v>
      </c>
      <c r="F38">
        <v>-5.6057357695088683</v>
      </c>
      <c r="G38">
        <v>-6.4027291866236613</v>
      </c>
      <c r="H38">
        <v>0</v>
      </c>
      <c r="I38">
        <v>-5.7325713385745427</v>
      </c>
      <c r="L38" s="51" t="s">
        <v>66</v>
      </c>
      <c r="M38" s="53" t="s">
        <v>23</v>
      </c>
      <c r="N38" s="62">
        <f t="shared" si="2"/>
        <v>1.0188948425829093E-6</v>
      </c>
      <c r="O38" s="62">
        <f t="shared" si="3"/>
        <v>7.7025976214230524E-7</v>
      </c>
      <c r="P38" s="62">
        <f t="shared" si="4"/>
        <v>2.4789298125127982E-6</v>
      </c>
      <c r="Q38" s="62">
        <f t="shared" si="5"/>
        <v>3.9561323604810847E-7</v>
      </c>
      <c r="R38" s="62"/>
      <c r="S38" s="62">
        <f t="shared" si="7"/>
        <v>1.8510948025888721E-6</v>
      </c>
      <c r="U38" t="s">
        <v>144</v>
      </c>
      <c r="V38" s="62">
        <f t="shared" ref="V38:AA38" si="15">SUM(N31,N37,N41,N45)</f>
        <v>4.2182966136134006</v>
      </c>
      <c r="W38" s="62">
        <f t="shared" si="15"/>
        <v>7.1649021236998545</v>
      </c>
      <c r="X38" s="62">
        <f t="shared" si="15"/>
        <v>5.2642326610225707</v>
      </c>
      <c r="Y38" s="62">
        <f t="shared" si="15"/>
        <v>3.007504522771753</v>
      </c>
      <c r="Z38" s="62">
        <f t="shared" si="15"/>
        <v>4.5074878093074187</v>
      </c>
      <c r="AA38" s="62">
        <f t="shared" si="15"/>
        <v>4.765217029459726</v>
      </c>
    </row>
    <row r="39" spans="1:27" ht="17">
      <c r="A39" s="46" t="s">
        <v>67</v>
      </c>
      <c r="B39" s="51" t="s">
        <v>66</v>
      </c>
      <c r="C39" s="55" t="s">
        <v>28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L39" s="51" t="s">
        <v>66</v>
      </c>
      <c r="M39" s="55" t="s">
        <v>28</v>
      </c>
      <c r="N39" s="62"/>
      <c r="O39" s="62"/>
      <c r="P39" s="62"/>
      <c r="Q39" s="62"/>
      <c r="R39" s="62"/>
      <c r="S39" s="62"/>
    </row>
    <row r="40" spans="1:27" ht="17">
      <c r="A40" s="49" t="s">
        <v>68</v>
      </c>
      <c r="B40" s="51" t="s">
        <v>66</v>
      </c>
      <c r="C40" s="58" t="s">
        <v>45</v>
      </c>
      <c r="D40">
        <v>-4.9958900259042798</v>
      </c>
      <c r="E40">
        <v>-5.4192918187805059</v>
      </c>
      <c r="F40">
        <v>-3.9963252506531348</v>
      </c>
      <c r="G40">
        <v>-3.2348123433140334</v>
      </c>
      <c r="H40">
        <v>-3.5560170489091476</v>
      </c>
      <c r="I40">
        <v>-1.9713628088285566</v>
      </c>
      <c r="L40" s="51" t="s">
        <v>66</v>
      </c>
      <c r="M40" s="58" t="s">
        <v>45</v>
      </c>
      <c r="N40" s="62">
        <f t="shared" si="2"/>
        <v>1.0095084862102982E-5</v>
      </c>
      <c r="O40" s="62">
        <f t="shared" si="3"/>
        <v>3.8080985695528959E-6</v>
      </c>
      <c r="P40" s="62">
        <f t="shared" si="4"/>
        <v>1.0084973220875693E-4</v>
      </c>
      <c r="Q40" s="62">
        <f t="shared" si="5"/>
        <v>5.8235479629370761E-4</v>
      </c>
      <c r="R40" s="62">
        <f t="shared" si="6"/>
        <v>2.7796041479091874E-4</v>
      </c>
      <c r="S40" s="62">
        <f t="shared" si="7"/>
        <v>1.0681621656381746E-2</v>
      </c>
    </row>
    <row r="41" spans="1:27" ht="17">
      <c r="A41" s="46" t="s">
        <v>109</v>
      </c>
      <c r="B41" s="51" t="s">
        <v>66</v>
      </c>
      <c r="C41" s="60" t="s">
        <v>143</v>
      </c>
      <c r="D41">
        <v>-0.41315270001780796</v>
      </c>
      <c r="E41">
        <v>-0.51061000008828472</v>
      </c>
      <c r="F41">
        <v>-0.71460701703750951</v>
      </c>
      <c r="G41">
        <v>-0.97053573314714214</v>
      </c>
      <c r="H41">
        <v>-0.93529658404944305</v>
      </c>
      <c r="I41">
        <v>-0.67200033717260466</v>
      </c>
      <c r="L41" s="51" t="s">
        <v>66</v>
      </c>
      <c r="M41" s="60" t="s">
        <v>143</v>
      </c>
      <c r="N41" s="62">
        <f t="shared" si="2"/>
        <v>0.38623115245597367</v>
      </c>
      <c r="O41" s="62">
        <f t="shared" si="3"/>
        <v>0.30859579211835797</v>
      </c>
      <c r="P41" s="62">
        <f t="shared" si="4"/>
        <v>0.19292698749637707</v>
      </c>
      <c r="Q41" s="62">
        <f t="shared" si="5"/>
        <v>0.10701983248561224</v>
      </c>
      <c r="R41" s="62">
        <f t="shared" si="6"/>
        <v>0.11606557197230907</v>
      </c>
      <c r="S41" s="62">
        <f t="shared" si="7"/>
        <v>0.21281373937629933</v>
      </c>
    </row>
    <row r="42" spans="1:27" ht="17">
      <c r="A42" s="46" t="s">
        <v>69</v>
      </c>
      <c r="B42" s="52" t="s">
        <v>70</v>
      </c>
      <c r="C42" s="53" t="s">
        <v>23</v>
      </c>
      <c r="D42" s="15">
        <v>-5.164671335159726</v>
      </c>
      <c r="E42" s="15">
        <v>-5.0994667709539874</v>
      </c>
      <c r="F42" s="15">
        <v>-4.8181945805238726</v>
      </c>
      <c r="G42" s="15">
        <v>-4.9502143305775439</v>
      </c>
      <c r="H42" s="15">
        <v>-4.9728280926595154</v>
      </c>
      <c r="I42" s="15">
        <v>-4.8125054406553778</v>
      </c>
      <c r="L42" s="52" t="s">
        <v>70</v>
      </c>
      <c r="M42" s="53" t="s">
        <v>23</v>
      </c>
      <c r="N42" s="62">
        <f t="shared" si="2"/>
        <v>6.84429412983376E-6</v>
      </c>
      <c r="O42" s="62">
        <f t="shared" si="3"/>
        <v>7.9530411407538505E-6</v>
      </c>
      <c r="P42" s="62">
        <f t="shared" si="4"/>
        <v>1.5198664189267217E-5</v>
      </c>
      <c r="Q42" s="62">
        <f t="shared" si="5"/>
        <v>1.1214648586606929E-5</v>
      </c>
      <c r="R42" s="62">
        <f t="shared" si="6"/>
        <v>1.0645643226941136E-5</v>
      </c>
      <c r="S42" s="62">
        <f t="shared" si="7"/>
        <v>1.5399072346399453E-5</v>
      </c>
    </row>
    <row r="43" spans="1:27" ht="17">
      <c r="A43" s="46" t="s">
        <v>72</v>
      </c>
      <c r="B43" s="52" t="s">
        <v>70</v>
      </c>
      <c r="C43" s="55" t="s">
        <v>28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L43" s="52" t="s">
        <v>70</v>
      </c>
      <c r="M43" s="55" t="s">
        <v>28</v>
      </c>
      <c r="N43" s="62"/>
      <c r="O43" s="62"/>
      <c r="P43" s="62"/>
      <c r="Q43" s="62"/>
      <c r="R43" s="62"/>
      <c r="S43" s="62"/>
    </row>
    <row r="44" spans="1:27" ht="17">
      <c r="A44" s="46" t="s">
        <v>80</v>
      </c>
      <c r="B44" s="52" t="s">
        <v>70</v>
      </c>
      <c r="C44" s="56" t="s">
        <v>78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L44" s="52" t="s">
        <v>70</v>
      </c>
      <c r="M44" s="56" t="s">
        <v>78</v>
      </c>
      <c r="N44" s="62"/>
      <c r="O44" s="62"/>
      <c r="P44" s="62"/>
      <c r="Q44" s="62"/>
      <c r="R44" s="62"/>
      <c r="S44" s="62"/>
    </row>
    <row r="45" spans="1:27" ht="17">
      <c r="A45" s="46" t="s">
        <v>110</v>
      </c>
      <c r="B45" s="52" t="s">
        <v>70</v>
      </c>
      <c r="C45" s="60" t="s">
        <v>143</v>
      </c>
      <c r="D45" s="15">
        <v>-0.61967524814167796</v>
      </c>
      <c r="E45" s="15">
        <v>-0.62301519582312404</v>
      </c>
      <c r="F45" s="15">
        <v>-0.99113926869355551</v>
      </c>
      <c r="G45" s="15">
        <v>-1.1928497342077633</v>
      </c>
      <c r="H45" s="15">
        <v>-1.1380646431202357</v>
      </c>
      <c r="I45" s="15">
        <v>-1.1108781421624341</v>
      </c>
      <c r="L45" s="52" t="s">
        <v>70</v>
      </c>
      <c r="M45" s="60" t="s">
        <v>143</v>
      </c>
      <c r="N45" s="62">
        <f t="shared" si="2"/>
        <v>0.24006273622344054</v>
      </c>
      <c r="O45" s="62">
        <f t="shared" si="3"/>
        <v>0.23822361142310952</v>
      </c>
      <c r="P45" s="62">
        <f t="shared" si="4"/>
        <v>0.10206121433460852</v>
      </c>
      <c r="Q45" s="62">
        <f t="shared" si="5"/>
        <v>6.4143147333912756E-2</v>
      </c>
      <c r="R45" s="62">
        <f t="shared" si="6"/>
        <v>7.2767148527826592E-2</v>
      </c>
      <c r="S45" s="62">
        <f t="shared" si="7"/>
        <v>7.7467913301001154E-2</v>
      </c>
    </row>
  </sheetData>
  <sortState ref="Q3:S20">
    <sortCondition descending="1" ref="Q3:Q20"/>
  </sortState>
  <conditionalFormatting sqref="D33:I37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9:I41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8:I38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5:I31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2:I32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42:I42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43:I45">
    <cfRule type="colorScale" priority="8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5:S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811A3-82EA-0345-9FEF-25C12846CF32}">
  <dimension ref="A1:Z18"/>
  <sheetViews>
    <sheetView topLeftCell="K1" zoomScale="171" zoomScaleNormal="171" workbookViewId="0">
      <selection activeCell="U4" sqref="U4:U9"/>
    </sheetView>
  </sheetViews>
  <sheetFormatPr baseColWidth="10" defaultRowHeight="16"/>
  <sheetData>
    <row r="1" spans="1:26" s="25" customFormat="1" ht="52" customHeight="1">
      <c r="D1" s="36" t="s">
        <v>1</v>
      </c>
      <c r="E1" s="36" t="s">
        <v>12</v>
      </c>
      <c r="F1" s="36" t="s">
        <v>14</v>
      </c>
      <c r="G1" s="36" t="s">
        <v>15</v>
      </c>
      <c r="H1" s="36" t="s">
        <v>16</v>
      </c>
      <c r="I1" s="36" t="s">
        <v>17</v>
      </c>
      <c r="J1" s="36" t="s">
        <v>106</v>
      </c>
      <c r="K1" s="37" t="s">
        <v>49</v>
      </c>
      <c r="L1" s="37" t="s">
        <v>52</v>
      </c>
      <c r="M1" s="37" t="s">
        <v>55</v>
      </c>
      <c r="N1" s="37" t="s">
        <v>58</v>
      </c>
      <c r="O1" s="37" t="s">
        <v>63</v>
      </c>
      <c r="P1" s="37" t="s">
        <v>108</v>
      </c>
      <c r="Q1" s="38" t="s">
        <v>64</v>
      </c>
      <c r="R1" s="38" t="s">
        <v>67</v>
      </c>
      <c r="S1" s="39" t="s">
        <v>68</v>
      </c>
      <c r="T1" s="38" t="s">
        <v>109</v>
      </c>
      <c r="U1" s="40" t="s">
        <v>69</v>
      </c>
      <c r="V1" s="40" t="s">
        <v>72</v>
      </c>
      <c r="W1" s="40" t="s">
        <v>80</v>
      </c>
      <c r="X1" s="40" t="s">
        <v>81</v>
      </c>
      <c r="Y1" s="40" t="s">
        <v>84</v>
      </c>
      <c r="Z1" s="40" t="s">
        <v>110</v>
      </c>
    </row>
    <row r="2" spans="1:26" ht="17">
      <c r="C2" s="1" t="s">
        <v>0</v>
      </c>
      <c r="D2" s="3">
        <v>4</v>
      </c>
      <c r="E2" s="3">
        <v>4</v>
      </c>
      <c r="F2" s="3">
        <v>8</v>
      </c>
      <c r="G2" s="3">
        <v>4</v>
      </c>
      <c r="H2" s="3">
        <v>8</v>
      </c>
      <c r="I2" s="3">
        <v>8</v>
      </c>
      <c r="J2" s="3">
        <v>8</v>
      </c>
      <c r="K2" s="14">
        <v>8</v>
      </c>
      <c r="L2" s="14">
        <v>8</v>
      </c>
      <c r="M2" s="14">
        <v>8</v>
      </c>
      <c r="N2" s="14">
        <v>8</v>
      </c>
      <c r="O2" s="14">
        <v>8</v>
      </c>
      <c r="P2" s="3">
        <v>8</v>
      </c>
      <c r="Q2" s="14">
        <v>8</v>
      </c>
      <c r="R2" s="14">
        <v>8</v>
      </c>
      <c r="S2" s="14">
        <v>8</v>
      </c>
      <c r="T2" s="3">
        <v>8</v>
      </c>
      <c r="U2" s="14">
        <v>8</v>
      </c>
      <c r="V2" s="14">
        <v>8</v>
      </c>
      <c r="W2" s="14">
        <v>8</v>
      </c>
      <c r="X2" s="14">
        <v>8</v>
      </c>
      <c r="Y2" s="14">
        <v>8</v>
      </c>
      <c r="Z2" s="3">
        <v>8</v>
      </c>
    </row>
    <row r="3" spans="1:26">
      <c r="A3" t="s">
        <v>111</v>
      </c>
      <c r="B3" t="s">
        <v>112</v>
      </c>
      <c r="E3" t="s">
        <v>113</v>
      </c>
    </row>
    <row r="4" spans="1:26">
      <c r="A4">
        <v>10.3</v>
      </c>
      <c r="B4">
        <v>1</v>
      </c>
      <c r="D4">
        <v>97.194599999999994</v>
      </c>
      <c r="E4">
        <v>15.816800000000001</v>
      </c>
      <c r="F4">
        <v>55.943399999999997</v>
      </c>
      <c r="G4">
        <v>94.997799999999998</v>
      </c>
      <c r="H4">
        <v>146.1679</v>
      </c>
      <c r="I4">
        <v>151.9391</v>
      </c>
      <c r="J4">
        <v>151.6927</v>
      </c>
      <c r="K4">
        <v>138.44569999999999</v>
      </c>
      <c r="L4">
        <v>-24.309799999999999</v>
      </c>
      <c r="M4">
        <v>134.0521</v>
      </c>
      <c r="N4">
        <v>90.224500000000006</v>
      </c>
      <c r="O4">
        <v>95.995599999999996</v>
      </c>
      <c r="P4">
        <v>95.749200000000002</v>
      </c>
      <c r="Q4">
        <v>48.221200000000003</v>
      </c>
      <c r="R4">
        <v>-114.5343</v>
      </c>
      <c r="S4">
        <v>5.7710999999999997</v>
      </c>
      <c r="T4">
        <v>5.5247000000000002</v>
      </c>
      <c r="U4">
        <v>42.450099999999999</v>
      </c>
      <c r="V4">
        <v>-120.30549999999999</v>
      </c>
      <c r="W4">
        <v>-95.995599999999996</v>
      </c>
      <c r="X4">
        <v>38.0565</v>
      </c>
      <c r="Y4">
        <v>-5.7710999999999997</v>
      </c>
      <c r="Z4">
        <v>-0.24640000000000001</v>
      </c>
    </row>
    <row r="5" spans="1:26">
      <c r="A5">
        <v>12.4</v>
      </c>
      <c r="B5">
        <v>1</v>
      </c>
      <c r="D5">
        <v>96.455500000000001</v>
      </c>
      <c r="E5">
        <v>15.776</v>
      </c>
      <c r="F5">
        <v>55.499299999999998</v>
      </c>
      <c r="G5">
        <v>94.280199999999994</v>
      </c>
      <c r="H5">
        <v>145.00290000000001</v>
      </c>
      <c r="I5">
        <v>150.7824</v>
      </c>
      <c r="J5">
        <v>150.52260000000001</v>
      </c>
      <c r="K5">
        <v>137.4117</v>
      </c>
      <c r="L5">
        <v>-23.956</v>
      </c>
      <c r="M5">
        <v>133.06110000000001</v>
      </c>
      <c r="N5">
        <v>89.503600000000006</v>
      </c>
      <c r="O5">
        <v>95.283100000000005</v>
      </c>
      <c r="P5">
        <v>95.023300000000006</v>
      </c>
      <c r="Q5">
        <v>47.908099999999997</v>
      </c>
      <c r="R5">
        <v>-113.45959999999999</v>
      </c>
      <c r="S5">
        <v>5.7794999999999996</v>
      </c>
      <c r="T5">
        <v>5.5197000000000003</v>
      </c>
      <c r="U5">
        <v>42.128599999999999</v>
      </c>
      <c r="V5">
        <v>-119.23909999999999</v>
      </c>
      <c r="W5">
        <v>-95.283100000000005</v>
      </c>
      <c r="X5">
        <v>37.777999999999999</v>
      </c>
      <c r="Y5">
        <v>-5.7794999999999996</v>
      </c>
      <c r="Z5">
        <v>-0.25979999999999998</v>
      </c>
    </row>
    <row r="6" spans="1:26">
      <c r="A6">
        <v>16.2</v>
      </c>
      <c r="B6">
        <v>1</v>
      </c>
      <c r="D6">
        <v>95.141900000000007</v>
      </c>
      <c r="E6">
        <v>15.690099999999999</v>
      </c>
      <c r="F6">
        <v>54.707599999999999</v>
      </c>
      <c r="G6">
        <v>93.009399999999999</v>
      </c>
      <c r="H6">
        <v>142.9324</v>
      </c>
      <c r="I6">
        <v>148.72630000000001</v>
      </c>
      <c r="J6">
        <v>148.44309999999999</v>
      </c>
      <c r="K6">
        <v>135.5762</v>
      </c>
      <c r="L6">
        <v>-23.327400000000001</v>
      </c>
      <c r="M6">
        <v>131.31120000000001</v>
      </c>
      <c r="N6">
        <v>88.224900000000005</v>
      </c>
      <c r="O6">
        <v>94.018799999999999</v>
      </c>
      <c r="P6">
        <v>93.735500000000002</v>
      </c>
      <c r="Q6">
        <v>47.351399999999998</v>
      </c>
      <c r="R6">
        <v>-111.5523</v>
      </c>
      <c r="S6">
        <v>5.7938999999999998</v>
      </c>
      <c r="T6">
        <v>5.5106999999999999</v>
      </c>
      <c r="U6">
        <v>41.557499999999997</v>
      </c>
      <c r="V6">
        <v>-117.3462</v>
      </c>
      <c r="W6">
        <v>-94.018799999999999</v>
      </c>
      <c r="X6">
        <v>37.292400000000001</v>
      </c>
      <c r="Y6">
        <v>-5.7938999999999998</v>
      </c>
      <c r="Z6">
        <v>-0.28320000000000001</v>
      </c>
    </row>
    <row r="7" spans="1:26">
      <c r="A7">
        <v>22.5</v>
      </c>
      <c r="B7">
        <v>1</v>
      </c>
      <c r="D7">
        <v>93.029600000000002</v>
      </c>
      <c r="E7">
        <v>15.555</v>
      </c>
      <c r="F7">
        <v>53.428600000000003</v>
      </c>
      <c r="G7">
        <v>90.977500000000006</v>
      </c>
      <c r="H7">
        <v>139.60329999999999</v>
      </c>
      <c r="I7">
        <v>145.4194</v>
      </c>
      <c r="J7">
        <v>145.0993</v>
      </c>
      <c r="K7">
        <v>132.63069999999999</v>
      </c>
      <c r="L7">
        <v>-22.3185</v>
      </c>
      <c r="M7">
        <v>128.5265</v>
      </c>
      <c r="N7">
        <v>86.174800000000005</v>
      </c>
      <c r="O7">
        <v>91.990799999999993</v>
      </c>
      <c r="P7">
        <v>91.6708</v>
      </c>
      <c r="Q7">
        <v>46.4559</v>
      </c>
      <c r="R7">
        <v>-108.4933</v>
      </c>
      <c r="S7">
        <v>5.8159999999999998</v>
      </c>
      <c r="T7">
        <v>5.4960000000000004</v>
      </c>
      <c r="U7">
        <v>40.639800000000001</v>
      </c>
      <c r="V7">
        <v>-114.3094</v>
      </c>
      <c r="W7">
        <v>-91.990799999999993</v>
      </c>
      <c r="X7">
        <v>36.535699999999999</v>
      </c>
      <c r="Y7">
        <v>-5.8159999999999998</v>
      </c>
      <c r="Z7">
        <v>-0.3201</v>
      </c>
    </row>
    <row r="8" spans="1:26">
      <c r="A8">
        <v>31.7</v>
      </c>
      <c r="B8">
        <v>1</v>
      </c>
      <c r="D8">
        <v>90.084299999999999</v>
      </c>
      <c r="E8">
        <v>15.357799999999999</v>
      </c>
      <c r="F8">
        <v>51.633600000000001</v>
      </c>
      <c r="G8">
        <v>88.167500000000004</v>
      </c>
      <c r="H8">
        <v>134.96209999999999</v>
      </c>
      <c r="I8">
        <v>140.80699999999999</v>
      </c>
      <c r="J8">
        <v>140.43700000000001</v>
      </c>
      <c r="K8">
        <v>128.535</v>
      </c>
      <c r="L8">
        <v>-20.918099999999999</v>
      </c>
      <c r="M8">
        <v>124.70140000000001</v>
      </c>
      <c r="N8">
        <v>83.328500000000005</v>
      </c>
      <c r="O8">
        <v>89.173299999999998</v>
      </c>
      <c r="P8">
        <v>88.803299999999993</v>
      </c>
      <c r="Q8">
        <v>45.206499999999998</v>
      </c>
      <c r="R8">
        <v>-104.2466</v>
      </c>
      <c r="S8">
        <v>5.8448000000000002</v>
      </c>
      <c r="T8">
        <v>5.4748000000000001</v>
      </c>
      <c r="U8">
        <v>39.361600000000003</v>
      </c>
      <c r="V8">
        <v>-110.09139999999999</v>
      </c>
      <c r="W8">
        <v>-89.173299999999998</v>
      </c>
      <c r="X8">
        <v>35.528100000000002</v>
      </c>
      <c r="Y8">
        <v>-5.8448000000000002</v>
      </c>
      <c r="Z8">
        <v>-0.37</v>
      </c>
    </row>
    <row r="9" spans="1:26">
      <c r="A9">
        <v>21.5</v>
      </c>
      <c r="B9">
        <v>1</v>
      </c>
      <c r="D9">
        <v>93.3596</v>
      </c>
      <c r="E9">
        <v>15.5764</v>
      </c>
      <c r="F9">
        <v>53.628799999999998</v>
      </c>
      <c r="G9">
        <v>91.293999999999997</v>
      </c>
      <c r="H9">
        <v>140.1234</v>
      </c>
      <c r="I9">
        <v>145.93600000000001</v>
      </c>
      <c r="J9">
        <v>145.6217</v>
      </c>
      <c r="K9">
        <v>133.09030000000001</v>
      </c>
      <c r="L9">
        <v>-22.475899999999999</v>
      </c>
      <c r="M9">
        <v>128.95920000000001</v>
      </c>
      <c r="N9">
        <v>86.494500000000002</v>
      </c>
      <c r="O9">
        <v>92.307199999999995</v>
      </c>
      <c r="P9">
        <v>91.992800000000003</v>
      </c>
      <c r="Q9">
        <v>46.595799999999997</v>
      </c>
      <c r="R9">
        <v>-108.9705</v>
      </c>
      <c r="S9">
        <v>5.8127000000000004</v>
      </c>
      <c r="T9">
        <v>5.4983000000000004</v>
      </c>
      <c r="U9">
        <v>40.783099999999997</v>
      </c>
      <c r="V9">
        <v>-114.7831</v>
      </c>
      <c r="W9">
        <v>-92.307199999999995</v>
      </c>
      <c r="X9">
        <v>36.652000000000001</v>
      </c>
      <c r="Y9">
        <v>-5.8127000000000004</v>
      </c>
      <c r="Z9">
        <v>-0.31440000000000001</v>
      </c>
    </row>
    <row r="10" spans="1:26">
      <c r="A10">
        <v>20</v>
      </c>
      <c r="B10">
        <v>500</v>
      </c>
      <c r="D10">
        <v>94.247100000000003</v>
      </c>
      <c r="E10">
        <v>15.3576</v>
      </c>
      <c r="F10">
        <v>54.216299999999997</v>
      </c>
      <c r="G10">
        <v>91.805800000000005</v>
      </c>
      <c r="H10">
        <v>141.49619999999999</v>
      </c>
      <c r="I10">
        <v>147.1908</v>
      </c>
      <c r="J10">
        <v>146.94659999999999</v>
      </c>
      <c r="K10">
        <v>134.27799999999999</v>
      </c>
      <c r="L10">
        <v>-23.501000000000001</v>
      </c>
      <c r="M10">
        <v>129.39529999999999</v>
      </c>
      <c r="N10">
        <v>87.279899999999998</v>
      </c>
      <c r="O10">
        <v>92.974500000000006</v>
      </c>
      <c r="P10">
        <v>92.730400000000003</v>
      </c>
      <c r="Q10">
        <v>46.998100000000001</v>
      </c>
      <c r="R10">
        <v>-110.7809</v>
      </c>
      <c r="S10">
        <v>5.6946000000000003</v>
      </c>
      <c r="T10">
        <v>5.4504999999999999</v>
      </c>
      <c r="U10">
        <v>41.303400000000003</v>
      </c>
      <c r="V10">
        <v>-116.4756</v>
      </c>
      <c r="W10">
        <v>-92.974500000000006</v>
      </c>
      <c r="X10">
        <v>36.4208</v>
      </c>
      <c r="Y10">
        <v>-5.6946000000000003</v>
      </c>
      <c r="Z10">
        <v>-0.2442</v>
      </c>
    </row>
    <row r="11" spans="1:26">
      <c r="A11">
        <v>20</v>
      </c>
      <c r="B11">
        <v>1000</v>
      </c>
      <c r="D11">
        <v>94.636300000000006</v>
      </c>
      <c r="E11">
        <v>15.206200000000001</v>
      </c>
      <c r="F11">
        <v>54.500900000000001</v>
      </c>
      <c r="G11">
        <v>91.848500000000001</v>
      </c>
      <c r="H11">
        <v>142.0566</v>
      </c>
      <c r="I11">
        <v>147.64080000000001</v>
      </c>
      <c r="J11">
        <v>147.45310000000001</v>
      </c>
      <c r="K11">
        <v>134.77180000000001</v>
      </c>
      <c r="L11">
        <v>-24.0886</v>
      </c>
      <c r="M11">
        <v>129.196</v>
      </c>
      <c r="N11">
        <v>87.555700000000002</v>
      </c>
      <c r="O11">
        <v>93.139799999999994</v>
      </c>
      <c r="P11">
        <v>92.952200000000005</v>
      </c>
      <c r="Q11">
        <v>47.216099999999997</v>
      </c>
      <c r="R11">
        <v>-111.6442</v>
      </c>
      <c r="S11">
        <v>5.5842000000000001</v>
      </c>
      <c r="T11">
        <v>5.3964999999999996</v>
      </c>
      <c r="U11">
        <v>41.631900000000002</v>
      </c>
      <c r="V11">
        <v>-117.22839999999999</v>
      </c>
      <c r="W11">
        <v>-93.139799999999994</v>
      </c>
      <c r="X11">
        <v>36.056199999999997</v>
      </c>
      <c r="Y11">
        <v>-5.5842000000000001</v>
      </c>
      <c r="Z11">
        <v>-0.18759999999999999</v>
      </c>
    </row>
    <row r="12" spans="1:26">
      <c r="A12">
        <v>20</v>
      </c>
      <c r="B12">
        <v>2000</v>
      </c>
      <c r="D12">
        <v>95.416300000000007</v>
      </c>
      <c r="E12">
        <v>15.103400000000001</v>
      </c>
      <c r="F12">
        <v>55.068300000000001</v>
      </c>
      <c r="G12">
        <v>91.958699999999993</v>
      </c>
      <c r="H12">
        <v>143.11879999999999</v>
      </c>
      <c r="I12">
        <v>148.48910000000001</v>
      </c>
      <c r="J12">
        <v>148.40170000000001</v>
      </c>
      <c r="K12">
        <v>135.76429999999999</v>
      </c>
      <c r="L12">
        <v>-24.8614</v>
      </c>
      <c r="M12">
        <v>128.84909999999999</v>
      </c>
      <c r="N12">
        <v>88.050399999999996</v>
      </c>
      <c r="O12">
        <v>93.4208</v>
      </c>
      <c r="P12">
        <v>93.333399999999997</v>
      </c>
      <c r="Q12">
        <v>47.713799999999999</v>
      </c>
      <c r="R12">
        <v>-112.9119</v>
      </c>
      <c r="S12">
        <v>5.3703000000000003</v>
      </c>
      <c r="T12">
        <v>5.2828999999999997</v>
      </c>
      <c r="U12">
        <v>42.343499999999999</v>
      </c>
      <c r="V12">
        <v>-118.2822</v>
      </c>
      <c r="W12">
        <v>-93.4208</v>
      </c>
      <c r="X12">
        <v>35.428400000000003</v>
      </c>
      <c r="Y12">
        <v>-5.3703000000000003</v>
      </c>
      <c r="Z12">
        <v>-8.7400000000000005E-2</v>
      </c>
    </row>
    <row r="13" spans="1:26">
      <c r="A13">
        <v>40</v>
      </c>
      <c r="B13">
        <v>500</v>
      </c>
      <c r="D13">
        <v>87.949700000000007</v>
      </c>
      <c r="E13">
        <v>14.9429</v>
      </c>
      <c r="F13">
        <v>50.355800000000002</v>
      </c>
      <c r="G13">
        <v>85.830600000000004</v>
      </c>
      <c r="H13">
        <v>131.5472</v>
      </c>
      <c r="I13">
        <v>137.31880000000001</v>
      </c>
      <c r="J13">
        <v>136.94569999999999</v>
      </c>
      <c r="K13">
        <v>125.54349999999999</v>
      </c>
      <c r="L13">
        <v>-20.47</v>
      </c>
      <c r="M13">
        <v>121.30540000000001</v>
      </c>
      <c r="N13">
        <v>81.191400000000002</v>
      </c>
      <c r="O13">
        <v>86.963099999999997</v>
      </c>
      <c r="P13">
        <v>86.59</v>
      </c>
      <c r="Q13">
        <v>44.3521</v>
      </c>
      <c r="R13">
        <v>-101.6614</v>
      </c>
      <c r="S13">
        <v>5.7716000000000003</v>
      </c>
      <c r="T13">
        <v>5.3985000000000003</v>
      </c>
      <c r="U13">
        <v>38.580800000000004</v>
      </c>
      <c r="V13">
        <v>-107.4331</v>
      </c>
      <c r="W13">
        <v>-86.963099999999997</v>
      </c>
      <c r="X13">
        <v>34.342300000000002</v>
      </c>
      <c r="Y13">
        <v>-5.7716000000000003</v>
      </c>
      <c r="Z13">
        <v>-0.37309999999999999</v>
      </c>
    </row>
    <row r="14" spans="1:26">
      <c r="A14">
        <v>40</v>
      </c>
      <c r="B14">
        <v>1000</v>
      </c>
      <c r="D14">
        <v>88.333500000000001</v>
      </c>
      <c r="E14">
        <v>14.7925</v>
      </c>
      <c r="F14">
        <v>50.6218</v>
      </c>
      <c r="G14">
        <v>85.884900000000002</v>
      </c>
      <c r="H14">
        <v>132.08009999999999</v>
      </c>
      <c r="I14">
        <v>137.75790000000001</v>
      </c>
      <c r="J14">
        <v>137.42269999999999</v>
      </c>
      <c r="K14">
        <v>126.04510000000001</v>
      </c>
      <c r="L14">
        <v>-21.036899999999999</v>
      </c>
      <c r="M14">
        <v>121.14790000000001</v>
      </c>
      <c r="N14">
        <v>81.458299999999994</v>
      </c>
      <c r="O14">
        <v>87.135999999999996</v>
      </c>
      <c r="P14">
        <v>86.800799999999995</v>
      </c>
      <c r="Q14">
        <v>44.586799999999997</v>
      </c>
      <c r="R14">
        <v>-102.4952</v>
      </c>
      <c r="S14">
        <v>5.6778000000000004</v>
      </c>
      <c r="T14">
        <v>5.3426</v>
      </c>
      <c r="U14">
        <v>38.908999999999999</v>
      </c>
      <c r="V14">
        <v>-108.173</v>
      </c>
      <c r="W14">
        <v>-87.135999999999996</v>
      </c>
      <c r="X14">
        <v>34.011899999999997</v>
      </c>
      <c r="Y14">
        <v>-5.6778000000000004</v>
      </c>
      <c r="Z14">
        <v>-0.3352</v>
      </c>
    </row>
    <row r="15" spans="1:26">
      <c r="A15">
        <v>40</v>
      </c>
      <c r="B15">
        <v>2000</v>
      </c>
      <c r="D15">
        <v>89.089799999999997</v>
      </c>
      <c r="E15">
        <v>14.6637</v>
      </c>
      <c r="F15">
        <v>51.143700000000003</v>
      </c>
      <c r="G15">
        <v>86.004599999999996</v>
      </c>
      <c r="H15">
        <v>133.08189999999999</v>
      </c>
      <c r="I15">
        <v>138.57849999999999</v>
      </c>
      <c r="J15">
        <v>138.3151</v>
      </c>
      <c r="K15">
        <v>127.036</v>
      </c>
      <c r="L15">
        <v>-21.816299999999998</v>
      </c>
      <c r="M15">
        <v>120.8655</v>
      </c>
      <c r="N15">
        <v>81.938299999999998</v>
      </c>
      <c r="O15">
        <v>87.434799999999996</v>
      </c>
      <c r="P15">
        <v>87.171400000000006</v>
      </c>
      <c r="Q15">
        <v>45.097700000000003</v>
      </c>
      <c r="R15">
        <v>-103.7546</v>
      </c>
      <c r="S15">
        <v>5.4965000000000002</v>
      </c>
      <c r="T15">
        <v>5.2332000000000001</v>
      </c>
      <c r="U15">
        <v>39.601199999999999</v>
      </c>
      <c r="V15">
        <v>-109.25109999999999</v>
      </c>
      <c r="W15">
        <v>-87.434799999999996</v>
      </c>
      <c r="X15">
        <v>33.430700000000002</v>
      </c>
      <c r="Y15">
        <v>-5.4965000000000002</v>
      </c>
      <c r="Z15">
        <v>-0.26329999999999998</v>
      </c>
    </row>
    <row r="16" spans="1:26">
      <c r="A16">
        <v>60</v>
      </c>
      <c r="B16">
        <v>500</v>
      </c>
      <c r="D16">
        <v>32.46</v>
      </c>
      <c r="E16">
        <v>14.5235</v>
      </c>
      <c r="F16">
        <v>46.865299999999998</v>
      </c>
      <c r="G16">
        <v>80.589100000000002</v>
      </c>
      <c r="H16">
        <v>122.67749999999999</v>
      </c>
      <c r="I16">
        <v>128.50460000000001</v>
      </c>
      <c r="J16">
        <v>128.02879999999999</v>
      </c>
      <c r="K16">
        <v>117.7838</v>
      </c>
      <c r="L16">
        <v>-17.818300000000001</v>
      </c>
      <c r="M16">
        <v>114.3129</v>
      </c>
      <c r="N16">
        <v>75.812200000000004</v>
      </c>
      <c r="O16">
        <v>81.639300000000006</v>
      </c>
      <c r="P16">
        <v>81.163499999999999</v>
      </c>
      <c r="Q16">
        <v>41.971600000000002</v>
      </c>
      <c r="R16">
        <v>-93.630499999999998</v>
      </c>
      <c r="S16">
        <v>5.8270999999999997</v>
      </c>
      <c r="T16">
        <v>5.3512000000000004</v>
      </c>
      <c r="U16">
        <v>36.144500000000001</v>
      </c>
      <c r="V16">
        <v>-99.457599999999999</v>
      </c>
      <c r="W16">
        <v>-81.639300000000006</v>
      </c>
      <c r="X16">
        <v>32.6736</v>
      </c>
      <c r="Y16">
        <v>-5.8270999999999997</v>
      </c>
      <c r="Z16">
        <v>-0.4758</v>
      </c>
    </row>
    <row r="17" spans="1:26">
      <c r="A17">
        <v>60</v>
      </c>
      <c r="B17">
        <v>1000</v>
      </c>
      <c r="D17">
        <v>82.696399999999997</v>
      </c>
      <c r="E17">
        <v>14.373699999999999</v>
      </c>
      <c r="F17">
        <v>47.116799999999998</v>
      </c>
      <c r="G17">
        <v>80.643799999999999</v>
      </c>
      <c r="H17">
        <v>123.1866</v>
      </c>
      <c r="I17">
        <v>128.93010000000001</v>
      </c>
      <c r="J17">
        <v>128.48320000000001</v>
      </c>
      <c r="K17">
        <v>118.2761</v>
      </c>
      <c r="L17">
        <v>-18.369399999999999</v>
      </c>
      <c r="M17">
        <v>114.1707</v>
      </c>
      <c r="N17">
        <v>76.069800000000001</v>
      </c>
      <c r="O17">
        <v>81.813299999999998</v>
      </c>
      <c r="P17">
        <v>81.366399999999999</v>
      </c>
      <c r="Q17">
        <v>42.206299999999999</v>
      </c>
      <c r="R17">
        <v>-94.4392</v>
      </c>
      <c r="S17">
        <v>5.7435</v>
      </c>
      <c r="T17">
        <v>5.2965999999999998</v>
      </c>
      <c r="U17">
        <v>36.462800000000001</v>
      </c>
      <c r="V17">
        <v>-100.1827</v>
      </c>
      <c r="W17">
        <v>-81.813299999999998</v>
      </c>
      <c r="X17">
        <v>32.357399999999998</v>
      </c>
      <c r="Y17">
        <v>-5.7435</v>
      </c>
      <c r="Z17">
        <v>-0.44690000000000002</v>
      </c>
    </row>
    <row r="18" spans="1:26">
      <c r="A18">
        <v>60</v>
      </c>
      <c r="B18">
        <v>2000</v>
      </c>
      <c r="D18">
        <v>83.421999999999997</v>
      </c>
      <c r="E18">
        <v>14.229699999999999</v>
      </c>
      <c r="F18">
        <v>47.604300000000002</v>
      </c>
      <c r="G18">
        <v>80.758499999999998</v>
      </c>
      <c r="H18">
        <v>124.1378</v>
      </c>
      <c r="I18">
        <v>129.72040000000001</v>
      </c>
      <c r="J18">
        <v>129.33150000000001</v>
      </c>
      <c r="K18">
        <v>119.2397</v>
      </c>
      <c r="L18">
        <v>-19.1448</v>
      </c>
      <c r="M18">
        <v>113.9127</v>
      </c>
      <c r="N18">
        <v>76.533500000000004</v>
      </c>
      <c r="O18">
        <v>82.116100000000003</v>
      </c>
      <c r="P18">
        <v>81.727199999999996</v>
      </c>
      <c r="Q18">
        <v>42.706299999999999</v>
      </c>
      <c r="R18">
        <v>-95.678299999999993</v>
      </c>
      <c r="S18">
        <v>5.5826000000000002</v>
      </c>
      <c r="T18">
        <v>5.1936999999999998</v>
      </c>
      <c r="U18">
        <v>37.123600000000003</v>
      </c>
      <c r="V18">
        <v>-101.26090000000001</v>
      </c>
      <c r="W18">
        <v>-82.116100000000003</v>
      </c>
      <c r="X18">
        <v>31.796600000000002</v>
      </c>
      <c r="Y18">
        <v>-5.5826000000000002</v>
      </c>
      <c r="Z18">
        <v>-0.38890000000000002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0EFC4-4BA1-BD4A-8BF3-3D3A6277899D}">
  <dimension ref="A1:J6"/>
  <sheetViews>
    <sheetView zoomScale="130" zoomScaleNormal="130" workbookViewId="0">
      <selection activeCell="I6" sqref="I6:J6"/>
    </sheetView>
  </sheetViews>
  <sheetFormatPr baseColWidth="10" defaultRowHeight="16"/>
  <cols>
    <col min="1" max="1" width="8.5" customWidth="1"/>
    <col min="2" max="2" width="8.1640625" customWidth="1"/>
    <col min="3" max="3" width="8" customWidth="1"/>
    <col min="4" max="4" width="9" customWidth="1"/>
    <col min="5" max="5" width="8.33203125" customWidth="1"/>
    <col min="6" max="6" width="29.5" customWidth="1"/>
    <col min="7" max="7" width="7.6640625" customWidth="1"/>
    <col min="8" max="8" width="37.5" customWidth="1"/>
  </cols>
  <sheetData>
    <row r="1" spans="1:10" ht="34">
      <c r="A1" s="25" t="s">
        <v>92</v>
      </c>
      <c r="B1" s="25" t="s">
        <v>93</v>
      </c>
      <c r="C1" s="25" t="s">
        <v>94</v>
      </c>
      <c r="D1" s="25" t="s">
        <v>95</v>
      </c>
      <c r="E1" s="26" t="s">
        <v>96</v>
      </c>
      <c r="F1" t="s">
        <v>97</v>
      </c>
      <c r="G1" s="26" t="s">
        <v>98</v>
      </c>
      <c r="H1" s="25" t="s">
        <v>99</v>
      </c>
      <c r="I1" s="1" t="s">
        <v>100</v>
      </c>
      <c r="J1" t="s">
        <v>105</v>
      </c>
    </row>
    <row r="2" spans="1:10">
      <c r="A2" t="s">
        <v>24</v>
      </c>
      <c r="B2" t="s">
        <v>101</v>
      </c>
      <c r="C2" t="s">
        <v>102</v>
      </c>
      <c r="D2" t="s">
        <v>70</v>
      </c>
      <c r="E2">
        <v>2</v>
      </c>
      <c r="F2" s="22" t="s">
        <v>87</v>
      </c>
      <c r="G2">
        <v>1</v>
      </c>
      <c r="H2" t="s">
        <v>86</v>
      </c>
      <c r="I2">
        <v>8</v>
      </c>
      <c r="J2" t="s">
        <v>106</v>
      </c>
    </row>
    <row r="3" spans="1:10">
      <c r="A3" t="s">
        <v>47</v>
      </c>
      <c r="B3" t="s">
        <v>103</v>
      </c>
      <c r="C3" t="s">
        <v>102</v>
      </c>
      <c r="D3" t="s">
        <v>70</v>
      </c>
      <c r="E3">
        <v>4</v>
      </c>
      <c r="F3" s="23" t="s">
        <v>88</v>
      </c>
      <c r="G3">
        <v>5</v>
      </c>
      <c r="H3" t="s">
        <v>86</v>
      </c>
      <c r="I3">
        <v>40</v>
      </c>
      <c r="J3" t="s">
        <v>107</v>
      </c>
    </row>
    <row r="4" spans="1:10">
      <c r="A4" t="s">
        <v>47</v>
      </c>
      <c r="B4" t="s">
        <v>31</v>
      </c>
      <c r="C4" t="s">
        <v>102</v>
      </c>
      <c r="D4" t="s">
        <v>70</v>
      </c>
      <c r="E4">
        <v>1</v>
      </c>
      <c r="F4" t="s">
        <v>89</v>
      </c>
      <c r="G4">
        <v>1</v>
      </c>
      <c r="H4" t="s">
        <v>86</v>
      </c>
      <c r="I4">
        <v>8</v>
      </c>
      <c r="J4" t="s">
        <v>108</v>
      </c>
    </row>
    <row r="5" spans="1:10">
      <c r="A5" t="s">
        <v>104</v>
      </c>
      <c r="B5" t="s">
        <v>36</v>
      </c>
      <c r="C5" t="s">
        <v>102</v>
      </c>
      <c r="D5" t="s">
        <v>70</v>
      </c>
      <c r="E5">
        <v>1</v>
      </c>
      <c r="F5" s="24" t="s">
        <v>90</v>
      </c>
      <c r="G5">
        <v>1</v>
      </c>
      <c r="H5" t="s">
        <v>86</v>
      </c>
      <c r="I5">
        <v>8</v>
      </c>
      <c r="J5" t="s">
        <v>109</v>
      </c>
    </row>
    <row r="6" spans="1:10">
      <c r="A6" t="s">
        <v>70</v>
      </c>
      <c r="B6" t="s">
        <v>45</v>
      </c>
      <c r="C6" t="s">
        <v>102</v>
      </c>
      <c r="D6" t="s">
        <v>70</v>
      </c>
      <c r="E6">
        <v>1</v>
      </c>
      <c r="F6" s="24" t="s">
        <v>91</v>
      </c>
      <c r="G6">
        <v>1</v>
      </c>
      <c r="H6" t="s">
        <v>86</v>
      </c>
      <c r="I6">
        <v>8</v>
      </c>
      <c r="J6" t="s">
        <v>110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6E910-A85A-B746-B795-C9CB4CBFC420}">
  <dimension ref="A1:AE68"/>
  <sheetViews>
    <sheetView topLeftCell="I1" workbookViewId="0">
      <selection activeCell="Y20" sqref="Y20:AE25"/>
    </sheetView>
  </sheetViews>
  <sheetFormatPr baseColWidth="10" defaultRowHeight="16"/>
  <cols>
    <col min="21" max="21" width="12.83203125" bestFit="1" customWidth="1"/>
    <col min="22" max="22" width="12.83203125" customWidth="1"/>
    <col min="25" max="25" width="12.83203125" bestFit="1" customWidth="1"/>
    <col min="26" max="26" width="12.33203125" style="25" bestFit="1" customWidth="1"/>
  </cols>
  <sheetData>
    <row r="1" spans="1:31" s="25" customFormat="1" ht="67" customHeight="1">
      <c r="E1" s="1" t="s">
        <v>0</v>
      </c>
      <c r="S1" s="47" t="s">
        <v>18</v>
      </c>
      <c r="T1" s="47" t="s">
        <v>19</v>
      </c>
      <c r="U1" s="25" t="s">
        <v>20</v>
      </c>
      <c r="X1" s="48" t="s">
        <v>136</v>
      </c>
      <c r="Y1" s="46" t="s">
        <v>1</v>
      </c>
      <c r="Z1" s="46" t="s">
        <v>12</v>
      </c>
      <c r="AA1" s="46" t="s">
        <v>14</v>
      </c>
      <c r="AB1" s="46" t="s">
        <v>15</v>
      </c>
      <c r="AC1" s="46" t="s">
        <v>16</v>
      </c>
      <c r="AD1" s="46" t="s">
        <v>17</v>
      </c>
      <c r="AE1" s="46" t="s">
        <v>106</v>
      </c>
    </row>
    <row r="2" spans="1:31" ht="17">
      <c r="A2" s="2" t="s">
        <v>1</v>
      </c>
      <c r="E2" s="3">
        <v>4</v>
      </c>
      <c r="G2" t="s">
        <v>117</v>
      </c>
      <c r="I2" t="s">
        <v>132</v>
      </c>
      <c r="S2" s="7" t="s">
        <v>21</v>
      </c>
      <c r="T2" s="7" t="s">
        <v>21</v>
      </c>
      <c r="U2" t="s">
        <v>22</v>
      </c>
      <c r="X2" t="s">
        <v>116</v>
      </c>
      <c r="Y2">
        <f>P4</f>
        <v>-97.441217069572517</v>
      </c>
      <c r="Z2" s="25">
        <f>P14</f>
        <v>-66.809713118968332</v>
      </c>
      <c r="AA2">
        <f>P24</f>
        <v>-40.27165375177551</v>
      </c>
      <c r="AB2">
        <f>P34</f>
        <v>-80.98498807893229</v>
      </c>
      <c r="AC2">
        <f>P44</f>
        <v>-93.195754087327131</v>
      </c>
      <c r="AD2">
        <f>P54</f>
        <v>-95.824750241649724</v>
      </c>
      <c r="AE2">
        <f>P63</f>
        <v>-100.14242535358213</v>
      </c>
    </row>
    <row r="3" spans="1:31" ht="17">
      <c r="A3" s="2"/>
      <c r="B3" t="s">
        <v>2</v>
      </c>
      <c r="C3" s="3" t="s">
        <v>3</v>
      </c>
      <c r="D3" t="s">
        <v>4</v>
      </c>
      <c r="G3" s="5" t="s">
        <v>5</v>
      </c>
      <c r="H3" s="5" t="s">
        <v>6</v>
      </c>
      <c r="I3" s="33" t="s">
        <v>7</v>
      </c>
      <c r="J3" s="33" t="s">
        <v>8</v>
      </c>
      <c r="M3" t="s">
        <v>9</v>
      </c>
      <c r="N3" t="s">
        <v>10</v>
      </c>
      <c r="O3" t="s">
        <v>11</v>
      </c>
      <c r="P3" s="6" t="str">
        <f>CONCATENATE("/",E2,","," ","kj")</f>
        <v>/4, kj</v>
      </c>
      <c r="S3" t="s">
        <v>23</v>
      </c>
      <c r="T3" t="s">
        <v>24</v>
      </c>
      <c r="U3" t="s">
        <v>25</v>
      </c>
      <c r="X3" t="s">
        <v>118</v>
      </c>
      <c r="Y3">
        <f t="shared" ref="Y3:Y7" si="0">P5</f>
        <v>-98.15613621684696</v>
      </c>
      <c r="Z3" s="25">
        <f t="shared" ref="Z3:Z7" si="1">P15</f>
        <v>-67.850998843854015</v>
      </c>
      <c r="AA3">
        <f t="shared" ref="AA3:AA7" si="2">P25</f>
        <v>-39.705810685957879</v>
      </c>
      <c r="AB3">
        <f t="shared" ref="AB3:AB7" si="3">P35</f>
        <v>-83.773460563567511</v>
      </c>
      <c r="AC3">
        <f t="shared" ref="AC3:AC7" si="4">P45</f>
        <v>-95.407172040750211</v>
      </c>
      <c r="AD3">
        <f t="shared" ref="AD3:AD7" si="5">P55</f>
        <v>-96.692649548700814</v>
      </c>
      <c r="AE3">
        <f t="shared" ref="AE3:AE7" si="6">P64</f>
        <v>-101.04424262598984</v>
      </c>
    </row>
    <row r="4" spans="1:31">
      <c r="B4" t="s">
        <v>116</v>
      </c>
      <c r="C4">
        <v>10.3</v>
      </c>
      <c r="D4">
        <f>C4+273</f>
        <v>283.3</v>
      </c>
      <c r="G4" s="17">
        <v>1.2E-10</v>
      </c>
      <c r="H4" s="17">
        <v>3.1300000000000001E-6</v>
      </c>
      <c r="I4" s="15">
        <v>-9.9186999999999994</v>
      </c>
      <c r="J4" s="15">
        <v>-5.5030000000000001</v>
      </c>
      <c r="M4">
        <f>-J4-2*I4</f>
        <v>25.340399999999999</v>
      </c>
      <c r="N4">
        <v>97.194599999999994</v>
      </c>
      <c r="O4">
        <f t="shared" ref="O4:O9" si="7">-2.303*8.314*D4*(N4-M4)</f>
        <v>-389764.86827829009</v>
      </c>
      <c r="P4">
        <f>O4/4/1000</f>
        <v>-97.441217069572517</v>
      </c>
      <c r="S4" s="43">
        <f>O4/2*G4</f>
        <v>-2.3385892096697404E-5</v>
      </c>
      <c r="T4" s="43">
        <f>O4/1*H4</f>
        <v>-1.2199640377110481</v>
      </c>
      <c r="U4">
        <f>IF(S4&gt;T4, S4,T4)</f>
        <v>-2.3385892096697404E-5</v>
      </c>
      <c r="X4" t="s">
        <v>119</v>
      </c>
      <c r="Y4">
        <f t="shared" si="0"/>
        <v>-98.590225094028767</v>
      </c>
      <c r="Z4" s="25">
        <f t="shared" si="1"/>
        <v>-66.884723483788974</v>
      </c>
      <c r="AA4">
        <f t="shared" si="2"/>
        <v>-41.291283412843164</v>
      </c>
      <c r="AB4">
        <f t="shared" si="3"/>
        <v>-83.31363591708778</v>
      </c>
      <c r="AC4">
        <f t="shared" si="4"/>
        <v>-94.003012265544669</v>
      </c>
      <c r="AD4">
        <f t="shared" si="5"/>
        <v>-96.939470808776605</v>
      </c>
      <c r="AE4">
        <f t="shared" si="6"/>
        <v>-100.23772618411942</v>
      </c>
    </row>
    <row r="5" spans="1:31">
      <c r="B5" t="s">
        <v>118</v>
      </c>
      <c r="C5">
        <v>12.4</v>
      </c>
      <c r="D5">
        <f t="shared" ref="D5:D9" si="8">C5+273</f>
        <v>285.39999999999998</v>
      </c>
      <c r="G5" s="17">
        <v>1.4010000000000001E-10</v>
      </c>
      <c r="H5" s="17">
        <v>1.2510000000000001E-5</v>
      </c>
      <c r="I5" s="15">
        <v>-9.8524999999999991</v>
      </c>
      <c r="J5" s="15">
        <v>-4.9016999999999999</v>
      </c>
      <c r="M5">
        <f t="shared" ref="M5:M9" si="9">-J5-2*I5</f>
        <v>24.606699999999996</v>
      </c>
      <c r="N5">
        <v>96.455500000000001</v>
      </c>
      <c r="O5">
        <f t="shared" si="7"/>
        <v>-392624.54486738786</v>
      </c>
      <c r="P5">
        <f t="shared" ref="P5:P9" si="10">O5/4/1000</f>
        <v>-98.15613621684696</v>
      </c>
      <c r="S5" s="43">
        <f t="shared" ref="S5:S9" si="11">O5/2*G5</f>
        <v>-2.7503349367960523E-5</v>
      </c>
      <c r="T5" s="43">
        <f t="shared" ref="T5:T9" si="12">O5/1*H5</f>
        <v>-4.9117330562910224</v>
      </c>
      <c r="U5">
        <f t="shared" ref="U5:U9" si="13">IF(S5&gt;T5, S5,T5)</f>
        <v>-2.7503349367960523E-5</v>
      </c>
      <c r="X5" t="s">
        <v>120</v>
      </c>
      <c r="Y5">
        <f t="shared" si="0"/>
        <v>-96.436316371422294</v>
      </c>
      <c r="Z5" s="25">
        <f t="shared" si="1"/>
        <v>-56.12518587995865</v>
      </c>
      <c r="AA5">
        <f t="shared" si="2"/>
        <v>-42.2000472683685</v>
      </c>
      <c r="AB5">
        <f t="shared" si="3"/>
        <v>-84.190042012122362</v>
      </c>
      <c r="AC5">
        <f t="shared" si="4"/>
        <v>-95.49482842271189</v>
      </c>
      <c r="AD5">
        <f t="shared" si="5"/>
        <v>-97.117961567461265</v>
      </c>
      <c r="AE5">
        <f t="shared" si="6"/>
        <v>-99.546154607055172</v>
      </c>
    </row>
    <row r="6" spans="1:31">
      <c r="B6" t="s">
        <v>119</v>
      </c>
      <c r="C6">
        <v>16.2</v>
      </c>
      <c r="D6">
        <f t="shared" si="8"/>
        <v>289.2</v>
      </c>
      <c r="G6" s="17">
        <v>2.7020000000000001E-10</v>
      </c>
      <c r="H6" s="17">
        <v>1.5639999999999999E-5</v>
      </c>
      <c r="I6" s="15">
        <v>-9.5619999999999994</v>
      </c>
      <c r="J6" s="15">
        <v>-4.7995999999999999</v>
      </c>
      <c r="M6">
        <f t="shared" si="9"/>
        <v>23.9236</v>
      </c>
      <c r="N6">
        <v>95.141900000000007</v>
      </c>
      <c r="O6">
        <f t="shared" si="7"/>
        <v>-394360.90037611505</v>
      </c>
      <c r="P6">
        <f t="shared" si="10"/>
        <v>-98.590225094028767</v>
      </c>
      <c r="S6" s="43">
        <f t="shared" si="11"/>
        <v>-5.3278157640813144E-5</v>
      </c>
      <c r="T6" s="43">
        <f t="shared" si="12"/>
        <v>-6.1678044818824391</v>
      </c>
      <c r="U6">
        <f t="shared" si="13"/>
        <v>-5.3278157640813144E-5</v>
      </c>
      <c r="X6" t="s">
        <v>121</v>
      </c>
      <c r="Y6">
        <f t="shared" si="0"/>
        <v>-96.311928782397786</v>
      </c>
      <c r="Z6" s="25">
        <f t="shared" si="1"/>
        <v>-62.27252712934829</v>
      </c>
      <c r="AA6">
        <f t="shared" si="2"/>
        <v>-43.565157141548923</v>
      </c>
      <c r="AB6">
        <f t="shared" si="3"/>
        <v>-81.863112103414949</v>
      </c>
      <c r="AC6">
        <f t="shared" si="4"/>
        <v>-96.385876432969567</v>
      </c>
      <c r="AD6">
        <f t="shared" si="5"/>
        <v>-97.996753803265804</v>
      </c>
      <c r="AE6">
        <f t="shared" si="6"/>
        <v>-100.70386498361651</v>
      </c>
    </row>
    <row r="7" spans="1:31">
      <c r="B7" t="s">
        <v>120</v>
      </c>
      <c r="C7">
        <v>22.5</v>
      </c>
      <c r="D7">
        <f t="shared" si="8"/>
        <v>295.5</v>
      </c>
      <c r="G7" s="17">
        <v>2.101E-10</v>
      </c>
      <c r="H7" s="17">
        <v>3.1269999999999999E-6</v>
      </c>
      <c r="I7" s="15">
        <v>-9.6750000000000007</v>
      </c>
      <c r="J7" s="15">
        <v>-5.5023999999999997</v>
      </c>
      <c r="M7">
        <f t="shared" si="9"/>
        <v>24.852400000000003</v>
      </c>
      <c r="N7">
        <v>93.029600000000002</v>
      </c>
      <c r="O7">
        <f t="shared" si="7"/>
        <v>-385745.26548568916</v>
      </c>
      <c r="P7">
        <f t="shared" si="10"/>
        <v>-96.436316371422294</v>
      </c>
      <c r="S7" s="43">
        <f t="shared" si="11"/>
        <v>-4.0522540139271644E-5</v>
      </c>
      <c r="T7" s="43">
        <f t="shared" si="12"/>
        <v>-1.20622544517375</v>
      </c>
      <c r="U7">
        <f t="shared" si="13"/>
        <v>-4.0522540139271644E-5</v>
      </c>
      <c r="X7" t="s">
        <v>122</v>
      </c>
      <c r="Y7">
        <f t="shared" si="0"/>
        <v>-97.482458768876299</v>
      </c>
      <c r="Z7" s="25">
        <f t="shared" si="1"/>
        <v>-75.957904223589495</v>
      </c>
      <c r="AA7">
        <f t="shared" si="2"/>
        <v>-41.904637383066053</v>
      </c>
      <c r="AB7">
        <f t="shared" si="3"/>
        <v>-82.047562266443535</v>
      </c>
      <c r="AC7">
        <f t="shared" si="4"/>
        <v>-94.39935616629657</v>
      </c>
      <c r="AD7">
        <f t="shared" si="5"/>
        <v>-98.644763286755179</v>
      </c>
      <c r="AE7">
        <f t="shared" si="6"/>
        <v>-101.07481850557822</v>
      </c>
    </row>
    <row r="8" spans="1:31">
      <c r="B8" t="s">
        <v>121</v>
      </c>
      <c r="C8">
        <v>31.7</v>
      </c>
      <c r="D8">
        <f t="shared" si="8"/>
        <v>304.7</v>
      </c>
      <c r="G8" s="17">
        <v>2.0010000000000001E-10</v>
      </c>
      <c r="H8" s="17">
        <v>2.1889999999999999E-5</v>
      </c>
      <c r="I8" s="15">
        <v>-9.6966000000000001</v>
      </c>
      <c r="J8" s="15">
        <v>-4.6577000000000002</v>
      </c>
      <c r="M8">
        <f t="shared" si="9"/>
        <v>24.050899999999999</v>
      </c>
      <c r="N8">
        <v>90.084299999999999</v>
      </c>
      <c r="O8">
        <f t="shared" si="7"/>
        <v>-385247.71512959112</v>
      </c>
      <c r="P8">
        <f t="shared" si="10"/>
        <v>-96.311928782397786</v>
      </c>
      <c r="S8" s="43">
        <f t="shared" si="11"/>
        <v>-3.8544033898715597E-5</v>
      </c>
      <c r="T8" s="43">
        <f t="shared" si="12"/>
        <v>-8.4330724841867486</v>
      </c>
      <c r="U8">
        <f t="shared" si="13"/>
        <v>-3.8544033898715597E-5</v>
      </c>
    </row>
    <row r="9" spans="1:31">
      <c r="B9" t="s">
        <v>122</v>
      </c>
      <c r="C9">
        <v>21.5</v>
      </c>
      <c r="D9">
        <f t="shared" si="8"/>
        <v>294.5</v>
      </c>
      <c r="G9" s="17">
        <v>3.0020000000000001E-10</v>
      </c>
      <c r="H9" s="17">
        <v>6.2550000000000003E-6</v>
      </c>
      <c r="I9" s="15">
        <v>-9.5091999999999999</v>
      </c>
      <c r="J9" s="15">
        <v>-5.1904000000000003</v>
      </c>
      <c r="M9">
        <f t="shared" si="9"/>
        <v>24.2088</v>
      </c>
      <c r="N9">
        <v>93.3596</v>
      </c>
      <c r="O9">
        <f t="shared" si="7"/>
        <v>-389929.83507550519</v>
      </c>
      <c r="P9">
        <f t="shared" si="10"/>
        <v>-97.482458768876299</v>
      </c>
      <c r="S9" s="43">
        <f t="shared" si="11"/>
        <v>-5.8528468244833328E-5</v>
      </c>
      <c r="T9" s="43">
        <f t="shared" si="12"/>
        <v>-2.4390111183972851</v>
      </c>
      <c r="U9">
        <f t="shared" si="13"/>
        <v>-5.8528468244833328E-5</v>
      </c>
    </row>
    <row r="10" spans="1:31" ht="68">
      <c r="X10" s="48" t="s">
        <v>137</v>
      </c>
      <c r="Y10" s="46" t="s">
        <v>1</v>
      </c>
      <c r="Z10" s="46" t="s">
        <v>12</v>
      </c>
      <c r="AA10" s="46" t="s">
        <v>14</v>
      </c>
      <c r="AB10" s="46" t="s">
        <v>15</v>
      </c>
      <c r="AC10" s="46" t="s">
        <v>16</v>
      </c>
      <c r="AD10" s="46" t="s">
        <v>17</v>
      </c>
      <c r="AE10" s="46" t="s">
        <v>106</v>
      </c>
    </row>
    <row r="11" spans="1:31">
      <c r="X11" t="s">
        <v>116</v>
      </c>
      <c r="Y11">
        <f>U4</f>
        <v>-2.3385892096697404E-5</v>
      </c>
      <c r="Z11" s="25">
        <f>U14</f>
        <v>-0.83645760824948345</v>
      </c>
      <c r="AA11">
        <f>U24</f>
        <v>-0.50420110497222947</v>
      </c>
      <c r="AB11">
        <f>U34</f>
        <v>-3.7739004444782447E-3</v>
      </c>
      <c r="AC11">
        <f>U44</f>
        <v>-1.7371688561877777E-2</v>
      </c>
      <c r="AD11">
        <f>U54</f>
        <v>-3.6796704092793495E-4</v>
      </c>
      <c r="AE11">
        <f>U63</f>
        <v>-1.2537831654268483</v>
      </c>
    </row>
    <row r="12" spans="1:31">
      <c r="A12" s="2" t="s">
        <v>12</v>
      </c>
      <c r="E12" s="3">
        <v>4</v>
      </c>
      <c r="X12" t="s">
        <v>118</v>
      </c>
      <c r="Y12">
        <f t="shared" ref="Y12:Y16" si="14">U5</f>
        <v>-2.7503349367960523E-5</v>
      </c>
      <c r="Z12" s="25">
        <f t="shared" ref="Z12:Z16" si="15">U15</f>
        <v>-0.30940055472797434</v>
      </c>
      <c r="AA12">
        <f t="shared" ref="AA12:AA16" si="16">U25</f>
        <v>-1.7419733264143439E-3</v>
      </c>
      <c r="AB12">
        <f t="shared" ref="AB12:AB16" si="17">U35</f>
        <v>-6.8912048659590636E-2</v>
      </c>
      <c r="AC12">
        <f t="shared" ref="AC12:AC16" si="18">U45</f>
        <v>-0.31392775888288449</v>
      </c>
      <c r="AD12">
        <f t="shared" ref="AD12:AD16" si="19">U55</f>
        <v>-2.8644230502307129E-4</v>
      </c>
      <c r="AE12">
        <f t="shared" ref="AE12:AE16" si="20">U64</f>
        <v>-5.0562539010045313</v>
      </c>
    </row>
    <row r="13" spans="1:31" ht="17">
      <c r="B13" t="s">
        <v>2</v>
      </c>
      <c r="C13" s="3" t="s">
        <v>3</v>
      </c>
      <c r="D13" t="s">
        <v>4</v>
      </c>
      <c r="E13" s="3"/>
      <c r="F13" s="5" t="s">
        <v>28</v>
      </c>
      <c r="G13" s="5" t="s">
        <v>6</v>
      </c>
      <c r="H13" s="33" t="s">
        <v>8</v>
      </c>
      <c r="I13" s="33" t="s">
        <v>26</v>
      </c>
      <c r="J13" s="33" t="s">
        <v>27</v>
      </c>
      <c r="M13" t="s">
        <v>9</v>
      </c>
      <c r="N13" t="s">
        <v>10</v>
      </c>
      <c r="O13" t="s">
        <v>11</v>
      </c>
      <c r="P13" t="str">
        <f>CONCATENATE("/",E12,","," ","kj")</f>
        <v>/4, kj</v>
      </c>
      <c r="S13" t="s">
        <v>28</v>
      </c>
      <c r="T13" t="s">
        <v>24</v>
      </c>
      <c r="U13" t="s">
        <v>25</v>
      </c>
      <c r="W13" s="41"/>
      <c r="X13" t="s">
        <v>119</v>
      </c>
      <c r="Y13">
        <f t="shared" si="14"/>
        <v>-5.3278157640813144E-5</v>
      </c>
      <c r="Z13" s="25">
        <f t="shared" si="15"/>
        <v>-2.0025286211046418</v>
      </c>
      <c r="AA13">
        <f t="shared" si="16"/>
        <v>-2.5831826903074684</v>
      </c>
      <c r="AB13">
        <f t="shared" si="17"/>
        <v>-2.5077404411043423E-2</v>
      </c>
      <c r="AC13">
        <f t="shared" si="18"/>
        <v>-0.1131796267677158</v>
      </c>
      <c r="AD13">
        <f t="shared" si="19"/>
        <v>-3.3292891854566236E-3</v>
      </c>
      <c r="AE13">
        <f t="shared" si="20"/>
        <v>-3.1017561990413918</v>
      </c>
    </row>
    <row r="14" spans="1:31">
      <c r="B14" t="s">
        <v>116</v>
      </c>
      <c r="C14">
        <v>10.3</v>
      </c>
      <c r="D14">
        <f>C14+273</f>
        <v>283.3</v>
      </c>
      <c r="F14" s="17">
        <v>3.4499999999999998E-5</v>
      </c>
      <c r="G14" s="17">
        <v>3.1300000000000001E-6</v>
      </c>
      <c r="H14" s="15">
        <v>-5.5030000000000001</v>
      </c>
      <c r="I14" s="15">
        <v>-4.6619000000000002</v>
      </c>
      <c r="J14" s="15">
        <v>-7.2</v>
      </c>
      <c r="M14">
        <f>8*J14-H14-4*I14</f>
        <v>-33.449399999999997</v>
      </c>
      <c r="N14">
        <v>15.816800000000001</v>
      </c>
      <c r="O14">
        <f t="shared" ref="O14:O19" si="21">-2.303*8.314*D14*(N14-M14)</f>
        <v>-267238.85247587331</v>
      </c>
      <c r="P14">
        <f>O14/4/1000</f>
        <v>-66.809713118968332</v>
      </c>
      <c r="S14" s="43">
        <f>O14/4*F14</f>
        <v>-2.3049351026044071</v>
      </c>
      <c r="T14" s="43">
        <f>O14/1*G14</f>
        <v>-0.83645760824948345</v>
      </c>
      <c r="U14">
        <f>IF(S14&gt;T14, S14,T14)</f>
        <v>-0.83645760824948345</v>
      </c>
      <c r="W14" s="42"/>
      <c r="X14" t="s">
        <v>120</v>
      </c>
      <c r="Y14">
        <f t="shared" si="14"/>
        <v>-4.0522540139271644E-5</v>
      </c>
      <c r="Z14" s="25">
        <f t="shared" si="15"/>
        <v>-6.117645260915492E-5</v>
      </c>
      <c r="AA14">
        <f t="shared" si="16"/>
        <v>-0.52783819123275322</v>
      </c>
      <c r="AB14">
        <f t="shared" si="17"/>
        <v>-1.0530490454876265</v>
      </c>
      <c r="AC14">
        <f t="shared" si="18"/>
        <v>-1.1944493139112802</v>
      </c>
      <c r="AD14">
        <f t="shared" si="19"/>
        <v>-3.4845924610405102E-2</v>
      </c>
      <c r="AE14">
        <f t="shared" si="20"/>
        <v>-1.245123301825046</v>
      </c>
    </row>
    <row r="15" spans="1:31">
      <c r="B15" t="s">
        <v>118</v>
      </c>
      <c r="C15">
        <v>12.4</v>
      </c>
      <c r="D15">
        <f t="shared" ref="D15:D19" si="22">C15+273</f>
        <v>285.39999999999998</v>
      </c>
      <c r="F15" s="17">
        <v>4.5600000000000004E-6</v>
      </c>
      <c r="G15" s="17">
        <v>1.2510000000000001E-5</v>
      </c>
      <c r="H15" s="15">
        <v>-4.9016999999999999</v>
      </c>
      <c r="I15" s="15">
        <v>-5.5021000000000004</v>
      </c>
      <c r="J15" s="15">
        <v>-7.6</v>
      </c>
      <c r="M15">
        <f t="shared" ref="M15:M19" si="23">8*J15-H15-4*I15</f>
        <v>-33.889899999999997</v>
      </c>
      <c r="N15">
        <v>15.776</v>
      </c>
      <c r="O15">
        <f t="shared" si="21"/>
        <v>-271403.99537541607</v>
      </c>
      <c r="P15">
        <f t="shared" ref="P15:P19" si="24">O15/4/1000</f>
        <v>-67.850998843854015</v>
      </c>
      <c r="S15" s="43">
        <f t="shared" ref="S15:S19" si="25">O15/4*F15</f>
        <v>-0.30940055472797434</v>
      </c>
      <c r="T15" s="43">
        <f t="shared" ref="T15:T19" si="26">O15/1*G15</f>
        <v>-3.3952639821464552</v>
      </c>
      <c r="U15">
        <f t="shared" ref="U15:U19" si="27">IF(S15&gt;T15, S15,T15)</f>
        <v>-0.30940055472797434</v>
      </c>
      <c r="X15" t="s">
        <v>121</v>
      </c>
      <c r="Y15">
        <f t="shared" si="14"/>
        <v>-3.8544033898715597E-5</v>
      </c>
      <c r="Z15" s="25">
        <f t="shared" si="15"/>
        <v>-6.5323880958686355E-5</v>
      </c>
      <c r="AA15">
        <f t="shared" si="16"/>
        <v>-3.8145651593140237</v>
      </c>
      <c r="AB15">
        <f t="shared" si="17"/>
        <v>-1.5242911473655865</v>
      </c>
      <c r="AC15">
        <f t="shared" si="18"/>
        <v>-7.1788200767275736</v>
      </c>
      <c r="AD15">
        <f t="shared" si="19"/>
        <v>-1.6910319836291546E-2</v>
      </c>
      <c r="AE15">
        <f t="shared" si="20"/>
        <v>-2.7069198907596119</v>
      </c>
    </row>
    <row r="16" spans="1:31">
      <c r="B16" t="s">
        <v>119</v>
      </c>
      <c r="C16">
        <v>16.2</v>
      </c>
      <c r="D16">
        <f t="shared" si="22"/>
        <v>289.2</v>
      </c>
      <c r="F16" s="17">
        <v>2.9940000000000001E-5</v>
      </c>
      <c r="G16" s="17">
        <v>1.5639999999999999E-5</v>
      </c>
      <c r="H16" s="15">
        <v>-4.7995999999999999</v>
      </c>
      <c r="I16" s="15">
        <v>-4.8437999999999999</v>
      </c>
      <c r="J16" s="15">
        <v>-7.1</v>
      </c>
      <c r="M16">
        <f t="shared" si="23"/>
        <v>-32.6252</v>
      </c>
      <c r="N16">
        <v>15.690099999999999</v>
      </c>
      <c r="O16">
        <f t="shared" si="21"/>
        <v>-267538.89393515588</v>
      </c>
      <c r="P16">
        <f t="shared" si="24"/>
        <v>-66.884723483788974</v>
      </c>
      <c r="S16" s="43">
        <f t="shared" si="25"/>
        <v>-2.0025286211046418</v>
      </c>
      <c r="T16" s="43">
        <f t="shared" si="26"/>
        <v>-4.1843083011458377</v>
      </c>
      <c r="U16">
        <f t="shared" si="27"/>
        <v>-2.0025286211046418</v>
      </c>
      <c r="X16" t="s">
        <v>122</v>
      </c>
      <c r="Y16">
        <f t="shared" si="14"/>
        <v>-5.8528468244833328E-5</v>
      </c>
      <c r="Z16" s="25">
        <f t="shared" si="15"/>
        <v>-0.92668643152779173</v>
      </c>
      <c r="AA16">
        <f t="shared" si="16"/>
        <v>-1.0484540273243126</v>
      </c>
      <c r="AB16">
        <f t="shared" si="17"/>
        <v>-0.30570921700476861</v>
      </c>
      <c r="AC16">
        <f t="shared" si="18"/>
        <v>-1.4069280043024841</v>
      </c>
      <c r="AD16">
        <f t="shared" si="19"/>
        <v>-0.24819022442947603</v>
      </c>
      <c r="AE16">
        <f t="shared" si="20"/>
        <v>-2.5288919590095671</v>
      </c>
    </row>
    <row r="17" spans="1:31">
      <c r="B17" t="s">
        <v>120</v>
      </c>
      <c r="C17">
        <v>22.5</v>
      </c>
      <c r="D17">
        <f t="shared" si="22"/>
        <v>295.5</v>
      </c>
      <c r="F17" s="17">
        <v>1.09E-9</v>
      </c>
      <c r="G17" s="17">
        <v>3.1269999999999999E-6</v>
      </c>
      <c r="H17" s="15">
        <v>-5.5023999999999997</v>
      </c>
      <c r="I17" s="15">
        <v>-9.1935000000000002</v>
      </c>
      <c r="J17" s="15">
        <v>-8.3000000000000007</v>
      </c>
      <c r="M17">
        <f t="shared" si="23"/>
        <v>-24.123600000000003</v>
      </c>
      <c r="N17">
        <v>15.555</v>
      </c>
      <c r="O17">
        <f t="shared" si="21"/>
        <v>-224500.74351983459</v>
      </c>
      <c r="P17">
        <f t="shared" si="24"/>
        <v>-56.12518587995865</v>
      </c>
      <c r="S17" s="43">
        <f t="shared" si="25"/>
        <v>-6.117645260915492E-5</v>
      </c>
      <c r="T17" s="43">
        <f t="shared" si="26"/>
        <v>-0.70201382498652276</v>
      </c>
      <c r="U17">
        <f t="shared" si="27"/>
        <v>-6.117645260915492E-5</v>
      </c>
    </row>
    <row r="18" spans="1:31">
      <c r="B18" t="s">
        <v>121</v>
      </c>
      <c r="C18">
        <v>31.7</v>
      </c>
      <c r="D18">
        <f t="shared" si="22"/>
        <v>304.7</v>
      </c>
      <c r="F18" s="17">
        <v>1.049E-9</v>
      </c>
      <c r="G18" s="17">
        <v>2.1889999999999999E-5</v>
      </c>
      <c r="H18" s="15">
        <v>-4.6577000000000002</v>
      </c>
      <c r="I18" s="15">
        <v>-9.2012</v>
      </c>
      <c r="J18" s="15">
        <v>-8.6</v>
      </c>
      <c r="M18">
        <f t="shared" si="23"/>
        <v>-27.337499999999991</v>
      </c>
      <c r="N18">
        <v>15.357799999999999</v>
      </c>
      <c r="O18">
        <f t="shared" si="21"/>
        <v>-249090.10851739315</v>
      </c>
      <c r="P18">
        <f t="shared" si="24"/>
        <v>-62.27252712934829</v>
      </c>
      <c r="S18" s="43">
        <f t="shared" si="25"/>
        <v>-6.5323880958686355E-5</v>
      </c>
      <c r="T18" s="43">
        <f t="shared" si="26"/>
        <v>-5.4525824754457357</v>
      </c>
      <c r="U18">
        <f t="shared" si="27"/>
        <v>-6.5323880958686355E-5</v>
      </c>
    </row>
    <row r="19" spans="1:31" ht="68">
      <c r="B19" t="s">
        <v>122</v>
      </c>
      <c r="C19">
        <v>21.5</v>
      </c>
      <c r="D19">
        <f t="shared" si="22"/>
        <v>294.5</v>
      </c>
      <c r="F19" s="17">
        <v>1.22E-5</v>
      </c>
      <c r="G19" s="17">
        <v>6.2550000000000003E-6</v>
      </c>
      <c r="H19" s="15">
        <v>-5.1904000000000003</v>
      </c>
      <c r="I19" s="15">
        <v>-5.3259999999999996</v>
      </c>
      <c r="J19" s="15">
        <v>-8.1</v>
      </c>
      <c r="M19">
        <f t="shared" si="23"/>
        <v>-38.305599999999998</v>
      </c>
      <c r="N19">
        <v>15.5764</v>
      </c>
      <c r="O19">
        <f t="shared" si="21"/>
        <v>-303831.61689435795</v>
      </c>
      <c r="P19">
        <f t="shared" si="24"/>
        <v>-75.957904223589495</v>
      </c>
      <c r="S19" s="43">
        <f t="shared" si="25"/>
        <v>-0.92668643152779173</v>
      </c>
      <c r="T19" s="43">
        <f t="shared" si="26"/>
        <v>-1.900466763674209</v>
      </c>
      <c r="U19">
        <f t="shared" si="27"/>
        <v>-0.92668643152779173</v>
      </c>
      <c r="X19" s="48" t="s">
        <v>138</v>
      </c>
      <c r="Y19" s="46" t="s">
        <v>1</v>
      </c>
      <c r="Z19" s="46" t="s">
        <v>12</v>
      </c>
      <c r="AA19" s="46" t="s">
        <v>14</v>
      </c>
      <c r="AB19" s="46" t="s">
        <v>15</v>
      </c>
      <c r="AC19" s="46" t="s">
        <v>16</v>
      </c>
      <c r="AD19" s="46" t="s">
        <v>17</v>
      </c>
      <c r="AE19" s="46" t="s">
        <v>106</v>
      </c>
    </row>
    <row r="20" spans="1:31">
      <c r="X20" t="s">
        <v>116</v>
      </c>
      <c r="Y20">
        <f>LOG10(-Y11)</f>
        <v>-4.6310460584994049</v>
      </c>
      <c r="Z20">
        <f t="shared" ref="Z20:AE20" si="28">LOG10(-Z11)</f>
        <v>-7.7556064229193006E-2</v>
      </c>
      <c r="AA20">
        <f t="shared" si="28"/>
        <v>-0.29739620688881507</v>
      </c>
      <c r="AB20">
        <f t="shared" si="28"/>
        <v>-2.4232095607116344</v>
      </c>
      <c r="AC20">
        <f t="shared" si="28"/>
        <v>-1.7601579652337296</v>
      </c>
      <c r="AD20">
        <f t="shared" si="28"/>
        <v>-3.4341910796530106</v>
      </c>
      <c r="AE20">
        <f t="shared" si="28"/>
        <v>9.8222434260869323E-2</v>
      </c>
    </row>
    <row r="21" spans="1:31">
      <c r="X21" t="s">
        <v>118</v>
      </c>
      <c r="Y21">
        <f t="shared" ref="Y21:AE25" si="29">LOG10(-Y12)</f>
        <v>-4.5606144144079943</v>
      </c>
      <c r="Z21">
        <f t="shared" si="29"/>
        <v>-0.50947891198415529</v>
      </c>
      <c r="AA21">
        <f t="shared" si="29"/>
        <v>-2.7589584993167326</v>
      </c>
      <c r="AB21">
        <f t="shared" si="29"/>
        <v>-1.1617048389210352</v>
      </c>
      <c r="AC21">
        <f t="shared" si="29"/>
        <v>-0.50317028036034894</v>
      </c>
      <c r="AD21">
        <f t="shared" si="29"/>
        <v>-3.542962840130746</v>
      </c>
      <c r="AE21">
        <f t="shared" si="29"/>
        <v>0.7038288740236579</v>
      </c>
    </row>
    <row r="22" spans="1:31">
      <c r="A22" s="2" t="s">
        <v>14</v>
      </c>
      <c r="E22" s="3">
        <v>8</v>
      </c>
      <c r="X22" t="s">
        <v>119</v>
      </c>
      <c r="Y22">
        <f t="shared" si="29"/>
        <v>-4.2734508014853256</v>
      </c>
      <c r="Z22">
        <f t="shared" si="29"/>
        <v>0.30157873194677903</v>
      </c>
      <c r="AA22">
        <f t="shared" si="29"/>
        <v>0.41215512184762454</v>
      </c>
      <c r="AB22">
        <f t="shared" si="29"/>
        <v>-1.6007174163379738</v>
      </c>
      <c r="AC22">
        <f t="shared" si="29"/>
        <v>-0.94623174257058618</v>
      </c>
      <c r="AD22">
        <f t="shared" si="29"/>
        <v>-2.4776484799429448</v>
      </c>
      <c r="AE22">
        <f t="shared" si="29"/>
        <v>0.49160765886376068</v>
      </c>
    </row>
    <row r="23" spans="1:31" ht="17">
      <c r="B23" t="s">
        <v>2</v>
      </c>
      <c r="C23" s="3" t="s">
        <v>3</v>
      </c>
      <c r="D23" t="s">
        <v>4</v>
      </c>
      <c r="E23" s="3"/>
      <c r="F23" s="5" t="s">
        <v>31</v>
      </c>
      <c r="G23" s="5" t="s">
        <v>6</v>
      </c>
      <c r="H23" s="33" t="s">
        <v>8</v>
      </c>
      <c r="I23" s="33" t="s">
        <v>32</v>
      </c>
      <c r="J23" s="33" t="s">
        <v>33</v>
      </c>
      <c r="K23" s="33" t="s">
        <v>27</v>
      </c>
      <c r="M23" t="s">
        <v>9</v>
      </c>
      <c r="N23" t="s">
        <v>10</v>
      </c>
      <c r="O23" t="s">
        <v>11</v>
      </c>
      <c r="P23" t="str">
        <f>CONCATENATE("/",E22,","," ","kj")</f>
        <v>/8, kj</v>
      </c>
      <c r="S23" t="s">
        <v>31</v>
      </c>
      <c r="T23" t="s">
        <v>24</v>
      </c>
      <c r="U23" t="s">
        <v>25</v>
      </c>
      <c r="X23" t="s">
        <v>120</v>
      </c>
      <c r="Y23">
        <f t="shared" si="29"/>
        <v>-4.3923033388820345</v>
      </c>
      <c r="Z23">
        <f t="shared" si="29"/>
        <v>-4.2134157097138027</v>
      </c>
      <c r="AA23">
        <f t="shared" si="29"/>
        <v>-0.2774991900129255</v>
      </c>
      <c r="AB23">
        <f t="shared" si="29"/>
        <v>2.244859880999309E-2</v>
      </c>
      <c r="AC23">
        <f t="shared" si="29"/>
        <v>7.7167725324335787E-2</v>
      </c>
      <c r="AD23">
        <f t="shared" si="29"/>
        <v>-1.4578480073137103</v>
      </c>
      <c r="AE23">
        <f t="shared" si="29"/>
        <v>9.5212360789750081E-2</v>
      </c>
    </row>
    <row r="24" spans="1:31">
      <c r="B24" t="s">
        <v>116</v>
      </c>
      <c r="C24">
        <v>10.3</v>
      </c>
      <c r="D24">
        <f>C24+273</f>
        <v>283.3</v>
      </c>
      <c r="F24" s="17">
        <v>5.4600000000000002E-6</v>
      </c>
      <c r="G24" s="17">
        <v>3.1300000000000001E-6</v>
      </c>
      <c r="H24" s="15">
        <v>-5.5030000000000001</v>
      </c>
      <c r="I24" s="15">
        <v>-5.3193000000000001</v>
      </c>
      <c r="J24" s="15">
        <v>-5.3754</v>
      </c>
      <c r="K24" s="15">
        <v>-7.2</v>
      </c>
      <c r="M24">
        <f>J24+2*K24-2*H24-I24</f>
        <v>-3.4501000000000008</v>
      </c>
      <c r="N24">
        <v>55.943399999999997</v>
      </c>
      <c r="O24">
        <f>-2.303*8.314*D24*(N24-M24)</f>
        <v>-322173.23001420411</v>
      </c>
      <c r="P24">
        <f>O24/8/1000</f>
        <v>-40.27165375177551</v>
      </c>
      <c r="S24" s="43">
        <f>O24/1*F24</f>
        <v>-1.7590658358775544</v>
      </c>
      <c r="T24" s="43">
        <f>O24/2*G24</f>
        <v>-0.50420110497222947</v>
      </c>
      <c r="U24">
        <f>IF(S24&gt;T24, S24,T24)</f>
        <v>-0.50420110497222947</v>
      </c>
      <c r="X24" t="s">
        <v>121</v>
      </c>
      <c r="Y24">
        <f t="shared" si="29"/>
        <v>-4.4140428353921557</v>
      </c>
      <c r="Z24">
        <f t="shared" si="29"/>
        <v>-4.1849280212888145</v>
      </c>
      <c r="AA24">
        <f t="shared" si="29"/>
        <v>0.5814450377892173</v>
      </c>
      <c r="AB24">
        <f t="shared" si="29"/>
        <v>0.1830679273827362</v>
      </c>
      <c r="AC24">
        <f t="shared" si="29"/>
        <v>0.85605306871635889</v>
      </c>
      <c r="AD24">
        <f t="shared" si="29"/>
        <v>-1.7718481782199438</v>
      </c>
      <c r="AE24">
        <f t="shared" si="29"/>
        <v>0.4324754033449979</v>
      </c>
    </row>
    <row r="25" spans="1:31">
      <c r="B25" t="s">
        <v>118</v>
      </c>
      <c r="C25">
        <v>12.4</v>
      </c>
      <c r="D25">
        <f t="shared" ref="D25:D29" si="30">C25+273</f>
        <v>285.39999999999998</v>
      </c>
      <c r="F25" s="17">
        <v>5.4839999999999997E-9</v>
      </c>
      <c r="G25" s="17">
        <v>1.2510000000000001E-5</v>
      </c>
      <c r="H25" s="15">
        <v>-4.9016999999999999</v>
      </c>
      <c r="I25" s="15">
        <v>-8.3050999999999995</v>
      </c>
      <c r="J25" s="15">
        <v>-5.5373000000000001</v>
      </c>
      <c r="K25" s="15">
        <v>-7.6</v>
      </c>
      <c r="M25">
        <f t="shared" ref="M25:M29" si="31">J25+2*K25-2*H25-I25</f>
        <v>-2.6287999999999982</v>
      </c>
      <c r="N25">
        <v>55.499299999999998</v>
      </c>
      <c r="O25">
        <f t="shared" ref="O25:O29" si="32">-2.303*8.314*D25*(N25-M25)</f>
        <v>-317646.48548766301</v>
      </c>
      <c r="P25">
        <f t="shared" ref="P25:P29" si="33">O25/8/1000</f>
        <v>-39.705810685957879</v>
      </c>
      <c r="S25" s="43">
        <f t="shared" ref="S25:S29" si="34">O25/1*F25</f>
        <v>-1.7419733264143439E-3</v>
      </c>
      <c r="T25" s="43">
        <f t="shared" ref="T25:T29" si="35">O25/2*G25</f>
        <v>-1.9868787667253323</v>
      </c>
      <c r="U25">
        <f t="shared" ref="U25:U29" si="36">IF(S25&gt;T25, S25,T25)</f>
        <v>-1.7419733264143439E-3</v>
      </c>
      <c r="X25" t="s">
        <v>122</v>
      </c>
      <c r="Y25">
        <f t="shared" si="29"/>
        <v>-4.2326328417071313</v>
      </c>
      <c r="Z25">
        <f t="shared" si="29"/>
        <v>-3.3067195839087661E-2</v>
      </c>
      <c r="AA25">
        <f t="shared" si="29"/>
        <v>2.0549392248104537E-2</v>
      </c>
      <c r="AB25">
        <f t="shared" si="29"/>
        <v>-0.51469146727990633</v>
      </c>
      <c r="AC25">
        <f t="shared" si="29"/>
        <v>0.1482718741695371</v>
      </c>
      <c r="AD25">
        <f t="shared" si="29"/>
        <v>-0.6052153282359356</v>
      </c>
      <c r="AE25">
        <f t="shared" si="29"/>
        <v>0.402930275525402</v>
      </c>
    </row>
    <row r="26" spans="1:31">
      <c r="B26" t="s">
        <v>119</v>
      </c>
      <c r="C26">
        <v>16.2</v>
      </c>
      <c r="D26">
        <f t="shared" si="30"/>
        <v>289.2</v>
      </c>
      <c r="F26" s="17">
        <v>1.06E-5</v>
      </c>
      <c r="G26" s="17">
        <v>1.5639999999999999E-5</v>
      </c>
      <c r="H26" s="15">
        <v>-4.7995999999999999</v>
      </c>
      <c r="I26" s="15">
        <v>-5.0713999999999997</v>
      </c>
      <c r="J26" s="15">
        <v>-5.4179000000000004</v>
      </c>
      <c r="K26" s="15">
        <v>-7.1</v>
      </c>
      <c r="M26">
        <f t="shared" si="31"/>
        <v>-4.9472999999999994</v>
      </c>
      <c r="N26">
        <v>54.707599999999999</v>
      </c>
      <c r="O26">
        <f t="shared" si="32"/>
        <v>-330330.26730274531</v>
      </c>
      <c r="P26">
        <f t="shared" si="33"/>
        <v>-41.291283412843164</v>
      </c>
      <c r="S26" s="43">
        <f t="shared" si="34"/>
        <v>-3.5015008334091005</v>
      </c>
      <c r="T26" s="43">
        <f t="shared" si="35"/>
        <v>-2.5831826903074684</v>
      </c>
      <c r="U26">
        <f t="shared" si="36"/>
        <v>-2.5831826903074684</v>
      </c>
    </row>
    <row r="27" spans="1:31">
      <c r="B27" t="s">
        <v>120</v>
      </c>
      <c r="C27">
        <v>22.5</v>
      </c>
      <c r="D27">
        <f t="shared" si="30"/>
        <v>295.5</v>
      </c>
      <c r="F27" s="17">
        <v>7.1320000000000002E-5</v>
      </c>
      <c r="G27" s="17">
        <v>3.1269999999999999E-6</v>
      </c>
      <c r="H27" s="15">
        <v>-5.5023999999999997</v>
      </c>
      <c r="I27" s="15">
        <v>-4.2126999999999999</v>
      </c>
      <c r="J27" s="15">
        <v>-4.8569000000000004</v>
      </c>
      <c r="K27" s="15">
        <v>-8.3000000000000007</v>
      </c>
      <c r="M27">
        <f t="shared" si="31"/>
        <v>-6.2394000000000016</v>
      </c>
      <c r="N27">
        <v>53.428600000000003</v>
      </c>
      <c r="O27">
        <f t="shared" si="32"/>
        <v>-337600.378146948</v>
      </c>
      <c r="P27">
        <f t="shared" si="33"/>
        <v>-42.2000472683685</v>
      </c>
      <c r="S27" s="43">
        <f t="shared" si="34"/>
        <v>-24.077658969440332</v>
      </c>
      <c r="T27" s="43">
        <f t="shared" si="35"/>
        <v>-0.52783819123275322</v>
      </c>
      <c r="U27">
        <f t="shared" si="36"/>
        <v>-0.52783819123275322</v>
      </c>
    </row>
    <row r="28" spans="1:31">
      <c r="B28" t="s">
        <v>121</v>
      </c>
      <c r="C28">
        <v>31.7</v>
      </c>
      <c r="D28">
        <f t="shared" si="30"/>
        <v>304.7</v>
      </c>
      <c r="F28" s="17">
        <v>2.1489999999999999E-5</v>
      </c>
      <c r="G28" s="17">
        <v>2.1889999999999999E-5</v>
      </c>
      <c r="H28" s="15">
        <v>-4.6577000000000002</v>
      </c>
      <c r="I28" s="15">
        <v>-4.7306999999999997</v>
      </c>
      <c r="J28" s="15">
        <v>-4.9508000000000001</v>
      </c>
      <c r="K28" s="15">
        <v>-8.6</v>
      </c>
      <c r="M28">
        <f t="shared" si="31"/>
        <v>-8.1047000000000011</v>
      </c>
      <c r="N28">
        <v>51.633600000000001</v>
      </c>
      <c r="O28">
        <f t="shared" si="32"/>
        <v>-348521.25713239139</v>
      </c>
      <c r="P28">
        <f t="shared" si="33"/>
        <v>-43.565157141548923</v>
      </c>
      <c r="S28" s="43">
        <f t="shared" si="34"/>
        <v>-7.4897218157750904</v>
      </c>
      <c r="T28" s="43">
        <f t="shared" si="35"/>
        <v>-3.8145651593140237</v>
      </c>
      <c r="U28">
        <f t="shared" si="36"/>
        <v>-3.8145651593140237</v>
      </c>
    </row>
    <row r="29" spans="1:31">
      <c r="B29" t="s">
        <v>122</v>
      </c>
      <c r="C29">
        <v>21.5</v>
      </c>
      <c r="D29">
        <f t="shared" si="30"/>
        <v>294.5</v>
      </c>
      <c r="F29" s="17">
        <v>4.887E-6</v>
      </c>
      <c r="G29" s="17">
        <v>6.2550000000000003E-6</v>
      </c>
      <c r="H29" s="15">
        <v>-5.1904000000000003</v>
      </c>
      <c r="I29" s="15">
        <v>-5.4432</v>
      </c>
      <c r="J29" s="15">
        <v>-5.4466999999999999</v>
      </c>
      <c r="K29" s="15">
        <v>-8.1</v>
      </c>
      <c r="M29">
        <f t="shared" si="31"/>
        <v>-5.8226999999999984</v>
      </c>
      <c r="N29">
        <v>53.628799999999998</v>
      </c>
      <c r="O29">
        <f t="shared" si="32"/>
        <v>-335237.09906452842</v>
      </c>
      <c r="P29">
        <f t="shared" si="33"/>
        <v>-41.904637383066053</v>
      </c>
      <c r="S29" s="43">
        <f t="shared" si="34"/>
        <v>-1.6383037031283503</v>
      </c>
      <c r="T29" s="43">
        <f t="shared" si="35"/>
        <v>-1.0484540273243126</v>
      </c>
      <c r="U29">
        <f t="shared" si="36"/>
        <v>-1.0484540273243126</v>
      </c>
    </row>
    <row r="30" spans="1:31">
      <c r="X30" s="36"/>
      <c r="Y30" s="36"/>
      <c r="Z30" s="36"/>
      <c r="AA30" s="36"/>
      <c r="AB30" s="36"/>
      <c r="AC30" s="36"/>
      <c r="AD30" s="36"/>
    </row>
    <row r="31" spans="1:31">
      <c r="X31" s="3"/>
      <c r="Y31" s="3"/>
      <c r="Z31" s="3"/>
      <c r="AA31" s="3"/>
      <c r="AB31" s="3"/>
      <c r="AC31" s="3"/>
      <c r="AD31" s="3"/>
    </row>
    <row r="32" spans="1:31">
      <c r="A32" s="2" t="s">
        <v>15</v>
      </c>
      <c r="E32" s="3">
        <v>4</v>
      </c>
      <c r="Z32"/>
    </row>
    <row r="33" spans="1:26" ht="17">
      <c r="B33" t="s">
        <v>2</v>
      </c>
      <c r="C33" s="3" t="s">
        <v>3</v>
      </c>
      <c r="D33" t="s">
        <v>4</v>
      </c>
      <c r="E33" s="3"/>
      <c r="F33" s="5" t="s">
        <v>36</v>
      </c>
      <c r="G33" s="5" t="s">
        <v>6</v>
      </c>
      <c r="H33" s="33" t="s">
        <v>8</v>
      </c>
      <c r="I33" s="33" t="s">
        <v>34</v>
      </c>
      <c r="J33" s="34" t="s">
        <v>35</v>
      </c>
      <c r="K33" s="15"/>
      <c r="M33" t="s">
        <v>9</v>
      </c>
      <c r="N33" t="s">
        <v>10</v>
      </c>
      <c r="O33" t="s">
        <v>11</v>
      </c>
      <c r="P33" t="str">
        <f>CONCATENATE("/",E32,","," ","kj")</f>
        <v>/4, kj</v>
      </c>
      <c r="S33" t="s">
        <v>36</v>
      </c>
      <c r="T33" t="s">
        <v>24</v>
      </c>
      <c r="U33" t="s">
        <v>25</v>
      </c>
      <c r="Z33"/>
    </row>
    <row r="34" spans="1:26">
      <c r="B34" t="s">
        <v>116</v>
      </c>
      <c r="C34">
        <v>10.3</v>
      </c>
      <c r="D34">
        <f>C34+273</f>
        <v>283.3</v>
      </c>
      <c r="F34" s="17">
        <v>2.33E-8</v>
      </c>
      <c r="G34" s="17">
        <v>3.1300000000000001E-6</v>
      </c>
      <c r="H34" s="15">
        <v>-5.5030000000000001</v>
      </c>
      <c r="I34" s="15">
        <v>-7.6878000000000002</v>
      </c>
      <c r="J34" s="15">
        <v>-7.2</v>
      </c>
      <c r="M34">
        <f>-H34-2*J34-2*I34</f>
        <v>35.278599999999997</v>
      </c>
      <c r="N34">
        <v>94.997799999999998</v>
      </c>
      <c r="O34">
        <f>-2.303*8.314*D34*(N34-M34)</f>
        <v>-323939.95231572917</v>
      </c>
      <c r="P34">
        <f>O34/4/1000</f>
        <v>-80.98498807893229</v>
      </c>
      <c r="S34" s="43">
        <f>O34/2*F34</f>
        <v>-3.7739004444782447E-3</v>
      </c>
      <c r="T34" s="43">
        <f>O34/1*G34</f>
        <v>-1.0139320507482323</v>
      </c>
      <c r="U34">
        <f>IF(S34&gt;T34, S34,T34)</f>
        <v>-3.7739004444782447E-3</v>
      </c>
      <c r="Z34"/>
    </row>
    <row r="35" spans="1:26">
      <c r="B35" t="s">
        <v>118</v>
      </c>
      <c r="C35">
        <v>12.4</v>
      </c>
      <c r="D35">
        <f t="shared" ref="D35:D39" si="37">C35+273</f>
        <v>285.39999999999998</v>
      </c>
      <c r="F35" s="17">
        <v>4.1129999999999998E-7</v>
      </c>
      <c r="G35" s="17">
        <v>1.2510000000000001E-5</v>
      </c>
      <c r="H35" s="15">
        <v>-4.9016999999999999</v>
      </c>
      <c r="I35" s="15">
        <v>-6.4287999999999998</v>
      </c>
      <c r="J35" s="15">
        <v>-7.6</v>
      </c>
      <c r="M35">
        <f t="shared" ref="M35:M39" si="38">-H35-2*J35-2*I35</f>
        <v>32.959299999999999</v>
      </c>
      <c r="N35">
        <v>94.280199999999994</v>
      </c>
      <c r="O35">
        <f t="shared" ref="O35:O39" si="39">-2.303*8.314*D35*(N35-M35)</f>
        <v>-335093.84225427004</v>
      </c>
      <c r="P35">
        <f t="shared" ref="P35:P39" si="40">O35/4/1000</f>
        <v>-83.773460563567511</v>
      </c>
      <c r="S35" s="43">
        <f t="shared" ref="S35:S39" si="41">O35/2*F35</f>
        <v>-6.8912048659590636E-2</v>
      </c>
      <c r="T35" s="43">
        <f t="shared" ref="T35:T39" si="42">O35/1*G35</f>
        <v>-4.1920239666009182</v>
      </c>
      <c r="U35">
        <f t="shared" ref="U35:U39" si="43">IF(S35&gt;T35, S35,T35)</f>
        <v>-6.8912048659590636E-2</v>
      </c>
      <c r="Z35"/>
    </row>
    <row r="36" spans="1:26">
      <c r="B36" t="s">
        <v>119</v>
      </c>
      <c r="C36">
        <v>16.2</v>
      </c>
      <c r="D36">
        <f t="shared" si="37"/>
        <v>289.2</v>
      </c>
      <c r="F36" s="17">
        <v>1.505E-7</v>
      </c>
      <c r="G36" s="17">
        <v>1.5639999999999999E-5</v>
      </c>
      <c r="H36" s="15">
        <v>-4.7995999999999999</v>
      </c>
      <c r="I36" s="15">
        <v>-6.9134000000000002</v>
      </c>
      <c r="J36" s="15">
        <v>-7.1</v>
      </c>
      <c r="M36">
        <f t="shared" si="38"/>
        <v>32.8264</v>
      </c>
      <c r="N36">
        <v>93.009399999999999</v>
      </c>
      <c r="O36">
        <f t="shared" si="39"/>
        <v>-333254.54366835114</v>
      </c>
      <c r="P36">
        <f t="shared" si="40"/>
        <v>-83.31363591708778</v>
      </c>
      <c r="S36" s="43">
        <f t="shared" si="41"/>
        <v>-2.5077404411043423E-2</v>
      </c>
      <c r="T36" s="43">
        <f t="shared" si="42"/>
        <v>-5.2121010629730113</v>
      </c>
      <c r="U36">
        <f t="shared" si="43"/>
        <v>-2.5077404411043423E-2</v>
      </c>
      <c r="Z36"/>
    </row>
    <row r="37" spans="1:26">
      <c r="B37" t="s">
        <v>120</v>
      </c>
      <c r="C37">
        <v>22.5</v>
      </c>
      <c r="D37">
        <f t="shared" si="37"/>
        <v>295.5</v>
      </c>
      <c r="F37" s="17">
        <v>2.429E-5</v>
      </c>
      <c r="G37" s="17">
        <v>3.1269999999999999E-6</v>
      </c>
      <c r="H37" s="15">
        <v>-5.5023999999999997</v>
      </c>
      <c r="I37" s="15">
        <v>-4.6778000000000004</v>
      </c>
      <c r="J37" s="15">
        <v>-8.3000000000000007</v>
      </c>
      <c r="M37">
        <f t="shared" si="38"/>
        <v>31.458000000000006</v>
      </c>
      <c r="N37">
        <v>90.977500000000006</v>
      </c>
      <c r="O37">
        <f t="shared" si="39"/>
        <v>-336760.16804848943</v>
      </c>
      <c r="P37">
        <f t="shared" si="40"/>
        <v>-84.190042012122362</v>
      </c>
      <c r="S37" s="43">
        <f t="shared" si="41"/>
        <v>-4.0899522409489037</v>
      </c>
      <c r="T37" s="43">
        <f t="shared" si="42"/>
        <v>-1.0530490454876265</v>
      </c>
      <c r="U37">
        <f t="shared" si="43"/>
        <v>-1.0530490454876265</v>
      </c>
      <c r="Z37"/>
    </row>
    <row r="38" spans="1:26">
      <c r="B38" t="s">
        <v>121</v>
      </c>
      <c r="C38">
        <v>31.7</v>
      </c>
      <c r="D38">
        <f t="shared" si="37"/>
        <v>304.7</v>
      </c>
      <c r="F38" s="17">
        <v>9.3100000000000006E-6</v>
      </c>
      <c r="G38" s="17">
        <v>2.1889999999999999E-5</v>
      </c>
      <c r="H38" s="15">
        <v>-4.6577000000000002</v>
      </c>
      <c r="I38" s="15">
        <v>-5.0914000000000001</v>
      </c>
      <c r="J38" s="15">
        <v>-8.6</v>
      </c>
      <c r="M38">
        <f t="shared" si="38"/>
        <v>32.040500000000002</v>
      </c>
      <c r="N38">
        <v>88.167500000000004</v>
      </c>
      <c r="O38">
        <f t="shared" si="39"/>
        <v>-327452.44841365982</v>
      </c>
      <c r="P38">
        <f t="shared" si="40"/>
        <v>-81.863112103414949</v>
      </c>
      <c r="S38" s="43">
        <f t="shared" si="41"/>
        <v>-1.5242911473655865</v>
      </c>
      <c r="T38" s="43">
        <f t="shared" si="42"/>
        <v>-7.1679340957750126</v>
      </c>
      <c r="U38">
        <f t="shared" si="43"/>
        <v>-1.5242911473655865</v>
      </c>
      <c r="Z38"/>
    </row>
    <row r="39" spans="1:26">
      <c r="B39" t="s">
        <v>122</v>
      </c>
      <c r="C39">
        <v>21.5</v>
      </c>
      <c r="D39">
        <f t="shared" si="37"/>
        <v>294.5</v>
      </c>
      <c r="F39" s="17">
        <v>1.863E-6</v>
      </c>
      <c r="G39" s="17">
        <v>6.2550000000000003E-6</v>
      </c>
      <c r="H39" s="15">
        <v>-5.1904000000000003</v>
      </c>
      <c r="I39" s="15">
        <v>-5.8509000000000002</v>
      </c>
      <c r="J39" s="15">
        <v>-8.1</v>
      </c>
      <c r="M39">
        <f t="shared" si="38"/>
        <v>33.092199999999998</v>
      </c>
      <c r="N39">
        <v>91.293999999999997</v>
      </c>
      <c r="O39">
        <f t="shared" si="39"/>
        <v>-328190.24906577414</v>
      </c>
      <c r="P39">
        <f t="shared" si="40"/>
        <v>-82.047562266443535</v>
      </c>
      <c r="S39" s="43">
        <f t="shared" si="41"/>
        <v>-0.30570921700476861</v>
      </c>
      <c r="T39" s="43">
        <f t="shared" si="42"/>
        <v>-2.0528300079064175</v>
      </c>
      <c r="U39">
        <f t="shared" si="43"/>
        <v>-0.30570921700476861</v>
      </c>
    </row>
    <row r="42" spans="1:26">
      <c r="A42" s="2" t="s">
        <v>16</v>
      </c>
      <c r="E42" s="3">
        <v>8</v>
      </c>
    </row>
    <row r="43" spans="1:26" ht="17">
      <c r="B43" t="s">
        <v>2</v>
      </c>
      <c r="C43" s="3" t="s">
        <v>3</v>
      </c>
      <c r="D43" t="s">
        <v>4</v>
      </c>
      <c r="E43" s="3"/>
      <c r="F43" s="5" t="s">
        <v>36</v>
      </c>
      <c r="G43" s="35" t="s">
        <v>6</v>
      </c>
      <c r="H43" s="34" t="s">
        <v>37</v>
      </c>
      <c r="I43" s="34" t="s">
        <v>38</v>
      </c>
      <c r="J43" s="34" t="s">
        <v>39</v>
      </c>
      <c r="K43" s="34" t="s">
        <v>35</v>
      </c>
      <c r="L43" s="10"/>
      <c r="M43" s="10" t="s">
        <v>9</v>
      </c>
      <c r="N43" s="10" t="s">
        <v>10</v>
      </c>
      <c r="O43" s="11" t="s">
        <v>40</v>
      </c>
      <c r="P43" t="str">
        <f>CONCATENATE("/",E42,","," ","kj")</f>
        <v>/8, kj</v>
      </c>
      <c r="S43" t="s">
        <v>36</v>
      </c>
      <c r="T43" t="s">
        <v>24</v>
      </c>
      <c r="U43" t="s">
        <v>25</v>
      </c>
    </row>
    <row r="44" spans="1:26">
      <c r="B44" t="s">
        <v>116</v>
      </c>
      <c r="C44">
        <v>10.3</v>
      </c>
      <c r="D44">
        <f>C44+273</f>
        <v>283.3</v>
      </c>
      <c r="F44" s="17">
        <v>2.33E-8</v>
      </c>
      <c r="G44" s="17">
        <v>3.1300000000000001E-6</v>
      </c>
      <c r="H44" s="15">
        <v>-5.5030000000000001</v>
      </c>
      <c r="I44" s="15">
        <v>-7.6878000000000002</v>
      </c>
      <c r="J44" s="15">
        <v>-2.7730000000000001</v>
      </c>
      <c r="K44" s="15">
        <v>-7.2</v>
      </c>
      <c r="M44">
        <f>J44+K44-2*H44-I44</f>
        <v>8.7208000000000006</v>
      </c>
      <c r="N44">
        <v>146.1679</v>
      </c>
      <c r="O44">
        <f t="shared" ref="O44:O49" si="44">-2.303*8.314*D44*(N44-M44)</f>
        <v>-745566.03269861708</v>
      </c>
      <c r="P44">
        <f t="shared" ref="P44:P49" si="45">O44/8/1000</f>
        <v>-93.195754087327131</v>
      </c>
      <c r="S44" s="43">
        <f>O44/1*F44</f>
        <v>-1.7371688561877777E-2</v>
      </c>
      <c r="T44" s="43">
        <f>O44/2*G44</f>
        <v>-1.1668108411733358</v>
      </c>
      <c r="U44">
        <f>IF(S44&gt;T44, S44,T44)</f>
        <v>-1.7371688561877777E-2</v>
      </c>
    </row>
    <row r="45" spans="1:26">
      <c r="B45" t="s">
        <v>118</v>
      </c>
      <c r="C45">
        <v>12.4</v>
      </c>
      <c r="D45">
        <f t="shared" ref="D45:D49" si="46">C45+273</f>
        <v>285.39999999999998</v>
      </c>
      <c r="F45" s="17">
        <v>4.1129999999999998E-7</v>
      </c>
      <c r="G45" s="17">
        <v>1.2510000000000001E-5</v>
      </c>
      <c r="H45" s="15">
        <v>-4.9016999999999999</v>
      </c>
      <c r="I45" s="15">
        <v>-6.4287999999999998</v>
      </c>
      <c r="J45" s="15">
        <v>-3.3025000000000002</v>
      </c>
      <c r="K45" s="15">
        <v>-7.6</v>
      </c>
      <c r="M45">
        <f t="shared" ref="M45:M49" si="47">J45+K45-2*H45-I45</f>
        <v>5.3296999999999999</v>
      </c>
      <c r="N45">
        <v>145.00290000000001</v>
      </c>
      <c r="O45">
        <f t="shared" si="44"/>
        <v>-763257.37632600171</v>
      </c>
      <c r="P45">
        <f t="shared" si="45"/>
        <v>-95.407172040750211</v>
      </c>
      <c r="S45" s="43">
        <f t="shared" ref="S45:S49" si="48">O45/1*F45</f>
        <v>-0.31392775888288449</v>
      </c>
      <c r="T45" s="43">
        <f t="shared" ref="T45:T49" si="49">O45/2*G45</f>
        <v>-4.7741748889191413</v>
      </c>
      <c r="U45">
        <f t="shared" ref="U45:U49" si="50">IF(S45&gt;T45, S45,T45)</f>
        <v>-0.31392775888288449</v>
      </c>
    </row>
    <row r="46" spans="1:26">
      <c r="B46" t="s">
        <v>119</v>
      </c>
      <c r="C46">
        <v>16.2</v>
      </c>
      <c r="D46">
        <f t="shared" si="46"/>
        <v>289.2</v>
      </c>
      <c r="F46" s="17">
        <v>1.505E-7</v>
      </c>
      <c r="G46" s="17">
        <v>1.5639999999999999E-5</v>
      </c>
      <c r="H46" s="15">
        <v>-4.7995999999999999</v>
      </c>
      <c r="I46" s="15">
        <v>-6.9134000000000002</v>
      </c>
      <c r="J46" s="15">
        <v>-2.2894999999999999</v>
      </c>
      <c r="K46" s="15">
        <v>-7.1</v>
      </c>
      <c r="M46">
        <f t="shared" si="47"/>
        <v>7.1231</v>
      </c>
      <c r="N46">
        <v>142.9324</v>
      </c>
      <c r="O46">
        <f t="shared" si="44"/>
        <v>-752024.09812435741</v>
      </c>
      <c r="P46">
        <f t="shared" si="45"/>
        <v>-94.003012265544669</v>
      </c>
      <c r="S46" s="43">
        <f t="shared" si="48"/>
        <v>-0.1131796267677158</v>
      </c>
      <c r="T46" s="43">
        <f t="shared" si="49"/>
        <v>-5.8808284473324743</v>
      </c>
      <c r="U46">
        <f t="shared" si="50"/>
        <v>-0.1131796267677158</v>
      </c>
    </row>
    <row r="47" spans="1:26">
      <c r="B47" t="s">
        <v>120</v>
      </c>
      <c r="C47">
        <v>22.5</v>
      </c>
      <c r="D47">
        <f t="shared" si="46"/>
        <v>295.5</v>
      </c>
      <c r="F47" s="17">
        <v>2.429E-5</v>
      </c>
      <c r="G47" s="17">
        <v>3.1269999999999999E-6</v>
      </c>
      <c r="H47" s="15">
        <v>-5.5023999999999997</v>
      </c>
      <c r="I47" s="15">
        <v>-4.6778000000000004</v>
      </c>
      <c r="J47" s="15">
        <v>-2.8025000000000002</v>
      </c>
      <c r="K47" s="15">
        <v>-8.3000000000000007</v>
      </c>
      <c r="M47">
        <f t="shared" si="47"/>
        <v>4.5800999999999989</v>
      </c>
      <c r="N47">
        <v>139.60329999999999</v>
      </c>
      <c r="O47">
        <f t="shared" si="44"/>
        <v>-763958.62738169509</v>
      </c>
      <c r="P47">
        <f t="shared" si="45"/>
        <v>-95.49482842271189</v>
      </c>
      <c r="S47" s="43">
        <f t="shared" si="48"/>
        <v>-18.556555059101374</v>
      </c>
      <c r="T47" s="43">
        <f t="shared" si="49"/>
        <v>-1.1944493139112802</v>
      </c>
      <c r="U47">
        <f t="shared" si="50"/>
        <v>-1.1944493139112802</v>
      </c>
    </row>
    <row r="48" spans="1:26">
      <c r="B48" t="s">
        <v>121</v>
      </c>
      <c r="C48">
        <v>31.7</v>
      </c>
      <c r="D48">
        <f t="shared" si="46"/>
        <v>304.7</v>
      </c>
      <c r="F48" s="17">
        <v>9.3100000000000006E-6</v>
      </c>
      <c r="G48" s="17">
        <v>2.1889999999999999E-5</v>
      </c>
      <c r="H48" s="15">
        <v>-4.6577000000000002</v>
      </c>
      <c r="I48" s="15">
        <v>-5.0914000000000001</v>
      </c>
      <c r="J48" s="15">
        <v>-3.0129000000000001</v>
      </c>
      <c r="K48" s="15">
        <v>-8.6</v>
      </c>
      <c r="M48">
        <f>J48+K48-2*H48-I48</f>
        <v>2.7939000000000007</v>
      </c>
      <c r="N48">
        <v>134.96209999999999</v>
      </c>
      <c r="O48">
        <f t="shared" si="44"/>
        <v>-771087.01146375656</v>
      </c>
      <c r="P48">
        <f t="shared" si="45"/>
        <v>-96.385876432969567</v>
      </c>
      <c r="S48" s="43">
        <f t="shared" si="48"/>
        <v>-7.1788200767275736</v>
      </c>
      <c r="T48" s="43">
        <f t="shared" si="49"/>
        <v>-8.4395473404708152</v>
      </c>
      <c r="U48">
        <f t="shared" si="50"/>
        <v>-7.1788200767275736</v>
      </c>
    </row>
    <row r="49" spans="1:21">
      <c r="B49" t="s">
        <v>122</v>
      </c>
      <c r="C49">
        <v>21.5</v>
      </c>
      <c r="D49">
        <f t="shared" si="46"/>
        <v>294.5</v>
      </c>
      <c r="F49" s="17">
        <v>1.863E-6</v>
      </c>
      <c r="G49" s="17">
        <v>6.2550000000000003E-6</v>
      </c>
      <c r="H49" s="15">
        <v>-5.1904000000000003</v>
      </c>
      <c r="I49" s="15">
        <v>-5.8509000000000002</v>
      </c>
      <c r="J49" s="15">
        <v>-1.9358</v>
      </c>
      <c r="K49" s="15">
        <v>-8.1</v>
      </c>
      <c r="M49">
        <f t="shared" si="47"/>
        <v>6.1959000000000009</v>
      </c>
      <c r="N49">
        <v>140.1234</v>
      </c>
      <c r="O49">
        <f t="shared" si="44"/>
        <v>-755194.84933037253</v>
      </c>
      <c r="P49">
        <f t="shared" si="45"/>
        <v>-94.39935616629657</v>
      </c>
      <c r="S49" s="43">
        <f t="shared" si="48"/>
        <v>-1.4069280043024841</v>
      </c>
      <c r="T49" s="43">
        <f t="shared" si="49"/>
        <v>-2.3618718912807402</v>
      </c>
      <c r="U49">
        <f t="shared" si="50"/>
        <v>-1.4069280043024841</v>
      </c>
    </row>
    <row r="52" spans="1:21">
      <c r="A52" s="2" t="s">
        <v>17</v>
      </c>
      <c r="E52" s="3">
        <v>8</v>
      </c>
    </row>
    <row r="53" spans="1:21" ht="17">
      <c r="B53" t="s">
        <v>2</v>
      </c>
      <c r="C53" s="3" t="s">
        <v>3</v>
      </c>
      <c r="D53" t="s">
        <v>4</v>
      </c>
      <c r="E53" s="3"/>
      <c r="F53" s="35" t="s">
        <v>6</v>
      </c>
      <c r="G53" s="35" t="s">
        <v>41</v>
      </c>
      <c r="H53" s="34" t="s">
        <v>37</v>
      </c>
      <c r="I53" s="34" t="s">
        <v>42</v>
      </c>
      <c r="J53" s="34" t="s">
        <v>43</v>
      </c>
      <c r="K53" s="34" t="s">
        <v>35</v>
      </c>
      <c r="L53" s="10"/>
      <c r="M53" s="10" t="s">
        <v>9</v>
      </c>
      <c r="N53" s="10" t="s">
        <v>10</v>
      </c>
      <c r="O53" s="11" t="s">
        <v>44</v>
      </c>
      <c r="P53" t="str">
        <f>CONCATENATE("/",E52,","," ","kj")</f>
        <v>/8, kj</v>
      </c>
      <c r="S53" t="s">
        <v>45</v>
      </c>
      <c r="T53" t="s">
        <v>24</v>
      </c>
      <c r="U53" t="s">
        <v>25</v>
      </c>
    </row>
    <row r="54" spans="1:21">
      <c r="B54" t="s">
        <v>116</v>
      </c>
      <c r="C54">
        <v>10.3</v>
      </c>
      <c r="D54">
        <f>C54+273</f>
        <v>283.3</v>
      </c>
      <c r="F54" s="17">
        <v>3.1300000000000001E-6</v>
      </c>
      <c r="G54" s="17">
        <v>4.8E-10</v>
      </c>
      <c r="H54" s="15">
        <v>-5.5030000000000001</v>
      </c>
      <c r="I54" s="15">
        <v>-9.3165999999999993</v>
      </c>
      <c r="J54" s="15">
        <v>-2.5078999999999998</v>
      </c>
      <c r="K54" s="15">
        <v>-7.2</v>
      </c>
      <c r="M54">
        <f>J54+K54-2*H54-I54</f>
        <v>10.614699999999999</v>
      </c>
      <c r="N54">
        <v>151.9391</v>
      </c>
      <c r="O54">
        <f>-2.303*8.314*D54*(N54-M54)</f>
        <v>-766598.00193319784</v>
      </c>
      <c r="P54">
        <f>O54/8/1000</f>
        <v>-95.824750241649724</v>
      </c>
      <c r="S54" s="43">
        <f>O54/1*G54</f>
        <v>-3.6796704092793495E-4</v>
      </c>
      <c r="T54" s="43">
        <f>O54/2*F54</f>
        <v>-1.1997258730254547</v>
      </c>
      <c r="U54">
        <f>IF(S54&gt;T54, S54,T54)</f>
        <v>-3.6796704092793495E-4</v>
      </c>
    </row>
    <row r="55" spans="1:21">
      <c r="B55" t="s">
        <v>118</v>
      </c>
      <c r="C55">
        <v>12.4</v>
      </c>
      <c r="D55">
        <f t="shared" ref="D55:D59" si="51">C55+273</f>
        <v>285.39999999999998</v>
      </c>
      <c r="F55" s="17">
        <v>1.2510000000000001E-5</v>
      </c>
      <c r="G55" s="17">
        <v>3.703E-10</v>
      </c>
      <c r="H55" s="15">
        <v>-4.9016999999999999</v>
      </c>
      <c r="I55" s="15">
        <v>-9.4304000000000006</v>
      </c>
      <c r="J55" s="15">
        <v>-2.4064999999999999</v>
      </c>
      <c r="K55" s="15">
        <v>-7.6</v>
      </c>
      <c r="M55">
        <f t="shared" ref="M55:M59" si="52">J55+K55-2*H55-I55</f>
        <v>9.2273000000000014</v>
      </c>
      <c r="N55">
        <v>150.7824</v>
      </c>
      <c r="O55">
        <f t="shared" ref="O55:O59" si="53">-2.303*8.314*D55*(N55-M55)</f>
        <v>-773541.19638960646</v>
      </c>
      <c r="P55">
        <f t="shared" ref="P55:P59" si="54">O55/8/1000</f>
        <v>-96.692649548700814</v>
      </c>
      <c r="S55" s="43">
        <f t="shared" ref="S55:S59" si="55">O55/1*G55</f>
        <v>-2.8644230502307129E-4</v>
      </c>
      <c r="T55" s="43">
        <f t="shared" ref="T55:T59" si="56">O55/2*F55</f>
        <v>-4.838500183416989</v>
      </c>
      <c r="U55">
        <f t="shared" ref="U55:U59" si="57">IF(S55&gt;T55, S55,T55)</f>
        <v>-2.8644230502307129E-4</v>
      </c>
    </row>
    <row r="56" spans="1:21">
      <c r="B56" t="s">
        <v>119</v>
      </c>
      <c r="C56">
        <v>16.2</v>
      </c>
      <c r="D56">
        <f t="shared" si="51"/>
        <v>289.2</v>
      </c>
      <c r="F56" s="17">
        <v>1.5639999999999999E-5</v>
      </c>
      <c r="G56" s="17">
        <v>4.293E-9</v>
      </c>
      <c r="H56" s="15">
        <v>-4.7995999999999999</v>
      </c>
      <c r="I56" s="15">
        <v>-8.3609000000000009</v>
      </c>
      <c r="J56" s="15">
        <v>-2.1855000000000002</v>
      </c>
      <c r="K56" s="15">
        <v>-7.1</v>
      </c>
      <c r="M56">
        <f t="shared" si="52"/>
        <v>8.6746000000000016</v>
      </c>
      <c r="N56">
        <v>148.72630000000001</v>
      </c>
      <c r="O56">
        <f t="shared" si="53"/>
        <v>-775515.76647021284</v>
      </c>
      <c r="P56">
        <f t="shared" si="54"/>
        <v>-96.939470808776605</v>
      </c>
      <c r="S56" s="43">
        <f t="shared" si="55"/>
        <v>-3.3292891854566236E-3</v>
      </c>
      <c r="T56" s="43">
        <f t="shared" si="56"/>
        <v>-6.064533293797064</v>
      </c>
      <c r="U56">
        <f t="shared" si="57"/>
        <v>-3.3292891854566236E-3</v>
      </c>
    </row>
    <row r="57" spans="1:21">
      <c r="B57" t="s">
        <v>120</v>
      </c>
      <c r="C57">
        <v>22.5</v>
      </c>
      <c r="D57">
        <f t="shared" si="51"/>
        <v>295.5</v>
      </c>
      <c r="F57" s="17">
        <v>3.1269999999999999E-6</v>
      </c>
      <c r="G57" s="17">
        <v>4.4850000000000001E-8</v>
      </c>
      <c r="H57" s="15">
        <v>-5.5023999999999997</v>
      </c>
      <c r="I57" s="15">
        <v>-7.3457999999999997</v>
      </c>
      <c r="J57" s="15">
        <v>-1.9494</v>
      </c>
      <c r="K57" s="15">
        <v>-8.3000000000000007</v>
      </c>
      <c r="M57">
        <f t="shared" si="52"/>
        <v>8.1011999999999986</v>
      </c>
      <c r="N57">
        <v>145.4194</v>
      </c>
      <c r="O57">
        <f t="shared" si="53"/>
        <v>-776943.69253969006</v>
      </c>
      <c r="P57">
        <f t="shared" si="54"/>
        <v>-97.117961567461265</v>
      </c>
      <c r="S57" s="43">
        <f t="shared" si="55"/>
        <v>-3.4845924610405102E-2</v>
      </c>
      <c r="T57" s="43">
        <f t="shared" si="56"/>
        <v>-1.2147514632858054</v>
      </c>
      <c r="U57">
        <f t="shared" si="57"/>
        <v>-3.4845924610405102E-2</v>
      </c>
    </row>
    <row r="58" spans="1:21">
      <c r="B58" t="s">
        <v>121</v>
      </c>
      <c r="C58">
        <v>31.7</v>
      </c>
      <c r="D58">
        <f t="shared" si="51"/>
        <v>304.7</v>
      </c>
      <c r="F58" s="17">
        <v>2.1889999999999999E-5</v>
      </c>
      <c r="G58" s="17">
        <v>2.1570000000000001E-8</v>
      </c>
      <c r="H58" s="15">
        <v>-4.6577000000000002</v>
      </c>
      <c r="I58" s="15">
        <v>-7.6642000000000001</v>
      </c>
      <c r="J58" s="15">
        <v>-1.9497</v>
      </c>
      <c r="K58" s="15">
        <v>-8.6</v>
      </c>
      <c r="M58">
        <f t="shared" si="52"/>
        <v>6.4299000000000008</v>
      </c>
      <c r="N58">
        <v>140.80699999999999</v>
      </c>
      <c r="O58">
        <f t="shared" si="53"/>
        <v>-783974.03042612644</v>
      </c>
      <c r="P58">
        <f t="shared" si="54"/>
        <v>-97.996753803265804</v>
      </c>
      <c r="S58" s="43">
        <f t="shared" si="55"/>
        <v>-1.6910319836291546E-2</v>
      </c>
      <c r="T58" s="43">
        <f t="shared" si="56"/>
        <v>-8.5805957630139531</v>
      </c>
      <c r="U58">
        <f t="shared" si="57"/>
        <v>-1.6910319836291546E-2</v>
      </c>
    </row>
    <row r="59" spans="1:21">
      <c r="B59" t="s">
        <v>122</v>
      </c>
      <c r="C59">
        <v>21.5</v>
      </c>
      <c r="D59">
        <f t="shared" si="51"/>
        <v>294.5</v>
      </c>
      <c r="F59" s="17">
        <v>6.2550000000000003E-6</v>
      </c>
      <c r="G59" s="17">
        <v>3.1450000000000002E-7</v>
      </c>
      <c r="H59" s="15">
        <v>-5.1904000000000003</v>
      </c>
      <c r="I59" s="15">
        <v>-6.4889000000000001</v>
      </c>
      <c r="J59" s="15">
        <v>-2.7843</v>
      </c>
      <c r="K59" s="15">
        <v>-8.1</v>
      </c>
      <c r="M59">
        <f t="shared" si="52"/>
        <v>5.9854000000000012</v>
      </c>
      <c r="N59">
        <v>145.93600000000001</v>
      </c>
      <c r="O59">
        <f t="shared" si="53"/>
        <v>-789158.10629404138</v>
      </c>
      <c r="P59">
        <f t="shared" si="54"/>
        <v>-98.644763286755179</v>
      </c>
      <c r="S59" s="43">
        <f t="shared" si="55"/>
        <v>-0.24819022442947603</v>
      </c>
      <c r="T59" s="43">
        <f t="shared" si="56"/>
        <v>-2.4680919774346144</v>
      </c>
      <c r="U59">
        <f t="shared" si="57"/>
        <v>-0.24819022442947603</v>
      </c>
    </row>
    <row r="61" spans="1:21">
      <c r="A61" t="s">
        <v>106</v>
      </c>
    </row>
    <row r="62" spans="1:21" ht="17">
      <c r="B62" t="s">
        <v>2</v>
      </c>
      <c r="C62" s="3" t="s">
        <v>3</v>
      </c>
      <c r="D62" t="s">
        <v>4</v>
      </c>
      <c r="E62">
        <v>8</v>
      </c>
      <c r="F62" s="35" t="s">
        <v>6</v>
      </c>
      <c r="G62" s="35" t="s">
        <v>131</v>
      </c>
      <c r="H62" s="34" t="s">
        <v>37</v>
      </c>
      <c r="I62" s="34" t="s">
        <v>130</v>
      </c>
      <c r="J62" s="34" t="s">
        <v>43</v>
      </c>
      <c r="K62" s="34" t="s">
        <v>35</v>
      </c>
      <c r="M62" s="10" t="s">
        <v>9</v>
      </c>
      <c r="N62" s="10" t="s">
        <v>10</v>
      </c>
      <c r="O62" s="11" t="s">
        <v>44</v>
      </c>
      <c r="P62" t="str">
        <f>CONCATENATE("/",E61,","," ","kj")</f>
        <v>/, kj</v>
      </c>
      <c r="S62" t="s">
        <v>45</v>
      </c>
      <c r="T62" t="s">
        <v>24</v>
      </c>
      <c r="U62" t="s">
        <v>25</v>
      </c>
    </row>
    <row r="63" spans="1:21">
      <c r="B63" t="s">
        <v>116</v>
      </c>
      <c r="C63">
        <v>10.3</v>
      </c>
      <c r="D63">
        <f>C63+273</f>
        <v>283.3</v>
      </c>
      <c r="F63" s="17">
        <v>3.1300000000000001E-6</v>
      </c>
      <c r="G63" s="17">
        <v>6.9500000000000004E-6</v>
      </c>
      <c r="H63" s="15">
        <v>-5.5030000000000001</v>
      </c>
      <c r="I63" s="15">
        <v>-5.2103000000000002</v>
      </c>
      <c r="J63" s="15">
        <v>-2.5078999999999998</v>
      </c>
      <c r="K63" s="15">
        <v>-7.2</v>
      </c>
      <c r="M63">
        <f>2*J63+K63-I63-2*H63</f>
        <v>4.0005000000000006</v>
      </c>
      <c r="N63">
        <v>151.6927</v>
      </c>
      <c r="O63">
        <f t="shared" ref="O63:O68" si="58">-2.303*8.314*D63*(N63-M63)</f>
        <v>-801139.40282865707</v>
      </c>
      <c r="P63">
        <f t="shared" ref="P63:P68" si="59">O63/8/1000</f>
        <v>-100.14242535358213</v>
      </c>
      <c r="S63" s="43">
        <f>O63/1*G63</f>
        <v>-5.5679188496591667</v>
      </c>
      <c r="T63" s="43">
        <f>O63/2*F63</f>
        <v>-1.2537831654268483</v>
      </c>
      <c r="U63">
        <f>IF(S63&gt;T63, S63,T63)</f>
        <v>-1.2537831654268483</v>
      </c>
    </row>
    <row r="64" spans="1:21">
      <c r="B64" t="s">
        <v>118</v>
      </c>
      <c r="C64">
        <v>12.4</v>
      </c>
      <c r="D64">
        <f t="shared" ref="D64:D68" si="60">C64+273</f>
        <v>285.39999999999998</v>
      </c>
      <c r="F64" s="17">
        <v>1.2510000000000001E-5</v>
      </c>
      <c r="G64" s="17">
        <v>6.8430000000000004E-6</v>
      </c>
      <c r="H64" s="15">
        <v>-4.9016999999999999</v>
      </c>
      <c r="I64" s="15">
        <v>-5.2065000000000001</v>
      </c>
      <c r="J64" s="15">
        <v>-2.4064999999999999</v>
      </c>
      <c r="K64" s="15">
        <v>-7.6</v>
      </c>
      <c r="M64">
        <f t="shared" ref="M64:M68" si="61">2*J64+K64-I64-2*H64</f>
        <v>2.5968999999999998</v>
      </c>
      <c r="N64">
        <v>150.52260000000001</v>
      </c>
      <c r="O64">
        <f t="shared" si="58"/>
        <v>-808353.94100791868</v>
      </c>
      <c r="P64">
        <f t="shared" si="59"/>
        <v>-101.04424262598984</v>
      </c>
      <c r="S64" s="43">
        <f t="shared" ref="S64:S68" si="62">O64/1*G64</f>
        <v>-5.5315660183171875</v>
      </c>
      <c r="T64" s="43">
        <f t="shared" ref="T64:T68" si="63">O64/2*F64</f>
        <v>-5.0562539010045313</v>
      </c>
      <c r="U64">
        <f t="shared" ref="U64:U68" si="64">IF(S64&gt;T64, S64,T64)</f>
        <v>-5.0562539010045313</v>
      </c>
    </row>
    <row r="65" spans="2:21">
      <c r="B65" t="s">
        <v>119</v>
      </c>
      <c r="C65">
        <v>16.2</v>
      </c>
      <c r="D65">
        <f t="shared" si="60"/>
        <v>289.2</v>
      </c>
      <c r="F65" s="17">
        <v>1.5639999999999999E-5</v>
      </c>
      <c r="G65" s="17">
        <v>3.8680000000000001E-6</v>
      </c>
      <c r="H65" s="15">
        <v>-4.7995999999999999</v>
      </c>
      <c r="I65" s="15">
        <v>-5.4981</v>
      </c>
      <c r="J65" s="15">
        <v>-2.1855000000000002</v>
      </c>
      <c r="K65" s="15">
        <v>-7.1</v>
      </c>
      <c r="M65">
        <f t="shared" si="61"/>
        <v>3.6262999999999996</v>
      </c>
      <c r="N65">
        <v>148.44309999999999</v>
      </c>
      <c r="O65">
        <f t="shared" si="58"/>
        <v>-801901.80947295541</v>
      </c>
      <c r="P65">
        <f t="shared" si="59"/>
        <v>-100.23772618411942</v>
      </c>
      <c r="S65" s="43">
        <f t="shared" si="62"/>
        <v>-3.1017561990413918</v>
      </c>
      <c r="T65" s="43">
        <f t="shared" si="63"/>
        <v>-6.2708721500785112</v>
      </c>
      <c r="U65">
        <f t="shared" si="64"/>
        <v>-3.1017561990413918</v>
      </c>
    </row>
    <row r="66" spans="2:21">
      <c r="B66" t="s">
        <v>120</v>
      </c>
      <c r="C66">
        <v>22.5</v>
      </c>
      <c r="D66">
        <f t="shared" si="60"/>
        <v>295.5</v>
      </c>
      <c r="F66" s="17">
        <v>3.1269999999999999E-6</v>
      </c>
      <c r="G66" s="17">
        <v>3.3019999999999999E-6</v>
      </c>
      <c r="H66" s="15">
        <v>-5.5023999999999997</v>
      </c>
      <c r="I66" s="15">
        <v>-5.5418000000000003</v>
      </c>
      <c r="J66" s="15">
        <v>-1.9494</v>
      </c>
      <c r="K66" s="15">
        <v>-8.3000000000000007</v>
      </c>
      <c r="M66">
        <f t="shared" si="61"/>
        <v>4.3477999999999994</v>
      </c>
      <c r="N66">
        <v>145.0993</v>
      </c>
      <c r="O66">
        <f t="shared" si="58"/>
        <v>-796369.23685644136</v>
      </c>
      <c r="P66">
        <f t="shared" si="59"/>
        <v>-99.546154607055172</v>
      </c>
      <c r="S66" s="43">
        <f t="shared" si="62"/>
        <v>-2.6296112200999695</v>
      </c>
      <c r="T66" s="43">
        <f t="shared" si="63"/>
        <v>-1.245123301825046</v>
      </c>
      <c r="U66">
        <f t="shared" si="64"/>
        <v>-1.245123301825046</v>
      </c>
    </row>
    <row r="67" spans="2:21">
      <c r="B67" t="s">
        <v>121</v>
      </c>
      <c r="C67">
        <v>31.7</v>
      </c>
      <c r="D67">
        <f t="shared" si="60"/>
        <v>304.7</v>
      </c>
      <c r="F67" s="17">
        <v>2.1889999999999999E-5</v>
      </c>
      <c r="G67" s="17">
        <v>3.36E-6</v>
      </c>
      <c r="H67" s="15">
        <v>-4.6577000000000002</v>
      </c>
      <c r="I67" s="15">
        <v>-5.5317999999999996</v>
      </c>
      <c r="J67" s="15">
        <v>-1.9497</v>
      </c>
      <c r="K67" s="15">
        <v>-8.6</v>
      </c>
      <c r="M67">
        <f t="shared" si="61"/>
        <v>2.3478000000000003</v>
      </c>
      <c r="N67">
        <v>140.43700000000001</v>
      </c>
      <c r="O67">
        <f t="shared" si="58"/>
        <v>-805630.91986893211</v>
      </c>
      <c r="P67">
        <f t="shared" si="59"/>
        <v>-100.70386498361651</v>
      </c>
      <c r="S67" s="43">
        <f t="shared" si="62"/>
        <v>-2.7069198907596119</v>
      </c>
      <c r="T67" s="43">
        <f t="shared" si="63"/>
        <v>-8.8176304179654608</v>
      </c>
      <c r="U67">
        <f t="shared" si="64"/>
        <v>-2.7069198907596119</v>
      </c>
    </row>
    <row r="68" spans="2:21">
      <c r="B68" t="s">
        <v>122</v>
      </c>
      <c r="C68">
        <v>21.5</v>
      </c>
      <c r="D68">
        <f t="shared" si="60"/>
        <v>294.5</v>
      </c>
      <c r="F68" s="17">
        <v>6.2550000000000003E-6</v>
      </c>
      <c r="G68" s="17">
        <v>3.985E-6</v>
      </c>
      <c r="H68" s="15">
        <v>-5.1904000000000003</v>
      </c>
      <c r="I68" s="15">
        <v>-5.5113000000000003</v>
      </c>
      <c r="J68" s="15">
        <v>-2.7843</v>
      </c>
      <c r="K68" s="15">
        <v>-8.1</v>
      </c>
      <c r="M68">
        <f t="shared" si="61"/>
        <v>2.2235000000000014</v>
      </c>
      <c r="N68">
        <v>145.6217</v>
      </c>
      <c r="O68">
        <f t="shared" si="58"/>
        <v>-808598.54804462579</v>
      </c>
      <c r="P68">
        <f t="shared" si="59"/>
        <v>-101.07481850557822</v>
      </c>
      <c r="S68" s="43">
        <f t="shared" si="62"/>
        <v>-3.2222652139578338</v>
      </c>
      <c r="T68" s="43">
        <f t="shared" si="63"/>
        <v>-2.5288919590095671</v>
      </c>
      <c r="U68">
        <f t="shared" si="64"/>
        <v>-2.5288919590095671</v>
      </c>
    </row>
  </sheetData>
  <conditionalFormatting sqref="P4:P9 P14:P19 P24:P29 P34:P39 P44:P49 P54:P59 P63:P6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3:V68 U54:V59 U44:V49 U34:V39 U24:V29 U14:V19 U4:V9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20:AE25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:AE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D4D01-832A-694C-9848-86006AE2C1A1}">
  <dimension ref="A1:AC76"/>
  <sheetViews>
    <sheetView tabSelected="1" topLeftCell="H1" zoomScale="129" zoomScaleNormal="129" workbookViewId="0">
      <selection activeCell="Y36" sqref="Y36"/>
    </sheetView>
  </sheetViews>
  <sheetFormatPr baseColWidth="10" defaultRowHeight="16"/>
  <cols>
    <col min="13" max="13" width="5" customWidth="1"/>
    <col min="18" max="18" width="4.33203125" customWidth="1"/>
    <col min="24" max="24" width="14.6640625" customWidth="1"/>
    <col min="25" max="25" width="15.83203125" customWidth="1"/>
    <col min="26" max="26" width="13.83203125" customWidth="1"/>
    <col min="27" max="27" width="16.33203125" customWidth="1"/>
    <col min="28" max="28" width="14.83203125" customWidth="1"/>
    <col min="29" max="29" width="13.6640625" customWidth="1"/>
  </cols>
  <sheetData>
    <row r="1" spans="1:29" ht="73" customHeight="1">
      <c r="E1" s="12"/>
      <c r="W1" s="48" t="s">
        <v>136</v>
      </c>
      <c r="X1" s="46" t="s">
        <v>49</v>
      </c>
      <c r="Y1" s="46" t="s">
        <v>52</v>
      </c>
      <c r="Z1" s="46" t="s">
        <v>55</v>
      </c>
      <c r="AA1" s="46" t="s">
        <v>58</v>
      </c>
      <c r="AB1" s="46" t="s">
        <v>63</v>
      </c>
      <c r="AC1" s="46" t="s">
        <v>108</v>
      </c>
    </row>
    <row r="2" spans="1:29">
      <c r="A2" s="13"/>
      <c r="E2" s="14"/>
      <c r="S2" s="7" t="s">
        <v>18</v>
      </c>
      <c r="T2" s="7" t="s">
        <v>19</v>
      </c>
      <c r="U2" t="s">
        <v>20</v>
      </c>
      <c r="W2" t="s">
        <v>116</v>
      </c>
      <c r="X2">
        <f>Q5</f>
        <v>-59.71990588485491</v>
      </c>
      <c r="Y2">
        <f>Q15</f>
        <v>-8.6851867640712861</v>
      </c>
      <c r="Z2">
        <f>Q25</f>
        <v>-48.364497637963673</v>
      </c>
      <c r="AA2">
        <f>Q35</f>
        <v>-54.199305521488881</v>
      </c>
      <c r="AB2">
        <f>Q45</f>
        <v>-56.828233870994858</v>
      </c>
      <c r="AC2">
        <f>Q55</f>
        <v>-61.145908982927246</v>
      </c>
    </row>
    <row r="3" spans="1:29" ht="17">
      <c r="A3" s="2" t="s">
        <v>49</v>
      </c>
      <c r="E3" s="14">
        <v>8</v>
      </c>
      <c r="S3" s="7" t="s">
        <v>21</v>
      </c>
      <c r="T3" s="7" t="s">
        <v>21</v>
      </c>
      <c r="U3" t="s">
        <v>22</v>
      </c>
      <c r="W3" t="s">
        <v>118</v>
      </c>
      <c r="X3">
        <f t="shared" ref="X3:X7" si="0">Q6</f>
        <v>-57.487054165932399</v>
      </c>
      <c r="Y3">
        <f t="shared" ref="Y3:Y7" si="1">Q16</f>
        <v>-34.88214496626243</v>
      </c>
      <c r="Z3">
        <f t="shared" ref="Z3:Z7" si="2">Q26</f>
        <v>-41.177835782739642</v>
      </c>
      <c r="AA3">
        <f t="shared" ref="AA3:AA7" si="3">Q36</f>
        <v>-55.219725672313992</v>
      </c>
      <c r="AB3">
        <f t="shared" ref="AB3:AB7" si="4">Q46</f>
        <v>-56.505203180264608</v>
      </c>
      <c r="AC3">
        <f t="shared" ref="AC3:AC7" si="5">Q56</f>
        <v>-60.856796257553611</v>
      </c>
    </row>
    <row r="4" spans="1:29" ht="17">
      <c r="A4" s="2"/>
      <c r="B4" t="s">
        <v>2</v>
      </c>
      <c r="C4" s="3" t="s">
        <v>3</v>
      </c>
      <c r="D4" t="s">
        <v>4</v>
      </c>
      <c r="E4" s="12"/>
      <c r="F4" s="4" t="s">
        <v>5</v>
      </c>
      <c r="G4" s="4" t="s">
        <v>47</v>
      </c>
      <c r="I4" s="5" t="s">
        <v>7</v>
      </c>
      <c r="J4" s="5" t="s">
        <v>33</v>
      </c>
      <c r="K4" s="5" t="s">
        <v>27</v>
      </c>
      <c r="L4" s="5" t="s">
        <v>30</v>
      </c>
      <c r="N4" t="s">
        <v>9</v>
      </c>
      <c r="O4" t="s">
        <v>10</v>
      </c>
      <c r="P4" t="s">
        <v>11</v>
      </c>
      <c r="Q4" t="str">
        <f>CONCATENATE("/",E3,","," ","kj")</f>
        <v>/8, kj</v>
      </c>
      <c r="S4" t="s">
        <v>23</v>
      </c>
      <c r="T4" t="s">
        <v>48</v>
      </c>
      <c r="U4" s="15"/>
      <c r="W4" t="s">
        <v>119</v>
      </c>
      <c r="X4">
        <f t="shared" si="0"/>
        <v>-60.107210491670351</v>
      </c>
      <c r="Y4">
        <f t="shared" si="1"/>
        <v>-5.9355583975524855</v>
      </c>
      <c r="Z4">
        <f t="shared" si="2"/>
        <v>-50.447158935698916</v>
      </c>
      <c r="AA4">
        <f t="shared" si="3"/>
        <v>-54.11593247486222</v>
      </c>
      <c r="AB4">
        <f t="shared" si="4"/>
        <v>-57.052391018094141</v>
      </c>
      <c r="AC4">
        <f t="shared" si="5"/>
        <v>-60.350577176518634</v>
      </c>
    </row>
    <row r="5" spans="1:29" s="15" customFormat="1">
      <c r="A5" s="44"/>
      <c r="B5" t="s">
        <v>116</v>
      </c>
      <c r="C5">
        <v>10.3</v>
      </c>
      <c r="D5">
        <f>C5+273</f>
        <v>283.3</v>
      </c>
      <c r="E5" s="24"/>
      <c r="F5" s="17">
        <v>1.2E-10</v>
      </c>
      <c r="G5" s="17">
        <v>4.78E-6</v>
      </c>
      <c r="I5" s="15">
        <v>-9.9186999999999994</v>
      </c>
      <c r="J5" s="15">
        <v>-5.3754</v>
      </c>
      <c r="K5" s="15">
        <v>-5.3193000000000001</v>
      </c>
      <c r="L5" s="15">
        <v>-5.3193000000000001</v>
      </c>
      <c r="N5" s="15">
        <f>L5-J5-2*K5-4*I5</f>
        <v>50.369500000000002</v>
      </c>
      <c r="O5">
        <v>138.44569999999999</v>
      </c>
      <c r="P5" s="15">
        <f>-2.303*8.314*D5*(O5-N5)</f>
        <v>-477759.24707883928</v>
      </c>
      <c r="Q5" s="15">
        <f>P5/8/1000</f>
        <v>-59.71990588485491</v>
      </c>
      <c r="S5" s="17">
        <f>P5/4*F5</f>
        <v>-1.4332777412365178E-5</v>
      </c>
      <c r="T5" s="17">
        <f>P5/1*G5</f>
        <v>-2.2836892010368519</v>
      </c>
      <c r="U5">
        <f>IF(S5&gt;T5, S5,T5)</f>
        <v>-1.4332777412365178E-5</v>
      </c>
      <c r="W5" t="s">
        <v>120</v>
      </c>
      <c r="X5">
        <f t="shared" si="0"/>
        <v>-60.017805712370873</v>
      </c>
      <c r="Y5">
        <f t="shared" si="1"/>
        <v>26.545051855583363</v>
      </c>
      <c r="Z5">
        <f t="shared" si="2"/>
        <v>-59.334463122193597</v>
      </c>
      <c r="AA5">
        <f t="shared" si="3"/>
        <v>-56.18558482137982</v>
      </c>
      <c r="AB5">
        <f t="shared" si="4"/>
        <v>-57.808647241373428</v>
      </c>
      <c r="AC5">
        <f t="shared" si="5"/>
        <v>-60.236911005723108</v>
      </c>
    </row>
    <row r="6" spans="1:29" s="15" customFormat="1">
      <c r="A6" s="44"/>
      <c r="B6" t="s">
        <v>118</v>
      </c>
      <c r="C6">
        <v>12.4</v>
      </c>
      <c r="D6">
        <f t="shared" ref="D6:D10" si="6">C6+273</f>
        <v>285.39999999999998</v>
      </c>
      <c r="E6" s="24"/>
      <c r="F6" s="17">
        <v>1.4010000000000001E-10</v>
      </c>
      <c r="G6" s="17">
        <v>3.208E-6</v>
      </c>
      <c r="I6" s="15">
        <v>-9.8524999999999991</v>
      </c>
      <c r="J6" s="15">
        <v>-5.5373000000000001</v>
      </c>
      <c r="K6" s="15">
        <v>-8.3050999999999995</v>
      </c>
      <c r="L6" s="15">
        <v>-8.3050999999999995</v>
      </c>
      <c r="N6" s="15">
        <f t="shared" ref="N6:N10" si="7">L6-J6-2*K6-4*I6</f>
        <v>53.252399999999994</v>
      </c>
      <c r="O6">
        <v>137.4117</v>
      </c>
      <c r="P6" s="15">
        <f t="shared" ref="P6:P10" si="8">-2.303*8.314*D6*(O6-N6)</f>
        <v>-459896.43332745921</v>
      </c>
      <c r="Q6" s="15">
        <f t="shared" ref="Q6:Q10" si="9">P6/8/1000</f>
        <v>-57.487054165932399</v>
      </c>
      <c r="S6" s="17">
        <f t="shared" ref="S6:S10" si="10">P6/4*F6</f>
        <v>-1.610787257729426E-5</v>
      </c>
      <c r="T6" s="17">
        <f t="shared" ref="T6:T10" si="11">P6/1*G6</f>
        <v>-1.4753477581144891</v>
      </c>
      <c r="U6">
        <f t="shared" ref="U6:U10" si="12">IF(S6&gt;T6, S6,T6)</f>
        <v>-1.610787257729426E-5</v>
      </c>
      <c r="W6" t="s">
        <v>121</v>
      </c>
      <c r="X6">
        <f t="shared" si="0"/>
        <v>-58.390275474329059</v>
      </c>
      <c r="Y6">
        <f t="shared" si="1"/>
        <v>20.797229773239152</v>
      </c>
      <c r="Z6">
        <f t="shared" si="2"/>
        <v>-55.228466462306642</v>
      </c>
      <c r="AA6">
        <f t="shared" si="3"/>
        <v>-55.642471208160757</v>
      </c>
      <c r="AB6">
        <f t="shared" si="4"/>
        <v>-57.253275651779894</v>
      </c>
      <c r="AC6">
        <f t="shared" si="5"/>
        <v>-59.960386832130581</v>
      </c>
    </row>
    <row r="7" spans="1:29" s="15" customFormat="1">
      <c r="A7" s="44"/>
      <c r="B7" t="s">
        <v>119</v>
      </c>
      <c r="C7">
        <v>16.2</v>
      </c>
      <c r="D7">
        <f t="shared" si="6"/>
        <v>289.2</v>
      </c>
      <c r="E7" s="24"/>
      <c r="F7" s="17">
        <v>2.7020000000000001E-10</v>
      </c>
      <c r="G7" s="17">
        <v>4.741E-6</v>
      </c>
      <c r="I7" s="15">
        <v>-9.5619999999999994</v>
      </c>
      <c r="J7" s="15">
        <v>-5.4179000000000004</v>
      </c>
      <c r="K7" s="15">
        <v>-5.0713999999999997</v>
      </c>
      <c r="L7" s="15">
        <v>-5.0713999999999997</v>
      </c>
      <c r="N7" s="15">
        <f t="shared" si="7"/>
        <v>48.737299999999998</v>
      </c>
      <c r="O7">
        <v>135.5762</v>
      </c>
      <c r="P7" s="15">
        <f t="shared" si="8"/>
        <v>-480857.68393336283</v>
      </c>
      <c r="Q7" s="15">
        <f t="shared" si="9"/>
        <v>-60.107210491670351</v>
      </c>
      <c r="S7" s="17">
        <f t="shared" si="10"/>
        <v>-3.2481936549698663E-5</v>
      </c>
      <c r="T7" s="17">
        <f t="shared" si="11"/>
        <v>-2.2797462795280734</v>
      </c>
      <c r="U7">
        <f t="shared" si="12"/>
        <v>-3.2481936549698663E-5</v>
      </c>
      <c r="W7" t="s">
        <v>122</v>
      </c>
      <c r="X7">
        <f t="shared" si="0"/>
        <v>-59.323063990873557</v>
      </c>
      <c r="Y7">
        <f t="shared" si="1"/>
        <v>-7.8361456925813293</v>
      </c>
      <c r="Z7">
        <f t="shared" si="2"/>
        <v>-51.378864154816888</v>
      </c>
      <c r="AA7">
        <f t="shared" si="3"/>
        <v>-54.367304843053908</v>
      </c>
      <c r="AB7">
        <f t="shared" si="4"/>
        <v>-58.612782448928996</v>
      </c>
      <c r="AC7">
        <f t="shared" si="5"/>
        <v>-61.042767182335574</v>
      </c>
    </row>
    <row r="8" spans="1:29" s="15" customFormat="1">
      <c r="A8" s="44"/>
      <c r="B8" t="s">
        <v>120</v>
      </c>
      <c r="C8">
        <v>22.5</v>
      </c>
      <c r="D8">
        <f t="shared" si="6"/>
        <v>295.5</v>
      </c>
      <c r="E8" s="24"/>
      <c r="F8" s="17">
        <v>2.101E-10</v>
      </c>
      <c r="G8" s="17">
        <v>1.613E-5</v>
      </c>
      <c r="I8" s="15">
        <v>-9.6750000000000007</v>
      </c>
      <c r="J8" s="15">
        <v>-4.8569000000000004</v>
      </c>
      <c r="K8" s="15">
        <v>-4.2126999999999999</v>
      </c>
      <c r="L8" s="15">
        <v>-4.2126999999999999</v>
      </c>
      <c r="N8" s="15">
        <f t="shared" si="7"/>
        <v>47.769600000000004</v>
      </c>
      <c r="O8">
        <v>132.63069999999999</v>
      </c>
      <c r="P8" s="15">
        <f t="shared" si="8"/>
        <v>-480142.44569896697</v>
      </c>
      <c r="Q8" s="15">
        <f t="shared" si="9"/>
        <v>-60.017805712370873</v>
      </c>
      <c r="S8" s="17">
        <f t="shared" si="10"/>
        <v>-2.521948196033824E-5</v>
      </c>
      <c r="T8" s="17">
        <f t="shared" si="11"/>
        <v>-7.7446976491243369</v>
      </c>
      <c r="U8">
        <f t="shared" si="12"/>
        <v>-2.521948196033824E-5</v>
      </c>
      <c r="W8"/>
    </row>
    <row r="9" spans="1:29">
      <c r="B9" t="s">
        <v>121</v>
      </c>
      <c r="C9">
        <v>31.7</v>
      </c>
      <c r="D9">
        <f t="shared" si="6"/>
        <v>304.7</v>
      </c>
      <c r="F9" s="17">
        <v>2.0010000000000001E-10</v>
      </c>
      <c r="G9" s="17">
        <v>1.291E-5</v>
      </c>
      <c r="I9" s="15">
        <v>-9.6966000000000001</v>
      </c>
      <c r="J9" s="15">
        <v>-4.9508000000000001</v>
      </c>
      <c r="K9" s="15">
        <v>-4.7306999999999997</v>
      </c>
      <c r="L9" s="15">
        <v>-4.7306999999999997</v>
      </c>
      <c r="N9" s="15">
        <f t="shared" si="7"/>
        <v>48.4679</v>
      </c>
      <c r="O9">
        <v>128.535</v>
      </c>
      <c r="P9" s="15">
        <f t="shared" si="8"/>
        <v>-467122.20379463246</v>
      </c>
      <c r="Q9" s="15">
        <f t="shared" si="9"/>
        <v>-58.390275474329059</v>
      </c>
      <c r="S9" s="17">
        <f t="shared" si="10"/>
        <v>-2.3367788244826488E-5</v>
      </c>
      <c r="T9" s="17">
        <f t="shared" si="11"/>
        <v>-6.030547650988705</v>
      </c>
      <c r="U9">
        <f t="shared" si="12"/>
        <v>-2.3367788244826488E-5</v>
      </c>
    </row>
    <row r="10" spans="1:29" ht="68">
      <c r="B10" t="s">
        <v>122</v>
      </c>
      <c r="C10">
        <v>21.5</v>
      </c>
      <c r="D10">
        <f t="shared" si="6"/>
        <v>294.5</v>
      </c>
      <c r="F10" s="17">
        <v>3.0020000000000001E-10</v>
      </c>
      <c r="G10" s="17">
        <v>4.7840000000000003E-6</v>
      </c>
      <c r="I10" s="15">
        <v>-9.5091999999999999</v>
      </c>
      <c r="J10" s="15">
        <v>-5.4466999999999999</v>
      </c>
      <c r="K10" s="15">
        <v>-5.4432</v>
      </c>
      <c r="L10" s="15">
        <v>-5.4432</v>
      </c>
      <c r="N10" s="15">
        <f t="shared" si="7"/>
        <v>48.926699999999997</v>
      </c>
      <c r="O10">
        <v>133.09030000000001</v>
      </c>
      <c r="P10" s="15">
        <f t="shared" si="8"/>
        <v>-474584.51192698843</v>
      </c>
      <c r="Q10" s="15">
        <f t="shared" si="9"/>
        <v>-59.323063990873557</v>
      </c>
      <c r="S10" s="17">
        <f t="shared" si="10"/>
        <v>-3.5617567620120484E-5</v>
      </c>
      <c r="T10" s="17">
        <f t="shared" si="11"/>
        <v>-2.2704123050587128</v>
      </c>
      <c r="U10">
        <f t="shared" si="12"/>
        <v>-3.5617567620120484E-5</v>
      </c>
      <c r="W10" s="48" t="s">
        <v>137</v>
      </c>
      <c r="X10" s="46" t="s">
        <v>49</v>
      </c>
      <c r="Y10" s="46" t="s">
        <v>52</v>
      </c>
      <c r="Z10" s="46" t="s">
        <v>55</v>
      </c>
      <c r="AA10" s="46" t="s">
        <v>58</v>
      </c>
      <c r="AB10" s="46" t="s">
        <v>63</v>
      </c>
      <c r="AC10" s="46" t="s">
        <v>108</v>
      </c>
    </row>
    <row r="11" spans="1:29">
      <c r="W11" t="s">
        <v>116</v>
      </c>
      <c r="X11">
        <f>U5</f>
        <v>-1.4332777412365178E-5</v>
      </c>
      <c r="Y11">
        <f>U15</f>
        <v>-0.29963894336045938</v>
      </c>
      <c r="Z11">
        <f>U25</f>
        <v>-2.2537855899291072E-3</v>
      </c>
      <c r="AA11">
        <f>U35</f>
        <v>-1.0102750549205527E-2</v>
      </c>
      <c r="AB11">
        <f>U45</f>
        <v>-2.1822041806462026E-4</v>
      </c>
      <c r="AC11">
        <f>U55</f>
        <v>-2.338219559507138</v>
      </c>
    </row>
    <row r="12" spans="1:29">
      <c r="W12" t="s">
        <v>118</v>
      </c>
      <c r="X12">
        <f t="shared" ref="X12:X16" si="13">U6</f>
        <v>-1.610787257729426E-5</v>
      </c>
      <c r="Y12">
        <f t="shared" ref="Y12:Y16" si="14">U16</f>
        <v>-0.1590625810461567</v>
      </c>
      <c r="Z12">
        <f t="shared" ref="Z12:Z16" si="15">U26</f>
        <v>-3.3872887714881623E-2</v>
      </c>
      <c r="AA12">
        <f t="shared" ref="AA12:AA16" si="16">U36</f>
        <v>-0.18169498535218195</v>
      </c>
      <c r="AB12">
        <f t="shared" ref="AB12:AB16" si="17">U46</f>
        <v>-1.6739101390121587E-4</v>
      </c>
      <c r="AC12">
        <f t="shared" ref="AC12:AC16" si="18">U56</f>
        <v>-1.5618288191538561</v>
      </c>
    </row>
    <row r="13" spans="1:29">
      <c r="A13" s="2" t="s">
        <v>52</v>
      </c>
      <c r="E13" s="14">
        <v>8</v>
      </c>
      <c r="U13" s="15"/>
      <c r="W13" t="s">
        <v>119</v>
      </c>
      <c r="X13">
        <f t="shared" si="13"/>
        <v>-3.2481936549698663E-5</v>
      </c>
      <c r="Y13">
        <f t="shared" si="14"/>
        <v>-0.1777106184227214</v>
      </c>
      <c r="Z13">
        <f t="shared" si="15"/>
        <v>-1.5184594839645373E-2</v>
      </c>
      <c r="AA13">
        <f t="shared" si="16"/>
        <v>-6.5155582699734108E-2</v>
      </c>
      <c r="AB13">
        <f t="shared" si="17"/>
        <v>-1.9594073171254251E-3</v>
      </c>
      <c r="AC13">
        <f t="shared" si="18"/>
        <v>-1.8674882601501928</v>
      </c>
    </row>
    <row r="14" spans="1:29" ht="17">
      <c r="A14" s="2"/>
      <c r="B14" t="s">
        <v>2</v>
      </c>
      <c r="C14" s="3" t="s">
        <v>3</v>
      </c>
      <c r="D14" t="s">
        <v>4</v>
      </c>
      <c r="E14" s="12"/>
      <c r="F14" s="4" t="s">
        <v>28</v>
      </c>
      <c r="G14" s="4" t="s">
        <v>47</v>
      </c>
      <c r="I14" s="5" t="s">
        <v>33</v>
      </c>
      <c r="J14" s="5" t="s">
        <v>27</v>
      </c>
      <c r="K14" s="5" t="s">
        <v>26</v>
      </c>
      <c r="L14" s="5" t="s">
        <v>30</v>
      </c>
      <c r="N14" t="s">
        <v>9</v>
      </c>
      <c r="O14" t="s">
        <v>10</v>
      </c>
      <c r="P14" t="s">
        <v>11</v>
      </c>
      <c r="Q14" t="str">
        <f>CONCATENATE("/",E13,","," ","kj")</f>
        <v>/8, kj</v>
      </c>
      <c r="S14" t="s">
        <v>28</v>
      </c>
      <c r="T14" t="s">
        <v>48</v>
      </c>
      <c r="U14" s="41"/>
      <c r="V14" s="41"/>
      <c r="W14" t="s">
        <v>120</v>
      </c>
      <c r="X14">
        <f t="shared" si="13"/>
        <v>-2.521948196033824E-5</v>
      </c>
      <c r="Y14">
        <f t="shared" si="14"/>
        <v>3.4253734914444771</v>
      </c>
      <c r="Z14">
        <f t="shared" si="15"/>
        <v>-2.882468218476165</v>
      </c>
      <c r="AA14">
        <f t="shared" si="16"/>
        <v>-7.2501878653508518</v>
      </c>
      <c r="AB14">
        <f t="shared" si="17"/>
        <v>-2.0741742630204788E-2</v>
      </c>
      <c r="AC14">
        <f t="shared" si="18"/>
        <v>-1.5912182411271816</v>
      </c>
    </row>
    <row r="15" spans="1:29" s="15" customFormat="1">
      <c r="A15" s="44"/>
      <c r="B15" t="s">
        <v>116</v>
      </c>
      <c r="C15">
        <v>10.3</v>
      </c>
      <c r="D15">
        <f>C15+273</f>
        <v>283.3</v>
      </c>
      <c r="E15" s="24"/>
      <c r="F15" s="17">
        <v>3.4499999999999998E-5</v>
      </c>
      <c r="G15" s="17">
        <v>4.78E-6</v>
      </c>
      <c r="I15" s="15">
        <v>-5.3754</v>
      </c>
      <c r="J15" s="15">
        <v>-5.3193000000000001</v>
      </c>
      <c r="K15" s="15">
        <v>-4.6619000000000002</v>
      </c>
      <c r="L15" s="15">
        <v>-5.3193000000000001</v>
      </c>
      <c r="N15" s="15">
        <f>L15+14*J15-I15-8*K15</f>
        <v>-37.118900000000004</v>
      </c>
      <c r="O15">
        <v>-24.309799999999999</v>
      </c>
      <c r="P15" s="15">
        <f t="shared" ref="P15:P20" si="19">-2.303*8.314*D15*(O15-N15)</f>
        <v>-69481.49411257029</v>
      </c>
      <c r="Q15" s="15">
        <f t="shared" ref="Q15:Q20" si="20">P15/8/1000</f>
        <v>-8.6851867640712861</v>
      </c>
      <c r="S15" s="17">
        <f>P15/8*F15</f>
        <v>-0.29963894336045938</v>
      </c>
      <c r="T15" s="17">
        <f>P15/1*G15</f>
        <v>-0.33212154185808601</v>
      </c>
      <c r="U15">
        <f t="shared" ref="U15" si="21">IF(S15&gt;T15, S15,T15)</f>
        <v>-0.29963894336045938</v>
      </c>
      <c r="V15" s="14"/>
      <c r="W15" t="s">
        <v>121</v>
      </c>
      <c r="X15">
        <f t="shared" si="13"/>
        <v>-2.3367788244826488E-5</v>
      </c>
      <c r="Y15">
        <f t="shared" si="14"/>
        <v>2.1479378909801397</v>
      </c>
      <c r="Z15">
        <f t="shared" si="15"/>
        <v>-1.0283540455281497</v>
      </c>
      <c r="AA15">
        <f t="shared" si="16"/>
        <v>-4.1442512555838134</v>
      </c>
      <c r="AB15">
        <f t="shared" si="17"/>
        <v>-9.8796252464711382E-3</v>
      </c>
      <c r="AC15">
        <f t="shared" si="18"/>
        <v>-1.61173519804767</v>
      </c>
    </row>
    <row r="16" spans="1:29" s="15" customFormat="1">
      <c r="A16" s="44"/>
      <c r="B16" t="s">
        <v>118</v>
      </c>
      <c r="C16">
        <v>12.4</v>
      </c>
      <c r="D16">
        <f t="shared" ref="D16:D20" si="22">C16+273</f>
        <v>285.39999999999998</v>
      </c>
      <c r="E16" s="24"/>
      <c r="F16" s="17">
        <v>4.5600000000000004E-6</v>
      </c>
      <c r="G16" s="17">
        <v>3.208E-6</v>
      </c>
      <c r="I16" s="15">
        <v>-5.5373000000000001</v>
      </c>
      <c r="J16" s="15">
        <v>-8.3050999999999995</v>
      </c>
      <c r="K16" s="15">
        <v>-5.5021000000000004</v>
      </c>
      <c r="L16" s="15">
        <v>-8.3050999999999995</v>
      </c>
      <c r="N16" s="15">
        <f t="shared" ref="N16:N20" si="23">L16+14*J16-I16-8*K16</f>
        <v>-75.02239999999999</v>
      </c>
      <c r="O16">
        <v>-23.956</v>
      </c>
      <c r="P16" s="15">
        <f t="shared" si="19"/>
        <v>-279057.15973009943</v>
      </c>
      <c r="Q16" s="15">
        <f t="shared" si="20"/>
        <v>-34.88214496626243</v>
      </c>
      <c r="S16" s="17">
        <f t="shared" ref="S16:S20" si="24">P16/8*F16</f>
        <v>-0.1590625810461567</v>
      </c>
      <c r="T16" s="17">
        <f t="shared" ref="T16:T20" si="25">P16/1*G16</f>
        <v>-0.89521536841415894</v>
      </c>
      <c r="U16">
        <f t="shared" ref="U16:U20" si="26">IF(S16&gt;T16, S16,T16)</f>
        <v>-0.1590625810461567</v>
      </c>
      <c r="V16"/>
      <c r="W16" t="s">
        <v>122</v>
      </c>
      <c r="X16">
        <f t="shared" si="13"/>
        <v>-3.5617567620120484E-5</v>
      </c>
      <c r="Y16">
        <f t="shared" si="14"/>
        <v>-9.5600977449492211E-2</v>
      </c>
      <c r="Z16">
        <f t="shared" si="15"/>
        <v>-0.19143764784084774</v>
      </c>
      <c r="AA16">
        <f t="shared" si="16"/>
        <v>-0.81029031138087537</v>
      </c>
      <c r="AB16">
        <f t="shared" si="17"/>
        <v>-0.14746976064150538</v>
      </c>
      <c r="AC16">
        <f t="shared" si="18"/>
        <v>-1.9460434177728581</v>
      </c>
    </row>
    <row r="17" spans="1:29" s="15" customFormat="1">
      <c r="A17" s="44"/>
      <c r="B17" t="s">
        <v>119</v>
      </c>
      <c r="C17">
        <v>16.2</v>
      </c>
      <c r="D17">
        <f t="shared" si="22"/>
        <v>289.2</v>
      </c>
      <c r="E17" s="24"/>
      <c r="F17" s="17">
        <v>2.9940000000000001E-5</v>
      </c>
      <c r="G17" s="17">
        <v>4.741E-6</v>
      </c>
      <c r="I17" s="15">
        <v>-5.4179000000000004</v>
      </c>
      <c r="J17" s="15">
        <v>-5.0713999999999997</v>
      </c>
      <c r="K17" s="15">
        <v>-4.8437999999999999</v>
      </c>
      <c r="L17" s="15">
        <v>-5.0713999999999997</v>
      </c>
      <c r="N17" s="15">
        <f t="shared" si="23"/>
        <v>-31.902699999999996</v>
      </c>
      <c r="O17">
        <v>-23.327400000000001</v>
      </c>
      <c r="P17" s="15">
        <f t="shared" si="19"/>
        <v>-47484.467180419881</v>
      </c>
      <c r="Q17" s="15">
        <f t="shared" si="20"/>
        <v>-5.9355583975524855</v>
      </c>
      <c r="S17" s="17">
        <f t="shared" si="24"/>
        <v>-0.1777106184227214</v>
      </c>
      <c r="T17" s="17">
        <f t="shared" si="25"/>
        <v>-0.22512385890237066</v>
      </c>
      <c r="U17">
        <f t="shared" si="26"/>
        <v>-0.1777106184227214</v>
      </c>
      <c r="W17"/>
    </row>
    <row r="18" spans="1:29" s="15" customFormat="1">
      <c r="A18" s="44"/>
      <c r="B18" t="s">
        <v>120</v>
      </c>
      <c r="C18">
        <v>22.5</v>
      </c>
      <c r="D18">
        <f t="shared" si="22"/>
        <v>295.5</v>
      </c>
      <c r="E18" s="24"/>
      <c r="F18" s="17">
        <v>1.09E-9</v>
      </c>
      <c r="G18" s="17">
        <v>1.613E-5</v>
      </c>
      <c r="I18" s="15">
        <v>-4.8569000000000004</v>
      </c>
      <c r="J18" s="15">
        <v>-4.2126999999999999</v>
      </c>
      <c r="K18" s="15">
        <v>-9.1935000000000002</v>
      </c>
      <c r="L18" s="15">
        <v>-4.2126999999999999</v>
      </c>
      <c r="N18" s="15">
        <f t="shared" si="23"/>
        <v>15.214400000000005</v>
      </c>
      <c r="O18">
        <v>-22.3185</v>
      </c>
      <c r="P18" s="15">
        <f t="shared" si="19"/>
        <v>212360.4148446669</v>
      </c>
      <c r="Q18" s="15">
        <f t="shared" si="20"/>
        <v>26.545051855583363</v>
      </c>
      <c r="S18" s="17">
        <f t="shared" si="24"/>
        <v>2.8934106522585865E-5</v>
      </c>
      <c r="T18" s="17">
        <f t="shared" si="25"/>
        <v>3.4253734914444771</v>
      </c>
      <c r="U18">
        <f t="shared" si="26"/>
        <v>3.4253734914444771</v>
      </c>
      <c r="W18"/>
    </row>
    <row r="19" spans="1:29" s="15" customFormat="1" ht="68">
      <c r="B19" t="s">
        <v>121</v>
      </c>
      <c r="C19">
        <v>31.7</v>
      </c>
      <c r="D19">
        <f t="shared" si="22"/>
        <v>304.7</v>
      </c>
      <c r="F19" s="17">
        <v>1.049E-9</v>
      </c>
      <c r="G19" s="17">
        <v>1.291E-5</v>
      </c>
      <c r="I19" s="15">
        <v>-4.9508000000000001</v>
      </c>
      <c r="J19" s="15">
        <v>-4.7306999999999997</v>
      </c>
      <c r="K19" s="15">
        <v>-9.2012</v>
      </c>
      <c r="L19" s="15">
        <v>-4.7306999999999997</v>
      </c>
      <c r="N19" s="15">
        <f t="shared" si="23"/>
        <v>7.5999000000000052</v>
      </c>
      <c r="O19">
        <v>-20.918099999999999</v>
      </c>
      <c r="P19" s="15">
        <f t="shared" si="19"/>
        <v>166377.83818591322</v>
      </c>
      <c r="Q19" s="15">
        <f t="shared" si="20"/>
        <v>20.797229773239152</v>
      </c>
      <c r="S19" s="17">
        <f t="shared" si="24"/>
        <v>2.1816294032127872E-5</v>
      </c>
      <c r="T19" s="17">
        <f t="shared" si="25"/>
        <v>2.1479378909801397</v>
      </c>
      <c r="U19">
        <f t="shared" si="26"/>
        <v>2.1479378909801397</v>
      </c>
      <c r="W19" s="48" t="s">
        <v>138</v>
      </c>
      <c r="X19" s="46" t="s">
        <v>49</v>
      </c>
      <c r="Y19" s="46" t="s">
        <v>52</v>
      </c>
      <c r="Z19" s="46" t="s">
        <v>55</v>
      </c>
      <c r="AA19" s="46" t="s">
        <v>58</v>
      </c>
      <c r="AB19" s="46" t="s">
        <v>63</v>
      </c>
      <c r="AC19" s="46" t="s">
        <v>108</v>
      </c>
    </row>
    <row r="20" spans="1:29" s="15" customFormat="1">
      <c r="B20" t="s">
        <v>122</v>
      </c>
      <c r="C20">
        <v>21.5</v>
      </c>
      <c r="D20">
        <f t="shared" si="22"/>
        <v>294.5</v>
      </c>
      <c r="F20" s="17">
        <v>1.22E-5</v>
      </c>
      <c r="G20" s="17">
        <v>4.7840000000000003E-6</v>
      </c>
      <c r="I20" s="15">
        <v>-5.4466999999999999</v>
      </c>
      <c r="J20" s="15">
        <v>-5.4432</v>
      </c>
      <c r="K20" s="15">
        <v>-5.3259999999999996</v>
      </c>
      <c r="L20" s="15">
        <v>-5.4432</v>
      </c>
      <c r="N20" s="15">
        <f t="shared" si="23"/>
        <v>-33.593300000000006</v>
      </c>
      <c r="O20">
        <v>-22.475899999999999</v>
      </c>
      <c r="P20" s="15">
        <f t="shared" si="19"/>
        <v>-62689.165540650632</v>
      </c>
      <c r="Q20" s="15">
        <f t="shared" si="20"/>
        <v>-7.8361456925813293</v>
      </c>
      <c r="S20" s="17">
        <f t="shared" si="24"/>
        <v>-9.5600977449492211E-2</v>
      </c>
      <c r="T20" s="17">
        <f t="shared" si="25"/>
        <v>-0.29990496794647264</v>
      </c>
      <c r="U20">
        <f t="shared" si="26"/>
        <v>-9.5600977449492211E-2</v>
      </c>
      <c r="W20" t="s">
        <v>116</v>
      </c>
      <c r="X20" s="15">
        <f>LOG10(-X11)</f>
        <v>-4.8436696436580515</v>
      </c>
      <c r="Y20" s="15">
        <f t="shared" ref="Y20:AC20" si="27">LOG10(-Y11)</f>
        <v>-0.52340174308391008</v>
      </c>
      <c r="Z20" s="15">
        <f t="shared" si="27"/>
        <v>-2.6470874021939861</v>
      </c>
      <c r="AA20" s="15">
        <f t="shared" si="27"/>
        <v>-1.9955603702059659</v>
      </c>
      <c r="AB20" s="15">
        <f t="shared" si="27"/>
        <v>-3.6611046165435721</v>
      </c>
      <c r="AC20" s="15">
        <f t="shared" si="27"/>
        <v>0.36888528912068835</v>
      </c>
    </row>
    <row r="21" spans="1:29" s="15" customFormat="1">
      <c r="W21" t="s">
        <v>118</v>
      </c>
      <c r="X21" s="15">
        <f t="shared" ref="X21:AC25" si="28">LOG10(-X12)</f>
        <v>-4.7929618145747162</v>
      </c>
      <c r="Y21" s="15">
        <f t="shared" si="28"/>
        <v>-0.79843197469975447</v>
      </c>
      <c r="Z21" s="15">
        <f t="shared" si="28"/>
        <v>-1.4701477775160097</v>
      </c>
      <c r="AA21" s="15">
        <f t="shared" si="28"/>
        <v>-0.74065705873450338</v>
      </c>
      <c r="AB21" s="15">
        <f t="shared" si="28"/>
        <v>-3.7762678600695594</v>
      </c>
      <c r="AC21" s="15">
        <f t="shared" si="28"/>
        <v>0.19363343224881377</v>
      </c>
    </row>
    <row r="22" spans="1:29" s="15" customFormat="1">
      <c r="W22" t="s">
        <v>119</v>
      </c>
      <c r="X22" s="15">
        <f t="shared" si="28"/>
        <v>-4.4883580863342898</v>
      </c>
      <c r="Y22" s="15">
        <f t="shared" si="28"/>
        <v>-0.75028662180291639</v>
      </c>
      <c r="Z22" s="15">
        <f t="shared" si="28"/>
        <v>-1.8185967915793528</v>
      </c>
      <c r="AA22" s="15">
        <f t="shared" si="28"/>
        <v>-1.1860483668767163</v>
      </c>
      <c r="AB22" s="15">
        <f t="shared" si="28"/>
        <v>-2.7078752744736874</v>
      </c>
      <c r="AC22" s="15">
        <f t="shared" si="28"/>
        <v>0.27125788033053383</v>
      </c>
    </row>
    <row r="23" spans="1:29">
      <c r="A23" s="2" t="s">
        <v>55</v>
      </c>
      <c r="E23" s="14">
        <v>8</v>
      </c>
      <c r="U23" s="15"/>
      <c r="W23" t="s">
        <v>120</v>
      </c>
      <c r="X23" s="15">
        <f t="shared" si="28"/>
        <v>-4.5982638386224615</v>
      </c>
      <c r="Y23" s="15">
        <v>-15</v>
      </c>
      <c r="Z23" s="15">
        <f t="shared" si="28"/>
        <v>0.45976452754816949</v>
      </c>
      <c r="AA23" s="15">
        <f t="shared" si="28"/>
        <v>0.86034926006453161</v>
      </c>
      <c r="AB23" s="15">
        <f t="shared" si="28"/>
        <v>-1.6831547588973672</v>
      </c>
      <c r="AC23" s="15">
        <f t="shared" si="28"/>
        <v>0.20172974873344235</v>
      </c>
    </row>
    <row r="24" spans="1:29" ht="17">
      <c r="A24" s="2"/>
      <c r="B24" t="s">
        <v>2</v>
      </c>
      <c r="C24" s="3" t="s">
        <v>3</v>
      </c>
      <c r="D24" t="s">
        <v>4</v>
      </c>
      <c r="E24" s="12"/>
      <c r="F24" s="4" t="s">
        <v>36</v>
      </c>
      <c r="G24" s="4" t="s">
        <v>47</v>
      </c>
      <c r="I24" s="5" t="s">
        <v>33</v>
      </c>
      <c r="J24" s="5" t="s">
        <v>27</v>
      </c>
      <c r="K24" s="5" t="s">
        <v>54</v>
      </c>
      <c r="L24" s="5" t="s">
        <v>30</v>
      </c>
      <c r="N24" t="s">
        <v>9</v>
      </c>
      <c r="O24" t="s">
        <v>10</v>
      </c>
      <c r="P24" t="s">
        <v>11</v>
      </c>
      <c r="Q24" t="str">
        <f>CONCATENATE("/",E23,","," ","kj")</f>
        <v>/8, kj</v>
      </c>
      <c r="S24" t="s">
        <v>36</v>
      </c>
      <c r="T24" t="s">
        <v>48</v>
      </c>
      <c r="U24" s="15"/>
      <c r="W24" t="s">
        <v>121</v>
      </c>
      <c r="X24" s="15">
        <f t="shared" si="28"/>
        <v>-4.6313823915240668</v>
      </c>
      <c r="Y24" s="15">
        <v>-15</v>
      </c>
      <c r="Z24" s="15">
        <f t="shared" si="28"/>
        <v>1.2142660911831098E-2</v>
      </c>
      <c r="AA24" s="15">
        <f t="shared" si="28"/>
        <v>0.61744607772311466</v>
      </c>
      <c r="AB24" s="15">
        <f t="shared" si="28"/>
        <v>-2.0052595287399426</v>
      </c>
      <c r="AC24" s="15">
        <f t="shared" si="28"/>
        <v>0.20729369040122184</v>
      </c>
    </row>
    <row r="25" spans="1:29" s="15" customFormat="1">
      <c r="A25" s="44"/>
      <c r="B25" t="s">
        <v>116</v>
      </c>
      <c r="C25">
        <v>10.3</v>
      </c>
      <c r="D25">
        <f>C25+273</f>
        <v>283.3</v>
      </c>
      <c r="E25" s="24"/>
      <c r="F25" s="17">
        <v>2.33E-8</v>
      </c>
      <c r="G25" s="17">
        <v>4.78E-6</v>
      </c>
      <c r="I25" s="15">
        <v>-5.3754</v>
      </c>
      <c r="J25" s="15">
        <v>-5.3193000000000001</v>
      </c>
      <c r="K25" s="15">
        <v>-7.6878000000000002</v>
      </c>
      <c r="L25" s="15">
        <v>-5.3193000000000001</v>
      </c>
      <c r="N25" s="15">
        <f>L25-I25-6*J25-4*K25</f>
        <v>62.723100000000002</v>
      </c>
      <c r="O25">
        <v>134.0521</v>
      </c>
      <c r="P25" s="15">
        <f t="shared" ref="P25:P30" si="29">-2.303*8.314*D25*(O25-N25)</f>
        <v>-386915.98110370938</v>
      </c>
      <c r="Q25" s="15">
        <f t="shared" ref="Q25:Q30" si="30">P25/8/1000</f>
        <v>-48.364497637963673</v>
      </c>
      <c r="S25" s="17">
        <f>P25/4*F25</f>
        <v>-2.2537855899291072E-3</v>
      </c>
      <c r="T25" s="17">
        <f>P25/1*G25</f>
        <v>-1.8494583896757308</v>
      </c>
      <c r="U25">
        <f t="shared" ref="U25" si="31">IF(S25&gt;T25, S25,T25)</f>
        <v>-2.2537855899291072E-3</v>
      </c>
      <c r="W25" t="s">
        <v>122</v>
      </c>
      <c r="X25" s="15">
        <f t="shared" si="28"/>
        <v>-4.448335742515372</v>
      </c>
      <c r="Y25" s="15">
        <f t="shared" si="28"/>
        <v>-1.0195376673603989</v>
      </c>
      <c r="Z25" s="15">
        <f t="shared" si="28"/>
        <v>-0.71797265045822145</v>
      </c>
      <c r="AA25" s="15">
        <f t="shared" si="28"/>
        <v>-9.135935390910134E-2</v>
      </c>
      <c r="AB25" s="15">
        <f t="shared" si="28"/>
        <v>-0.83129702465468525</v>
      </c>
      <c r="AC25" s="15">
        <f t="shared" si="28"/>
        <v>0.28915252549493331</v>
      </c>
    </row>
    <row r="26" spans="1:29" s="15" customFormat="1">
      <c r="A26" s="44"/>
      <c r="B26" t="s">
        <v>118</v>
      </c>
      <c r="C26">
        <v>12.4</v>
      </c>
      <c r="D26">
        <f t="shared" ref="D26:D30" si="32">C26+273</f>
        <v>285.39999999999998</v>
      </c>
      <c r="E26" s="24"/>
      <c r="F26" s="17">
        <v>4.1129999999999998E-7</v>
      </c>
      <c r="G26" s="17">
        <v>3.208E-6</v>
      </c>
      <c r="I26" s="15">
        <v>-5.5373000000000001</v>
      </c>
      <c r="J26" s="15">
        <v>-8.3050999999999995</v>
      </c>
      <c r="K26" s="15">
        <v>-6.4287999999999998</v>
      </c>
      <c r="L26" s="15">
        <v>-8.3050999999999995</v>
      </c>
      <c r="N26" s="15">
        <f t="shared" ref="N26:N30" si="33">L26-I26-6*J26-4*K26</f>
        <v>72.777999999999992</v>
      </c>
      <c r="O26">
        <v>133.06110000000001</v>
      </c>
      <c r="P26" s="15">
        <f t="shared" si="29"/>
        <v>-329422.68626191712</v>
      </c>
      <c r="Q26" s="15">
        <f t="shared" si="30"/>
        <v>-41.177835782739642</v>
      </c>
      <c r="S26" s="17">
        <f t="shared" ref="S26:S30" si="34">P26/4*F26</f>
        <v>-3.3872887714881623E-2</v>
      </c>
      <c r="T26" s="17">
        <f t="shared" ref="T26:T30" si="35">P26/1*G26</f>
        <v>-1.0567879775282301</v>
      </c>
      <c r="U26">
        <f t="shared" ref="U26:U30" si="36">IF(S26&gt;T26, S26,T26)</f>
        <v>-3.3872887714881623E-2</v>
      </c>
      <c r="W26"/>
    </row>
    <row r="27" spans="1:29" s="15" customFormat="1">
      <c r="A27" s="44"/>
      <c r="B27" t="s">
        <v>119</v>
      </c>
      <c r="C27">
        <v>16.2</v>
      </c>
      <c r="D27">
        <f t="shared" si="32"/>
        <v>289.2</v>
      </c>
      <c r="E27" s="24"/>
      <c r="F27" s="17">
        <v>1.505E-7</v>
      </c>
      <c r="G27" s="17">
        <v>4.741E-6</v>
      </c>
      <c r="I27" s="15">
        <v>-5.4179000000000004</v>
      </c>
      <c r="J27" s="15">
        <v>-5.0713999999999997</v>
      </c>
      <c r="K27" s="15">
        <v>-6.9134000000000002</v>
      </c>
      <c r="L27" s="15">
        <v>-5.0713999999999997</v>
      </c>
      <c r="N27" s="15">
        <f t="shared" si="33"/>
        <v>58.4285</v>
      </c>
      <c r="O27">
        <v>131.31120000000001</v>
      </c>
      <c r="P27" s="15">
        <f t="shared" si="29"/>
        <v>-403577.27148559131</v>
      </c>
      <c r="Q27" s="15">
        <f t="shared" si="30"/>
        <v>-50.447158935698916</v>
      </c>
      <c r="S27" s="17">
        <f t="shared" si="34"/>
        <v>-1.5184594839645373E-2</v>
      </c>
      <c r="T27" s="17">
        <f t="shared" si="35"/>
        <v>-1.9133598441131885</v>
      </c>
      <c r="U27">
        <f t="shared" si="36"/>
        <v>-1.5184594839645373E-2</v>
      </c>
      <c r="W27"/>
    </row>
    <row r="28" spans="1:29" s="15" customFormat="1">
      <c r="A28" s="44"/>
      <c r="B28" t="s">
        <v>120</v>
      </c>
      <c r="C28">
        <v>22.5</v>
      </c>
      <c r="D28">
        <f t="shared" si="32"/>
        <v>295.5</v>
      </c>
      <c r="E28" s="24"/>
      <c r="F28" s="17">
        <v>2.429E-5</v>
      </c>
      <c r="G28" s="17">
        <v>1.613E-5</v>
      </c>
      <c r="I28" s="15">
        <v>-4.8569000000000004</v>
      </c>
      <c r="J28" s="15">
        <v>-4.2126999999999999</v>
      </c>
      <c r="K28" s="15">
        <v>-4.6778000000000004</v>
      </c>
      <c r="L28" s="15">
        <v>-4.2126999999999999</v>
      </c>
      <c r="N28" s="15">
        <f t="shared" si="33"/>
        <v>44.631600000000006</v>
      </c>
      <c r="O28">
        <v>128.5265</v>
      </c>
      <c r="P28" s="15">
        <f t="shared" si="29"/>
        <v>-474675.7049775488</v>
      </c>
      <c r="Q28" s="15">
        <f t="shared" si="30"/>
        <v>-59.334463122193597</v>
      </c>
      <c r="S28" s="17">
        <f t="shared" si="34"/>
        <v>-2.882468218476165</v>
      </c>
      <c r="T28" s="17">
        <f t="shared" si="35"/>
        <v>-7.6565191212878618</v>
      </c>
      <c r="U28">
        <f t="shared" si="36"/>
        <v>-2.882468218476165</v>
      </c>
      <c r="W28"/>
      <c r="X28"/>
    </row>
    <row r="29" spans="1:29">
      <c r="B29" t="s">
        <v>121</v>
      </c>
      <c r="C29">
        <v>31.7</v>
      </c>
      <c r="D29">
        <f t="shared" si="32"/>
        <v>304.7</v>
      </c>
      <c r="F29" s="17">
        <v>9.3100000000000006E-6</v>
      </c>
      <c r="G29" s="17">
        <v>1.291E-5</v>
      </c>
      <c r="I29" s="15">
        <v>-4.9508000000000001</v>
      </c>
      <c r="J29" s="15">
        <v>-4.7306999999999997</v>
      </c>
      <c r="K29" s="15">
        <v>-5.0914000000000001</v>
      </c>
      <c r="L29" s="15">
        <v>-4.7306999999999997</v>
      </c>
      <c r="N29" s="15">
        <f t="shared" si="33"/>
        <v>48.969900000000003</v>
      </c>
      <c r="O29">
        <v>124.70140000000001</v>
      </c>
      <c r="P29" s="15">
        <f t="shared" si="29"/>
        <v>-441827.73169845314</v>
      </c>
      <c r="Q29" s="15">
        <f t="shared" si="30"/>
        <v>-55.228466462306642</v>
      </c>
      <c r="S29" s="17">
        <f t="shared" si="34"/>
        <v>-1.0283540455281497</v>
      </c>
      <c r="T29" s="17">
        <f t="shared" si="35"/>
        <v>-5.7039960162270296</v>
      </c>
      <c r="U29">
        <f t="shared" si="36"/>
        <v>-1.0283540455281497</v>
      </c>
    </row>
    <row r="30" spans="1:29">
      <c r="B30" t="s">
        <v>122</v>
      </c>
      <c r="C30">
        <v>21.5</v>
      </c>
      <c r="D30">
        <f t="shared" si="32"/>
        <v>294.5</v>
      </c>
      <c r="F30" s="17">
        <v>1.863E-6</v>
      </c>
      <c r="G30" s="17">
        <v>4.7840000000000003E-6</v>
      </c>
      <c r="I30" s="15">
        <v>-5.4466999999999999</v>
      </c>
      <c r="J30" s="15">
        <v>-5.4432</v>
      </c>
      <c r="K30" s="15">
        <v>-5.8509000000000002</v>
      </c>
      <c r="L30" s="15">
        <v>-5.4432</v>
      </c>
      <c r="N30" s="15">
        <f t="shared" si="33"/>
        <v>56.066299999999998</v>
      </c>
      <c r="O30">
        <v>128.95920000000001</v>
      </c>
      <c r="P30" s="15">
        <f t="shared" si="29"/>
        <v>-411030.91323853511</v>
      </c>
      <c r="Q30" s="15">
        <f t="shared" si="30"/>
        <v>-51.378864154816888</v>
      </c>
      <c r="S30" s="17">
        <f t="shared" si="34"/>
        <v>-0.19143764784084774</v>
      </c>
      <c r="T30" s="17">
        <f t="shared" si="35"/>
        <v>-1.9663718889331521</v>
      </c>
      <c r="U30">
        <f t="shared" si="36"/>
        <v>-0.19143764784084774</v>
      </c>
    </row>
    <row r="33" spans="1:23">
      <c r="A33" s="2" t="s">
        <v>58</v>
      </c>
      <c r="E33" s="14">
        <v>8</v>
      </c>
      <c r="U33" s="15"/>
    </row>
    <row r="34" spans="1:23" ht="17">
      <c r="A34" s="2"/>
      <c r="B34" t="s">
        <v>2</v>
      </c>
      <c r="C34" s="3" t="s">
        <v>3</v>
      </c>
      <c r="D34" t="s">
        <v>4</v>
      </c>
      <c r="E34" s="12"/>
      <c r="F34" s="4" t="s">
        <v>36</v>
      </c>
      <c r="G34" s="4" t="s">
        <v>47</v>
      </c>
      <c r="H34" s="5" t="s">
        <v>33</v>
      </c>
      <c r="I34" s="5" t="s">
        <v>27</v>
      </c>
      <c r="J34" s="5" t="s">
        <v>54</v>
      </c>
      <c r="K34" s="5" t="s">
        <v>57</v>
      </c>
      <c r="L34" s="5" t="s">
        <v>30</v>
      </c>
      <c r="N34" t="s">
        <v>9</v>
      </c>
      <c r="O34" t="s">
        <v>10</v>
      </c>
      <c r="P34" t="s">
        <v>11</v>
      </c>
      <c r="Q34" t="str">
        <f>CONCATENATE("/",E33,","," ","kj")</f>
        <v>/8, kj</v>
      </c>
      <c r="S34" t="s">
        <v>36</v>
      </c>
      <c r="T34" t="s">
        <v>48</v>
      </c>
      <c r="U34" s="15"/>
    </row>
    <row r="35" spans="1:23" s="15" customFormat="1">
      <c r="A35" s="44"/>
      <c r="B35" t="s">
        <v>116</v>
      </c>
      <c r="C35">
        <v>10.3</v>
      </c>
      <c r="D35">
        <f>C35+273</f>
        <v>283.3</v>
      </c>
      <c r="E35" s="24"/>
      <c r="F35" s="17">
        <v>2.33E-8</v>
      </c>
      <c r="G35" s="17">
        <v>4.78E-6</v>
      </c>
      <c r="H35" s="15">
        <v>-5.3754</v>
      </c>
      <c r="I35" s="15">
        <v>-5.3193000000000001</v>
      </c>
      <c r="J35" s="15">
        <v>-7.6878000000000002</v>
      </c>
      <c r="K35" s="15">
        <v>-2.7730000000000001</v>
      </c>
      <c r="L35" s="15">
        <v>-5.3193000000000001</v>
      </c>
      <c r="N35" s="15">
        <f>K35+L35-H35-I35-J35</f>
        <v>10.2902</v>
      </c>
      <c r="O35">
        <v>90.224500000000006</v>
      </c>
      <c r="P35" s="15">
        <f t="shared" ref="P35:P40" si="37">-2.303*8.314*D35*(O35-N35)</f>
        <v>-433594.44417191105</v>
      </c>
      <c r="Q35" s="15">
        <f t="shared" ref="Q35:Q40" si="38">P35/8/1000</f>
        <v>-54.199305521488881</v>
      </c>
      <c r="S35" s="17">
        <f>P35/1*F35</f>
        <v>-1.0102750549205527E-2</v>
      </c>
      <c r="T35" s="17">
        <f>P35/1*G35</f>
        <v>-2.0725814431417349</v>
      </c>
      <c r="U35">
        <f t="shared" ref="U35" si="39">IF(S35&gt;T35, S35,T35)</f>
        <v>-1.0102750549205527E-2</v>
      </c>
      <c r="W35"/>
    </row>
    <row r="36" spans="1:23" s="15" customFormat="1">
      <c r="A36" s="44"/>
      <c r="B36" t="s">
        <v>118</v>
      </c>
      <c r="C36">
        <v>12.4</v>
      </c>
      <c r="D36">
        <f t="shared" ref="D36:D40" si="40">C36+273</f>
        <v>285.39999999999998</v>
      </c>
      <c r="E36" s="24"/>
      <c r="F36" s="17">
        <v>4.1129999999999998E-7</v>
      </c>
      <c r="G36" s="17">
        <v>3.208E-6</v>
      </c>
      <c r="H36" s="15">
        <v>-5.5373000000000001</v>
      </c>
      <c r="I36" s="15">
        <v>-8.3050999999999995</v>
      </c>
      <c r="J36" s="15">
        <v>-6.4287999999999998</v>
      </c>
      <c r="K36" s="15">
        <v>-3.3025000000000002</v>
      </c>
      <c r="L36" s="15">
        <v>-8.3050999999999995</v>
      </c>
      <c r="N36" s="15">
        <f t="shared" ref="N36:N40" si="41">K36+L36-H36-I36-J36</f>
        <v>8.6635999999999989</v>
      </c>
      <c r="O36">
        <v>89.503600000000006</v>
      </c>
      <c r="P36" s="15">
        <f t="shared" si="37"/>
        <v>-441757.80537851196</v>
      </c>
      <c r="Q36" s="15">
        <f t="shared" si="38"/>
        <v>-55.219725672313992</v>
      </c>
      <c r="S36" s="17">
        <f t="shared" ref="S36:S40" si="42">P36/1*F36</f>
        <v>-0.18169498535218195</v>
      </c>
      <c r="T36" s="17">
        <f t="shared" ref="T36:T40" si="43">P36/1*G36</f>
        <v>-1.4171590396542664</v>
      </c>
      <c r="U36">
        <f t="shared" ref="U36:U40" si="44">IF(S36&gt;T36, S36,T36)</f>
        <v>-0.18169498535218195</v>
      </c>
      <c r="W36"/>
    </row>
    <row r="37" spans="1:23" s="15" customFormat="1">
      <c r="A37" s="44"/>
      <c r="B37" t="s">
        <v>119</v>
      </c>
      <c r="C37">
        <v>16.2</v>
      </c>
      <c r="D37">
        <f t="shared" si="40"/>
        <v>289.2</v>
      </c>
      <c r="E37" s="24"/>
      <c r="F37" s="17">
        <v>1.505E-7</v>
      </c>
      <c r="G37" s="17">
        <v>4.741E-6</v>
      </c>
      <c r="H37" s="15">
        <v>-5.4179000000000004</v>
      </c>
      <c r="I37" s="15">
        <v>-5.0713999999999997</v>
      </c>
      <c r="J37" s="15">
        <v>-6.9134000000000002</v>
      </c>
      <c r="K37" s="15">
        <v>-2.2894999999999999</v>
      </c>
      <c r="L37" s="15">
        <v>-5.0713999999999997</v>
      </c>
      <c r="N37" s="15">
        <f t="shared" si="41"/>
        <v>10.041800000000002</v>
      </c>
      <c r="O37">
        <v>88.224900000000005</v>
      </c>
      <c r="P37" s="15">
        <f t="shared" si="37"/>
        <v>-432927.45979889773</v>
      </c>
      <c r="Q37" s="15">
        <f t="shared" si="38"/>
        <v>-54.11593247486222</v>
      </c>
      <c r="S37" s="17">
        <f t="shared" si="42"/>
        <v>-6.5155582699734108E-2</v>
      </c>
      <c r="T37" s="17">
        <f t="shared" si="43"/>
        <v>-2.0525090869065741</v>
      </c>
      <c r="U37">
        <f t="shared" si="44"/>
        <v>-6.5155582699734108E-2</v>
      </c>
      <c r="W37"/>
    </row>
    <row r="38" spans="1:23" s="15" customFormat="1">
      <c r="A38" s="44"/>
      <c r="B38" t="s">
        <v>120</v>
      </c>
      <c r="C38">
        <v>22.5</v>
      </c>
      <c r="D38">
        <f t="shared" si="40"/>
        <v>295.5</v>
      </c>
      <c r="E38" s="24"/>
      <c r="F38" s="17">
        <v>2.429E-5</v>
      </c>
      <c r="G38" s="17">
        <v>1.613E-5</v>
      </c>
      <c r="H38" s="15">
        <v>-4.8569000000000004</v>
      </c>
      <c r="I38" s="15">
        <v>-4.2126999999999999</v>
      </c>
      <c r="J38" s="15">
        <v>-4.6778000000000004</v>
      </c>
      <c r="K38" s="15">
        <v>-2.8025000000000002</v>
      </c>
      <c r="L38" s="15">
        <v>-4.2126999999999999</v>
      </c>
      <c r="N38" s="15">
        <f t="shared" si="41"/>
        <v>6.7322000000000006</v>
      </c>
      <c r="O38">
        <v>86.174800000000005</v>
      </c>
      <c r="P38" s="15">
        <f t="shared" si="37"/>
        <v>-449484.67857103853</v>
      </c>
      <c r="Q38" s="15">
        <f t="shared" si="38"/>
        <v>-56.18558482137982</v>
      </c>
      <c r="S38" s="17">
        <f t="shared" si="42"/>
        <v>-10.917982842490526</v>
      </c>
      <c r="T38" s="17">
        <f t="shared" si="43"/>
        <v>-7.2501878653508518</v>
      </c>
      <c r="U38">
        <f t="shared" si="44"/>
        <v>-7.2501878653508518</v>
      </c>
      <c r="W38"/>
    </row>
    <row r="39" spans="1:23">
      <c r="B39" t="s">
        <v>121</v>
      </c>
      <c r="C39">
        <v>31.7</v>
      </c>
      <c r="D39">
        <f t="shared" si="40"/>
        <v>304.7</v>
      </c>
      <c r="F39" s="17">
        <v>9.3100000000000006E-6</v>
      </c>
      <c r="G39" s="17">
        <v>1.291E-5</v>
      </c>
      <c r="H39" s="15">
        <v>-4.9508000000000001</v>
      </c>
      <c r="I39" s="15">
        <v>-4.7306999999999997</v>
      </c>
      <c r="J39" s="15">
        <v>-5.0914000000000001</v>
      </c>
      <c r="K39" s="15">
        <v>-3.0129000000000001</v>
      </c>
      <c r="L39" s="15">
        <v>-4.7306999999999997</v>
      </c>
      <c r="N39" s="15">
        <f t="shared" si="41"/>
        <v>7.0293000000000001</v>
      </c>
      <c r="O39">
        <v>83.328500000000005</v>
      </c>
      <c r="P39" s="15">
        <f t="shared" si="37"/>
        <v>-445139.76966528606</v>
      </c>
      <c r="Q39" s="15">
        <f t="shared" si="38"/>
        <v>-55.642471208160757</v>
      </c>
      <c r="S39" s="17">
        <f t="shared" si="42"/>
        <v>-4.1442512555838134</v>
      </c>
      <c r="T39" s="17">
        <f t="shared" si="43"/>
        <v>-5.7467544263788435</v>
      </c>
      <c r="U39">
        <f t="shared" si="44"/>
        <v>-4.1442512555838134</v>
      </c>
    </row>
    <row r="40" spans="1:23">
      <c r="B40" t="s">
        <v>122</v>
      </c>
      <c r="C40">
        <v>21.5</v>
      </c>
      <c r="D40">
        <f t="shared" si="40"/>
        <v>294.5</v>
      </c>
      <c r="F40" s="17">
        <v>1.863E-6</v>
      </c>
      <c r="G40" s="17">
        <v>4.7840000000000003E-6</v>
      </c>
      <c r="H40" s="15">
        <v>-5.4466999999999999</v>
      </c>
      <c r="I40" s="15">
        <v>-5.4432</v>
      </c>
      <c r="J40" s="15">
        <v>-5.8509000000000002</v>
      </c>
      <c r="K40" s="15">
        <v>-1.9358</v>
      </c>
      <c r="L40" s="15">
        <v>-5.4432</v>
      </c>
      <c r="N40" s="15">
        <f t="shared" si="41"/>
        <v>9.3618000000000006</v>
      </c>
      <c r="O40">
        <v>86.494500000000002</v>
      </c>
      <c r="P40" s="15">
        <f t="shared" si="37"/>
        <v>-434938.43874443125</v>
      </c>
      <c r="Q40" s="15">
        <f t="shared" si="38"/>
        <v>-54.367304843053908</v>
      </c>
      <c r="S40" s="17">
        <f t="shared" si="42"/>
        <v>-0.81029031138087537</v>
      </c>
      <c r="T40" s="17">
        <f t="shared" si="43"/>
        <v>-2.0807454909533591</v>
      </c>
      <c r="U40">
        <f t="shared" si="44"/>
        <v>-0.81029031138087537</v>
      </c>
    </row>
    <row r="43" spans="1:23">
      <c r="A43" s="2" t="s">
        <v>63</v>
      </c>
      <c r="E43" s="14">
        <v>8</v>
      </c>
      <c r="U43" s="15"/>
    </row>
    <row r="44" spans="1:23" ht="17">
      <c r="A44" s="2"/>
      <c r="B44" t="s">
        <v>2</v>
      </c>
      <c r="C44" s="3" t="s">
        <v>3</v>
      </c>
      <c r="D44" t="s">
        <v>4</v>
      </c>
      <c r="E44" s="12"/>
      <c r="F44" s="4" t="s">
        <v>41</v>
      </c>
      <c r="G44" s="4" t="s">
        <v>47</v>
      </c>
      <c r="H44" s="5" t="s">
        <v>61</v>
      </c>
      <c r="I44" s="5" t="s">
        <v>33</v>
      </c>
      <c r="J44" s="5" t="s">
        <v>27</v>
      </c>
      <c r="K44" s="5" t="s">
        <v>30</v>
      </c>
      <c r="L44" s="5" t="s">
        <v>62</v>
      </c>
      <c r="N44" t="s">
        <v>9</v>
      </c>
      <c r="O44" t="s">
        <v>10</v>
      </c>
      <c r="P44" t="s">
        <v>11</v>
      </c>
      <c r="Q44" t="str">
        <f>CONCATENATE("/",E43,","," ","kj")</f>
        <v>/8, kj</v>
      </c>
      <c r="S44" t="s">
        <v>45</v>
      </c>
      <c r="T44" t="s">
        <v>48</v>
      </c>
      <c r="U44" s="15"/>
    </row>
    <row r="45" spans="1:23" s="15" customFormat="1">
      <c r="A45" s="44"/>
      <c r="B45" t="s">
        <v>116</v>
      </c>
      <c r="C45">
        <v>10.3</v>
      </c>
      <c r="D45">
        <f>C45+273</f>
        <v>283.3</v>
      </c>
      <c r="E45" s="24"/>
      <c r="F45" s="17">
        <v>4.8E-10</v>
      </c>
      <c r="G45" s="17">
        <v>4.78E-6</v>
      </c>
      <c r="H45" s="15">
        <v>-9.3165999999999993</v>
      </c>
      <c r="I45" s="15">
        <v>-5.3754</v>
      </c>
      <c r="J45" s="15">
        <v>-5.3193000000000001</v>
      </c>
      <c r="K45" s="15">
        <v>-5.3193000000000001</v>
      </c>
      <c r="L45" s="15">
        <v>-2.5078999999999998</v>
      </c>
      <c r="N45" s="15">
        <f>L45+K45-I45-J45-H45</f>
        <v>12.184100000000001</v>
      </c>
      <c r="O45">
        <v>95.995599999999996</v>
      </c>
      <c r="P45" s="15">
        <f t="shared" ref="P45:P50" si="45">-2.303*8.314*D45*(O45-N45)</f>
        <v>-454625.87096795888</v>
      </c>
      <c r="Q45" s="15">
        <f t="shared" ref="Q45:Q50" si="46">P45/8/1000</f>
        <v>-56.828233870994858</v>
      </c>
      <c r="S45" s="17">
        <f>P45/1*F45</f>
        <v>-2.1822041806462026E-4</v>
      </c>
      <c r="T45" s="17">
        <f>P45/1*G45</f>
        <v>-2.1731116632268432</v>
      </c>
      <c r="U45">
        <f t="shared" ref="U45" si="47">IF(S45&gt;T45, S45,T45)</f>
        <v>-2.1822041806462026E-4</v>
      </c>
      <c r="W45"/>
    </row>
    <row r="46" spans="1:23" s="15" customFormat="1">
      <c r="A46" s="44"/>
      <c r="B46" t="s">
        <v>118</v>
      </c>
      <c r="C46">
        <v>12.4</v>
      </c>
      <c r="D46">
        <f t="shared" ref="D46:D50" si="48">C46+273</f>
        <v>285.39999999999998</v>
      </c>
      <c r="E46" s="24"/>
      <c r="F46" s="17">
        <v>3.703E-10</v>
      </c>
      <c r="G46" s="17">
        <v>3.208E-6</v>
      </c>
      <c r="H46" s="15">
        <v>-9.4304000000000006</v>
      </c>
      <c r="I46" s="15">
        <v>-5.5373000000000001</v>
      </c>
      <c r="J46" s="15">
        <v>-8.3050999999999995</v>
      </c>
      <c r="K46" s="15">
        <v>-8.3050999999999995</v>
      </c>
      <c r="L46" s="15">
        <v>-2.4064999999999999</v>
      </c>
      <c r="N46" s="15">
        <f t="shared" ref="N46:N50" si="49">L46+K46-I46-J46-H46</f>
        <v>12.561200000000001</v>
      </c>
      <c r="O46">
        <v>95.283100000000005</v>
      </c>
      <c r="P46" s="15">
        <f t="shared" si="45"/>
        <v>-452041.62544211687</v>
      </c>
      <c r="Q46" s="15">
        <f t="shared" si="46"/>
        <v>-56.505203180264608</v>
      </c>
      <c r="S46" s="17">
        <f t="shared" ref="S46:S50" si="50">P46/1*F46</f>
        <v>-1.6739101390121587E-4</v>
      </c>
      <c r="T46" s="17">
        <f t="shared" ref="T46:T50" si="51">P46/1*G46</f>
        <v>-1.4501495344183108</v>
      </c>
      <c r="U46">
        <f t="shared" ref="U46:U50" si="52">IF(S46&gt;T46, S46,T46)</f>
        <v>-1.6739101390121587E-4</v>
      </c>
      <c r="W46"/>
    </row>
    <row r="47" spans="1:23" s="15" customFormat="1">
      <c r="A47" s="44"/>
      <c r="B47" t="s">
        <v>119</v>
      </c>
      <c r="C47">
        <v>16.2</v>
      </c>
      <c r="D47">
        <f t="shared" si="48"/>
        <v>289.2</v>
      </c>
      <c r="E47" s="24"/>
      <c r="F47" s="17">
        <v>4.293E-9</v>
      </c>
      <c r="G47" s="17">
        <v>4.741E-6</v>
      </c>
      <c r="H47" s="15">
        <v>-8.3609000000000009</v>
      </c>
      <c r="I47" s="15">
        <v>-5.4179000000000004</v>
      </c>
      <c r="J47" s="15">
        <v>-5.0713999999999997</v>
      </c>
      <c r="K47" s="15">
        <v>-5.0713999999999997</v>
      </c>
      <c r="L47" s="15">
        <v>-2.1855000000000002</v>
      </c>
      <c r="N47" s="15">
        <f t="shared" si="49"/>
        <v>11.593300000000001</v>
      </c>
      <c r="O47">
        <v>94.018799999999999</v>
      </c>
      <c r="P47" s="15">
        <f t="shared" si="45"/>
        <v>-456419.12814475311</v>
      </c>
      <c r="Q47" s="15">
        <f t="shared" si="46"/>
        <v>-57.052391018094141</v>
      </c>
      <c r="S47" s="17">
        <f t="shared" si="50"/>
        <v>-1.9594073171254251E-3</v>
      </c>
      <c r="T47" s="17">
        <f t="shared" si="51"/>
        <v>-2.1638830865342746</v>
      </c>
      <c r="U47">
        <f t="shared" si="52"/>
        <v>-1.9594073171254251E-3</v>
      </c>
      <c r="W47"/>
    </row>
    <row r="48" spans="1:23" s="15" customFormat="1">
      <c r="A48" s="44"/>
      <c r="B48" t="s">
        <v>120</v>
      </c>
      <c r="C48">
        <v>22.5</v>
      </c>
      <c r="D48">
        <f t="shared" si="48"/>
        <v>295.5</v>
      </c>
      <c r="E48" s="24"/>
      <c r="F48" s="17">
        <v>4.4850000000000001E-8</v>
      </c>
      <c r="G48" s="17">
        <v>1.613E-5</v>
      </c>
      <c r="H48" s="15">
        <v>-7.3457999999999997</v>
      </c>
      <c r="I48" s="15">
        <v>-4.8569000000000004</v>
      </c>
      <c r="J48" s="15">
        <v>-4.2126999999999999</v>
      </c>
      <c r="K48" s="15">
        <v>-4.2126999999999999</v>
      </c>
      <c r="L48" s="15">
        <v>-1.9494</v>
      </c>
      <c r="N48" s="15">
        <f t="shared" si="49"/>
        <v>10.253299999999999</v>
      </c>
      <c r="O48">
        <v>91.990799999999993</v>
      </c>
      <c r="P48" s="15">
        <f t="shared" si="45"/>
        <v>-462469.17793098744</v>
      </c>
      <c r="Q48" s="15">
        <f t="shared" si="46"/>
        <v>-57.808647241373428</v>
      </c>
      <c r="S48" s="17">
        <f t="shared" si="50"/>
        <v>-2.0741742630204788E-2</v>
      </c>
      <c r="T48" s="17">
        <f t="shared" si="51"/>
        <v>-7.459627840026827</v>
      </c>
      <c r="U48">
        <f t="shared" si="52"/>
        <v>-2.0741742630204788E-2</v>
      </c>
      <c r="W48"/>
    </row>
    <row r="49" spans="1:21">
      <c r="B49" t="s">
        <v>121</v>
      </c>
      <c r="C49">
        <v>31.7</v>
      </c>
      <c r="D49">
        <f t="shared" si="48"/>
        <v>304.7</v>
      </c>
      <c r="F49" s="17">
        <v>2.1570000000000001E-8</v>
      </c>
      <c r="G49" s="17">
        <v>1.291E-5</v>
      </c>
      <c r="H49" s="15">
        <v>-7.6642000000000001</v>
      </c>
      <c r="I49" s="15">
        <v>-4.9508000000000001</v>
      </c>
      <c r="J49" s="15">
        <v>-4.7306999999999997</v>
      </c>
      <c r="K49" s="15">
        <v>-4.7306999999999997</v>
      </c>
      <c r="L49" s="15">
        <v>-1.9497</v>
      </c>
      <c r="N49" s="15">
        <f t="shared" si="49"/>
        <v>10.6653</v>
      </c>
      <c r="O49">
        <v>89.173299999999998</v>
      </c>
      <c r="P49" s="15">
        <f t="shared" si="45"/>
        <v>-458026.20521423913</v>
      </c>
      <c r="Q49" s="15">
        <f t="shared" si="46"/>
        <v>-57.253275651779894</v>
      </c>
      <c r="S49" s="17">
        <f t="shared" si="50"/>
        <v>-9.8796252464711382E-3</v>
      </c>
      <c r="T49" s="17">
        <f t="shared" si="51"/>
        <v>-5.913118309315827</v>
      </c>
      <c r="U49">
        <f t="shared" si="52"/>
        <v>-9.8796252464711382E-3</v>
      </c>
    </row>
    <row r="50" spans="1:21">
      <c r="B50" t="s">
        <v>122</v>
      </c>
      <c r="C50">
        <v>21.5</v>
      </c>
      <c r="D50">
        <f t="shared" si="48"/>
        <v>294.5</v>
      </c>
      <c r="F50" s="17">
        <v>3.1450000000000002E-7</v>
      </c>
      <c r="G50" s="17">
        <v>4.7840000000000003E-6</v>
      </c>
      <c r="H50" s="15">
        <v>-6.4889000000000001</v>
      </c>
      <c r="I50" s="15">
        <v>-5.4466999999999999</v>
      </c>
      <c r="J50" s="15">
        <v>-5.4432</v>
      </c>
      <c r="K50" s="15">
        <v>-5.4432</v>
      </c>
      <c r="L50" s="15">
        <v>-2.7843</v>
      </c>
      <c r="N50" s="15">
        <f t="shared" si="49"/>
        <v>9.1513000000000009</v>
      </c>
      <c r="O50">
        <v>92.307199999999995</v>
      </c>
      <c r="P50" s="15">
        <f t="shared" si="45"/>
        <v>-468902.259591432</v>
      </c>
      <c r="Q50" s="15">
        <f t="shared" si="46"/>
        <v>-58.612782448928996</v>
      </c>
      <c r="S50" s="17">
        <f t="shared" si="50"/>
        <v>-0.14746976064150538</v>
      </c>
      <c r="T50" s="17">
        <f t="shared" si="51"/>
        <v>-2.2432284098854107</v>
      </c>
      <c r="U50">
        <f t="shared" si="52"/>
        <v>-0.14746976064150538</v>
      </c>
    </row>
    <row r="53" spans="1:21">
      <c r="A53" t="s">
        <v>108</v>
      </c>
      <c r="E53">
        <v>8</v>
      </c>
    </row>
    <row r="54" spans="1:21" ht="17">
      <c r="B54" t="s">
        <v>2</v>
      </c>
      <c r="C54" s="3" t="s">
        <v>3</v>
      </c>
      <c r="D54" t="s">
        <v>4</v>
      </c>
      <c r="F54" t="s">
        <v>134</v>
      </c>
      <c r="G54" t="s">
        <v>47</v>
      </c>
      <c r="H54" s="5" t="s">
        <v>133</v>
      </c>
      <c r="I54" s="5" t="s">
        <v>33</v>
      </c>
      <c r="J54" s="5" t="s">
        <v>27</v>
      </c>
      <c r="K54" s="5" t="s">
        <v>30</v>
      </c>
      <c r="L54" s="5" t="s">
        <v>62</v>
      </c>
      <c r="N54" t="s">
        <v>9</v>
      </c>
      <c r="O54" t="s">
        <v>10</v>
      </c>
      <c r="P54" t="s">
        <v>11</v>
      </c>
      <c r="Q54" t="str">
        <f>CONCATENATE("/",E52,","," ","kj")</f>
        <v>/, kj</v>
      </c>
      <c r="S54" t="s">
        <v>102</v>
      </c>
      <c r="T54" t="s">
        <v>48</v>
      </c>
    </row>
    <row r="55" spans="1:21">
      <c r="B55" t="s">
        <v>116</v>
      </c>
      <c r="C55">
        <v>10.3</v>
      </c>
      <c r="D55">
        <f>C55+273</f>
        <v>283.3</v>
      </c>
      <c r="F55" s="17">
        <v>6.9500000000000004E-6</v>
      </c>
      <c r="G55" s="17">
        <v>4.78E-6</v>
      </c>
      <c r="H55" s="15">
        <v>-5.2103000000000002</v>
      </c>
      <c r="I55" s="15">
        <v>-5.3754</v>
      </c>
      <c r="J55" s="15">
        <v>-5.3193000000000001</v>
      </c>
      <c r="K55" s="15">
        <v>-5.3193000000000001</v>
      </c>
      <c r="L55" s="15">
        <v>-2.5078999999999998</v>
      </c>
      <c r="N55">
        <f>K55+2*L55-H55-I55-J55</f>
        <v>5.5698999999999996</v>
      </c>
      <c r="O55">
        <v>95.749200000000002</v>
      </c>
      <c r="P55" s="15">
        <f t="shared" ref="P55:P60" si="53">-2.303*8.314*D55*(O55-N55)</f>
        <v>-489167.27186341799</v>
      </c>
      <c r="Q55" s="15">
        <f t="shared" ref="Q55:Q60" si="54">P55/8/1000</f>
        <v>-61.145908982927246</v>
      </c>
      <c r="S55" s="43">
        <f>P55/1*F55</f>
        <v>-3.3997125394507552</v>
      </c>
      <c r="T55" s="43">
        <f>P55/1*G55</f>
        <v>-2.338219559507138</v>
      </c>
      <c r="U55">
        <f t="shared" ref="U55" si="55">IF(S55&gt;T55, S55,T55)</f>
        <v>-2.338219559507138</v>
      </c>
    </row>
    <row r="56" spans="1:21">
      <c r="B56" t="s">
        <v>118</v>
      </c>
      <c r="C56">
        <v>12.4</v>
      </c>
      <c r="D56">
        <f t="shared" ref="D56:D60" si="56">C56+273</f>
        <v>285.39999999999998</v>
      </c>
      <c r="F56" s="17">
        <v>6.8430000000000004E-6</v>
      </c>
      <c r="G56" s="17">
        <v>3.208E-6</v>
      </c>
      <c r="H56" s="15">
        <v>-5.2065000000000001</v>
      </c>
      <c r="I56" s="15">
        <v>-5.5373000000000001</v>
      </c>
      <c r="J56" s="15">
        <v>-8.3050999999999995</v>
      </c>
      <c r="K56" s="15">
        <v>-8.3050999999999995</v>
      </c>
      <c r="L56" s="15">
        <v>-2.4064999999999999</v>
      </c>
      <c r="N56">
        <f t="shared" ref="N56:N60" si="57">K56+2*L56-H56-I56-J56</f>
        <v>5.9308000000000014</v>
      </c>
      <c r="O56">
        <v>95.023300000000006</v>
      </c>
      <c r="P56" s="15">
        <f t="shared" si="53"/>
        <v>-486854.37006042892</v>
      </c>
      <c r="Q56" s="15">
        <f t="shared" si="54"/>
        <v>-60.856796257553611</v>
      </c>
      <c r="S56" s="43">
        <f t="shared" ref="S56:S60" si="58">P56/1*F56</f>
        <v>-3.3315444543235153</v>
      </c>
      <c r="T56" s="43">
        <f t="shared" ref="T56:T60" si="59">P56/1*G56</f>
        <v>-1.5618288191538561</v>
      </c>
      <c r="U56">
        <f t="shared" ref="U56:U60" si="60">IF(S56&gt;T56, S56,T56)</f>
        <v>-1.5618288191538561</v>
      </c>
    </row>
    <row r="57" spans="1:21">
      <c r="B57" t="s">
        <v>119</v>
      </c>
      <c r="C57">
        <v>16.2</v>
      </c>
      <c r="D57">
        <f t="shared" si="56"/>
        <v>289.2</v>
      </c>
      <c r="F57" s="17">
        <v>3.8680000000000001E-6</v>
      </c>
      <c r="G57" s="17">
        <v>4.741E-6</v>
      </c>
      <c r="H57" s="15">
        <v>-5.4981</v>
      </c>
      <c r="I57" s="15">
        <v>-5.4179000000000004</v>
      </c>
      <c r="J57" s="15">
        <v>-5.0713999999999997</v>
      </c>
      <c r="K57" s="15">
        <v>-5.0713999999999997</v>
      </c>
      <c r="L57" s="15">
        <v>-2.1855000000000002</v>
      </c>
      <c r="N57">
        <f t="shared" si="57"/>
        <v>6.5450000000000008</v>
      </c>
      <c r="O57">
        <v>93.735500000000002</v>
      </c>
      <c r="P57" s="15">
        <f t="shared" si="53"/>
        <v>-482804.61741214909</v>
      </c>
      <c r="Q57" s="15">
        <f t="shared" si="54"/>
        <v>-60.350577176518634</v>
      </c>
      <c r="S57" s="43">
        <f t="shared" si="58"/>
        <v>-1.8674882601501928</v>
      </c>
      <c r="T57" s="43">
        <f t="shared" si="59"/>
        <v>-2.288976691150999</v>
      </c>
      <c r="U57">
        <f t="shared" si="60"/>
        <v>-1.8674882601501928</v>
      </c>
    </row>
    <row r="58" spans="1:21">
      <c r="B58" t="s">
        <v>120</v>
      </c>
      <c r="C58">
        <v>22.5</v>
      </c>
      <c r="D58">
        <f t="shared" si="56"/>
        <v>295.5</v>
      </c>
      <c r="F58" s="17">
        <v>3.3019999999999999E-6</v>
      </c>
      <c r="G58" s="17">
        <v>1.613E-5</v>
      </c>
      <c r="H58" s="15">
        <v>-5.5418000000000003</v>
      </c>
      <c r="I58" s="15">
        <v>-4.8569000000000004</v>
      </c>
      <c r="J58" s="15">
        <v>-4.2126999999999999</v>
      </c>
      <c r="K58" s="15">
        <v>-4.2126999999999999</v>
      </c>
      <c r="L58" s="15">
        <v>-1.9494</v>
      </c>
      <c r="N58">
        <f t="shared" si="57"/>
        <v>6.4999000000000011</v>
      </c>
      <c r="O58">
        <v>91.6708</v>
      </c>
      <c r="P58" s="15">
        <f t="shared" si="53"/>
        <v>-481895.28804578487</v>
      </c>
      <c r="Q58" s="15">
        <f t="shared" si="54"/>
        <v>-60.236911005723108</v>
      </c>
      <c r="S58" s="43">
        <f t="shared" si="58"/>
        <v>-1.5912182411271816</v>
      </c>
      <c r="T58" s="43">
        <f t="shared" si="59"/>
        <v>-7.7729709961785094</v>
      </c>
      <c r="U58">
        <f t="shared" si="60"/>
        <v>-1.5912182411271816</v>
      </c>
    </row>
    <row r="59" spans="1:21">
      <c r="B59" t="s">
        <v>121</v>
      </c>
      <c r="C59">
        <v>31.7</v>
      </c>
      <c r="D59">
        <f t="shared" si="56"/>
        <v>304.7</v>
      </c>
      <c r="F59" s="17">
        <v>3.36E-6</v>
      </c>
      <c r="G59" s="17">
        <v>1.291E-5</v>
      </c>
      <c r="H59" s="15">
        <v>-5.5317999999999996</v>
      </c>
      <c r="I59" s="15">
        <v>-4.9508000000000001</v>
      </c>
      <c r="J59" s="15">
        <v>-4.7306999999999997</v>
      </c>
      <c r="K59" s="15">
        <v>-4.7306999999999997</v>
      </c>
      <c r="L59" s="15">
        <v>-1.9497</v>
      </c>
      <c r="N59">
        <f t="shared" si="57"/>
        <v>6.5832000000000006</v>
      </c>
      <c r="O59">
        <v>88.803299999999993</v>
      </c>
      <c r="P59" s="15">
        <f t="shared" si="53"/>
        <v>-479683.09465704462</v>
      </c>
      <c r="Q59" s="15">
        <f t="shared" si="54"/>
        <v>-59.960386832130581</v>
      </c>
      <c r="S59" s="43">
        <f t="shared" si="58"/>
        <v>-1.61173519804767</v>
      </c>
      <c r="T59" s="43">
        <f t="shared" si="59"/>
        <v>-6.1927087520224458</v>
      </c>
      <c r="U59">
        <f t="shared" si="60"/>
        <v>-1.61173519804767</v>
      </c>
    </row>
    <row r="60" spans="1:21">
      <c r="B60" t="s">
        <v>122</v>
      </c>
      <c r="C60">
        <v>21.5</v>
      </c>
      <c r="D60">
        <f t="shared" si="56"/>
        <v>294.5</v>
      </c>
      <c r="F60" s="17">
        <v>3.985E-6</v>
      </c>
      <c r="G60" s="17">
        <v>4.7840000000000003E-6</v>
      </c>
      <c r="H60" s="15">
        <v>-5.5113000000000003</v>
      </c>
      <c r="I60" s="15">
        <v>-5.4466999999999999</v>
      </c>
      <c r="J60" s="15">
        <v>-5.4432</v>
      </c>
      <c r="K60" s="15">
        <v>-5.4432</v>
      </c>
      <c r="L60" s="15">
        <v>-2.7843</v>
      </c>
      <c r="N60">
        <f t="shared" si="57"/>
        <v>5.3893999999999993</v>
      </c>
      <c r="O60">
        <v>91.992800000000003</v>
      </c>
      <c r="P60" s="15">
        <f t="shared" si="53"/>
        <v>-488342.13745868456</v>
      </c>
      <c r="Q60" s="15">
        <f t="shared" si="54"/>
        <v>-61.042767182335574</v>
      </c>
      <c r="S60" s="43">
        <f t="shared" si="58"/>
        <v>-1.9460434177728581</v>
      </c>
      <c r="T60" s="43">
        <f t="shared" si="59"/>
        <v>-2.3362287856023469</v>
      </c>
      <c r="U60">
        <f t="shared" si="60"/>
        <v>-1.9460434177728581</v>
      </c>
    </row>
    <row r="67" spans="1:21">
      <c r="A67" s="2" t="s">
        <v>50</v>
      </c>
      <c r="E67" s="14">
        <v>10</v>
      </c>
      <c r="U67" s="15"/>
    </row>
    <row r="68" spans="1:21" ht="17">
      <c r="A68" s="2"/>
      <c r="B68" t="s">
        <v>2</v>
      </c>
      <c r="C68" s="3" t="s">
        <v>3</v>
      </c>
      <c r="D68" t="s">
        <v>4</v>
      </c>
      <c r="E68" s="12"/>
      <c r="F68" s="4" t="s">
        <v>28</v>
      </c>
      <c r="G68" s="4" t="s">
        <v>47</v>
      </c>
      <c r="I68" s="4" t="s">
        <v>29</v>
      </c>
      <c r="J68" s="5" t="s">
        <v>51</v>
      </c>
      <c r="K68" s="5" t="s">
        <v>33</v>
      </c>
      <c r="L68" s="5" t="s">
        <v>26</v>
      </c>
      <c r="M68" s="5" t="s">
        <v>27</v>
      </c>
      <c r="N68" t="s">
        <v>9</v>
      </c>
      <c r="O68" t="s">
        <v>10</v>
      </c>
      <c r="P68" t="s">
        <v>11</v>
      </c>
      <c r="Q68" t="str">
        <f>CONCATENATE("/",E67,","," ","kj")</f>
        <v>/10, kj</v>
      </c>
      <c r="S68" t="s">
        <v>28</v>
      </c>
      <c r="T68" t="s">
        <v>48</v>
      </c>
      <c r="U68" s="15"/>
    </row>
    <row r="69" spans="1:21">
      <c r="A69" s="2" t="s">
        <v>53</v>
      </c>
      <c r="E69" s="14">
        <v>10</v>
      </c>
    </row>
    <row r="70" spans="1:21" ht="17">
      <c r="A70" s="2"/>
      <c r="B70" t="s">
        <v>2</v>
      </c>
      <c r="C70" s="3" t="s">
        <v>3</v>
      </c>
      <c r="D70" t="s">
        <v>4</v>
      </c>
      <c r="E70" s="12"/>
      <c r="F70" s="4" t="s">
        <v>36</v>
      </c>
      <c r="G70" s="4" t="s">
        <v>47</v>
      </c>
      <c r="I70" s="4" t="s">
        <v>29</v>
      </c>
      <c r="J70" s="5" t="s">
        <v>51</v>
      </c>
      <c r="K70" s="5" t="s">
        <v>33</v>
      </c>
      <c r="L70" s="5" t="s">
        <v>27</v>
      </c>
      <c r="M70" s="5" t="s">
        <v>54</v>
      </c>
      <c r="N70" t="s">
        <v>9</v>
      </c>
      <c r="O70" t="s">
        <v>10</v>
      </c>
      <c r="P70" t="s">
        <v>11</v>
      </c>
      <c r="Q70" t="str">
        <f>CONCATENATE("/",E69,","," ","kj")</f>
        <v>/10, kj</v>
      </c>
      <c r="S70" t="s">
        <v>36</v>
      </c>
      <c r="T70" t="s">
        <v>48</v>
      </c>
      <c r="U70" s="15"/>
    </row>
    <row r="71" spans="1:21">
      <c r="A71" s="2" t="s">
        <v>56</v>
      </c>
      <c r="E71" s="14">
        <v>40</v>
      </c>
      <c r="U71" s="15"/>
    </row>
    <row r="72" spans="1:21" ht="17">
      <c r="A72" s="2"/>
      <c r="B72" t="s">
        <v>2</v>
      </c>
      <c r="C72" s="3" t="s">
        <v>3</v>
      </c>
      <c r="D72" t="s">
        <v>4</v>
      </c>
      <c r="E72" s="12"/>
      <c r="F72" s="4" t="s">
        <v>36</v>
      </c>
      <c r="G72" s="4" t="s">
        <v>47</v>
      </c>
      <c r="H72" s="4" t="s">
        <v>29</v>
      </c>
      <c r="I72" s="5" t="s">
        <v>51</v>
      </c>
      <c r="J72" s="5" t="s">
        <v>33</v>
      </c>
      <c r="K72" s="5" t="s">
        <v>27</v>
      </c>
      <c r="L72" s="5" t="s">
        <v>54</v>
      </c>
      <c r="M72" s="5" t="s">
        <v>57</v>
      </c>
      <c r="N72" t="s">
        <v>9</v>
      </c>
      <c r="O72" t="s">
        <v>10</v>
      </c>
      <c r="P72" t="s">
        <v>11</v>
      </c>
      <c r="Q72" t="str">
        <f>CONCATENATE("/",E71,","," ","kj")</f>
        <v>/40, kj</v>
      </c>
      <c r="S72" t="s">
        <v>36</v>
      </c>
      <c r="T72" t="s">
        <v>48</v>
      </c>
      <c r="U72" s="15"/>
    </row>
    <row r="73" spans="1:21">
      <c r="A73" s="2" t="s">
        <v>60</v>
      </c>
      <c r="E73" s="14">
        <v>40</v>
      </c>
      <c r="U73" s="15"/>
    </row>
    <row r="74" spans="1:21" ht="17">
      <c r="A74" s="2"/>
      <c r="B74" t="s">
        <v>2</v>
      </c>
      <c r="C74" s="3" t="s">
        <v>3</v>
      </c>
      <c r="D74" t="s">
        <v>4</v>
      </c>
      <c r="E74" s="12"/>
      <c r="F74" s="4" t="s">
        <v>41</v>
      </c>
      <c r="G74" s="4" t="s">
        <v>29</v>
      </c>
      <c r="H74" s="4" t="s">
        <v>47</v>
      </c>
      <c r="I74" s="5" t="s">
        <v>61</v>
      </c>
      <c r="J74" s="5" t="s">
        <v>51</v>
      </c>
      <c r="K74" s="5" t="s">
        <v>33</v>
      </c>
      <c r="L74" s="5" t="s">
        <v>27</v>
      </c>
      <c r="M74" s="5" t="s">
        <v>62</v>
      </c>
      <c r="N74" t="s">
        <v>9</v>
      </c>
      <c r="O74" t="s">
        <v>10</v>
      </c>
      <c r="P74" t="s">
        <v>11</v>
      </c>
      <c r="Q74" t="str">
        <f>CONCATENATE("/",E73,","," ","kj")</f>
        <v>/40, kj</v>
      </c>
      <c r="S74" t="s">
        <v>45</v>
      </c>
      <c r="T74" t="s">
        <v>48</v>
      </c>
      <c r="U74" s="15"/>
    </row>
    <row r="75" spans="1:21">
      <c r="A75" t="s">
        <v>107</v>
      </c>
      <c r="E75">
        <v>40</v>
      </c>
    </row>
    <row r="76" spans="1:21">
      <c r="B76" t="s">
        <v>2</v>
      </c>
      <c r="C76" s="3" t="s">
        <v>3</v>
      </c>
      <c r="D76" t="s">
        <v>4</v>
      </c>
    </row>
  </sheetData>
  <conditionalFormatting sqref="Q55:Q60 Q45:Q50 Q35:Q40 Q25:Q30 Q15:Q20 Q5:Q1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5:U60 U45:U50 U35:U40 U25:U30 U15:U20 U5:U1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20:AC25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2:AC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9C564-D788-E246-8EEC-6D254825D5B3}">
  <dimension ref="A1:Z41"/>
  <sheetViews>
    <sheetView workbookViewId="0">
      <selection activeCell="W2" sqref="W2:W7"/>
    </sheetView>
  </sheetViews>
  <sheetFormatPr baseColWidth="10" defaultRowHeight="16"/>
  <cols>
    <col min="12" max="12" width="5.1640625" customWidth="1"/>
    <col min="17" max="17" width="6.5" customWidth="1"/>
    <col min="23" max="23" width="11.5" customWidth="1"/>
    <col min="24" max="24" width="17.5" customWidth="1"/>
    <col min="25" max="25" width="12.83203125" bestFit="1" customWidth="1"/>
    <col min="26" max="26" width="16" customWidth="1"/>
  </cols>
  <sheetData>
    <row r="1" spans="1:26" ht="64" customHeight="1">
      <c r="R1" s="7" t="s">
        <v>18</v>
      </c>
      <c r="S1" s="7" t="s">
        <v>19</v>
      </c>
      <c r="T1" t="s">
        <v>20</v>
      </c>
      <c r="V1" s="48" t="s">
        <v>136</v>
      </c>
      <c r="W1" s="46" t="s">
        <v>64</v>
      </c>
      <c r="X1" s="46" t="s">
        <v>67</v>
      </c>
      <c r="Y1" s="49" t="s">
        <v>68</v>
      </c>
      <c r="Z1" s="46" t="s">
        <v>109</v>
      </c>
    </row>
    <row r="2" spans="1:26" ht="17">
      <c r="A2" s="2" t="s">
        <v>64</v>
      </c>
      <c r="B2" s="15"/>
      <c r="C2" s="16"/>
      <c r="D2" s="15"/>
      <c r="E2" s="14">
        <v>8</v>
      </c>
      <c r="F2" s="15"/>
      <c r="G2" s="15"/>
      <c r="H2" s="17"/>
      <c r="I2" s="15"/>
      <c r="J2" s="15"/>
      <c r="K2" s="15"/>
      <c r="L2" s="15"/>
      <c r="M2" s="15"/>
      <c r="N2" s="15"/>
      <c r="O2" s="15"/>
      <c r="P2" s="18"/>
      <c r="Q2" s="18"/>
      <c r="R2" s="7" t="s">
        <v>21</v>
      </c>
      <c r="S2" s="7" t="s">
        <v>21</v>
      </c>
      <c r="T2" t="s">
        <v>22</v>
      </c>
      <c r="V2" t="s">
        <v>116</v>
      </c>
      <c r="W2">
        <f>P4</f>
        <v>-4.2453951774287919</v>
      </c>
      <c r="X2">
        <f>P14</f>
        <v>26.386040968358813</v>
      </c>
      <c r="Y2">
        <f>P24</f>
        <v>-2.628928349505991</v>
      </c>
      <c r="Z2">
        <f>P34</f>
        <v>-6.946603461438376</v>
      </c>
    </row>
    <row r="3" spans="1:26" ht="17">
      <c r="A3" s="2"/>
      <c r="B3" t="s">
        <v>2</v>
      </c>
      <c r="C3" s="3" t="s">
        <v>3</v>
      </c>
      <c r="D3" t="s">
        <v>4</v>
      </c>
      <c r="E3" s="12"/>
      <c r="F3" s="4" t="s">
        <v>65</v>
      </c>
      <c r="G3" s="4" t="s">
        <v>5</v>
      </c>
      <c r="H3" s="5" t="s">
        <v>7</v>
      </c>
      <c r="I3" s="5" t="s">
        <v>57</v>
      </c>
      <c r="J3" s="5" t="s">
        <v>27</v>
      </c>
      <c r="K3" s="5" t="s">
        <v>54</v>
      </c>
      <c r="L3" s="15"/>
      <c r="M3" t="s">
        <v>9</v>
      </c>
      <c r="N3" t="s">
        <v>10</v>
      </c>
      <c r="O3" t="s">
        <v>11</v>
      </c>
      <c r="P3" t="str">
        <f>CONCATENATE("/",E2,","," ","kj")</f>
        <v>/8, kj</v>
      </c>
      <c r="R3" t="s">
        <v>23</v>
      </c>
      <c r="S3" t="s">
        <v>66</v>
      </c>
      <c r="V3" t="s">
        <v>118</v>
      </c>
      <c r="W3">
        <f t="shared" ref="W3:W7" si="0">P5</f>
        <v>-2.7489641760967398</v>
      </c>
      <c r="X3">
        <f t="shared" ref="X3:X7" si="1">P15</f>
        <v>27.562115943226576</v>
      </c>
      <c r="Y3">
        <f t="shared" ref="Y3:Y7" si="2">P25</f>
        <v>-1.2854775079506142</v>
      </c>
      <c r="Z3">
        <f t="shared" ref="Z3:Z7" si="3">P35</f>
        <v>-5.6370705852396243</v>
      </c>
    </row>
    <row r="4" spans="1:26">
      <c r="B4" t="s">
        <v>116</v>
      </c>
      <c r="C4">
        <v>10.3</v>
      </c>
      <c r="D4">
        <f>C4+273</f>
        <v>283.3</v>
      </c>
      <c r="F4" s="15">
        <v>2.7599999999999999E-3</v>
      </c>
      <c r="G4" s="17">
        <v>1.2E-10</v>
      </c>
      <c r="H4" s="15">
        <v>-9.9186999999999994</v>
      </c>
      <c r="I4" s="15">
        <v>-2.7730000000000001</v>
      </c>
      <c r="J4" s="15">
        <v>-7.2</v>
      </c>
      <c r="K4" s="15">
        <v>-7.6878000000000002</v>
      </c>
      <c r="M4">
        <f>K4-I4-4*H4-J4</f>
        <v>41.96</v>
      </c>
      <c r="N4">
        <v>48.221200000000003</v>
      </c>
      <c r="O4">
        <f>-2.303*8.314*D4*(N4-M4)</f>
        <v>-33963.161419430333</v>
      </c>
      <c r="P4">
        <f>O4/8/1000</f>
        <v>-4.2453951774287919</v>
      </c>
      <c r="R4" s="43">
        <f>O4/4*G4</f>
        <v>-1.0188948425829099E-6</v>
      </c>
      <c r="S4">
        <f>O4/1*F4</f>
        <v>-93.738325517627715</v>
      </c>
      <c r="T4">
        <f t="shared" ref="T4:T9" si="4">IF(R4&gt;S4, R4,S4)</f>
        <v>-1.0188948425829099E-6</v>
      </c>
      <c r="V4" t="s">
        <v>119</v>
      </c>
      <c r="W4">
        <f t="shared" si="0"/>
        <v>-4.5872128284840885</v>
      </c>
      <c r="X4">
        <f t="shared" si="1"/>
        <v>27.118357998674039</v>
      </c>
      <c r="Y4">
        <f t="shared" si="2"/>
        <v>-2.9364585432319186</v>
      </c>
      <c r="Z4">
        <f t="shared" si="3"/>
        <v>-6.2347139185747498</v>
      </c>
    </row>
    <row r="5" spans="1:26">
      <c r="B5" t="s">
        <v>118</v>
      </c>
      <c r="C5">
        <v>12.4</v>
      </c>
      <c r="D5">
        <f t="shared" ref="D5:D9" si="5">C5+273</f>
        <v>285.39999999999998</v>
      </c>
      <c r="F5" s="15">
        <v>7.3720000000000003E-4</v>
      </c>
      <c r="G5" s="17">
        <v>1.4010000000000001E-10</v>
      </c>
      <c r="H5" s="15">
        <v>-9.8524999999999991</v>
      </c>
      <c r="I5" s="15">
        <v>-3.3025000000000002</v>
      </c>
      <c r="J5" s="15">
        <v>-7.6</v>
      </c>
      <c r="K5" s="15">
        <v>-6.4287999999999998</v>
      </c>
      <c r="M5">
        <f t="shared" ref="M5:M9" si="6">K5-I5-4*H5-J5</f>
        <v>43.883699999999997</v>
      </c>
      <c r="N5">
        <v>47.908099999999997</v>
      </c>
      <c r="O5">
        <f t="shared" ref="O5:O9" si="7">-2.303*8.314*D5*(N5-M5)</f>
        <v>-21991.713408773918</v>
      </c>
      <c r="P5">
        <f t="shared" ref="P5:P9" si="8">O5/8/1000</f>
        <v>-2.7489641760967398</v>
      </c>
      <c r="R5" s="43">
        <f t="shared" ref="R5:R9" si="9">O5/4*G5</f>
        <v>-7.7025976214230651E-7</v>
      </c>
      <c r="S5">
        <f t="shared" ref="S5:S9" si="10">O5/1*F5</f>
        <v>-16.212291124948134</v>
      </c>
      <c r="T5">
        <f t="shared" si="4"/>
        <v>-7.7025976214230651E-7</v>
      </c>
      <c r="V5" t="s">
        <v>120</v>
      </c>
      <c r="W5">
        <f t="shared" si="0"/>
        <v>-0.94148794871039676</v>
      </c>
      <c r="X5">
        <f t="shared" si="1"/>
        <v>39.369642542753233</v>
      </c>
      <c r="Y5">
        <f t="shared" si="2"/>
        <v>-1.6230624199936123</v>
      </c>
      <c r="Z5">
        <f t="shared" si="3"/>
        <v>-4.0513261843432877</v>
      </c>
    </row>
    <row r="6" spans="1:26">
      <c r="B6" t="s">
        <v>119</v>
      </c>
      <c r="C6">
        <v>16.2</v>
      </c>
      <c r="D6">
        <f t="shared" si="5"/>
        <v>289.2</v>
      </c>
      <c r="F6" s="15">
        <v>1.17E-2</v>
      </c>
      <c r="G6" s="17">
        <v>2.7020000000000001E-10</v>
      </c>
      <c r="H6" s="15">
        <v>-9.5619999999999994</v>
      </c>
      <c r="I6" s="15">
        <v>-2.2894999999999999</v>
      </c>
      <c r="J6" s="15">
        <v>-7.1</v>
      </c>
      <c r="K6" s="15">
        <v>-6.9134000000000002</v>
      </c>
      <c r="M6">
        <f t="shared" si="6"/>
        <v>40.7241</v>
      </c>
      <c r="N6">
        <v>47.351399999999998</v>
      </c>
      <c r="O6">
        <f t="shared" si="7"/>
        <v>-36697.702627872706</v>
      </c>
      <c r="P6">
        <f t="shared" si="8"/>
        <v>-4.5872128284840885</v>
      </c>
      <c r="R6" s="43">
        <f t="shared" si="9"/>
        <v>-2.4789298125128012E-6</v>
      </c>
      <c r="S6">
        <f t="shared" si="10"/>
        <v>-429.36312074611067</v>
      </c>
      <c r="T6">
        <f t="shared" si="4"/>
        <v>-2.4789298125128012E-6</v>
      </c>
      <c r="V6" t="s">
        <v>121</v>
      </c>
      <c r="W6">
        <f t="shared" si="0"/>
        <v>7.3947650571798834E-2</v>
      </c>
      <c r="X6">
        <f t="shared" si="1"/>
        <v>34.113422230298376</v>
      </c>
      <c r="Y6">
        <f t="shared" si="2"/>
        <v>-1.6108044436191398</v>
      </c>
      <c r="Z6">
        <f t="shared" si="3"/>
        <v>-4.3179156239698324</v>
      </c>
    </row>
    <row r="7" spans="1:26">
      <c r="B7" t="s">
        <v>120</v>
      </c>
      <c r="C7">
        <v>22.5</v>
      </c>
      <c r="D7">
        <f t="shared" si="5"/>
        <v>295.5</v>
      </c>
      <c r="F7" s="15">
        <v>2.8E-3</v>
      </c>
      <c r="G7" s="17">
        <v>2.101E-10</v>
      </c>
      <c r="H7" s="15">
        <v>-9.6750000000000007</v>
      </c>
      <c r="I7" s="15">
        <v>-2.8025000000000002</v>
      </c>
      <c r="J7" s="15">
        <v>-8.3000000000000007</v>
      </c>
      <c r="K7" s="15">
        <v>-4.6778000000000004</v>
      </c>
      <c r="M7">
        <f t="shared" si="6"/>
        <v>45.124700000000004</v>
      </c>
      <c r="N7">
        <v>46.4559</v>
      </c>
      <c r="O7">
        <f t="shared" si="7"/>
        <v>-7531.9035896831738</v>
      </c>
      <c r="P7">
        <f t="shared" si="8"/>
        <v>-0.94148794871039676</v>
      </c>
      <c r="R7" s="43">
        <f t="shared" si="9"/>
        <v>-3.9561323604810868E-7</v>
      </c>
      <c r="S7">
        <f t="shared" si="10"/>
        <v>-21.089330051112885</v>
      </c>
      <c r="T7">
        <f t="shared" si="4"/>
        <v>-3.9561323604810868E-7</v>
      </c>
      <c r="V7" t="s">
        <v>122</v>
      </c>
      <c r="W7">
        <f t="shared" si="0"/>
        <v>-3.0831026025797361</v>
      </c>
      <c r="X7">
        <f t="shared" si="1"/>
        <v>18.441381457290579</v>
      </c>
      <c r="Y7">
        <f t="shared" si="2"/>
        <v>-4.2454776058751005</v>
      </c>
      <c r="Z7">
        <f t="shared" si="3"/>
        <v>-6.675462339281661</v>
      </c>
    </row>
    <row r="8" spans="1:26">
      <c r="B8" t="s">
        <v>121</v>
      </c>
      <c r="C8">
        <v>31.7</v>
      </c>
      <c r="D8">
        <f t="shared" si="5"/>
        <v>304.7</v>
      </c>
      <c r="F8" s="15">
        <v>1.683E-3</v>
      </c>
      <c r="G8" s="17">
        <v>2.0010000000000001E-10</v>
      </c>
      <c r="H8" s="15">
        <v>-9.6966000000000001</v>
      </c>
      <c r="I8" s="15">
        <v>-3.0129000000000001</v>
      </c>
      <c r="J8" s="15">
        <v>-8.6</v>
      </c>
      <c r="K8" s="15">
        <v>-5.0914000000000001</v>
      </c>
      <c r="M8">
        <f t="shared" si="6"/>
        <v>45.307900000000004</v>
      </c>
      <c r="N8">
        <v>45.206499999999998</v>
      </c>
      <c r="O8">
        <f t="shared" si="7"/>
        <v>591.58120457439065</v>
      </c>
      <c r="P8">
        <f t="shared" si="8"/>
        <v>7.3947650571798834E-2</v>
      </c>
      <c r="R8" s="43">
        <f t="shared" si="9"/>
        <v>2.9593849758833893E-8</v>
      </c>
      <c r="S8">
        <f t="shared" si="10"/>
        <v>0.99563116729869949</v>
      </c>
      <c r="T8">
        <f t="shared" si="4"/>
        <v>0.99563116729869949</v>
      </c>
    </row>
    <row r="9" spans="1:26">
      <c r="B9" t="s">
        <v>122</v>
      </c>
      <c r="C9">
        <v>21.5</v>
      </c>
      <c r="D9">
        <f t="shared" si="5"/>
        <v>294.5</v>
      </c>
      <c r="F9" s="15">
        <v>3.4810000000000001E-2</v>
      </c>
      <c r="G9" s="17">
        <v>3.0020000000000001E-10</v>
      </c>
      <c r="H9" s="15">
        <v>-9.5091999999999999</v>
      </c>
      <c r="I9" s="15">
        <v>-1.9358</v>
      </c>
      <c r="J9" s="15">
        <v>-8.1</v>
      </c>
      <c r="K9" s="15">
        <v>-5.8509000000000002</v>
      </c>
      <c r="M9">
        <f t="shared" si="6"/>
        <v>42.221699999999998</v>
      </c>
      <c r="N9">
        <v>46.595799999999997</v>
      </c>
      <c r="O9">
        <f t="shared" si="7"/>
        <v>-24664.820820637888</v>
      </c>
      <c r="P9">
        <f t="shared" si="8"/>
        <v>-3.0831026025797361</v>
      </c>
      <c r="R9" s="43">
        <f t="shared" si="9"/>
        <v>-1.8510948025888735E-6</v>
      </c>
      <c r="S9">
        <f t="shared" si="10"/>
        <v>-858.5824127664049</v>
      </c>
      <c r="T9">
        <f t="shared" si="4"/>
        <v>-1.8510948025888735E-6</v>
      </c>
    </row>
    <row r="10" spans="1:26" ht="51">
      <c r="V10" s="48" t="s">
        <v>137</v>
      </c>
      <c r="W10" s="46" t="s">
        <v>64</v>
      </c>
      <c r="X10" s="46" t="s">
        <v>67</v>
      </c>
      <c r="Y10" s="49" t="s">
        <v>68</v>
      </c>
      <c r="Z10" s="46" t="s">
        <v>109</v>
      </c>
    </row>
    <row r="11" spans="1:26">
      <c r="V11" t="s">
        <v>116</v>
      </c>
      <c r="W11">
        <f>T4</f>
        <v>-1.0188948425829099E-6</v>
      </c>
      <c r="X11">
        <f>T14</f>
        <v>582.60378458136256</v>
      </c>
      <c r="Y11">
        <f>T24</f>
        <v>-1.0095084862103004E-5</v>
      </c>
      <c r="Z11">
        <f>T34</f>
        <v>-0.38623115245597373</v>
      </c>
    </row>
    <row r="12" spans="1:26">
      <c r="A12" s="2" t="s">
        <v>67</v>
      </c>
      <c r="B12" s="15"/>
      <c r="C12" s="19"/>
      <c r="D12" s="15"/>
      <c r="E12" s="14">
        <v>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20"/>
      <c r="Q12" s="20"/>
      <c r="R12" s="20"/>
      <c r="S12" s="20"/>
      <c r="T12" s="20"/>
      <c r="V12" t="s">
        <v>118</v>
      </c>
      <c r="W12">
        <f t="shared" ref="W12:W16" si="11">T5</f>
        <v>-7.7025976214230651E-7</v>
      </c>
      <c r="X12">
        <f t="shared" ref="X12:X16" si="12">T15</f>
        <v>162.55033498677307</v>
      </c>
      <c r="Y12">
        <f t="shared" ref="Y12:Y16" si="13">T25</f>
        <v>-3.8080985695528993E-6</v>
      </c>
      <c r="Z12">
        <f t="shared" ref="Z12:Z16" si="14">T35</f>
        <v>-0.30859579211835797</v>
      </c>
    </row>
    <row r="13" spans="1:26" ht="17">
      <c r="A13" s="2"/>
      <c r="B13" t="s">
        <v>2</v>
      </c>
      <c r="C13" s="3" t="s">
        <v>3</v>
      </c>
      <c r="D13" t="s">
        <v>4</v>
      </c>
      <c r="E13" s="12"/>
      <c r="F13" s="4" t="s">
        <v>28</v>
      </c>
      <c r="G13" s="4" t="s">
        <v>65</v>
      </c>
      <c r="H13" s="5" t="s">
        <v>57</v>
      </c>
      <c r="I13" s="5" t="s">
        <v>26</v>
      </c>
      <c r="J13" s="5" t="s">
        <v>27</v>
      </c>
      <c r="K13" s="5" t="s">
        <v>54</v>
      </c>
      <c r="L13" s="15"/>
      <c r="M13" t="s">
        <v>9</v>
      </c>
      <c r="N13" t="s">
        <v>10</v>
      </c>
      <c r="O13" t="s">
        <v>11</v>
      </c>
      <c r="P13" t="str">
        <f>CONCATENATE("/",E12,","," ","kj")</f>
        <v>/8, kj</v>
      </c>
      <c r="R13" t="s">
        <v>28</v>
      </c>
      <c r="S13" t="s">
        <v>66</v>
      </c>
      <c r="V13" t="s">
        <v>119</v>
      </c>
      <c r="W13">
        <f t="shared" si="11"/>
        <v>-2.4789298125128012E-6</v>
      </c>
      <c r="X13">
        <f t="shared" si="12"/>
        <v>2538.2783086758905</v>
      </c>
      <c r="Y13">
        <f t="shared" si="13"/>
        <v>-1.0084973220875701E-4</v>
      </c>
      <c r="Z13">
        <f t="shared" si="14"/>
        <v>-0.19292698749637707</v>
      </c>
    </row>
    <row r="14" spans="1:26">
      <c r="B14" t="s">
        <v>116</v>
      </c>
      <c r="C14">
        <v>10.3</v>
      </c>
      <c r="D14">
        <f>C14+273</f>
        <v>283.3</v>
      </c>
      <c r="F14" s="17">
        <v>3.4499999999999998E-5</v>
      </c>
      <c r="G14" s="15">
        <v>2.7599999999999999E-3</v>
      </c>
      <c r="H14" s="15">
        <v>-2.7730000000000001</v>
      </c>
      <c r="I14" s="15">
        <v>-4.6619000000000002</v>
      </c>
      <c r="J14" s="15">
        <v>-7.2</v>
      </c>
      <c r="K14" s="15">
        <v>-7.6878000000000002</v>
      </c>
      <c r="M14">
        <f>15*J14+K14-H14-8*I14</f>
        <v>-75.619599999999991</v>
      </c>
      <c r="N14">
        <v>-114.5343</v>
      </c>
      <c r="O14">
        <f t="shared" ref="O14:O19" si="15">-2.303*8.314*D14*(N14-M14)</f>
        <v>211088.32774687049</v>
      </c>
      <c r="P14">
        <f t="shared" ref="P14:P19" si="16">O14/8/1000</f>
        <v>26.386040968358813</v>
      </c>
      <c r="R14" s="43">
        <f>O14/8*F14</f>
        <v>0.91031841340837893</v>
      </c>
      <c r="S14">
        <f>O14/1*G14</f>
        <v>582.60378458136256</v>
      </c>
      <c r="T14">
        <f t="shared" ref="T14:T19" si="17">IF(R14&gt;S14, R14,S14)</f>
        <v>582.60378458136256</v>
      </c>
      <c r="V14" t="s">
        <v>120</v>
      </c>
      <c r="W14">
        <f t="shared" si="11"/>
        <v>-3.9561323604810868E-7</v>
      </c>
      <c r="X14">
        <f t="shared" si="12"/>
        <v>881.87999295767236</v>
      </c>
      <c r="Y14">
        <f t="shared" si="13"/>
        <v>-5.8235479629370815E-4</v>
      </c>
      <c r="Z14">
        <f t="shared" si="14"/>
        <v>-0.10701983248561228</v>
      </c>
    </row>
    <row r="15" spans="1:26">
      <c r="B15" t="s">
        <v>118</v>
      </c>
      <c r="C15">
        <v>12.4</v>
      </c>
      <c r="D15">
        <f t="shared" ref="D15:D19" si="18">C15+273</f>
        <v>285.39999999999998</v>
      </c>
      <c r="F15" s="17">
        <v>4.5600000000000004E-6</v>
      </c>
      <c r="G15" s="15">
        <v>7.3720000000000003E-4</v>
      </c>
      <c r="H15" s="15">
        <v>-3.3025000000000002</v>
      </c>
      <c r="I15" s="15">
        <v>-5.5021000000000004</v>
      </c>
      <c r="J15" s="15">
        <v>-7.6</v>
      </c>
      <c r="K15" s="15">
        <v>-6.4287999999999998</v>
      </c>
      <c r="M15">
        <f t="shared" ref="M15:M19" si="19">15*J15+K15-H15-8*I15</f>
        <v>-73.109499999999997</v>
      </c>
      <c r="N15">
        <v>-113.45959999999999</v>
      </c>
      <c r="O15">
        <f t="shared" si="15"/>
        <v>220496.92754581262</v>
      </c>
      <c r="P15">
        <f t="shared" si="16"/>
        <v>27.562115943226576</v>
      </c>
      <c r="R15" s="43">
        <f t="shared" ref="R15:R19" si="20">O15/8*F15</f>
        <v>0.12568324870111319</v>
      </c>
      <c r="S15">
        <f t="shared" ref="S15:S19" si="21">O15/1*G15</f>
        <v>162.55033498677307</v>
      </c>
      <c r="T15">
        <f t="shared" si="17"/>
        <v>162.55033498677307</v>
      </c>
      <c r="V15" t="s">
        <v>121</v>
      </c>
      <c r="W15">
        <f t="shared" si="11"/>
        <v>0.99563116729869949</v>
      </c>
      <c r="X15">
        <f t="shared" si="12"/>
        <v>459.30311690873737</v>
      </c>
      <c r="Y15">
        <f t="shared" si="13"/>
        <v>-2.7796041479091879E-4</v>
      </c>
      <c r="Z15">
        <f t="shared" si="14"/>
        <v>-0.11606557197230909</v>
      </c>
    </row>
    <row r="16" spans="1:26">
      <c r="B16" t="s">
        <v>119</v>
      </c>
      <c r="C16">
        <v>16.2</v>
      </c>
      <c r="D16">
        <f t="shared" si="18"/>
        <v>289.2</v>
      </c>
      <c r="F16" s="17">
        <v>2.9940000000000001E-5</v>
      </c>
      <c r="G16" s="15">
        <v>1.17E-2</v>
      </c>
      <c r="H16" s="15">
        <v>-2.2894999999999999</v>
      </c>
      <c r="I16" s="15">
        <v>-4.8437999999999999</v>
      </c>
      <c r="J16" s="15">
        <v>-7.1</v>
      </c>
      <c r="K16" s="15">
        <v>-6.9134000000000002</v>
      </c>
      <c r="M16">
        <f t="shared" si="19"/>
        <v>-72.373499999999993</v>
      </c>
      <c r="N16">
        <v>-111.5523</v>
      </c>
      <c r="O16">
        <f t="shared" si="15"/>
        <v>216946.86398939232</v>
      </c>
      <c r="P16">
        <f t="shared" si="16"/>
        <v>27.118357998674039</v>
      </c>
      <c r="R16" s="43">
        <f t="shared" si="20"/>
        <v>0.8119236384803008</v>
      </c>
      <c r="S16">
        <f t="shared" si="21"/>
        <v>2538.2783086758905</v>
      </c>
      <c r="T16">
        <f t="shared" si="17"/>
        <v>2538.2783086758905</v>
      </c>
      <c r="V16" t="s">
        <v>122</v>
      </c>
      <c r="W16">
        <f t="shared" si="11"/>
        <v>-1.8510948025888735E-6</v>
      </c>
      <c r="X16">
        <f t="shared" si="12"/>
        <v>5135.5559082262807</v>
      </c>
      <c r="Y16">
        <f t="shared" si="13"/>
        <v>-1.0681621656381753E-2</v>
      </c>
      <c r="Z16">
        <f t="shared" si="14"/>
        <v>-0.21281373937629935</v>
      </c>
    </row>
    <row r="17" spans="1:26">
      <c r="B17" t="s">
        <v>120</v>
      </c>
      <c r="C17">
        <v>22.5</v>
      </c>
      <c r="D17">
        <f t="shared" si="18"/>
        <v>295.5</v>
      </c>
      <c r="F17" s="17">
        <v>1.09E-9</v>
      </c>
      <c r="G17" s="15">
        <v>2.8E-3</v>
      </c>
      <c r="H17" s="15">
        <v>-2.8025000000000002</v>
      </c>
      <c r="I17" s="15">
        <v>-9.1935000000000002</v>
      </c>
      <c r="J17" s="15">
        <v>-8.3000000000000007</v>
      </c>
      <c r="K17" s="15">
        <v>-4.6778000000000004</v>
      </c>
      <c r="M17">
        <f t="shared" si="19"/>
        <v>-52.827300000000022</v>
      </c>
      <c r="N17">
        <v>-108.4933</v>
      </c>
      <c r="O17">
        <f t="shared" si="15"/>
        <v>314957.14034202584</v>
      </c>
      <c r="P17">
        <f t="shared" si="16"/>
        <v>39.369642542753233</v>
      </c>
      <c r="R17" s="43">
        <f t="shared" si="20"/>
        <v>4.2912910371601019E-5</v>
      </c>
      <c r="S17">
        <f t="shared" si="21"/>
        <v>881.87999295767236</v>
      </c>
      <c r="T17">
        <f t="shared" si="17"/>
        <v>881.87999295767236</v>
      </c>
    </row>
    <row r="18" spans="1:26">
      <c r="B18" t="s">
        <v>121</v>
      </c>
      <c r="C18">
        <v>31.7</v>
      </c>
      <c r="D18">
        <f t="shared" si="18"/>
        <v>304.7</v>
      </c>
      <c r="F18" s="17">
        <v>1.049E-9</v>
      </c>
      <c r="G18" s="15">
        <v>1.683E-3</v>
      </c>
      <c r="H18" s="15">
        <v>-3.0129000000000001</v>
      </c>
      <c r="I18" s="15">
        <v>-9.2012</v>
      </c>
      <c r="J18" s="15">
        <v>-8.6</v>
      </c>
      <c r="K18" s="15">
        <v>-5.0914000000000001</v>
      </c>
      <c r="M18">
        <f t="shared" si="19"/>
        <v>-57.468899999999991</v>
      </c>
      <c r="N18">
        <v>-104.2466</v>
      </c>
      <c r="O18">
        <f t="shared" si="15"/>
        <v>272907.37784238701</v>
      </c>
      <c r="P18">
        <f t="shared" si="16"/>
        <v>34.113422230298376</v>
      </c>
      <c r="R18" s="43">
        <f t="shared" si="20"/>
        <v>3.5784979919582999E-5</v>
      </c>
      <c r="S18">
        <f t="shared" si="21"/>
        <v>459.30311690873737</v>
      </c>
      <c r="T18">
        <f t="shared" si="17"/>
        <v>459.30311690873737</v>
      </c>
    </row>
    <row r="19" spans="1:26" ht="53">
      <c r="B19" t="s">
        <v>122</v>
      </c>
      <c r="C19">
        <v>21.5</v>
      </c>
      <c r="D19">
        <f t="shared" si="18"/>
        <v>294.5</v>
      </c>
      <c r="F19" s="17">
        <v>1.22E-5</v>
      </c>
      <c r="G19" s="15">
        <v>3.4810000000000001E-2</v>
      </c>
      <c r="H19" s="15">
        <v>-1.9358</v>
      </c>
      <c r="I19" s="15">
        <v>-5.3259999999999996</v>
      </c>
      <c r="J19" s="15">
        <v>-8.1</v>
      </c>
      <c r="K19" s="15">
        <v>-5.8509000000000002</v>
      </c>
      <c r="M19">
        <f t="shared" si="19"/>
        <v>-82.807099999999991</v>
      </c>
      <c r="N19">
        <v>-108.9705</v>
      </c>
      <c r="O19">
        <f t="shared" si="15"/>
        <v>147531.05165832464</v>
      </c>
      <c r="P19">
        <f t="shared" si="16"/>
        <v>18.441381457290579</v>
      </c>
      <c r="R19" s="43">
        <f t="shared" si="20"/>
        <v>0.22498485377894506</v>
      </c>
      <c r="S19">
        <f t="shared" si="21"/>
        <v>5135.5559082262807</v>
      </c>
      <c r="T19">
        <f t="shared" si="17"/>
        <v>5135.5559082262807</v>
      </c>
      <c r="V19" s="48" t="s">
        <v>138</v>
      </c>
      <c r="W19" s="46" t="s">
        <v>64</v>
      </c>
      <c r="X19" s="46" t="s">
        <v>67</v>
      </c>
      <c r="Y19" s="49" t="s">
        <v>68</v>
      </c>
      <c r="Z19" s="46" t="s">
        <v>109</v>
      </c>
    </row>
    <row r="20" spans="1:26">
      <c r="V20" t="s">
        <v>116</v>
      </c>
      <c r="W20">
        <f t="shared" ref="W20" si="22">LOG10(-W11)</f>
        <v>-5.9918706360550011</v>
      </c>
      <c r="X20">
        <v>-15</v>
      </c>
      <c r="Y20">
        <f t="shared" ref="Y20:Z20" si="23">LOG10(-Y11)</f>
        <v>-4.9958900259042798</v>
      </c>
      <c r="Z20">
        <f t="shared" si="23"/>
        <v>-0.41315270001780796</v>
      </c>
    </row>
    <row r="21" spans="1:26">
      <c r="V21" t="s">
        <v>118</v>
      </c>
      <c r="W21">
        <f t="shared" ref="W21" si="24">LOG10(-W12)</f>
        <v>-6.1133627888011306</v>
      </c>
      <c r="X21">
        <v>-15</v>
      </c>
      <c r="Y21">
        <f t="shared" ref="Y21:Z25" si="25">LOG10(-Y12)</f>
        <v>-5.4192918187805059</v>
      </c>
      <c r="Z21">
        <f t="shared" si="25"/>
        <v>-0.51061000008828472</v>
      </c>
    </row>
    <row r="22" spans="1:26">
      <c r="A22" s="21" t="s">
        <v>68</v>
      </c>
      <c r="B22" s="15"/>
      <c r="C22" s="19"/>
      <c r="D22" s="15"/>
      <c r="E22" s="14">
        <v>8</v>
      </c>
      <c r="F22" s="17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V22" t="s">
        <v>119</v>
      </c>
      <c r="W22">
        <f t="shared" ref="W22" si="26">LOG10(-W13)</f>
        <v>-5.6057357695088683</v>
      </c>
      <c r="X22">
        <v>-15</v>
      </c>
      <c r="Y22">
        <f t="shared" si="25"/>
        <v>-3.9963252506531348</v>
      </c>
      <c r="Z22">
        <f t="shared" si="25"/>
        <v>-0.71460701703750951</v>
      </c>
    </row>
    <row r="23" spans="1:26" ht="17">
      <c r="A23" s="2"/>
      <c r="B23" t="s">
        <v>2</v>
      </c>
      <c r="C23" s="3" t="s">
        <v>3</v>
      </c>
      <c r="D23" t="s">
        <v>4</v>
      </c>
      <c r="E23" s="12"/>
      <c r="F23" s="4" t="s">
        <v>65</v>
      </c>
      <c r="G23" s="4" t="s">
        <v>41</v>
      </c>
      <c r="H23" s="5" t="s">
        <v>59</v>
      </c>
      <c r="I23" s="5" t="s">
        <v>57</v>
      </c>
      <c r="J23" s="5" t="s">
        <v>62</v>
      </c>
      <c r="K23" s="5" t="s">
        <v>54</v>
      </c>
      <c r="L23" s="15"/>
      <c r="M23" t="s">
        <v>9</v>
      </c>
      <c r="N23" t="s">
        <v>10</v>
      </c>
      <c r="O23" t="s">
        <v>11</v>
      </c>
      <c r="P23" t="str">
        <f>CONCATENATE("/",E22,","," ","kj")</f>
        <v>/8, kj</v>
      </c>
      <c r="R23" t="s">
        <v>45</v>
      </c>
      <c r="S23" t="s">
        <v>66</v>
      </c>
      <c r="V23" t="s">
        <v>120</v>
      </c>
      <c r="W23">
        <f t="shared" ref="W23" si="27">LOG10(-W14)</f>
        <v>-6.4027291866236613</v>
      </c>
      <c r="X23">
        <v>-15</v>
      </c>
      <c r="Y23">
        <f t="shared" si="25"/>
        <v>-3.2348123433140334</v>
      </c>
      <c r="Z23">
        <f t="shared" si="25"/>
        <v>-0.97053573314714214</v>
      </c>
    </row>
    <row r="24" spans="1:26">
      <c r="B24" t="s">
        <v>116</v>
      </c>
      <c r="C24">
        <v>10.3</v>
      </c>
      <c r="D24">
        <f>C24+273</f>
        <v>283.3</v>
      </c>
      <c r="F24" s="15">
        <v>2.7599999999999999E-3</v>
      </c>
      <c r="G24" s="17">
        <v>4.8E-10</v>
      </c>
      <c r="H24" s="15">
        <v>-9.3165999999999993</v>
      </c>
      <c r="I24" s="15">
        <v>-2.7730000000000001</v>
      </c>
      <c r="J24" s="15">
        <v>-2.5078999999999998</v>
      </c>
      <c r="K24" s="15">
        <v>-7.6878000000000002</v>
      </c>
      <c r="M24">
        <f>J24+K24-I24-H24</f>
        <v>1.8938999999999986</v>
      </c>
      <c r="N24">
        <v>5.7710999999999997</v>
      </c>
      <c r="O24">
        <f t="shared" ref="O24:O29" si="28">-2.303*8.314*D24*(N24-M24)</f>
        <v>-21031.426796047926</v>
      </c>
      <c r="P24">
        <f t="shared" ref="P24:P29" si="29">O24/8/1000</f>
        <v>-2.628928349505991</v>
      </c>
      <c r="R24" s="43">
        <f>O24/1*G24</f>
        <v>-1.0095084862103004E-5</v>
      </c>
      <c r="S24">
        <f>O24/1*F24</f>
        <v>-58.046737957092276</v>
      </c>
      <c r="T24">
        <f t="shared" ref="T24:T29" si="30">IF(R24&gt;S24, R24,S24)</f>
        <v>-1.0095084862103004E-5</v>
      </c>
      <c r="V24" t="s">
        <v>121</v>
      </c>
      <c r="W24">
        <v>-15</v>
      </c>
      <c r="X24">
        <v>-15</v>
      </c>
      <c r="Y24">
        <f t="shared" si="25"/>
        <v>-3.5560170489091476</v>
      </c>
      <c r="Z24">
        <f t="shared" si="25"/>
        <v>-0.93529658404944305</v>
      </c>
    </row>
    <row r="25" spans="1:26">
      <c r="B25" t="s">
        <v>118</v>
      </c>
      <c r="C25">
        <v>12.4</v>
      </c>
      <c r="D25">
        <f t="shared" ref="D25:D29" si="31">C25+273</f>
        <v>285.39999999999998</v>
      </c>
      <c r="F25" s="15">
        <v>7.3720000000000003E-4</v>
      </c>
      <c r="G25" s="17">
        <v>3.703E-10</v>
      </c>
      <c r="H25" s="15">
        <v>-9.4304000000000006</v>
      </c>
      <c r="I25" s="15">
        <v>-3.3025000000000002</v>
      </c>
      <c r="J25" s="15">
        <v>-2.4064999999999999</v>
      </c>
      <c r="K25" s="15">
        <v>-6.4287999999999998</v>
      </c>
      <c r="M25">
        <f t="shared" ref="M25:M29" si="32">J25+K25-I25-H25</f>
        <v>3.8976000000000006</v>
      </c>
      <c r="N25">
        <v>5.7794999999999996</v>
      </c>
      <c r="O25">
        <f t="shared" si="28"/>
        <v>-10283.820063604913</v>
      </c>
      <c r="P25">
        <f t="shared" si="29"/>
        <v>-1.2854775079506142</v>
      </c>
      <c r="R25" s="43">
        <f t="shared" ref="R25:R29" si="33">O25/1*G25</f>
        <v>-3.8080985695528993E-6</v>
      </c>
      <c r="S25">
        <f t="shared" ref="S25:S29" si="34">O25/1*F25</f>
        <v>-7.5812321508895426</v>
      </c>
      <c r="T25">
        <f t="shared" si="30"/>
        <v>-3.8080985695528993E-6</v>
      </c>
      <c r="V25" t="s">
        <v>122</v>
      </c>
      <c r="W25">
        <f t="shared" ref="W25" si="35">LOG10(-W16)</f>
        <v>-5.7325713385745427</v>
      </c>
      <c r="X25">
        <v>-15</v>
      </c>
      <c r="Y25">
        <f t="shared" si="25"/>
        <v>-1.9713628088285566</v>
      </c>
      <c r="Z25">
        <f t="shared" si="25"/>
        <v>-0.67200033717260466</v>
      </c>
    </row>
    <row r="26" spans="1:26">
      <c r="B26" t="s">
        <v>119</v>
      </c>
      <c r="C26">
        <v>16.2</v>
      </c>
      <c r="D26">
        <f t="shared" si="31"/>
        <v>289.2</v>
      </c>
      <c r="F26" s="15">
        <v>1.17E-2</v>
      </c>
      <c r="G26" s="17">
        <v>4.293E-9</v>
      </c>
      <c r="H26" s="15">
        <v>-8.3609000000000009</v>
      </c>
      <c r="I26" s="15">
        <v>-2.2894999999999999</v>
      </c>
      <c r="J26" s="15">
        <v>-2.1855000000000002</v>
      </c>
      <c r="K26" s="15">
        <v>-6.9134000000000002</v>
      </c>
      <c r="M26">
        <f t="shared" si="32"/>
        <v>1.5515000000000008</v>
      </c>
      <c r="N26">
        <v>5.7938999999999998</v>
      </c>
      <c r="O26">
        <f t="shared" si="28"/>
        <v>-23491.668345855349</v>
      </c>
      <c r="P26">
        <f t="shared" si="29"/>
        <v>-2.9364585432319186</v>
      </c>
      <c r="R26" s="43">
        <f t="shared" si="33"/>
        <v>-1.0084973220875701E-4</v>
      </c>
      <c r="S26">
        <f t="shared" si="34"/>
        <v>-274.85251964650757</v>
      </c>
      <c r="T26">
        <f t="shared" si="30"/>
        <v>-1.0084973220875701E-4</v>
      </c>
    </row>
    <row r="27" spans="1:26">
      <c r="B27" t="s">
        <v>120</v>
      </c>
      <c r="C27">
        <v>22.5</v>
      </c>
      <c r="D27">
        <f t="shared" si="31"/>
        <v>295.5</v>
      </c>
      <c r="F27" s="15">
        <v>2.8E-3</v>
      </c>
      <c r="G27" s="17">
        <v>4.4850000000000001E-8</v>
      </c>
      <c r="H27" s="15">
        <v>-7.3457999999999997</v>
      </c>
      <c r="I27" s="15">
        <v>-2.8025000000000002</v>
      </c>
      <c r="J27" s="15">
        <v>-1.9494</v>
      </c>
      <c r="K27" s="15">
        <v>-4.6778000000000004</v>
      </c>
      <c r="M27">
        <f t="shared" si="32"/>
        <v>3.5210999999999997</v>
      </c>
      <c r="N27">
        <v>5.8159999999999998</v>
      </c>
      <c r="O27">
        <f t="shared" si="28"/>
        <v>-12984.499359948899</v>
      </c>
      <c r="P27">
        <f t="shared" si="29"/>
        <v>-1.6230624199936123</v>
      </c>
      <c r="R27" s="43">
        <f t="shared" si="33"/>
        <v>-5.8235479629370815E-4</v>
      </c>
      <c r="S27">
        <f t="shared" si="34"/>
        <v>-36.356598207856919</v>
      </c>
      <c r="T27">
        <f t="shared" si="30"/>
        <v>-5.8235479629370815E-4</v>
      </c>
    </row>
    <row r="28" spans="1:26">
      <c r="B28" t="s">
        <v>121</v>
      </c>
      <c r="C28">
        <v>31.7</v>
      </c>
      <c r="D28">
        <f t="shared" si="31"/>
        <v>304.7</v>
      </c>
      <c r="F28" s="15">
        <v>1.683E-3</v>
      </c>
      <c r="G28" s="17">
        <v>2.1570000000000001E-8</v>
      </c>
      <c r="H28" s="15">
        <v>-7.6642000000000001</v>
      </c>
      <c r="I28" s="15">
        <v>-3.0129000000000001</v>
      </c>
      <c r="J28" s="15">
        <v>-1.9497</v>
      </c>
      <c r="K28" s="15">
        <v>-5.0914000000000001</v>
      </c>
      <c r="M28">
        <f t="shared" si="32"/>
        <v>3.6360000000000001</v>
      </c>
      <c r="N28">
        <v>5.8448000000000002</v>
      </c>
      <c r="O28">
        <f t="shared" si="28"/>
        <v>-12886.435548953119</v>
      </c>
      <c r="P28">
        <f t="shared" si="29"/>
        <v>-1.6108044436191398</v>
      </c>
      <c r="R28" s="43">
        <f t="shared" si="33"/>
        <v>-2.7796041479091879E-4</v>
      </c>
      <c r="S28">
        <f t="shared" si="34"/>
        <v>-21.6878710288881</v>
      </c>
      <c r="T28">
        <f t="shared" si="30"/>
        <v>-2.7796041479091879E-4</v>
      </c>
    </row>
    <row r="29" spans="1:26">
      <c r="B29" t="s">
        <v>122</v>
      </c>
      <c r="C29">
        <v>21.5</v>
      </c>
      <c r="D29">
        <f t="shared" si="31"/>
        <v>294.5</v>
      </c>
      <c r="F29" s="15">
        <v>3.4810000000000001E-2</v>
      </c>
      <c r="G29" s="17">
        <v>3.1450000000000002E-7</v>
      </c>
      <c r="H29" s="15">
        <v>-6.4889000000000001</v>
      </c>
      <c r="I29" s="15">
        <v>-1.9358</v>
      </c>
      <c r="J29" s="15">
        <v>-2.7843</v>
      </c>
      <c r="K29" s="15">
        <v>-5.8509000000000002</v>
      </c>
      <c r="M29">
        <f t="shared" si="32"/>
        <v>-0.21050000000000058</v>
      </c>
      <c r="N29">
        <v>5.8127000000000004</v>
      </c>
      <c r="O29">
        <f t="shared" si="28"/>
        <v>-33963.820847000803</v>
      </c>
      <c r="P29">
        <f t="shared" si="29"/>
        <v>-4.2454776058751005</v>
      </c>
      <c r="R29" s="43">
        <f t="shared" si="33"/>
        <v>-1.0681621656381753E-2</v>
      </c>
      <c r="S29">
        <f t="shared" si="34"/>
        <v>-1182.280603684098</v>
      </c>
      <c r="T29">
        <f t="shared" si="30"/>
        <v>-1.0681621656381753E-2</v>
      </c>
    </row>
    <row r="32" spans="1:26">
      <c r="A32" s="2" t="s">
        <v>109</v>
      </c>
      <c r="E32">
        <v>8</v>
      </c>
    </row>
    <row r="33" spans="2:21" ht="17">
      <c r="B33" t="s">
        <v>2</v>
      </c>
      <c r="C33" s="3" t="s">
        <v>3</v>
      </c>
      <c r="D33" t="s">
        <v>4</v>
      </c>
      <c r="F33" s="4" t="s">
        <v>65</v>
      </c>
      <c r="G33" t="s">
        <v>102</v>
      </c>
      <c r="H33" s="5" t="s">
        <v>133</v>
      </c>
      <c r="I33" s="5" t="s">
        <v>57</v>
      </c>
      <c r="J33" s="5" t="s">
        <v>62</v>
      </c>
      <c r="K33" s="5" t="s">
        <v>54</v>
      </c>
      <c r="M33" t="s">
        <v>9</v>
      </c>
      <c r="N33" t="s">
        <v>10</v>
      </c>
      <c r="O33" t="s">
        <v>11</v>
      </c>
      <c r="P33" t="str">
        <f>CONCATENATE("/",E32,","," ","kj")</f>
        <v>/8, kj</v>
      </c>
      <c r="R33" t="s">
        <v>102</v>
      </c>
      <c r="S33" t="s">
        <v>66</v>
      </c>
    </row>
    <row r="34" spans="2:21">
      <c r="B34" t="s">
        <v>116</v>
      </c>
      <c r="C34">
        <v>10.3</v>
      </c>
      <c r="D34">
        <f>C34+273</f>
        <v>283.3</v>
      </c>
      <c r="F34" s="15">
        <v>2.7599999999999999E-3</v>
      </c>
      <c r="G34" s="17">
        <v>6.9500000000000004E-6</v>
      </c>
      <c r="H34" s="15">
        <v>-5.2103000000000002</v>
      </c>
      <c r="I34" s="15">
        <v>-2.7730000000000001</v>
      </c>
      <c r="J34" s="15">
        <v>-2.5078999999999998</v>
      </c>
      <c r="K34" s="15">
        <v>-7.6878000000000002</v>
      </c>
      <c r="M34">
        <f>2*J34+K34-H34-I34</f>
        <v>-4.7202999999999999</v>
      </c>
      <c r="N34">
        <v>5.5247000000000002</v>
      </c>
      <c r="O34">
        <f t="shared" ref="O34:O39" si="36">-2.303*8.314*D34*(N34-M34)</f>
        <v>-55572.827691507009</v>
      </c>
      <c r="P34">
        <f t="shared" ref="P34:P39" si="37">O34/8/1000</f>
        <v>-6.946603461438376</v>
      </c>
      <c r="R34" s="43">
        <f>O34/1*G34</f>
        <v>-0.38623115245597373</v>
      </c>
      <c r="S34">
        <f>O34/1*F34</f>
        <v>-153.38100442855935</v>
      </c>
      <c r="T34">
        <f t="shared" ref="T34:T39" si="38">IF(R34&gt;S34, R34,S34)</f>
        <v>-0.38623115245597373</v>
      </c>
    </row>
    <row r="35" spans="2:21">
      <c r="B35" t="s">
        <v>118</v>
      </c>
      <c r="C35">
        <v>12.4</v>
      </c>
      <c r="D35">
        <f t="shared" ref="D35:D39" si="39">C35+273</f>
        <v>285.39999999999998</v>
      </c>
      <c r="F35" s="15">
        <v>7.3720000000000003E-4</v>
      </c>
      <c r="G35" s="17">
        <v>6.8430000000000004E-6</v>
      </c>
      <c r="H35" s="15">
        <v>-5.2065000000000001</v>
      </c>
      <c r="I35" s="15">
        <v>-3.3025000000000002</v>
      </c>
      <c r="J35" s="15">
        <v>-2.4064999999999999</v>
      </c>
      <c r="K35" s="15">
        <v>-6.4287999999999998</v>
      </c>
      <c r="M35">
        <f t="shared" ref="M35:M39" si="40">2*J35+K35-H35-I35</f>
        <v>-2.7327999999999992</v>
      </c>
      <c r="N35">
        <v>5.5197000000000003</v>
      </c>
      <c r="O35">
        <f t="shared" si="36"/>
        <v>-45096.564681916992</v>
      </c>
      <c r="P35">
        <f t="shared" si="37"/>
        <v>-5.6370705852396243</v>
      </c>
      <c r="R35" s="43">
        <f t="shared" ref="R35:R39" si="41">O35/1*G35</f>
        <v>-0.30859579211835797</v>
      </c>
      <c r="S35">
        <f t="shared" ref="S35:S39" si="42">O35/1*F35</f>
        <v>-33.245187483509206</v>
      </c>
      <c r="T35">
        <f t="shared" si="38"/>
        <v>-0.30859579211835797</v>
      </c>
    </row>
    <row r="36" spans="2:21">
      <c r="B36" t="s">
        <v>119</v>
      </c>
      <c r="C36">
        <v>16.2</v>
      </c>
      <c r="D36">
        <f t="shared" si="39"/>
        <v>289.2</v>
      </c>
      <c r="F36" s="15">
        <v>1.17E-2</v>
      </c>
      <c r="G36" s="17">
        <v>3.8680000000000001E-6</v>
      </c>
      <c r="H36" s="15">
        <v>-5.4981</v>
      </c>
      <c r="I36" s="15">
        <v>-2.2894999999999999</v>
      </c>
      <c r="J36" s="15">
        <v>-2.1855000000000002</v>
      </c>
      <c r="K36" s="15">
        <v>-6.9134000000000002</v>
      </c>
      <c r="M36">
        <f t="shared" si="40"/>
        <v>-3.4968000000000017</v>
      </c>
      <c r="N36">
        <v>5.5106999999999999</v>
      </c>
      <c r="O36">
        <f t="shared" si="36"/>
        <v>-49877.711348598001</v>
      </c>
      <c r="P36">
        <f t="shared" si="37"/>
        <v>-6.2347139185747498</v>
      </c>
      <c r="R36" s="43">
        <f t="shared" si="41"/>
        <v>-0.19292698749637707</v>
      </c>
      <c r="S36">
        <f t="shared" si="42"/>
        <v>-583.56922277859667</v>
      </c>
      <c r="T36">
        <f t="shared" si="38"/>
        <v>-0.19292698749637707</v>
      </c>
    </row>
    <row r="37" spans="2:21">
      <c r="B37" t="s">
        <v>120</v>
      </c>
      <c r="C37">
        <v>22.5</v>
      </c>
      <c r="D37">
        <f t="shared" si="39"/>
        <v>295.5</v>
      </c>
      <c r="F37" s="15">
        <v>2.8E-3</v>
      </c>
      <c r="G37" s="17">
        <v>3.3019999999999999E-6</v>
      </c>
      <c r="H37" s="15">
        <v>-5.5418000000000003</v>
      </c>
      <c r="I37" s="15">
        <v>-2.8025000000000002</v>
      </c>
      <c r="J37" s="15">
        <v>-1.9494</v>
      </c>
      <c r="K37" s="15">
        <v>-4.6778000000000004</v>
      </c>
      <c r="M37">
        <f t="shared" si="40"/>
        <v>-0.2323000000000004</v>
      </c>
      <c r="N37">
        <v>5.4960000000000004</v>
      </c>
      <c r="O37">
        <f t="shared" si="36"/>
        <v>-32410.609474746299</v>
      </c>
      <c r="P37">
        <f t="shared" si="37"/>
        <v>-4.0513261843432877</v>
      </c>
      <c r="R37" s="43">
        <f t="shared" si="41"/>
        <v>-0.10701983248561228</v>
      </c>
      <c r="S37">
        <f t="shared" si="42"/>
        <v>-90.749706529289639</v>
      </c>
      <c r="T37">
        <f t="shared" si="38"/>
        <v>-0.10701983248561228</v>
      </c>
    </row>
    <row r="38" spans="2:21">
      <c r="B38" t="s">
        <v>121</v>
      </c>
      <c r="C38">
        <v>31.7</v>
      </c>
      <c r="D38">
        <f t="shared" si="39"/>
        <v>304.7</v>
      </c>
      <c r="F38" s="15">
        <v>1.683E-3</v>
      </c>
      <c r="G38" s="17">
        <v>3.36E-6</v>
      </c>
      <c r="H38" s="15">
        <v>-5.5317999999999996</v>
      </c>
      <c r="I38" s="15">
        <v>-3.0129000000000001</v>
      </c>
      <c r="J38" s="15">
        <v>-1.9497</v>
      </c>
      <c r="K38" s="15">
        <v>-5.0914000000000001</v>
      </c>
      <c r="M38">
        <f t="shared" si="40"/>
        <v>-0.44610000000000039</v>
      </c>
      <c r="N38">
        <v>5.4748000000000001</v>
      </c>
      <c r="O38">
        <f t="shared" si="36"/>
        <v>-34543.324991758658</v>
      </c>
      <c r="P38">
        <f t="shared" si="37"/>
        <v>-4.3179156239698324</v>
      </c>
      <c r="R38" s="43">
        <f t="shared" si="41"/>
        <v>-0.11606557197230909</v>
      </c>
      <c r="S38">
        <f t="shared" si="42"/>
        <v>-58.136415961129821</v>
      </c>
      <c r="T38">
        <f t="shared" si="38"/>
        <v>-0.11606557197230909</v>
      </c>
    </row>
    <row r="39" spans="2:21">
      <c r="B39" t="s">
        <v>122</v>
      </c>
      <c r="C39">
        <v>21.5</v>
      </c>
      <c r="D39">
        <f t="shared" si="39"/>
        <v>294.5</v>
      </c>
      <c r="F39" s="15">
        <v>3.4810000000000001E-2</v>
      </c>
      <c r="G39" s="17">
        <v>3.985E-6</v>
      </c>
      <c r="H39" s="15">
        <v>-5.5113000000000003</v>
      </c>
      <c r="I39" s="15">
        <v>-1.9358</v>
      </c>
      <c r="J39" s="15">
        <v>-2.7843</v>
      </c>
      <c r="K39" s="15">
        <v>-5.8509000000000002</v>
      </c>
      <c r="M39">
        <f t="shared" si="40"/>
        <v>-3.972399999999999</v>
      </c>
      <c r="N39">
        <v>5.4983000000000004</v>
      </c>
      <c r="O39">
        <f t="shared" si="36"/>
        <v>-53403.698714253289</v>
      </c>
      <c r="P39">
        <f t="shared" si="37"/>
        <v>-6.675462339281661</v>
      </c>
      <c r="R39" s="43">
        <f t="shared" si="41"/>
        <v>-0.21281373937629935</v>
      </c>
      <c r="S39">
        <f t="shared" si="42"/>
        <v>-1858.9827522431569</v>
      </c>
      <c r="T39">
        <f t="shared" si="38"/>
        <v>-0.21281373937629935</v>
      </c>
      <c r="U39" s="41"/>
    </row>
    <row r="40" spans="2:21">
      <c r="R40" s="14"/>
      <c r="S40" s="14"/>
      <c r="T40" s="14"/>
      <c r="U40" s="42"/>
    </row>
    <row r="41" spans="2:21">
      <c r="R41" s="15"/>
      <c r="S41" s="15"/>
      <c r="T41" s="15"/>
      <c r="U41" s="15"/>
    </row>
  </sheetData>
  <conditionalFormatting sqref="T4:T39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20:Z25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2:Z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F6180-3FE0-C540-B2EF-A95CF14D4C6D}">
  <dimension ref="A1:AL71"/>
  <sheetViews>
    <sheetView topLeftCell="D1" workbookViewId="0">
      <selection activeCell="X20" sqref="X20:X25"/>
    </sheetView>
  </sheetViews>
  <sheetFormatPr baseColWidth="10" defaultRowHeight="16"/>
  <cols>
    <col min="13" max="13" width="6.6640625" customWidth="1"/>
    <col min="16" max="16" width="12.6640625" customWidth="1"/>
    <col min="17" max="17" width="12.33203125" customWidth="1"/>
    <col min="18" max="18" width="4.83203125" customWidth="1"/>
    <col min="24" max="24" width="12.83203125" bestFit="1" customWidth="1"/>
  </cols>
  <sheetData>
    <row r="1" spans="1:38" ht="85">
      <c r="S1" s="7" t="s">
        <v>18</v>
      </c>
      <c r="T1" s="7" t="s">
        <v>19</v>
      </c>
      <c r="U1" t="s">
        <v>20</v>
      </c>
      <c r="W1" s="48" t="s">
        <v>136</v>
      </c>
      <c r="X1" s="46" t="s">
        <v>69</v>
      </c>
      <c r="Y1" s="46" t="s">
        <v>72</v>
      </c>
      <c r="Z1" s="46" t="s">
        <v>80</v>
      </c>
      <c r="AA1" s="46" t="s">
        <v>81</v>
      </c>
      <c r="AB1" s="46" t="s">
        <v>84</v>
      </c>
      <c r="AC1" s="46" t="s">
        <v>110</v>
      </c>
      <c r="AD1" s="25"/>
      <c r="AE1" s="25"/>
      <c r="AF1" s="25"/>
      <c r="AG1" s="25"/>
      <c r="AH1" s="25"/>
      <c r="AI1" s="25"/>
      <c r="AJ1" s="25"/>
      <c r="AK1" s="25"/>
      <c r="AL1" s="46" t="s">
        <v>110</v>
      </c>
    </row>
    <row r="2" spans="1:38" ht="17">
      <c r="A2" s="2" t="s">
        <v>69</v>
      </c>
      <c r="B2" s="15"/>
      <c r="C2" s="15"/>
      <c r="D2" s="15"/>
      <c r="E2" s="14">
        <v>8</v>
      </c>
      <c r="F2" s="14"/>
      <c r="G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7" t="s">
        <v>21</v>
      </c>
      <c r="T2" s="7" t="s">
        <v>21</v>
      </c>
      <c r="U2" t="s">
        <v>22</v>
      </c>
      <c r="W2" t="s">
        <v>116</v>
      </c>
      <c r="X2" s="45">
        <f>Q4</f>
        <v>-28.517892207640674</v>
      </c>
      <c r="Y2" s="45">
        <f>Q14</f>
        <v>29.015037122681402</v>
      </c>
      <c r="Z2" s="45">
        <f>Q24</f>
        <v>55.553028685057612</v>
      </c>
      <c r="AA2" s="45">
        <f>Q34</f>
        <v>14.839762162717449</v>
      </c>
      <c r="AB2" s="45">
        <f>Q44</f>
        <v>2.6289283495059905</v>
      </c>
      <c r="AC2" s="45">
        <f>Q54</f>
        <v>-4.3176751119323846</v>
      </c>
    </row>
    <row r="3" spans="1:38" ht="17">
      <c r="A3" s="20"/>
      <c r="B3" t="s">
        <v>2</v>
      </c>
      <c r="C3" s="3" t="s">
        <v>3</v>
      </c>
      <c r="D3" t="s">
        <v>4</v>
      </c>
      <c r="E3" s="16"/>
      <c r="F3" s="16"/>
      <c r="G3" s="4" t="s">
        <v>70</v>
      </c>
      <c r="H3" s="4" t="s">
        <v>5</v>
      </c>
      <c r="I3" s="5" t="s">
        <v>59</v>
      </c>
      <c r="J3" s="5" t="s">
        <v>7</v>
      </c>
      <c r="K3" s="5" t="s">
        <v>62</v>
      </c>
      <c r="L3" s="5" t="s">
        <v>27</v>
      </c>
      <c r="M3" s="15"/>
      <c r="N3" t="s">
        <v>9</v>
      </c>
      <c r="O3" t="s">
        <v>10</v>
      </c>
      <c r="P3" t="s">
        <v>11</v>
      </c>
      <c r="Q3" t="str">
        <f>CONCATENATE("/",E2,","," ","kj")</f>
        <v>/8, kj</v>
      </c>
      <c r="S3" t="s">
        <v>23</v>
      </c>
      <c r="T3" t="s">
        <v>71</v>
      </c>
      <c r="U3" t="s">
        <v>25</v>
      </c>
      <c r="W3" t="s">
        <v>118</v>
      </c>
      <c r="X3" s="45">
        <f t="shared" ref="X3:X7" si="0">Q5</f>
        <v>-28.383444470927415</v>
      </c>
      <c r="Y3" s="45">
        <f t="shared" ref="Y3:Y7" si="1">Q15</f>
        <v>28.847593451177186</v>
      </c>
      <c r="Z3" s="45">
        <f t="shared" ref="Z3:Z7" si="2">Q25</f>
        <v>56.986838862742943</v>
      </c>
      <c r="AA3" s="45">
        <f t="shared" ref="AA3:AA7" si="3">Q35</f>
        <v>12.919188985133303</v>
      </c>
      <c r="AB3" s="45">
        <f t="shared" ref="AB3:AB7" si="4">Q45</f>
        <v>1.2854775079506136</v>
      </c>
      <c r="AC3" s="45">
        <f t="shared" ref="AC3:AC7" si="5">Q55</f>
        <v>-4.3515930772890083</v>
      </c>
    </row>
    <row r="4" spans="1:38">
      <c r="B4" t="s">
        <v>116</v>
      </c>
      <c r="C4">
        <v>10.3</v>
      </c>
      <c r="D4">
        <f>C4+273</f>
        <v>283.3</v>
      </c>
      <c r="G4" s="15">
        <v>3.5019999999999999E-3</v>
      </c>
      <c r="H4" s="17">
        <v>1.2E-10</v>
      </c>
      <c r="I4" s="15">
        <v>-9.3165999999999993</v>
      </c>
      <c r="J4" s="17">
        <v>1.2E-10</v>
      </c>
      <c r="K4" s="15">
        <v>-2.5078999999999998</v>
      </c>
      <c r="L4" s="15">
        <v>-7.2</v>
      </c>
      <c r="N4" s="43">
        <f>I4-K4-L4-4*J4</f>
        <v>0.39129999952000022</v>
      </c>
      <c r="O4">
        <v>42.450099999999999</v>
      </c>
      <c r="P4" s="45">
        <f>-2.303*8.314*D4*(O4-N4)</f>
        <v>-228143.13766112539</v>
      </c>
      <c r="Q4" s="45">
        <f>P4/8/1000</f>
        <v>-28.517892207640674</v>
      </c>
      <c r="S4" s="43">
        <f>P4/4*H4</f>
        <v>-6.8442941298337617E-6</v>
      </c>
      <c r="T4">
        <f>P4/1*G4</f>
        <v>-798.95726808926111</v>
      </c>
      <c r="U4">
        <f t="shared" ref="U4:U9" si="6">IF(S4&gt;T4, S4,T4)</f>
        <v>-6.8442941298337617E-6</v>
      </c>
      <c r="W4" t="s">
        <v>119</v>
      </c>
      <c r="X4" s="45">
        <f t="shared" si="0"/>
        <v>-28.124841208858658</v>
      </c>
      <c r="Y4" s="45">
        <f t="shared" si="1"/>
        <v>30.054816541905954</v>
      </c>
      <c r="Z4" s="45">
        <f t="shared" si="2"/>
        <v>55.648256612851767</v>
      </c>
      <c r="AA4" s="45">
        <f t="shared" si="3"/>
        <v>13.625904108607138</v>
      </c>
      <c r="AB4" s="45">
        <f t="shared" si="4"/>
        <v>2.9364585432319195</v>
      </c>
      <c r="AC4" s="45">
        <f t="shared" si="5"/>
        <v>-3.2982553753428312</v>
      </c>
    </row>
    <row r="5" spans="1:38">
      <c r="B5" t="s">
        <v>118</v>
      </c>
      <c r="C5">
        <v>12.4</v>
      </c>
      <c r="D5">
        <f t="shared" ref="D5:D9" si="7">C5+273</f>
        <v>285.39999999999998</v>
      </c>
      <c r="G5" s="15">
        <v>4.3179999999999998E-3</v>
      </c>
      <c r="H5" s="17">
        <v>1.4010000000000001E-10</v>
      </c>
      <c r="I5" s="15">
        <v>-9.4304000000000006</v>
      </c>
      <c r="J5" s="17">
        <v>1.4010000000000001E-10</v>
      </c>
      <c r="K5" s="15">
        <v>-2.4064999999999999</v>
      </c>
      <c r="L5" s="15">
        <v>-7.6</v>
      </c>
      <c r="N5" s="43">
        <f t="shared" ref="N5:N9" si="8">I5-K5-L5-4*J5</f>
        <v>0.57609999943959855</v>
      </c>
      <c r="O5">
        <v>42.128599999999999</v>
      </c>
      <c r="P5" s="45">
        <f t="shared" ref="P5:P9" si="9">-2.303*8.314*D5*(O5-N5)</f>
        <v>-227067.55576741931</v>
      </c>
      <c r="Q5" s="45">
        <f t="shared" ref="Q5:Q9" si="10">P5/8/1000</f>
        <v>-28.383444470927415</v>
      </c>
      <c r="S5" s="43">
        <f t="shared" ref="S5:S9" si="11">P5/4*H5</f>
        <v>-7.9530411407538624E-6</v>
      </c>
      <c r="T5">
        <f t="shared" ref="T5:T9" si="12">P5/1*G5</f>
        <v>-980.4777058037165</v>
      </c>
      <c r="U5">
        <f t="shared" si="6"/>
        <v>-7.9530411407538624E-6</v>
      </c>
      <c r="W5" t="s">
        <v>120</v>
      </c>
      <c r="X5" s="45">
        <f t="shared" si="0"/>
        <v>-26.688835284642888</v>
      </c>
      <c r="Y5" s="45">
        <f t="shared" si="1"/>
        <v>40.992775687502593</v>
      </c>
      <c r="Z5" s="45">
        <f t="shared" si="2"/>
        <v>54.917914299092764</v>
      </c>
      <c r="AA5" s="45">
        <f t="shared" si="3"/>
        <v>12.927848830583139</v>
      </c>
      <c r="AB5" s="45">
        <f t="shared" si="4"/>
        <v>1.6230624199936137</v>
      </c>
      <c r="AC5" s="45">
        <f t="shared" si="5"/>
        <v>-2.4281930395939115</v>
      </c>
    </row>
    <row r="6" spans="1:38">
      <c r="B6" t="s">
        <v>119</v>
      </c>
      <c r="C6">
        <v>16.2</v>
      </c>
      <c r="D6">
        <f t="shared" si="7"/>
        <v>289.2</v>
      </c>
      <c r="G6" s="15">
        <v>7.9450000000000007E-3</v>
      </c>
      <c r="H6" s="17">
        <v>2.7020000000000001E-10</v>
      </c>
      <c r="I6" s="15">
        <v>-8.3609000000000009</v>
      </c>
      <c r="J6" s="17">
        <v>2.7020000000000001E-10</v>
      </c>
      <c r="K6" s="15">
        <v>-2.1855000000000002</v>
      </c>
      <c r="L6" s="15">
        <v>-7.1</v>
      </c>
      <c r="N6" s="43">
        <f t="shared" si="8"/>
        <v>0.92459999891919897</v>
      </c>
      <c r="O6">
        <v>41.557499999999997</v>
      </c>
      <c r="P6" s="45">
        <f t="shared" si="9"/>
        <v>-224998.72967086927</v>
      </c>
      <c r="Q6" s="45">
        <f t="shared" si="10"/>
        <v>-28.124841208858658</v>
      </c>
      <c r="S6" s="43">
        <f t="shared" si="11"/>
        <v>-1.5198664189267221E-5</v>
      </c>
      <c r="T6">
        <f t="shared" si="12"/>
        <v>-1787.6149072350565</v>
      </c>
      <c r="U6">
        <f t="shared" si="6"/>
        <v>-1.5198664189267221E-5</v>
      </c>
      <c r="W6" t="s">
        <v>121</v>
      </c>
      <c r="X6" s="45">
        <f t="shared" si="0"/>
        <v>-26.600807663521095</v>
      </c>
      <c r="Y6" s="45">
        <f t="shared" si="1"/>
        <v>35.724226673917521</v>
      </c>
      <c r="Z6" s="45">
        <f t="shared" si="2"/>
        <v>54.431523735039796</v>
      </c>
      <c r="AA6" s="45">
        <f t="shared" si="3"/>
        <v>16.133568773173774</v>
      </c>
      <c r="AB6" s="45">
        <f t="shared" si="4"/>
        <v>1.6108044436191407</v>
      </c>
      <c r="AC6" s="45">
        <f t="shared" si="5"/>
        <v>-2.7071111803506933</v>
      </c>
    </row>
    <row r="7" spans="1:38">
      <c r="B7" t="s">
        <v>120</v>
      </c>
      <c r="C7">
        <v>22.5</v>
      </c>
      <c r="D7">
        <f t="shared" si="7"/>
        <v>295.5</v>
      </c>
      <c r="G7" s="15">
        <v>1.2919999999999999E-2</v>
      </c>
      <c r="H7" s="17">
        <v>2.101E-10</v>
      </c>
      <c r="I7" s="15">
        <v>-7.3457999999999997</v>
      </c>
      <c r="J7" s="17">
        <v>2.101E-10</v>
      </c>
      <c r="K7" s="15">
        <v>-1.9494</v>
      </c>
      <c r="L7" s="15">
        <v>-8.3000000000000007</v>
      </c>
      <c r="N7" s="43">
        <f t="shared" si="8"/>
        <v>2.9035999991596007</v>
      </c>
      <c r="O7">
        <v>40.639800000000001</v>
      </c>
      <c r="P7" s="45">
        <f t="shared" si="9"/>
        <v>-213510.68227714312</v>
      </c>
      <c r="Q7" s="45">
        <f t="shared" si="10"/>
        <v>-26.688835284642888</v>
      </c>
      <c r="S7" s="43">
        <f t="shared" si="11"/>
        <v>-1.1214648586606942E-5</v>
      </c>
      <c r="T7">
        <f t="shared" si="12"/>
        <v>-2758.5580150206888</v>
      </c>
      <c r="U7">
        <f t="shared" si="6"/>
        <v>-1.1214648586606942E-5</v>
      </c>
      <c r="W7" t="s">
        <v>122</v>
      </c>
      <c r="X7" s="45">
        <f t="shared" si="0"/>
        <v>-25.648021896068421</v>
      </c>
      <c r="Y7" s="45">
        <f t="shared" si="1"/>
        <v>22.686788577749191</v>
      </c>
      <c r="Z7" s="45">
        <f t="shared" si="2"/>
        <v>56.740125903689105</v>
      </c>
      <c r="AA7" s="45">
        <f t="shared" si="3"/>
        <v>16.597201020311623</v>
      </c>
      <c r="AB7" s="45">
        <f t="shared" si="4"/>
        <v>4.2454776058751005</v>
      </c>
      <c r="AC7" s="45">
        <f t="shared" si="5"/>
        <v>-2.4299847334065618</v>
      </c>
    </row>
    <row r="8" spans="1:38">
      <c r="B8" t="s">
        <v>121</v>
      </c>
      <c r="C8">
        <v>31.7</v>
      </c>
      <c r="D8">
        <f t="shared" si="7"/>
        <v>304.7</v>
      </c>
      <c r="G8" s="15">
        <v>1.2829999999999999E-2</v>
      </c>
      <c r="H8" s="17">
        <v>2.0010000000000001E-10</v>
      </c>
      <c r="I8" s="15">
        <v>-7.6642000000000001</v>
      </c>
      <c r="J8" s="17">
        <v>2.0010000000000001E-10</v>
      </c>
      <c r="K8" s="15">
        <v>-1.9497</v>
      </c>
      <c r="L8" s="15">
        <v>-8.6</v>
      </c>
      <c r="N8" s="43">
        <f t="shared" si="8"/>
        <v>2.8854999991995993</v>
      </c>
      <c r="O8">
        <v>39.361600000000003</v>
      </c>
      <c r="P8" s="45">
        <f t="shared" si="9"/>
        <v>-212806.46130816877</v>
      </c>
      <c r="Q8" s="45">
        <f t="shared" si="10"/>
        <v>-26.600807663521095</v>
      </c>
      <c r="S8" s="43">
        <f t="shared" si="11"/>
        <v>-1.0645643226941143E-5</v>
      </c>
      <c r="T8">
        <f t="shared" si="12"/>
        <v>-2730.3068985838054</v>
      </c>
      <c r="U8">
        <f t="shared" si="6"/>
        <v>-1.0645643226941143E-5</v>
      </c>
    </row>
    <row r="9" spans="1:38">
      <c r="B9" t="s">
        <v>122</v>
      </c>
      <c r="C9">
        <v>21.5</v>
      </c>
      <c r="D9">
        <f t="shared" si="7"/>
        <v>294.5</v>
      </c>
      <c r="G9" s="15">
        <v>2.1250000000000002E-3</v>
      </c>
      <c r="H9" s="17">
        <v>3.0020000000000001E-10</v>
      </c>
      <c r="I9" s="15">
        <v>-6.4889000000000001</v>
      </c>
      <c r="J9" s="17">
        <v>3.0020000000000001E-10</v>
      </c>
      <c r="K9" s="15">
        <v>-2.7843</v>
      </c>
      <c r="L9" s="15">
        <v>-8.1</v>
      </c>
      <c r="N9" s="43">
        <f t="shared" si="8"/>
        <v>4.3953999987991992</v>
      </c>
      <c r="O9">
        <v>40.783099999999997</v>
      </c>
      <c r="P9" s="45">
        <f t="shared" si="9"/>
        <v>-205184.17516854737</v>
      </c>
      <c r="Q9" s="45">
        <f t="shared" si="10"/>
        <v>-25.648021896068421</v>
      </c>
      <c r="S9" s="43">
        <f t="shared" si="11"/>
        <v>-1.539907234639948E-5</v>
      </c>
      <c r="T9">
        <f t="shared" si="12"/>
        <v>-436.01637223316322</v>
      </c>
      <c r="U9">
        <f t="shared" si="6"/>
        <v>-1.539907234639948E-5</v>
      </c>
    </row>
    <row r="10" spans="1:38" ht="85">
      <c r="W10" s="48" t="s">
        <v>137</v>
      </c>
      <c r="X10" s="46" t="s">
        <v>69</v>
      </c>
      <c r="Y10" s="46" t="s">
        <v>72</v>
      </c>
      <c r="Z10" s="46" t="s">
        <v>80</v>
      </c>
      <c r="AA10" s="46" t="s">
        <v>81</v>
      </c>
      <c r="AB10" s="46" t="s">
        <v>84</v>
      </c>
      <c r="AC10" s="46" t="s">
        <v>110</v>
      </c>
    </row>
    <row r="11" spans="1:38">
      <c r="W11" t="s">
        <v>116</v>
      </c>
      <c r="X11">
        <f>U4</f>
        <v>-6.8442941298337617E-6</v>
      </c>
      <c r="Y11">
        <f>U14</f>
        <v>812.88528002904218</v>
      </c>
      <c r="Z11">
        <f>U24</f>
        <v>1556.3736516405738</v>
      </c>
      <c r="AA11">
        <f>U34</f>
        <v>415.75077675069201</v>
      </c>
      <c r="AB11">
        <f>U44</f>
        <v>73.65205663975982</v>
      </c>
      <c r="AC11">
        <f>U54</f>
        <v>-0.2400627362234406</v>
      </c>
    </row>
    <row r="12" spans="1:38">
      <c r="A12" s="2" t="s">
        <v>72</v>
      </c>
      <c r="B12" s="15"/>
      <c r="C12" s="15"/>
      <c r="D12" s="15"/>
      <c r="E12" s="14">
        <v>8</v>
      </c>
      <c r="F12" s="14"/>
      <c r="G12" s="15"/>
      <c r="H12" s="17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W12" t="s">
        <v>118</v>
      </c>
      <c r="X12">
        <f t="shared" ref="X12:X16" si="13">U5</f>
        <v>-7.9530411407538624E-6</v>
      </c>
      <c r="Y12">
        <f t="shared" ref="Y12:Y16" si="14">U15</f>
        <v>996.51126817746467</v>
      </c>
      <c r="Z12">
        <f t="shared" ref="Z12:Z16" si="15">U25</f>
        <v>1968.5533616745922</v>
      </c>
      <c r="AA12">
        <f t="shared" ref="AA12:AA16" si="16">U35</f>
        <v>446.28046430244484</v>
      </c>
      <c r="AB12">
        <f t="shared" ref="AB12:AB16" si="17">U45</f>
        <v>44.405535034645986</v>
      </c>
      <c r="AC12">
        <f t="shared" ref="AC12:AC16" si="18">U55</f>
        <v>-0.23822361142310952</v>
      </c>
    </row>
    <row r="13" spans="1:38" ht="17">
      <c r="A13" s="20"/>
      <c r="B13" t="s">
        <v>2</v>
      </c>
      <c r="C13" s="3" t="s">
        <v>3</v>
      </c>
      <c r="D13" t="s">
        <v>4</v>
      </c>
      <c r="E13" s="16"/>
      <c r="F13" s="16"/>
      <c r="G13" s="4" t="s">
        <v>28</v>
      </c>
      <c r="H13" s="4" t="s">
        <v>70</v>
      </c>
      <c r="I13" s="5" t="s">
        <v>59</v>
      </c>
      <c r="J13" s="5" t="s">
        <v>27</v>
      </c>
      <c r="K13" s="5" t="s">
        <v>62</v>
      </c>
      <c r="L13" s="5" t="s">
        <v>73</v>
      </c>
      <c r="M13" s="15"/>
      <c r="N13" t="s">
        <v>9</v>
      </c>
      <c r="O13" t="s">
        <v>10</v>
      </c>
      <c r="P13" t="s">
        <v>11</v>
      </c>
      <c r="Q13" t="str">
        <f>CONCATENATE("/",E12,","," ","kj")</f>
        <v>/8, kj</v>
      </c>
      <c r="S13" t="s">
        <v>74</v>
      </c>
      <c r="T13" t="s">
        <v>71</v>
      </c>
      <c r="U13" t="s">
        <v>25</v>
      </c>
      <c r="W13" t="s">
        <v>119</v>
      </c>
      <c r="X13">
        <f t="shared" si="13"/>
        <v>-1.5198664189267221E-5</v>
      </c>
      <c r="Y13">
        <f t="shared" si="14"/>
        <v>1910.2841394035427</v>
      </c>
      <c r="Z13">
        <f t="shared" si="15"/>
        <v>3537.0031903128584</v>
      </c>
      <c r="AA13">
        <f t="shared" si="16"/>
        <v>866.06246514306974</v>
      </c>
      <c r="AB13">
        <f t="shared" si="17"/>
        <v>186.64130500782082</v>
      </c>
      <c r="AC13">
        <f t="shared" si="18"/>
        <v>-0.10206121433460856</v>
      </c>
    </row>
    <row r="14" spans="1:38">
      <c r="B14" t="s">
        <v>116</v>
      </c>
      <c r="C14">
        <v>10.3</v>
      </c>
      <c r="D14">
        <f>C14+273</f>
        <v>283.3</v>
      </c>
      <c r="G14" s="17">
        <v>3.4499999999999998E-5</v>
      </c>
      <c r="H14" s="15">
        <v>3.5019999999999999E-3</v>
      </c>
      <c r="I14" s="15">
        <v>-9.3165999999999993</v>
      </c>
      <c r="J14" s="15">
        <v>-7.2</v>
      </c>
      <c r="K14" s="15">
        <v>-2.5078999999999998</v>
      </c>
      <c r="L14" s="15">
        <v>-4.6619000000000002</v>
      </c>
      <c r="N14">
        <f>15*J14+I14-K14-8*L14</f>
        <v>-77.513499999999993</v>
      </c>
      <c r="O14">
        <v>-120.30549999999999</v>
      </c>
      <c r="P14" s="45">
        <f t="shared" ref="P14:P19" si="19">-2.303*8.314*D14*(O14-N14)</f>
        <v>232120.29698145122</v>
      </c>
      <c r="Q14" s="45">
        <f t="shared" ref="Q14:Q19" si="20">P14/8/1000</f>
        <v>29.015037122681402</v>
      </c>
      <c r="S14" s="43">
        <f>P14/8*G14</f>
        <v>1.0010187807325084</v>
      </c>
      <c r="T14">
        <f>P14/1*H14</f>
        <v>812.88528002904218</v>
      </c>
      <c r="U14">
        <f t="shared" ref="U14:U19" si="21">IF(S14&gt;T14, S14,T14)</f>
        <v>812.88528002904218</v>
      </c>
      <c r="W14" t="s">
        <v>120</v>
      </c>
      <c r="X14">
        <f t="shared" si="13"/>
        <v>-1.1214648586606942E-5</v>
      </c>
      <c r="Y14">
        <f t="shared" si="14"/>
        <v>4237.0132950602683</v>
      </c>
      <c r="Z14">
        <f t="shared" si="15"/>
        <v>5676.3156219542279</v>
      </c>
      <c r="AA14">
        <f t="shared" si="16"/>
        <v>1336.2224551290733</v>
      </c>
      <c r="AB14">
        <f t="shared" si="17"/>
        <v>167.7597317305399</v>
      </c>
      <c r="AC14">
        <f t="shared" si="18"/>
        <v>-6.414314733391277E-2</v>
      </c>
    </row>
    <row r="15" spans="1:38">
      <c r="B15" t="s">
        <v>118</v>
      </c>
      <c r="C15">
        <v>12.4</v>
      </c>
      <c r="D15">
        <f t="shared" ref="D15:D19" si="22">C15+273</f>
        <v>285.39999999999998</v>
      </c>
      <c r="G15" s="17">
        <v>4.5600000000000004E-6</v>
      </c>
      <c r="H15" s="15">
        <v>4.3179999999999998E-3</v>
      </c>
      <c r="I15" s="15">
        <v>-9.4304000000000006</v>
      </c>
      <c r="J15" s="15">
        <v>-7.6</v>
      </c>
      <c r="K15" s="15">
        <v>-2.4064999999999999</v>
      </c>
      <c r="L15" s="15">
        <v>-5.5021000000000004</v>
      </c>
      <c r="N15">
        <f t="shared" ref="N15:N19" si="23">15*J15+I15-K15-8*L15</f>
        <v>-77.007100000000008</v>
      </c>
      <c r="O15">
        <v>-119.23909999999999</v>
      </c>
      <c r="P15" s="45">
        <f t="shared" si="19"/>
        <v>230780.74760941748</v>
      </c>
      <c r="Q15" s="45">
        <f t="shared" si="20"/>
        <v>28.847593451177186</v>
      </c>
      <c r="S15" s="43">
        <f t="shared" ref="S15:S19" si="24">P15/8*G15</f>
        <v>0.13154502613736799</v>
      </c>
      <c r="T15">
        <f t="shared" ref="T15:T19" si="25">P15/1*H15</f>
        <v>996.51126817746467</v>
      </c>
      <c r="U15">
        <f t="shared" si="21"/>
        <v>996.51126817746467</v>
      </c>
      <c r="W15" t="s">
        <v>121</v>
      </c>
      <c r="X15">
        <f t="shared" si="13"/>
        <v>-1.0645643226941143E-5</v>
      </c>
      <c r="Y15">
        <f t="shared" si="14"/>
        <v>3666.7346258108937</v>
      </c>
      <c r="Z15">
        <f t="shared" si="15"/>
        <v>5586.8515961644844</v>
      </c>
      <c r="AA15">
        <f t="shared" si="16"/>
        <v>1655.9494988785559</v>
      </c>
      <c r="AB15">
        <f t="shared" si="17"/>
        <v>165.33296809306859</v>
      </c>
      <c r="AC15">
        <f t="shared" si="18"/>
        <v>-7.2767148527826633E-2</v>
      </c>
    </row>
    <row r="16" spans="1:38">
      <c r="B16" t="s">
        <v>119</v>
      </c>
      <c r="C16">
        <v>16.2</v>
      </c>
      <c r="D16">
        <f t="shared" si="22"/>
        <v>289.2</v>
      </c>
      <c r="G16" s="17">
        <v>2.9940000000000001E-5</v>
      </c>
      <c r="H16" s="15">
        <v>7.9450000000000007E-3</v>
      </c>
      <c r="I16" s="15">
        <v>-8.3609000000000009</v>
      </c>
      <c r="J16" s="15">
        <v>-7.1</v>
      </c>
      <c r="K16" s="15">
        <v>-2.1855000000000002</v>
      </c>
      <c r="L16" s="15">
        <v>-4.8437999999999999</v>
      </c>
      <c r="N16">
        <f t="shared" si="23"/>
        <v>-73.924999999999997</v>
      </c>
      <c r="O16">
        <v>-117.3462</v>
      </c>
      <c r="P16" s="45">
        <f t="shared" si="19"/>
        <v>240438.53233524764</v>
      </c>
      <c r="Q16" s="45">
        <f t="shared" si="20"/>
        <v>30.054816541905954</v>
      </c>
      <c r="S16" s="43">
        <f t="shared" si="24"/>
        <v>0.89984120726466432</v>
      </c>
      <c r="T16">
        <f t="shared" si="25"/>
        <v>1910.2841394035427</v>
      </c>
      <c r="U16">
        <f t="shared" si="21"/>
        <v>1910.2841394035427</v>
      </c>
      <c r="W16" t="s">
        <v>122</v>
      </c>
      <c r="X16">
        <f t="shared" si="13"/>
        <v>-1.539907234639948E-5</v>
      </c>
      <c r="Y16">
        <f t="shared" si="14"/>
        <v>385.67540582173626</v>
      </c>
      <c r="Z16">
        <f t="shared" si="15"/>
        <v>964.58214036271488</v>
      </c>
      <c r="AA16">
        <f t="shared" si="16"/>
        <v>282.15241734529758</v>
      </c>
      <c r="AB16">
        <f t="shared" si="17"/>
        <v>72.173119299876717</v>
      </c>
      <c r="AC16">
        <f t="shared" si="18"/>
        <v>-7.7467913301001182E-2</v>
      </c>
    </row>
    <row r="17" spans="1:29">
      <c r="B17" t="s">
        <v>120</v>
      </c>
      <c r="C17">
        <v>22.5</v>
      </c>
      <c r="D17">
        <f t="shared" si="22"/>
        <v>295.5</v>
      </c>
      <c r="G17" s="17">
        <v>1.09E-9</v>
      </c>
      <c r="H17" s="15">
        <v>1.2919999999999999E-2</v>
      </c>
      <c r="I17" s="15">
        <v>-7.3457999999999997</v>
      </c>
      <c r="J17" s="15">
        <v>-8.3000000000000007</v>
      </c>
      <c r="K17" s="15">
        <v>-1.9494</v>
      </c>
      <c r="L17" s="15">
        <v>-9.1935000000000002</v>
      </c>
      <c r="N17">
        <f t="shared" si="23"/>
        <v>-56.348400000000026</v>
      </c>
      <c r="O17">
        <v>-114.3094</v>
      </c>
      <c r="P17" s="45">
        <f t="shared" si="19"/>
        <v>327942.20550002076</v>
      </c>
      <c r="Q17" s="45">
        <f t="shared" si="20"/>
        <v>40.992775687502593</v>
      </c>
      <c r="S17" s="43">
        <f t="shared" si="24"/>
        <v>4.4682125499377827E-5</v>
      </c>
      <c r="T17">
        <f t="shared" si="25"/>
        <v>4237.0132950602683</v>
      </c>
      <c r="U17">
        <f t="shared" si="21"/>
        <v>4237.0132950602683</v>
      </c>
    </row>
    <row r="18" spans="1:29">
      <c r="B18" t="s">
        <v>121</v>
      </c>
      <c r="C18">
        <v>31.7</v>
      </c>
      <c r="D18">
        <f t="shared" si="22"/>
        <v>304.7</v>
      </c>
      <c r="G18" s="17">
        <v>1.049E-9</v>
      </c>
      <c r="H18" s="15">
        <v>1.2829999999999999E-2</v>
      </c>
      <c r="I18" s="15">
        <v>-7.6642000000000001</v>
      </c>
      <c r="J18" s="15">
        <v>-8.6</v>
      </c>
      <c r="K18" s="15">
        <v>-1.9497</v>
      </c>
      <c r="L18" s="15">
        <v>-9.2012</v>
      </c>
      <c r="N18">
        <f t="shared" si="23"/>
        <v>-61.104899999999986</v>
      </c>
      <c r="O18">
        <v>-110.09139999999999</v>
      </c>
      <c r="P18" s="45">
        <f t="shared" si="19"/>
        <v>285793.81339134014</v>
      </c>
      <c r="Q18" s="45">
        <f t="shared" si="20"/>
        <v>35.724226673917521</v>
      </c>
      <c r="S18" s="43">
        <f t="shared" si="24"/>
        <v>3.7474713780939479E-5</v>
      </c>
      <c r="T18">
        <f t="shared" si="25"/>
        <v>3666.7346258108937</v>
      </c>
      <c r="U18">
        <f t="shared" si="21"/>
        <v>3666.7346258108937</v>
      </c>
    </row>
    <row r="19" spans="1:29" ht="85">
      <c r="B19" t="s">
        <v>122</v>
      </c>
      <c r="C19">
        <v>21.5</v>
      </c>
      <c r="D19">
        <f t="shared" si="22"/>
        <v>294.5</v>
      </c>
      <c r="G19" s="17">
        <v>1.22E-5</v>
      </c>
      <c r="H19" s="15">
        <v>2.1250000000000002E-3</v>
      </c>
      <c r="I19" s="15">
        <v>-6.4889000000000001</v>
      </c>
      <c r="J19" s="15">
        <v>-8.1</v>
      </c>
      <c r="K19" s="15">
        <v>-2.7843</v>
      </c>
      <c r="L19" s="15">
        <v>-5.3259999999999996</v>
      </c>
      <c r="N19">
        <f t="shared" si="23"/>
        <v>-82.596599999999995</v>
      </c>
      <c r="O19">
        <v>-114.7831</v>
      </c>
      <c r="P19" s="45">
        <f t="shared" si="19"/>
        <v>181494.30862199352</v>
      </c>
      <c r="Q19" s="45">
        <f t="shared" si="20"/>
        <v>22.686788577749191</v>
      </c>
      <c r="S19" s="43">
        <f t="shared" si="24"/>
        <v>0.27677882064854015</v>
      </c>
      <c r="T19">
        <f t="shared" si="25"/>
        <v>385.67540582173626</v>
      </c>
      <c r="U19">
        <f t="shared" si="21"/>
        <v>385.67540582173626</v>
      </c>
      <c r="W19" s="48" t="s">
        <v>138</v>
      </c>
      <c r="X19" s="46" t="s">
        <v>69</v>
      </c>
      <c r="Y19" s="46" t="s">
        <v>72</v>
      </c>
      <c r="Z19" s="46" t="s">
        <v>80</v>
      </c>
      <c r="AA19" s="46" t="s">
        <v>81</v>
      </c>
      <c r="AB19" s="46" t="s">
        <v>84</v>
      </c>
      <c r="AC19" s="46" t="s">
        <v>110</v>
      </c>
    </row>
    <row r="20" spans="1:29">
      <c r="W20" t="s">
        <v>116</v>
      </c>
      <c r="X20" s="15">
        <f>LOG10(-X11)</f>
        <v>-5.164671335159726</v>
      </c>
      <c r="Y20" s="15">
        <v>-15</v>
      </c>
      <c r="Z20" s="15">
        <v>-15</v>
      </c>
      <c r="AA20" s="15">
        <v>-15</v>
      </c>
      <c r="AB20" s="15">
        <v>-15</v>
      </c>
      <c r="AC20" s="15">
        <f t="shared" ref="AC20" si="26">LOG10(-AC11)</f>
        <v>-0.61967524814167796</v>
      </c>
    </row>
    <row r="21" spans="1:29">
      <c r="W21" t="s">
        <v>118</v>
      </c>
      <c r="X21" s="15">
        <f t="shared" ref="X21:AC25" si="27">LOG10(-X12)</f>
        <v>-5.0994667709539874</v>
      </c>
      <c r="Y21" s="15">
        <v>-15</v>
      </c>
      <c r="Z21" s="15">
        <v>-15</v>
      </c>
      <c r="AA21" s="15">
        <v>-15</v>
      </c>
      <c r="AB21" s="15">
        <v>-15</v>
      </c>
      <c r="AC21" s="15">
        <f t="shared" si="27"/>
        <v>-0.62301519582312404</v>
      </c>
    </row>
    <row r="22" spans="1:29">
      <c r="A22" s="2" t="s">
        <v>80</v>
      </c>
      <c r="B22" s="15"/>
      <c r="C22" s="15"/>
      <c r="D22" s="15"/>
      <c r="E22" s="14">
        <v>8</v>
      </c>
      <c r="F22" s="14"/>
      <c r="G22" s="15"/>
      <c r="H22" s="17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W22" t="s">
        <v>119</v>
      </c>
      <c r="X22" s="15">
        <f t="shared" si="27"/>
        <v>-4.8181945805238726</v>
      </c>
      <c r="Y22" s="15">
        <v>-15</v>
      </c>
      <c r="Z22" s="15">
        <v>-15</v>
      </c>
      <c r="AA22" s="15">
        <v>-15</v>
      </c>
      <c r="AB22" s="15">
        <v>-15</v>
      </c>
      <c r="AC22" s="15">
        <f t="shared" si="27"/>
        <v>-0.99113926869355551</v>
      </c>
    </row>
    <row r="23" spans="1:29" ht="17">
      <c r="A23" s="20"/>
      <c r="B23" t="s">
        <v>2</v>
      </c>
      <c r="C23" s="3" t="s">
        <v>3</v>
      </c>
      <c r="D23" t="s">
        <v>4</v>
      </c>
      <c r="E23" s="16"/>
      <c r="F23" s="4" t="s">
        <v>31</v>
      </c>
      <c r="G23" s="4" t="s">
        <v>70</v>
      </c>
      <c r="H23" s="5" t="s">
        <v>59</v>
      </c>
      <c r="I23" s="5" t="s">
        <v>27</v>
      </c>
      <c r="J23" s="5" t="s">
        <v>62</v>
      </c>
      <c r="K23" s="8" t="s">
        <v>77</v>
      </c>
      <c r="L23" s="8" t="s">
        <v>79</v>
      </c>
      <c r="M23" s="15"/>
      <c r="N23" t="s">
        <v>9</v>
      </c>
      <c r="O23" t="s">
        <v>10</v>
      </c>
      <c r="P23" t="s">
        <v>11</v>
      </c>
      <c r="Q23" t="str">
        <f>CONCATENATE("/",E22,","," ","kj")</f>
        <v>/8, kj</v>
      </c>
      <c r="S23" t="s">
        <v>78</v>
      </c>
      <c r="T23" t="s">
        <v>71</v>
      </c>
      <c r="U23" t="s">
        <v>25</v>
      </c>
      <c r="W23" t="s">
        <v>120</v>
      </c>
      <c r="X23" s="15">
        <f t="shared" si="27"/>
        <v>-4.9502143305775439</v>
      </c>
      <c r="Y23" s="15">
        <v>-15</v>
      </c>
      <c r="Z23" s="15">
        <v>-15</v>
      </c>
      <c r="AA23" s="15">
        <v>-15</v>
      </c>
      <c r="AB23" s="15">
        <v>-15</v>
      </c>
      <c r="AC23" s="15">
        <f t="shared" si="27"/>
        <v>-1.1928497342077633</v>
      </c>
    </row>
    <row r="24" spans="1:29">
      <c r="B24" t="s">
        <v>116</v>
      </c>
      <c r="C24">
        <v>10.3</v>
      </c>
      <c r="D24">
        <f>C24+273</f>
        <v>283.3</v>
      </c>
      <c r="F24" s="17">
        <v>5.4600000000000002E-6</v>
      </c>
      <c r="G24" s="15">
        <v>3.5019999999999999E-3</v>
      </c>
      <c r="H24" s="15">
        <v>-9.3165999999999993</v>
      </c>
      <c r="I24" s="15">
        <v>-7.2</v>
      </c>
      <c r="J24" s="15">
        <v>-2.5078999999999998</v>
      </c>
      <c r="K24" s="15">
        <v>-5.3193000000000001</v>
      </c>
      <c r="L24" s="15">
        <v>-5.3754</v>
      </c>
      <c r="N24">
        <f>L24+I24+H24-J24-K24</f>
        <v>-14.0648</v>
      </c>
      <c r="O24">
        <v>-95.995599999999996</v>
      </c>
      <c r="P24" s="45">
        <f t="shared" ref="P24:P29" si="28">-2.303*8.314*D24*(O24-N24)</f>
        <v>444424.22948046087</v>
      </c>
      <c r="Q24" s="45">
        <f t="shared" ref="Q24:Q29" si="29">P24/8/1000</f>
        <v>55.553028685057612</v>
      </c>
      <c r="S24" s="43">
        <f>P24/1*F24</f>
        <v>2.4265562929633164</v>
      </c>
      <c r="T24">
        <f>P24/1*G24</f>
        <v>1556.3736516405738</v>
      </c>
      <c r="U24">
        <f t="shared" ref="U24:U29" si="30">IF(S24&gt;T24, S24,T24)</f>
        <v>1556.3736516405738</v>
      </c>
      <c r="W24" t="s">
        <v>121</v>
      </c>
      <c r="X24" s="15">
        <f t="shared" si="27"/>
        <v>-4.9728280926595154</v>
      </c>
      <c r="Y24" s="15">
        <v>-15</v>
      </c>
      <c r="Z24" s="15">
        <v>-15</v>
      </c>
      <c r="AA24" s="15">
        <v>-15</v>
      </c>
      <c r="AB24" s="15">
        <v>-15</v>
      </c>
      <c r="AC24" s="15">
        <f t="shared" si="27"/>
        <v>-1.1380646431202357</v>
      </c>
    </row>
    <row r="25" spans="1:29">
      <c r="B25" t="s">
        <v>118</v>
      </c>
      <c r="C25">
        <v>12.4</v>
      </c>
      <c r="D25">
        <f t="shared" ref="D25:D29" si="31">C25+273</f>
        <v>285.39999999999998</v>
      </c>
      <c r="F25" s="17">
        <v>5.4839999999999997E-9</v>
      </c>
      <c r="G25" s="15">
        <v>4.3179999999999998E-3</v>
      </c>
      <c r="H25" s="15">
        <v>-9.4304000000000006</v>
      </c>
      <c r="I25" s="15">
        <v>-7.6</v>
      </c>
      <c r="J25" s="15">
        <v>-2.4064999999999999</v>
      </c>
      <c r="K25" s="15">
        <v>-8.3050999999999995</v>
      </c>
      <c r="L25" s="15">
        <v>-5.5373000000000001</v>
      </c>
      <c r="N25">
        <f t="shared" ref="N25:N29" si="32">L25+I25+H25-J25-K25</f>
        <v>-11.856100000000001</v>
      </c>
      <c r="O25">
        <v>-95.283100000000005</v>
      </c>
      <c r="P25" s="45">
        <f t="shared" si="28"/>
        <v>455894.71090194356</v>
      </c>
      <c r="Q25" s="45">
        <f t="shared" si="29"/>
        <v>56.986838862742943</v>
      </c>
      <c r="S25" s="43">
        <f t="shared" ref="S25:S29" si="33">P25/1*F25</f>
        <v>2.5001265945862584E-3</v>
      </c>
      <c r="T25">
        <f t="shared" ref="T25:T29" si="34">P25/1*G25</f>
        <v>1968.5533616745922</v>
      </c>
      <c r="U25">
        <f t="shared" si="30"/>
        <v>1968.5533616745922</v>
      </c>
      <c r="W25" t="s">
        <v>122</v>
      </c>
      <c r="X25" s="15">
        <f t="shared" si="27"/>
        <v>-4.8125054406553778</v>
      </c>
      <c r="Y25" s="15">
        <v>-15</v>
      </c>
      <c r="Z25" s="15">
        <v>-15</v>
      </c>
      <c r="AA25" s="15">
        <v>-15</v>
      </c>
      <c r="AB25" s="15">
        <v>-15</v>
      </c>
      <c r="AC25" s="15">
        <f t="shared" si="27"/>
        <v>-1.1108781421624341</v>
      </c>
    </row>
    <row r="26" spans="1:29">
      <c r="B26" t="s">
        <v>119</v>
      </c>
      <c r="C26">
        <v>16.2</v>
      </c>
      <c r="D26">
        <f t="shared" si="31"/>
        <v>289.2</v>
      </c>
      <c r="F26" s="17">
        <v>1.06E-5</v>
      </c>
      <c r="G26" s="15">
        <v>7.9450000000000007E-3</v>
      </c>
      <c r="H26" s="15">
        <v>-8.3609000000000009</v>
      </c>
      <c r="I26" s="15">
        <v>-7.1</v>
      </c>
      <c r="J26" s="15">
        <v>-2.1855000000000002</v>
      </c>
      <c r="K26" s="15">
        <v>-5.0713999999999997</v>
      </c>
      <c r="L26" s="15">
        <v>-5.4179000000000004</v>
      </c>
      <c r="N26">
        <f t="shared" si="32"/>
        <v>-13.6219</v>
      </c>
      <c r="O26">
        <v>-94.018799999999999</v>
      </c>
      <c r="P26" s="45">
        <f t="shared" si="28"/>
        <v>445186.05290281412</v>
      </c>
      <c r="Q26" s="45">
        <f t="shared" si="29"/>
        <v>55.648256612851767</v>
      </c>
      <c r="S26" s="43">
        <f t="shared" si="33"/>
        <v>4.7189721607698294</v>
      </c>
      <c r="T26">
        <f t="shared" si="34"/>
        <v>3537.0031903128584</v>
      </c>
      <c r="U26">
        <f t="shared" si="30"/>
        <v>3537.0031903128584</v>
      </c>
    </row>
    <row r="27" spans="1:29">
      <c r="B27" t="s">
        <v>120</v>
      </c>
      <c r="C27">
        <v>22.5</v>
      </c>
      <c r="D27">
        <f t="shared" si="31"/>
        <v>295.5</v>
      </c>
      <c r="F27" s="17">
        <v>7.1320000000000002E-5</v>
      </c>
      <c r="G27" s="15">
        <v>1.2919999999999999E-2</v>
      </c>
      <c r="H27" s="15">
        <v>-7.3457999999999997</v>
      </c>
      <c r="I27" s="15">
        <v>-8.3000000000000007</v>
      </c>
      <c r="J27" s="15">
        <v>-1.9494</v>
      </c>
      <c r="K27" s="15">
        <v>-4.2126999999999999</v>
      </c>
      <c r="L27" s="15">
        <v>-4.8569000000000004</v>
      </c>
      <c r="N27">
        <f t="shared" si="32"/>
        <v>-14.3406</v>
      </c>
      <c r="O27">
        <v>-91.990799999999993</v>
      </c>
      <c r="P27" s="45">
        <f t="shared" si="28"/>
        <v>439343.31439274212</v>
      </c>
      <c r="Q27" s="45">
        <f t="shared" si="29"/>
        <v>54.917914299092764</v>
      </c>
      <c r="S27" s="43">
        <f t="shared" si="33"/>
        <v>31.333965182490367</v>
      </c>
      <c r="T27">
        <f t="shared" si="34"/>
        <v>5676.3156219542279</v>
      </c>
      <c r="U27">
        <f t="shared" si="30"/>
        <v>5676.3156219542279</v>
      </c>
    </row>
    <row r="28" spans="1:29">
      <c r="B28" t="s">
        <v>121</v>
      </c>
      <c r="C28">
        <v>31.7</v>
      </c>
      <c r="D28">
        <f t="shared" si="31"/>
        <v>304.7</v>
      </c>
      <c r="F28" s="17">
        <v>2.1489999999999999E-5</v>
      </c>
      <c r="G28" s="15">
        <v>1.2829999999999999E-2</v>
      </c>
      <c r="H28" s="15">
        <v>-7.6642000000000001</v>
      </c>
      <c r="I28" s="15">
        <v>-8.6</v>
      </c>
      <c r="J28" s="15">
        <v>-1.9497</v>
      </c>
      <c r="K28" s="15">
        <v>-4.7306999999999997</v>
      </c>
      <c r="L28" s="15">
        <v>-4.9508000000000001</v>
      </c>
      <c r="N28">
        <f t="shared" si="32"/>
        <v>-14.534600000000001</v>
      </c>
      <c r="O28">
        <v>-89.173299999999998</v>
      </c>
      <c r="P28" s="45">
        <f t="shared" si="28"/>
        <v>435452.18988031836</v>
      </c>
      <c r="Q28" s="45">
        <f t="shared" si="29"/>
        <v>54.431523735039796</v>
      </c>
      <c r="S28" s="43">
        <f t="shared" si="33"/>
        <v>9.3578675605280406</v>
      </c>
      <c r="T28">
        <f t="shared" si="34"/>
        <v>5586.8515961644844</v>
      </c>
      <c r="U28">
        <f t="shared" si="30"/>
        <v>5586.8515961644844</v>
      </c>
    </row>
    <row r="29" spans="1:29">
      <c r="B29" t="s">
        <v>122</v>
      </c>
      <c r="C29">
        <v>21.5</v>
      </c>
      <c r="D29">
        <f t="shared" si="31"/>
        <v>294.5</v>
      </c>
      <c r="F29" s="17">
        <v>4.887E-6</v>
      </c>
      <c r="G29" s="15">
        <v>2.1250000000000002E-3</v>
      </c>
      <c r="H29" s="15">
        <v>-6.4889000000000001</v>
      </c>
      <c r="I29" s="15">
        <v>-8.1</v>
      </c>
      <c r="J29" s="15">
        <v>-2.7843</v>
      </c>
      <c r="K29" s="15">
        <v>-5.4432</v>
      </c>
      <c r="L29" s="15">
        <v>-5.4466999999999999</v>
      </c>
      <c r="N29">
        <f t="shared" si="32"/>
        <v>-11.8081</v>
      </c>
      <c r="O29">
        <v>-92.307199999999995</v>
      </c>
      <c r="P29" s="45">
        <f t="shared" si="28"/>
        <v>453921.00722951285</v>
      </c>
      <c r="Q29" s="45">
        <f t="shared" si="29"/>
        <v>56.740125903689105</v>
      </c>
      <c r="S29" s="43">
        <f t="shared" si="33"/>
        <v>2.2183119623306293</v>
      </c>
      <c r="T29">
        <f t="shared" si="34"/>
        <v>964.58214036271488</v>
      </c>
      <c r="U29">
        <f t="shared" si="30"/>
        <v>964.58214036271488</v>
      </c>
    </row>
    <row r="32" spans="1:29">
      <c r="A32" s="2" t="s">
        <v>81</v>
      </c>
      <c r="B32" s="15"/>
      <c r="C32" s="15"/>
      <c r="D32" s="15"/>
      <c r="E32" s="14">
        <v>8</v>
      </c>
      <c r="F32" s="14"/>
      <c r="G32" s="15"/>
      <c r="H32" s="17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</row>
    <row r="33" spans="1:21" ht="17">
      <c r="A33" s="20"/>
      <c r="B33" t="s">
        <v>2</v>
      </c>
      <c r="C33" s="3" t="s">
        <v>3</v>
      </c>
      <c r="D33" t="s">
        <v>4</v>
      </c>
      <c r="E33" s="16"/>
      <c r="F33" s="4" t="s">
        <v>36</v>
      </c>
      <c r="G33" s="4" t="s">
        <v>70</v>
      </c>
      <c r="H33" s="5" t="s">
        <v>59</v>
      </c>
      <c r="I33" s="5" t="s">
        <v>27</v>
      </c>
      <c r="J33" s="5" t="s">
        <v>62</v>
      </c>
      <c r="K33" s="8" t="s">
        <v>82</v>
      </c>
      <c r="L33" s="15"/>
      <c r="M33" s="15"/>
      <c r="N33" t="s">
        <v>9</v>
      </c>
      <c r="O33" t="s">
        <v>10</v>
      </c>
      <c r="P33" t="s">
        <v>11</v>
      </c>
      <c r="Q33" t="str">
        <f>CONCATENATE("/",E32,","," ","kj")</f>
        <v>/8, kj</v>
      </c>
      <c r="S33" t="s">
        <v>83</v>
      </c>
      <c r="T33" t="s">
        <v>71</v>
      </c>
      <c r="U33" t="s">
        <v>25</v>
      </c>
    </row>
    <row r="34" spans="1:21">
      <c r="B34" t="s">
        <v>116</v>
      </c>
      <c r="C34">
        <v>10.3</v>
      </c>
      <c r="D34">
        <f>C34+273</f>
        <v>283.3</v>
      </c>
      <c r="F34" s="17">
        <v>2.33E-8</v>
      </c>
      <c r="G34" s="15">
        <v>3.5019999999999999E-3</v>
      </c>
      <c r="H34" s="15">
        <v>-9.3165999999999993</v>
      </c>
      <c r="I34" s="15">
        <v>-7.2</v>
      </c>
      <c r="J34" s="15">
        <v>-2.5078999999999998</v>
      </c>
      <c r="K34" s="15">
        <v>-7.6878000000000002</v>
      </c>
      <c r="N34">
        <f>H34-J34-5*I34-4*K34</f>
        <v>59.942499999999995</v>
      </c>
      <c r="O34">
        <v>38.0565</v>
      </c>
      <c r="P34" s="45">
        <f t="shared" ref="P34:P39" si="35">-2.303*8.314*D34*(O34-N34)</f>
        <v>118718.09730173959</v>
      </c>
      <c r="Q34" s="45">
        <f t="shared" ref="Q34:Q39" si="36">P34/8/1000</f>
        <v>14.839762162717449</v>
      </c>
      <c r="S34" s="43">
        <f>P34/4*F34</f>
        <v>6.9153291678263312E-4</v>
      </c>
      <c r="T34">
        <f>P34/1*G34</f>
        <v>415.75077675069201</v>
      </c>
      <c r="U34">
        <f t="shared" ref="U34:U39" si="37">IF(S34&gt;T34, S34,T34)</f>
        <v>415.75077675069201</v>
      </c>
    </row>
    <row r="35" spans="1:21">
      <c r="B35" t="s">
        <v>118</v>
      </c>
      <c r="C35">
        <v>12.4</v>
      </c>
      <c r="D35">
        <f t="shared" ref="D35:D39" si="38">C35+273</f>
        <v>285.39999999999998</v>
      </c>
      <c r="F35" s="17">
        <v>4.1129999999999998E-7</v>
      </c>
      <c r="G35" s="15">
        <v>4.3179999999999998E-3</v>
      </c>
      <c r="H35" s="15">
        <v>-9.4304000000000006</v>
      </c>
      <c r="I35" s="15">
        <v>-7.6</v>
      </c>
      <c r="J35" s="15">
        <v>-2.4064999999999999</v>
      </c>
      <c r="K35" s="15">
        <v>-6.4287999999999998</v>
      </c>
      <c r="N35">
        <f t="shared" ref="N35:N39" si="39">H35-J35-5*I35-4*K35</f>
        <v>56.691299999999998</v>
      </c>
      <c r="O35">
        <v>37.777999999999999</v>
      </c>
      <c r="P35" s="45">
        <f t="shared" si="35"/>
        <v>103353.51188106643</v>
      </c>
      <c r="Q35" s="45">
        <f t="shared" si="36"/>
        <v>12.919188985133303</v>
      </c>
      <c r="S35" s="43">
        <f t="shared" ref="S35:S39" si="40">P35/4*F35</f>
        <v>1.0627324859170655E-2</v>
      </c>
      <c r="T35">
        <f t="shared" ref="T35:T39" si="41">P35/1*G35</f>
        <v>446.28046430244484</v>
      </c>
      <c r="U35">
        <f t="shared" si="37"/>
        <v>446.28046430244484</v>
      </c>
    </row>
    <row r="36" spans="1:21">
      <c r="B36" t="s">
        <v>119</v>
      </c>
      <c r="C36">
        <v>16.2</v>
      </c>
      <c r="D36">
        <f t="shared" si="38"/>
        <v>289.2</v>
      </c>
      <c r="F36" s="17">
        <v>1.505E-7</v>
      </c>
      <c r="G36" s="15">
        <v>7.9450000000000007E-3</v>
      </c>
      <c r="H36" s="15">
        <v>-8.3609000000000009</v>
      </c>
      <c r="I36" s="15">
        <v>-7.1</v>
      </c>
      <c r="J36" s="15">
        <v>-2.1855000000000002</v>
      </c>
      <c r="K36" s="15">
        <v>-6.9134000000000002</v>
      </c>
      <c r="N36">
        <f t="shared" si="39"/>
        <v>56.978200000000001</v>
      </c>
      <c r="O36">
        <v>37.292400000000001</v>
      </c>
      <c r="P36" s="45">
        <f t="shared" si="35"/>
        <v>109007.2328688571</v>
      </c>
      <c r="Q36" s="45">
        <f t="shared" si="36"/>
        <v>13.625904108607138</v>
      </c>
      <c r="S36" s="43">
        <f t="shared" si="40"/>
        <v>4.1013971366907487E-3</v>
      </c>
      <c r="T36">
        <f t="shared" si="41"/>
        <v>866.06246514306974</v>
      </c>
      <c r="U36">
        <f t="shared" si="37"/>
        <v>866.06246514306974</v>
      </c>
    </row>
    <row r="37" spans="1:21">
      <c r="B37" t="s">
        <v>120</v>
      </c>
      <c r="C37">
        <v>22.5</v>
      </c>
      <c r="D37">
        <f t="shared" si="38"/>
        <v>295.5</v>
      </c>
      <c r="F37" s="17">
        <v>2.429E-5</v>
      </c>
      <c r="G37" s="15">
        <v>1.2919999999999999E-2</v>
      </c>
      <c r="H37" s="15">
        <v>-7.3457999999999997</v>
      </c>
      <c r="I37" s="15">
        <v>-8.3000000000000007</v>
      </c>
      <c r="J37" s="15">
        <v>-1.9494</v>
      </c>
      <c r="K37" s="15">
        <v>-4.6778000000000004</v>
      </c>
      <c r="N37">
        <f t="shared" si="39"/>
        <v>54.814800000000005</v>
      </c>
      <c r="O37">
        <v>36.535699999999999</v>
      </c>
      <c r="P37" s="45">
        <f t="shared" si="35"/>
        <v>103422.79064466512</v>
      </c>
      <c r="Q37" s="45">
        <f t="shared" si="36"/>
        <v>12.927848830583139</v>
      </c>
      <c r="S37" s="43">
        <f t="shared" si="40"/>
        <v>0.62803489618972896</v>
      </c>
      <c r="T37">
        <f t="shared" si="41"/>
        <v>1336.2224551290733</v>
      </c>
      <c r="U37">
        <f t="shared" si="37"/>
        <v>1336.2224551290733</v>
      </c>
    </row>
    <row r="38" spans="1:21">
      <c r="B38" t="s">
        <v>121</v>
      </c>
      <c r="C38">
        <v>31.7</v>
      </c>
      <c r="D38">
        <f t="shared" si="38"/>
        <v>304.7</v>
      </c>
      <c r="F38" s="17">
        <v>9.3100000000000006E-6</v>
      </c>
      <c r="G38" s="15">
        <v>1.2829999999999999E-2</v>
      </c>
      <c r="H38" s="15">
        <v>-7.6642000000000001</v>
      </c>
      <c r="I38" s="15">
        <v>-8.6</v>
      </c>
      <c r="J38" s="15">
        <v>-1.9497</v>
      </c>
      <c r="K38" s="15">
        <v>-5.0914000000000001</v>
      </c>
      <c r="N38">
        <f t="shared" si="39"/>
        <v>57.6511</v>
      </c>
      <c r="O38">
        <v>35.528100000000002</v>
      </c>
      <c r="P38" s="45">
        <f t="shared" si="35"/>
        <v>129068.55018539018</v>
      </c>
      <c r="Q38" s="45">
        <f t="shared" si="36"/>
        <v>16.133568773173774</v>
      </c>
      <c r="S38" s="43">
        <f t="shared" si="40"/>
        <v>0.30040705055649569</v>
      </c>
      <c r="T38">
        <f t="shared" si="41"/>
        <v>1655.9494988785559</v>
      </c>
      <c r="U38">
        <f t="shared" si="37"/>
        <v>1655.9494988785559</v>
      </c>
    </row>
    <row r="39" spans="1:21">
      <c r="B39" t="s">
        <v>122</v>
      </c>
      <c r="C39">
        <v>21.5</v>
      </c>
      <c r="D39">
        <f t="shared" si="38"/>
        <v>294.5</v>
      </c>
      <c r="F39" s="17">
        <v>1.863E-6</v>
      </c>
      <c r="G39" s="15">
        <v>2.1250000000000002E-3</v>
      </c>
      <c r="H39" s="15">
        <v>-6.4889000000000001</v>
      </c>
      <c r="I39" s="15">
        <v>-8.1</v>
      </c>
      <c r="J39" s="15">
        <v>-2.7843</v>
      </c>
      <c r="K39" s="15">
        <v>-5.8509000000000002</v>
      </c>
      <c r="N39">
        <f t="shared" si="39"/>
        <v>60.198999999999998</v>
      </c>
      <c r="O39">
        <v>36.652000000000001</v>
      </c>
      <c r="P39" s="45">
        <f t="shared" si="35"/>
        <v>132777.60816249298</v>
      </c>
      <c r="Q39" s="45">
        <f t="shared" si="36"/>
        <v>16.597201020311623</v>
      </c>
      <c r="S39" s="43">
        <f t="shared" si="40"/>
        <v>6.1841171001681107E-2</v>
      </c>
      <c r="T39">
        <f t="shared" si="41"/>
        <v>282.15241734529758</v>
      </c>
      <c r="U39">
        <f t="shared" si="37"/>
        <v>282.15241734529758</v>
      </c>
    </row>
    <row r="42" spans="1:21">
      <c r="A42" s="2" t="s">
        <v>84</v>
      </c>
      <c r="B42" s="15"/>
      <c r="C42" s="15"/>
      <c r="D42" s="15"/>
      <c r="E42" s="14">
        <v>8</v>
      </c>
      <c r="F42" s="14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</row>
    <row r="43" spans="1:21" ht="17">
      <c r="A43" s="20"/>
      <c r="B43" t="s">
        <v>2</v>
      </c>
      <c r="C43" s="3" t="s">
        <v>3</v>
      </c>
      <c r="D43" t="s">
        <v>4</v>
      </c>
      <c r="E43" s="16"/>
      <c r="F43" s="4" t="s">
        <v>36</v>
      </c>
      <c r="G43" s="4" t="s">
        <v>70</v>
      </c>
      <c r="H43" s="5" t="s">
        <v>59</v>
      </c>
      <c r="I43" s="5" t="s">
        <v>62</v>
      </c>
      <c r="J43" s="8" t="s">
        <v>82</v>
      </c>
      <c r="K43" s="8" t="s">
        <v>85</v>
      </c>
      <c r="L43" s="15"/>
      <c r="M43" s="15"/>
      <c r="N43" t="s">
        <v>9</v>
      </c>
      <c r="O43" t="s">
        <v>10</v>
      </c>
      <c r="P43" t="s">
        <v>11</v>
      </c>
      <c r="Q43" t="str">
        <f>CONCATENATE("/",E42,","," ","kj")</f>
        <v>/8, kj</v>
      </c>
      <c r="S43" t="s">
        <v>83</v>
      </c>
      <c r="T43" t="s">
        <v>71</v>
      </c>
      <c r="U43" t="s">
        <v>25</v>
      </c>
    </row>
    <row r="44" spans="1:21">
      <c r="B44" t="s">
        <v>116</v>
      </c>
      <c r="C44">
        <v>10.3</v>
      </c>
      <c r="D44">
        <f>C44+273</f>
        <v>283.3</v>
      </c>
      <c r="F44" s="17">
        <v>2.33E-8</v>
      </c>
      <c r="G44" s="15">
        <v>3.5019999999999999E-3</v>
      </c>
      <c r="H44" s="15">
        <v>-9.3165999999999993</v>
      </c>
      <c r="I44" s="15">
        <v>-2.5078999999999998</v>
      </c>
      <c r="J44" s="15">
        <v>-7.6878000000000002</v>
      </c>
      <c r="K44" s="15">
        <v>-2.7730000000000001</v>
      </c>
      <c r="N44">
        <f>K44+H44-I44-J44</f>
        <v>-1.8938999999999995</v>
      </c>
      <c r="O44">
        <v>-5.7710999999999997</v>
      </c>
      <c r="P44" s="45">
        <f t="shared" ref="P44:P49" si="42">-2.303*8.314*D44*(O44-N44)</f>
        <v>21031.426796047923</v>
      </c>
      <c r="Q44" s="45">
        <f t="shared" ref="Q44:Q49" si="43">P44/8/1000</f>
        <v>2.6289283495059905</v>
      </c>
      <c r="S44" s="43">
        <f>P44/1*F44</f>
        <v>4.9003224434791663E-4</v>
      </c>
      <c r="T44">
        <f>P44/1*G44</f>
        <v>73.65205663975982</v>
      </c>
      <c r="U44">
        <f t="shared" ref="U44:U49" si="44">IF(S44&gt;T44, S44,T44)</f>
        <v>73.65205663975982</v>
      </c>
    </row>
    <row r="45" spans="1:21">
      <c r="B45" t="s">
        <v>118</v>
      </c>
      <c r="C45">
        <v>12.4</v>
      </c>
      <c r="D45">
        <f t="shared" ref="D45:D49" si="45">C45+273</f>
        <v>285.39999999999998</v>
      </c>
      <c r="F45" s="17">
        <v>4.1129999999999998E-7</v>
      </c>
      <c r="G45" s="15">
        <v>4.3179999999999998E-3</v>
      </c>
      <c r="H45" s="15">
        <v>-9.4304000000000006</v>
      </c>
      <c r="I45" s="15">
        <v>-2.4064999999999999</v>
      </c>
      <c r="J45" s="15">
        <v>-6.4287999999999998</v>
      </c>
      <c r="K45" s="15">
        <v>-3.3025000000000002</v>
      </c>
      <c r="N45">
        <f t="shared" ref="N45:N49" si="46">K45+H45-I45-J45</f>
        <v>-3.8976000000000015</v>
      </c>
      <c r="O45">
        <v>-5.7794999999999996</v>
      </c>
      <c r="P45" s="45">
        <f t="shared" si="42"/>
        <v>10283.820063604908</v>
      </c>
      <c r="Q45" s="45">
        <f t="shared" si="43"/>
        <v>1.2854775079506136</v>
      </c>
      <c r="S45" s="43">
        <f t="shared" ref="S45:S49" si="47">P45/1*F45</f>
        <v>4.229735192160698E-3</v>
      </c>
      <c r="T45">
        <f t="shared" ref="T45:T49" si="48">P45/1*G45</f>
        <v>44.405535034645986</v>
      </c>
      <c r="U45">
        <f t="shared" si="44"/>
        <v>44.405535034645986</v>
      </c>
    </row>
    <row r="46" spans="1:21">
      <c r="B46" t="s">
        <v>119</v>
      </c>
      <c r="C46">
        <v>16.2</v>
      </c>
      <c r="D46">
        <f t="shared" si="45"/>
        <v>289.2</v>
      </c>
      <c r="F46" s="17">
        <v>1.505E-7</v>
      </c>
      <c r="G46" s="15">
        <v>7.9450000000000007E-3</v>
      </c>
      <c r="H46" s="15">
        <v>-8.3609000000000009</v>
      </c>
      <c r="I46" s="15">
        <v>-2.1855000000000002</v>
      </c>
      <c r="J46" s="15">
        <v>-6.9134000000000002</v>
      </c>
      <c r="K46" s="15">
        <v>-2.2894999999999999</v>
      </c>
      <c r="N46">
        <f t="shared" si="46"/>
        <v>-1.5514999999999999</v>
      </c>
      <c r="O46">
        <v>-5.7938999999999998</v>
      </c>
      <c r="P46" s="45">
        <f t="shared" si="42"/>
        <v>23491.668345855356</v>
      </c>
      <c r="Q46" s="45">
        <f t="shared" si="43"/>
        <v>2.9364585432319195</v>
      </c>
      <c r="S46" s="43">
        <f t="shared" si="47"/>
        <v>3.5354960860512312E-3</v>
      </c>
      <c r="T46">
        <f t="shared" si="48"/>
        <v>186.64130500782082</v>
      </c>
      <c r="U46">
        <f t="shared" si="44"/>
        <v>186.64130500782082</v>
      </c>
    </row>
    <row r="47" spans="1:21">
      <c r="B47" t="s">
        <v>120</v>
      </c>
      <c r="C47">
        <v>22.5</v>
      </c>
      <c r="D47">
        <f t="shared" si="45"/>
        <v>295.5</v>
      </c>
      <c r="F47" s="17">
        <v>2.429E-5</v>
      </c>
      <c r="G47" s="15">
        <v>1.2919999999999999E-2</v>
      </c>
      <c r="H47" s="15">
        <v>-7.3457999999999997</v>
      </c>
      <c r="I47" s="15">
        <v>-1.9494</v>
      </c>
      <c r="J47" s="15">
        <v>-4.6778000000000004</v>
      </c>
      <c r="K47" s="15">
        <v>-2.8025000000000002</v>
      </c>
      <c r="N47">
        <f t="shared" si="46"/>
        <v>-3.5210999999999979</v>
      </c>
      <c r="O47">
        <v>-5.8159999999999998</v>
      </c>
      <c r="P47" s="45">
        <f t="shared" si="42"/>
        <v>12984.49935994891</v>
      </c>
      <c r="Q47" s="45">
        <f t="shared" si="43"/>
        <v>1.6230624199936137</v>
      </c>
      <c r="S47" s="43">
        <f t="shared" si="47"/>
        <v>0.31539348945315904</v>
      </c>
      <c r="T47">
        <f t="shared" si="48"/>
        <v>167.7597317305399</v>
      </c>
      <c r="U47">
        <f t="shared" si="44"/>
        <v>167.7597317305399</v>
      </c>
    </row>
    <row r="48" spans="1:21">
      <c r="B48" t="s">
        <v>121</v>
      </c>
      <c r="C48">
        <v>31.7</v>
      </c>
      <c r="D48">
        <f t="shared" si="45"/>
        <v>304.7</v>
      </c>
      <c r="F48" s="17">
        <v>9.3100000000000006E-6</v>
      </c>
      <c r="G48" s="15">
        <v>1.2829999999999999E-2</v>
      </c>
      <c r="H48" s="15">
        <v>-7.6642000000000001</v>
      </c>
      <c r="I48" s="15">
        <v>-1.9497</v>
      </c>
      <c r="J48" s="15">
        <v>-5.0914000000000001</v>
      </c>
      <c r="K48" s="15">
        <v>-3.0129000000000001</v>
      </c>
      <c r="N48">
        <f t="shared" si="46"/>
        <v>-3.6359999999999992</v>
      </c>
      <c r="O48">
        <v>-5.8448000000000002</v>
      </c>
      <c r="P48" s="45">
        <f t="shared" si="42"/>
        <v>12886.435548953124</v>
      </c>
      <c r="Q48" s="45">
        <f t="shared" si="43"/>
        <v>1.6108044436191407</v>
      </c>
      <c r="S48" s="43">
        <f t="shared" si="47"/>
        <v>0.1199727149607536</v>
      </c>
      <c r="T48">
        <f t="shared" si="48"/>
        <v>165.33296809306859</v>
      </c>
      <c r="U48">
        <f t="shared" si="44"/>
        <v>165.33296809306859</v>
      </c>
    </row>
    <row r="49" spans="1:21">
      <c r="B49" t="s">
        <v>122</v>
      </c>
      <c r="C49">
        <v>21.5</v>
      </c>
      <c r="D49">
        <f t="shared" si="45"/>
        <v>294.5</v>
      </c>
      <c r="F49" s="17">
        <v>1.863E-6</v>
      </c>
      <c r="G49" s="15">
        <v>2.1250000000000002E-3</v>
      </c>
      <c r="H49" s="15">
        <v>-6.4889000000000001</v>
      </c>
      <c r="I49" s="15">
        <v>-2.7843</v>
      </c>
      <c r="J49" s="15">
        <v>-5.8509000000000002</v>
      </c>
      <c r="K49" s="15">
        <v>-1.9358</v>
      </c>
      <c r="N49">
        <f t="shared" si="46"/>
        <v>0.21050000000000058</v>
      </c>
      <c r="O49">
        <v>-5.8127000000000004</v>
      </c>
      <c r="P49" s="45">
        <f t="shared" si="42"/>
        <v>33963.820847000803</v>
      </c>
      <c r="Q49" s="45">
        <f t="shared" si="43"/>
        <v>4.2454776058751005</v>
      </c>
      <c r="S49" s="43">
        <f t="shared" si="47"/>
        <v>6.3274598237962498E-2</v>
      </c>
      <c r="T49">
        <f t="shared" si="48"/>
        <v>72.173119299876717</v>
      </c>
      <c r="U49">
        <f t="shared" si="44"/>
        <v>72.173119299876717</v>
      </c>
    </row>
    <row r="52" spans="1:21">
      <c r="A52" s="2" t="s">
        <v>110</v>
      </c>
      <c r="E52">
        <v>8</v>
      </c>
    </row>
    <row r="53" spans="1:21" ht="17">
      <c r="B53" t="s">
        <v>2</v>
      </c>
      <c r="C53" s="3" t="s">
        <v>3</v>
      </c>
      <c r="D53" t="s">
        <v>4</v>
      </c>
      <c r="F53" s="4" t="s">
        <v>102</v>
      </c>
      <c r="G53" s="4"/>
      <c r="H53" s="5" t="s">
        <v>59</v>
      </c>
      <c r="I53" s="5" t="s">
        <v>62</v>
      </c>
      <c r="J53" s="8" t="s">
        <v>135</v>
      </c>
      <c r="K53" s="8"/>
      <c r="L53" s="15"/>
      <c r="M53" s="15"/>
      <c r="N53" t="s">
        <v>9</v>
      </c>
      <c r="O53" t="s">
        <v>10</v>
      </c>
      <c r="P53" t="s">
        <v>11</v>
      </c>
      <c r="Q53" t="str">
        <f>CONCATENATE("/",E51,","," ","kj")</f>
        <v>/, kj</v>
      </c>
      <c r="S53" t="s">
        <v>102</v>
      </c>
      <c r="T53" t="s">
        <v>71</v>
      </c>
      <c r="U53" t="s">
        <v>25</v>
      </c>
    </row>
    <row r="54" spans="1:21">
      <c r="B54" t="s">
        <v>116</v>
      </c>
      <c r="C54">
        <v>10.3</v>
      </c>
      <c r="D54">
        <f>C54+273</f>
        <v>283.3</v>
      </c>
      <c r="F54" s="17">
        <v>6.9500000000000004E-6</v>
      </c>
      <c r="G54" s="15">
        <v>3.5019999999999999E-3</v>
      </c>
      <c r="H54" s="15">
        <v>-9.3165999999999993</v>
      </c>
      <c r="I54" s="15">
        <v>-2.5078999999999998</v>
      </c>
      <c r="J54" s="15">
        <v>-5.2103000000000002</v>
      </c>
      <c r="N54">
        <f>I54+H54-J54</f>
        <v>-6.6141999999999985</v>
      </c>
      <c r="O54">
        <v>-0.24640000000000001</v>
      </c>
      <c r="P54" s="45">
        <f t="shared" ref="P54:P59" si="49">-2.303*8.314*D54*(O54-N54)</f>
        <v>-34541.400895459075</v>
      </c>
      <c r="Q54" s="45">
        <f t="shared" ref="Q54:Q59" si="50">P54/8/1000</f>
        <v>-4.3176751119323846</v>
      </c>
      <c r="S54" s="43">
        <f>P54/1*F54</f>
        <v>-0.2400627362234406</v>
      </c>
      <c r="T54">
        <f>P54/1*G54</f>
        <v>-120.96398593589768</v>
      </c>
      <c r="U54">
        <f t="shared" ref="U54:U59" si="51">IF(S54&gt;T54, S54,T54)</f>
        <v>-0.2400627362234406</v>
      </c>
    </row>
    <row r="55" spans="1:21">
      <c r="B55" t="s">
        <v>118</v>
      </c>
      <c r="C55">
        <v>12.4</v>
      </c>
      <c r="D55">
        <f t="shared" ref="D55:D59" si="52">C55+273</f>
        <v>285.39999999999998</v>
      </c>
      <c r="F55" s="17">
        <v>6.8430000000000004E-6</v>
      </c>
      <c r="G55" s="15">
        <v>4.3179999999999998E-3</v>
      </c>
      <c r="H55" s="15">
        <v>-9.4304000000000006</v>
      </c>
      <c r="I55" s="15">
        <v>-2.4064999999999999</v>
      </c>
      <c r="J55" s="15">
        <v>-5.2065000000000001</v>
      </c>
      <c r="N55">
        <f t="shared" ref="N55:N59" si="53">I55+H55-J55</f>
        <v>-6.6303999999999998</v>
      </c>
      <c r="O55">
        <v>-0.25979999999999998</v>
      </c>
      <c r="P55" s="45">
        <f t="shared" si="49"/>
        <v>-34812.74461831207</v>
      </c>
      <c r="Q55" s="45">
        <f t="shared" si="50"/>
        <v>-4.3515930772890083</v>
      </c>
      <c r="S55" s="43">
        <f t="shared" ref="S55:S59" si="54">P55/1*F55</f>
        <v>-0.23822361142310952</v>
      </c>
      <c r="T55">
        <f t="shared" ref="T55:T59" si="55">P55/1*G55</f>
        <v>-150.32143126187151</v>
      </c>
      <c r="U55">
        <f t="shared" si="51"/>
        <v>-0.23822361142310952</v>
      </c>
    </row>
    <row r="56" spans="1:21">
      <c r="B56" t="s">
        <v>119</v>
      </c>
      <c r="C56">
        <v>16.2</v>
      </c>
      <c r="D56">
        <f t="shared" si="52"/>
        <v>289.2</v>
      </c>
      <c r="F56" s="17">
        <v>3.8680000000000001E-6</v>
      </c>
      <c r="G56" s="15">
        <v>7.9450000000000007E-3</v>
      </c>
      <c r="H56" s="15">
        <v>-8.3609000000000009</v>
      </c>
      <c r="I56" s="15">
        <v>-2.1855000000000002</v>
      </c>
      <c r="J56" s="15">
        <v>-5.4981</v>
      </c>
      <c r="N56">
        <f t="shared" si="53"/>
        <v>-5.048300000000002</v>
      </c>
      <c r="O56">
        <v>-0.28320000000000001</v>
      </c>
      <c r="P56" s="45">
        <f t="shared" si="49"/>
        <v>-26386.043002742648</v>
      </c>
      <c r="Q56" s="45">
        <f t="shared" si="50"/>
        <v>-3.2982553753428312</v>
      </c>
      <c r="S56" s="43">
        <f t="shared" si="54"/>
        <v>-0.10206121433460856</v>
      </c>
      <c r="T56">
        <f t="shared" si="55"/>
        <v>-209.63711165679035</v>
      </c>
      <c r="U56">
        <f t="shared" si="51"/>
        <v>-0.10206121433460856</v>
      </c>
    </row>
    <row r="57" spans="1:21">
      <c r="B57" t="s">
        <v>120</v>
      </c>
      <c r="C57">
        <v>22.5</v>
      </c>
      <c r="D57">
        <f t="shared" si="52"/>
        <v>295.5</v>
      </c>
      <c r="F57" s="17">
        <v>3.3019999999999999E-6</v>
      </c>
      <c r="G57" s="15">
        <v>1.2919999999999999E-2</v>
      </c>
      <c r="H57" s="15">
        <v>-7.3457999999999997</v>
      </c>
      <c r="I57" s="15">
        <v>-1.9494</v>
      </c>
      <c r="J57" s="15">
        <v>-5.5418000000000003</v>
      </c>
      <c r="N57">
        <f t="shared" si="53"/>
        <v>-3.7533999999999992</v>
      </c>
      <c r="O57">
        <v>-0.3201</v>
      </c>
      <c r="P57" s="45">
        <f t="shared" si="49"/>
        <v>-19425.544316751293</v>
      </c>
      <c r="Q57" s="45">
        <f t="shared" si="50"/>
        <v>-2.4281930395939115</v>
      </c>
      <c r="S57" s="43">
        <f t="shared" si="54"/>
        <v>-6.414314733391277E-2</v>
      </c>
      <c r="T57">
        <f t="shared" si="55"/>
        <v>-250.97803257242668</v>
      </c>
      <c r="U57">
        <f t="shared" si="51"/>
        <v>-6.414314733391277E-2</v>
      </c>
    </row>
    <row r="58" spans="1:21">
      <c r="B58" t="s">
        <v>121</v>
      </c>
      <c r="C58">
        <v>31.7</v>
      </c>
      <c r="D58">
        <f t="shared" si="52"/>
        <v>304.7</v>
      </c>
      <c r="F58" s="17">
        <v>3.36E-6</v>
      </c>
      <c r="G58" s="15">
        <v>1.2829999999999999E-2</v>
      </c>
      <c r="H58" s="15">
        <v>-7.6642000000000001</v>
      </c>
      <c r="I58" s="15">
        <v>-1.9497</v>
      </c>
      <c r="J58" s="15">
        <v>-5.5317999999999996</v>
      </c>
      <c r="N58">
        <f t="shared" si="53"/>
        <v>-4.0821000000000014</v>
      </c>
      <c r="O58">
        <v>-0.37</v>
      </c>
      <c r="P58" s="45">
        <f t="shared" si="49"/>
        <v>-21656.889442805546</v>
      </c>
      <c r="Q58" s="45">
        <f t="shared" si="50"/>
        <v>-2.7071111803506933</v>
      </c>
      <c r="S58" s="43">
        <f t="shared" si="54"/>
        <v>-7.2767148527826633E-2</v>
      </c>
      <c r="T58">
        <f t="shared" si="55"/>
        <v>-277.85789155119517</v>
      </c>
      <c r="U58">
        <f t="shared" si="51"/>
        <v>-7.2767148527826633E-2</v>
      </c>
    </row>
    <row r="59" spans="1:21">
      <c r="B59" t="s">
        <v>122</v>
      </c>
      <c r="C59">
        <v>21.5</v>
      </c>
      <c r="D59">
        <f t="shared" si="52"/>
        <v>294.5</v>
      </c>
      <c r="F59" s="17">
        <v>3.985E-6</v>
      </c>
      <c r="G59" s="15">
        <v>2.1250000000000002E-3</v>
      </c>
      <c r="H59" s="15">
        <v>-6.4889000000000001</v>
      </c>
      <c r="I59" s="15">
        <v>-2.7843</v>
      </c>
      <c r="J59" s="15">
        <v>-5.5113000000000003</v>
      </c>
      <c r="N59">
        <f t="shared" si="53"/>
        <v>-3.7618999999999989</v>
      </c>
      <c r="O59">
        <v>-0.31440000000000001</v>
      </c>
      <c r="P59" s="45">
        <f t="shared" si="49"/>
        <v>-19439.877867252493</v>
      </c>
      <c r="Q59" s="45">
        <f t="shared" si="50"/>
        <v>-2.4299847334065618</v>
      </c>
      <c r="S59" s="43">
        <f t="shared" si="54"/>
        <v>-7.7467913301001182E-2</v>
      </c>
      <c r="T59">
        <f t="shared" si="55"/>
        <v>-41.309740467911553</v>
      </c>
      <c r="U59">
        <f t="shared" si="51"/>
        <v>-7.7467913301001182E-2</v>
      </c>
    </row>
    <row r="70" spans="1:21">
      <c r="A70" s="2" t="s">
        <v>75</v>
      </c>
      <c r="B70" s="15"/>
      <c r="C70" s="15"/>
      <c r="D70" s="15"/>
      <c r="E70" s="14">
        <v>24</v>
      </c>
      <c r="F70" s="14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</row>
    <row r="71" spans="1:21" ht="17">
      <c r="A71" s="20"/>
      <c r="B71" t="s">
        <v>2</v>
      </c>
      <c r="C71" s="3" t="s">
        <v>3</v>
      </c>
      <c r="D71" t="s">
        <v>4</v>
      </c>
      <c r="E71" s="16"/>
      <c r="F71" s="4"/>
      <c r="G71" s="5" t="s">
        <v>59</v>
      </c>
      <c r="H71" s="9" t="s">
        <v>29</v>
      </c>
      <c r="I71" s="8" t="s">
        <v>76</v>
      </c>
      <c r="J71" s="5" t="s">
        <v>27</v>
      </c>
      <c r="K71" s="5" t="s">
        <v>62</v>
      </c>
      <c r="L71" s="8" t="s">
        <v>77</v>
      </c>
      <c r="N71" t="s">
        <v>9</v>
      </c>
      <c r="O71" t="s">
        <v>10</v>
      </c>
      <c r="P71" t="s">
        <v>11</v>
      </c>
      <c r="Q71" t="str">
        <f>CONCATENATE("/",E70,","," ","kj")</f>
        <v>/24, kj</v>
      </c>
      <c r="S71" t="s">
        <v>78</v>
      </c>
      <c r="T71" t="s">
        <v>71</v>
      </c>
      <c r="U71" t="s">
        <v>25</v>
      </c>
    </row>
  </sheetData>
  <conditionalFormatting sqref="U4:U9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14:U19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24:U29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34:U39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44:U49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54:U59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4:U59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20:AC25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2:AC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953E0-1BC1-914D-9F26-C2EDBBCFA44F}">
  <sheetPr>
    <pageSetUpPr fitToPage="1"/>
  </sheetPr>
  <dimension ref="B1:AB66"/>
  <sheetViews>
    <sheetView zoomScaleNormal="100" workbookViewId="0">
      <selection activeCell="AI40" sqref="AI40"/>
    </sheetView>
  </sheetViews>
  <sheetFormatPr baseColWidth="10" defaultRowHeight="16"/>
  <cols>
    <col min="2" max="2" width="43.1640625" customWidth="1"/>
    <col min="6" max="6" width="30.6640625" customWidth="1"/>
    <col min="8" max="8" width="32.6640625" customWidth="1"/>
    <col min="15" max="15" width="45.1640625" customWidth="1"/>
  </cols>
  <sheetData>
    <row r="1" spans="2:28" ht="85">
      <c r="C1" s="1" t="s">
        <v>0</v>
      </c>
      <c r="F1" s="48" t="s">
        <v>139</v>
      </c>
      <c r="G1" s="46" t="s">
        <v>1</v>
      </c>
      <c r="H1" s="46" t="s">
        <v>12</v>
      </c>
      <c r="I1" s="46" t="s">
        <v>14</v>
      </c>
      <c r="J1" s="46" t="s">
        <v>15</v>
      </c>
      <c r="K1" s="46" t="s">
        <v>16</v>
      </c>
      <c r="L1" s="46" t="s">
        <v>17</v>
      </c>
      <c r="M1" s="46" t="s">
        <v>106</v>
      </c>
      <c r="N1" s="46" t="s">
        <v>49</v>
      </c>
      <c r="O1" s="46" t="s">
        <v>52</v>
      </c>
      <c r="P1" s="46" t="s">
        <v>55</v>
      </c>
      <c r="Q1" s="46" t="s">
        <v>58</v>
      </c>
      <c r="R1" s="46" t="s">
        <v>63</v>
      </c>
      <c r="S1" s="46" t="s">
        <v>108</v>
      </c>
      <c r="T1" s="46" t="s">
        <v>64</v>
      </c>
      <c r="U1" s="46" t="s">
        <v>67</v>
      </c>
      <c r="V1" s="49" t="s">
        <v>68</v>
      </c>
      <c r="W1" s="46" t="s">
        <v>109</v>
      </c>
      <c r="X1" s="46" t="s">
        <v>69</v>
      </c>
      <c r="Y1" s="46" t="s">
        <v>72</v>
      </c>
      <c r="Z1" s="46" t="s">
        <v>80</v>
      </c>
      <c r="AA1" s="46" t="s">
        <v>81</v>
      </c>
      <c r="AB1" s="46" t="s">
        <v>110</v>
      </c>
    </row>
    <row r="2" spans="2:28">
      <c r="B2" s="27" t="s">
        <v>1</v>
      </c>
      <c r="C2" s="3">
        <v>4</v>
      </c>
      <c r="F2" t="s">
        <v>116</v>
      </c>
      <c r="G2">
        <v>-97.441217069572517</v>
      </c>
      <c r="H2" s="25">
        <v>-66.809713118968332</v>
      </c>
      <c r="I2">
        <v>-40.27165375177551</v>
      </c>
      <c r="J2">
        <v>-80.98498807893229</v>
      </c>
      <c r="K2">
        <v>-93.195754087327131</v>
      </c>
      <c r="L2">
        <v>-95.824750241649724</v>
      </c>
      <c r="M2">
        <v>-100.14242535358213</v>
      </c>
      <c r="N2">
        <v>-59.71990588485491</v>
      </c>
      <c r="O2">
        <v>-8.6851867640712861</v>
      </c>
      <c r="P2">
        <v>-48.364497637963673</v>
      </c>
      <c r="Q2">
        <v>-54.199305521488881</v>
      </c>
      <c r="R2">
        <v>-56.828233870994858</v>
      </c>
      <c r="S2">
        <v>-61.145908982927246</v>
      </c>
      <c r="T2">
        <v>-4.2453951774287919</v>
      </c>
      <c r="U2">
        <v>26.386040968358813</v>
      </c>
      <c r="V2">
        <v>-2.628928349505991</v>
      </c>
      <c r="W2">
        <v>-6.946603461438376</v>
      </c>
      <c r="X2" s="45">
        <v>-28.517892207640674</v>
      </c>
      <c r="Y2" s="45">
        <v>29.015037122681402</v>
      </c>
      <c r="Z2" s="45">
        <v>55.553028685057612</v>
      </c>
      <c r="AA2" s="45">
        <v>14.839762162717449</v>
      </c>
      <c r="AB2" s="45">
        <v>-4.3176751119323846</v>
      </c>
    </row>
    <row r="3" spans="2:28">
      <c r="B3" s="27" t="s">
        <v>12</v>
      </c>
      <c r="C3" s="3">
        <v>4</v>
      </c>
      <c r="F3" t="s">
        <v>118</v>
      </c>
      <c r="G3">
        <v>-98.15613621684696</v>
      </c>
      <c r="H3" s="25">
        <v>-67.850998843854015</v>
      </c>
      <c r="I3">
        <v>-39.705810685957879</v>
      </c>
      <c r="J3">
        <v>-83.773460563567511</v>
      </c>
      <c r="K3">
        <v>-95.407172040750211</v>
      </c>
      <c r="L3">
        <v>-96.692649548700814</v>
      </c>
      <c r="M3">
        <v>-101.04424262598984</v>
      </c>
      <c r="N3">
        <v>-57.487054165932399</v>
      </c>
      <c r="O3">
        <v>-34.88214496626243</v>
      </c>
      <c r="P3">
        <v>-41.177835782739642</v>
      </c>
      <c r="Q3">
        <v>-55.219725672313992</v>
      </c>
      <c r="R3">
        <v>-56.505203180264608</v>
      </c>
      <c r="S3">
        <v>-60.856796257553611</v>
      </c>
      <c r="T3">
        <v>-2.7489641760967398</v>
      </c>
      <c r="U3">
        <v>27.562115943226576</v>
      </c>
      <c r="V3">
        <v>-1.2854775079506142</v>
      </c>
      <c r="W3">
        <v>-5.6370705852396243</v>
      </c>
      <c r="X3" s="45">
        <v>-28.383444470927415</v>
      </c>
      <c r="Y3" s="45">
        <v>28.847593451177186</v>
      </c>
      <c r="Z3" s="45">
        <v>56.986838862742943</v>
      </c>
      <c r="AA3" s="45">
        <v>12.919188985133303</v>
      </c>
      <c r="AB3" s="45">
        <v>-4.3515930772890083</v>
      </c>
    </row>
    <row r="4" spans="2:28">
      <c r="B4" s="27" t="s">
        <v>14</v>
      </c>
      <c r="C4" s="3">
        <v>8</v>
      </c>
      <c r="F4" t="s">
        <v>119</v>
      </c>
      <c r="G4">
        <v>-98.590225094028767</v>
      </c>
      <c r="H4" s="25">
        <v>-66.884723483788974</v>
      </c>
      <c r="I4">
        <v>-41.291283412843164</v>
      </c>
      <c r="J4">
        <v>-83.31363591708778</v>
      </c>
      <c r="K4">
        <v>-94.003012265544669</v>
      </c>
      <c r="L4">
        <v>-96.939470808776605</v>
      </c>
      <c r="M4">
        <v>-100.23772618411942</v>
      </c>
      <c r="N4">
        <v>-60.107210491670351</v>
      </c>
      <c r="O4">
        <v>-5.9355583975524855</v>
      </c>
      <c r="P4">
        <v>-50.447158935698916</v>
      </c>
      <c r="Q4">
        <v>-54.11593247486222</v>
      </c>
      <c r="R4">
        <v>-57.052391018094141</v>
      </c>
      <c r="S4">
        <v>-60.350577176518634</v>
      </c>
      <c r="T4">
        <v>-4.5872128284840885</v>
      </c>
      <c r="U4">
        <v>27.118357998674039</v>
      </c>
      <c r="V4">
        <v>-2.9364585432319186</v>
      </c>
      <c r="W4">
        <v>-6.2347139185747498</v>
      </c>
      <c r="X4" s="45">
        <v>-28.124841208858658</v>
      </c>
      <c r="Y4" s="45">
        <v>30.054816541905954</v>
      </c>
      <c r="Z4" s="45">
        <v>55.648256612851767</v>
      </c>
      <c r="AA4" s="45">
        <v>13.625904108607138</v>
      </c>
      <c r="AB4" s="45">
        <v>-3.2982553753428312</v>
      </c>
    </row>
    <row r="5" spans="2:28">
      <c r="B5" s="27" t="s">
        <v>15</v>
      </c>
      <c r="C5" s="3">
        <v>4</v>
      </c>
      <c r="F5" t="s">
        <v>120</v>
      </c>
      <c r="G5">
        <v>-96.436316371422294</v>
      </c>
      <c r="H5" s="25">
        <v>-56.12518587995865</v>
      </c>
      <c r="I5">
        <v>-42.2000472683685</v>
      </c>
      <c r="J5">
        <v>-84.190042012122362</v>
      </c>
      <c r="K5">
        <v>-95.49482842271189</v>
      </c>
      <c r="L5">
        <v>-97.117961567461265</v>
      </c>
      <c r="M5">
        <v>-99.546154607055172</v>
      </c>
      <c r="N5">
        <v>-60.017805712370873</v>
      </c>
      <c r="O5">
        <v>26.545051855583363</v>
      </c>
      <c r="P5">
        <v>-59.334463122193597</v>
      </c>
      <c r="Q5">
        <v>-56.18558482137982</v>
      </c>
      <c r="R5">
        <v>-57.808647241373428</v>
      </c>
      <c r="S5">
        <v>-60.236911005723108</v>
      </c>
      <c r="T5">
        <v>-0.94148794871039676</v>
      </c>
      <c r="U5">
        <v>39.369642542753233</v>
      </c>
      <c r="V5">
        <v>-1.6230624199936123</v>
      </c>
      <c r="W5">
        <v>-4.0513261843432877</v>
      </c>
      <c r="X5" s="45">
        <v>-26.688835284642888</v>
      </c>
      <c r="Y5" s="45">
        <v>40.992775687502593</v>
      </c>
      <c r="Z5" s="45">
        <v>54.917914299092764</v>
      </c>
      <c r="AA5" s="45">
        <v>12.927848830583139</v>
      </c>
      <c r="AB5" s="45">
        <v>-2.4281930395939115</v>
      </c>
    </row>
    <row r="6" spans="2:28">
      <c r="B6" s="27" t="s">
        <v>16</v>
      </c>
      <c r="C6" s="3">
        <v>8</v>
      </c>
      <c r="F6" t="s">
        <v>121</v>
      </c>
      <c r="G6">
        <v>-96.311928782397786</v>
      </c>
      <c r="H6" s="25">
        <v>-62.27252712934829</v>
      </c>
      <c r="I6">
        <v>-43.565157141548923</v>
      </c>
      <c r="J6">
        <v>-81.863112103414949</v>
      </c>
      <c r="K6">
        <v>-96.385876432969567</v>
      </c>
      <c r="L6">
        <v>-97.996753803265804</v>
      </c>
      <c r="M6">
        <v>-100.70386498361651</v>
      </c>
      <c r="N6">
        <v>-58.390275474329059</v>
      </c>
      <c r="O6">
        <v>20.797229773239152</v>
      </c>
      <c r="P6">
        <v>-55.228466462306642</v>
      </c>
      <c r="Q6">
        <v>-55.642471208160757</v>
      </c>
      <c r="R6">
        <v>-57.253275651779894</v>
      </c>
      <c r="S6">
        <v>-59.960386832130581</v>
      </c>
      <c r="T6">
        <v>7.3947650571798834E-2</v>
      </c>
      <c r="U6">
        <v>34.113422230298376</v>
      </c>
      <c r="V6">
        <v>-1.6108044436191398</v>
      </c>
      <c r="W6">
        <v>-4.3179156239698324</v>
      </c>
      <c r="X6" s="45">
        <v>-26.600807663521095</v>
      </c>
      <c r="Y6" s="45">
        <v>35.724226673917521</v>
      </c>
      <c r="Z6" s="45">
        <v>54.431523735039796</v>
      </c>
      <c r="AA6" s="45">
        <v>16.133568773173774</v>
      </c>
      <c r="AB6" s="45">
        <v>-2.7071111803506933</v>
      </c>
    </row>
    <row r="7" spans="2:28">
      <c r="B7" s="27" t="s">
        <v>17</v>
      </c>
      <c r="C7" s="3">
        <v>8</v>
      </c>
      <c r="F7" t="s">
        <v>122</v>
      </c>
      <c r="G7">
        <v>-97.482458768876299</v>
      </c>
      <c r="H7" s="25">
        <v>-75.957904223589495</v>
      </c>
      <c r="I7">
        <v>-41.904637383066053</v>
      </c>
      <c r="J7">
        <v>-82.047562266443535</v>
      </c>
      <c r="K7">
        <v>-94.39935616629657</v>
      </c>
      <c r="L7">
        <v>-98.644763286755179</v>
      </c>
      <c r="M7">
        <v>-101.07481850557822</v>
      </c>
      <c r="N7">
        <v>-59.323063990873557</v>
      </c>
      <c r="O7">
        <v>-7.8361456925813293</v>
      </c>
      <c r="P7">
        <v>-51.378864154816888</v>
      </c>
      <c r="Q7">
        <v>-54.367304843053908</v>
      </c>
      <c r="R7">
        <v>-58.612782448928996</v>
      </c>
      <c r="S7">
        <v>-61.042767182335574</v>
      </c>
      <c r="T7">
        <v>-3.0831026025797361</v>
      </c>
      <c r="U7">
        <v>18.441381457290579</v>
      </c>
      <c r="V7">
        <v>-4.2454776058751005</v>
      </c>
      <c r="W7">
        <v>-6.675462339281661</v>
      </c>
      <c r="X7" s="45">
        <v>-25.648021896068421</v>
      </c>
      <c r="Y7" s="45">
        <v>22.686788577749191</v>
      </c>
      <c r="Z7" s="45">
        <v>56.740125903689105</v>
      </c>
      <c r="AA7" s="45">
        <v>16.597201020311623</v>
      </c>
      <c r="AB7" s="45">
        <v>-2.4299847334065618</v>
      </c>
    </row>
    <row r="8" spans="2:28">
      <c r="B8" s="27" t="s">
        <v>106</v>
      </c>
      <c r="C8" s="3">
        <v>8</v>
      </c>
      <c r="H8" s="25"/>
      <c r="N8" s="15"/>
      <c r="O8" s="15"/>
      <c r="P8" s="15"/>
      <c r="Q8" s="15"/>
      <c r="R8" s="15"/>
      <c r="S8" s="15"/>
    </row>
    <row r="9" spans="2:28">
      <c r="B9" s="29" t="s">
        <v>49</v>
      </c>
      <c r="C9" s="14">
        <v>8</v>
      </c>
      <c r="H9" s="25"/>
    </row>
    <row r="10" spans="2:28" ht="85">
      <c r="B10" s="29" t="s">
        <v>52</v>
      </c>
      <c r="C10" s="14">
        <v>8</v>
      </c>
      <c r="F10" s="48" t="s">
        <v>140</v>
      </c>
      <c r="G10" s="46" t="s">
        <v>1</v>
      </c>
      <c r="H10" s="46" t="s">
        <v>12</v>
      </c>
      <c r="I10" s="46" t="s">
        <v>14</v>
      </c>
      <c r="J10" s="46" t="s">
        <v>15</v>
      </c>
      <c r="K10" s="46" t="s">
        <v>16</v>
      </c>
      <c r="L10" s="46" t="s">
        <v>17</v>
      </c>
      <c r="M10" s="46" t="s">
        <v>106</v>
      </c>
      <c r="N10" s="46" t="s">
        <v>49</v>
      </c>
      <c r="O10" s="46" t="s">
        <v>52</v>
      </c>
      <c r="P10" s="46" t="s">
        <v>55</v>
      </c>
      <c r="Q10" s="46" t="s">
        <v>58</v>
      </c>
      <c r="R10" s="46" t="s">
        <v>63</v>
      </c>
      <c r="S10" s="46" t="s">
        <v>108</v>
      </c>
      <c r="T10" s="46" t="s">
        <v>64</v>
      </c>
      <c r="U10" s="46" t="s">
        <v>67</v>
      </c>
      <c r="V10" s="49" t="s">
        <v>68</v>
      </c>
      <c r="W10" s="46" t="s">
        <v>109</v>
      </c>
      <c r="X10" s="46" t="s">
        <v>69</v>
      </c>
      <c r="Y10" s="46" t="s">
        <v>72</v>
      </c>
      <c r="Z10" s="46" t="s">
        <v>80</v>
      </c>
      <c r="AA10" s="46" t="s">
        <v>81</v>
      </c>
      <c r="AB10" s="46" t="s">
        <v>110</v>
      </c>
    </row>
    <row r="11" spans="2:28">
      <c r="B11" s="29" t="s">
        <v>55</v>
      </c>
      <c r="C11" s="14">
        <v>8</v>
      </c>
      <c r="F11" t="s">
        <v>116</v>
      </c>
      <c r="G11">
        <v>-4.6310460584994049</v>
      </c>
      <c r="H11">
        <v>-7.7556064229193006E-2</v>
      </c>
      <c r="I11">
        <v>-0.29739620688881507</v>
      </c>
      <c r="J11">
        <v>-2.4232095607116344</v>
      </c>
      <c r="K11">
        <v>-1.7601579652337296</v>
      </c>
      <c r="L11">
        <v>-3.4341910796530106</v>
      </c>
      <c r="M11">
        <v>9.8222434260869323E-2</v>
      </c>
      <c r="N11" s="15">
        <v>-4.8436696436580515</v>
      </c>
      <c r="O11" s="15">
        <v>-0.52340174308391008</v>
      </c>
      <c r="P11" s="15">
        <v>-2.6470874021939861</v>
      </c>
      <c r="Q11" s="15">
        <v>-1.9955603702059659</v>
      </c>
      <c r="R11" s="15">
        <v>-3.6611046165435721</v>
      </c>
      <c r="S11" s="15">
        <v>0.36888528912068835</v>
      </c>
      <c r="T11">
        <v>-5.9918706360550011</v>
      </c>
      <c r="U11">
        <v>-15</v>
      </c>
      <c r="V11">
        <v>-4.9958900259042798</v>
      </c>
      <c r="W11">
        <v>-0.41315270001780796</v>
      </c>
      <c r="X11" s="15">
        <v>-5.164671335159726</v>
      </c>
      <c r="Y11" s="15">
        <v>-15</v>
      </c>
      <c r="Z11" s="15">
        <v>-15</v>
      </c>
      <c r="AA11" s="15">
        <v>-15</v>
      </c>
      <c r="AB11" s="15">
        <v>-0.61967524814167796</v>
      </c>
    </row>
    <row r="12" spans="2:28">
      <c r="B12" s="29" t="s">
        <v>58</v>
      </c>
      <c r="C12" s="14">
        <v>8</v>
      </c>
      <c r="F12" t="s">
        <v>118</v>
      </c>
      <c r="G12">
        <v>-4.5606144144079943</v>
      </c>
      <c r="H12">
        <v>-0.50947891198415529</v>
      </c>
      <c r="I12">
        <v>-2.7589584993167326</v>
      </c>
      <c r="J12">
        <v>-1.1617048389210352</v>
      </c>
      <c r="K12">
        <v>-0.50317028036034894</v>
      </c>
      <c r="L12">
        <v>-3.542962840130746</v>
      </c>
      <c r="M12">
        <v>0.7038288740236579</v>
      </c>
      <c r="N12" s="15">
        <v>-4.7929618145747162</v>
      </c>
      <c r="O12" s="15">
        <v>-0.79843197469975447</v>
      </c>
      <c r="P12" s="15">
        <v>-1.4701477775160097</v>
      </c>
      <c r="Q12" s="15">
        <v>-0.74065705873450338</v>
      </c>
      <c r="R12" s="15">
        <v>-3.7762678600695594</v>
      </c>
      <c r="S12" s="15">
        <v>0.19363343224881377</v>
      </c>
      <c r="T12">
        <v>-6.1133627888011306</v>
      </c>
      <c r="U12">
        <v>-15</v>
      </c>
      <c r="V12">
        <v>-5.4192918187805059</v>
      </c>
      <c r="W12">
        <v>-0.51061000008828472</v>
      </c>
      <c r="X12" s="15">
        <v>-5.0994667709539874</v>
      </c>
      <c r="Y12" s="15">
        <v>-15</v>
      </c>
      <c r="Z12" s="15">
        <v>-15</v>
      </c>
      <c r="AA12" s="15">
        <v>-15</v>
      </c>
      <c r="AB12" s="15">
        <v>-0.62301519582312404</v>
      </c>
    </row>
    <row r="13" spans="2:28">
      <c r="B13" s="29" t="s">
        <v>63</v>
      </c>
      <c r="C13" s="14">
        <v>8</v>
      </c>
      <c r="F13" t="s">
        <v>119</v>
      </c>
      <c r="G13">
        <v>-4.2734508014853256</v>
      </c>
      <c r="H13">
        <v>0.30157873194677903</v>
      </c>
      <c r="I13">
        <v>0.41215512184762454</v>
      </c>
      <c r="J13">
        <v>-1.6007174163379738</v>
      </c>
      <c r="K13">
        <v>-0.94623174257058618</v>
      </c>
      <c r="L13">
        <v>-2.4776484799429448</v>
      </c>
      <c r="M13">
        <v>0.49160765886376068</v>
      </c>
      <c r="N13" s="15">
        <v>-4.4883580863342898</v>
      </c>
      <c r="O13" s="15">
        <v>-0.75028662180291639</v>
      </c>
      <c r="P13" s="15">
        <v>-1.8185967915793528</v>
      </c>
      <c r="Q13" s="15">
        <v>-1.1860483668767163</v>
      </c>
      <c r="R13" s="15">
        <v>-2.7078752744736874</v>
      </c>
      <c r="S13" s="15">
        <v>0.27125788033053383</v>
      </c>
      <c r="T13">
        <v>-5.6057357695088683</v>
      </c>
      <c r="U13">
        <v>-15</v>
      </c>
      <c r="V13">
        <v>-3.9963252506531348</v>
      </c>
      <c r="W13">
        <v>-0.71460701703750951</v>
      </c>
      <c r="X13" s="15">
        <v>-4.8181945805238726</v>
      </c>
      <c r="Y13" s="15">
        <v>-15</v>
      </c>
      <c r="Z13" s="15">
        <v>-15</v>
      </c>
      <c r="AA13" s="15">
        <v>-15</v>
      </c>
      <c r="AB13" s="15">
        <v>-0.99113926869355551</v>
      </c>
    </row>
    <row r="14" spans="2:28">
      <c r="B14" s="29" t="s">
        <v>108</v>
      </c>
      <c r="C14" s="3">
        <v>8</v>
      </c>
      <c r="F14" t="s">
        <v>120</v>
      </c>
      <c r="G14">
        <v>-4.3923033388820345</v>
      </c>
      <c r="H14">
        <v>-4.2134157097138027</v>
      </c>
      <c r="I14">
        <v>-0.2774991900129255</v>
      </c>
      <c r="J14">
        <v>2.244859880999309E-2</v>
      </c>
      <c r="K14">
        <v>7.7167725324335787E-2</v>
      </c>
      <c r="L14">
        <v>-1.4578480073137103</v>
      </c>
      <c r="M14">
        <v>9.5212360789750081E-2</v>
      </c>
      <c r="N14" s="15">
        <v>-4.5982638386224615</v>
      </c>
      <c r="O14" s="15">
        <v>-15</v>
      </c>
      <c r="P14" s="15">
        <v>0.45976452754816949</v>
      </c>
      <c r="Q14" s="15">
        <v>0.86034926006453161</v>
      </c>
      <c r="R14" s="15">
        <v>-1.6831547588973672</v>
      </c>
      <c r="S14" s="15">
        <v>0.20172974873344235</v>
      </c>
      <c r="T14">
        <v>-6.4027291866236613</v>
      </c>
      <c r="U14">
        <v>-15</v>
      </c>
      <c r="V14">
        <v>-3.2348123433140334</v>
      </c>
      <c r="W14">
        <v>-0.97053573314714214</v>
      </c>
      <c r="X14" s="15">
        <v>-4.9502143305775439</v>
      </c>
      <c r="Y14" s="15">
        <v>-15</v>
      </c>
      <c r="Z14" s="15">
        <v>-15</v>
      </c>
      <c r="AA14" s="15">
        <v>-15</v>
      </c>
      <c r="AB14" s="15">
        <v>-1.1928497342077633</v>
      </c>
    </row>
    <row r="15" spans="2:28">
      <c r="B15" s="30" t="s">
        <v>64</v>
      </c>
      <c r="C15" s="14">
        <v>8</v>
      </c>
      <c r="F15" t="s">
        <v>121</v>
      </c>
      <c r="G15">
        <v>-4.4140428353921557</v>
      </c>
      <c r="H15">
        <v>-4.1849280212888145</v>
      </c>
      <c r="I15">
        <v>0.5814450377892173</v>
      </c>
      <c r="J15">
        <v>0.1830679273827362</v>
      </c>
      <c r="K15">
        <v>0.85605306871635889</v>
      </c>
      <c r="L15">
        <v>-1.7718481782199438</v>
      </c>
      <c r="M15">
        <v>0.4324754033449979</v>
      </c>
      <c r="N15" s="15">
        <v>-4.6313823915240668</v>
      </c>
      <c r="O15" s="15">
        <v>-15</v>
      </c>
      <c r="P15" s="15">
        <v>1.2142660911831098E-2</v>
      </c>
      <c r="Q15" s="15">
        <v>0.61744607772311466</v>
      </c>
      <c r="R15" s="15">
        <v>-2.0052595287399426</v>
      </c>
      <c r="S15" s="15">
        <v>0.20729369040122184</v>
      </c>
      <c r="T15">
        <v>-15</v>
      </c>
      <c r="U15">
        <v>-15</v>
      </c>
      <c r="V15">
        <v>-3.5560170489091476</v>
      </c>
      <c r="W15">
        <v>-0.93529658404944305</v>
      </c>
      <c r="X15" s="15">
        <v>-4.9728280926595154</v>
      </c>
      <c r="Y15" s="15">
        <v>-15</v>
      </c>
      <c r="Z15" s="15">
        <v>-15</v>
      </c>
      <c r="AA15" s="15">
        <v>-15</v>
      </c>
      <c r="AB15" s="15">
        <v>-1.1380646431202357</v>
      </c>
    </row>
    <row r="16" spans="2:28">
      <c r="B16" s="30" t="s">
        <v>67</v>
      </c>
      <c r="C16" s="14">
        <v>8</v>
      </c>
      <c r="F16" t="s">
        <v>122</v>
      </c>
      <c r="G16">
        <v>-4.2326328417071313</v>
      </c>
      <c r="H16">
        <v>-3.3067195839087661E-2</v>
      </c>
      <c r="I16">
        <v>2.0549392248104537E-2</v>
      </c>
      <c r="J16">
        <v>-0.51469146727990633</v>
      </c>
      <c r="K16">
        <v>0.1482718741695371</v>
      </c>
      <c r="L16">
        <v>-0.6052153282359356</v>
      </c>
      <c r="M16">
        <v>0.402930275525402</v>
      </c>
      <c r="N16" s="15">
        <v>-4.448335742515372</v>
      </c>
      <c r="O16" s="15">
        <v>-1.0195376673603989</v>
      </c>
      <c r="P16" s="15">
        <v>-0.71797265045822145</v>
      </c>
      <c r="Q16" s="15">
        <v>-9.135935390910134E-2</v>
      </c>
      <c r="R16" s="15">
        <v>-0.83129702465468525</v>
      </c>
      <c r="S16" s="15">
        <v>0.28915252549493331</v>
      </c>
      <c r="T16">
        <v>-5.7325713385745427</v>
      </c>
      <c r="U16">
        <v>-15</v>
      </c>
      <c r="V16">
        <v>-1.9713628088285566</v>
      </c>
      <c r="W16">
        <v>-0.67200033717260466</v>
      </c>
      <c r="X16" s="15">
        <v>-4.8125054406553778</v>
      </c>
      <c r="Y16" s="15">
        <v>-15</v>
      </c>
      <c r="Z16" s="15">
        <v>-15</v>
      </c>
      <c r="AA16" s="15">
        <v>-15</v>
      </c>
      <c r="AB16" s="15">
        <v>-1.1108781421624341</v>
      </c>
    </row>
    <row r="17" spans="2:21">
      <c r="B17" s="31" t="s">
        <v>68</v>
      </c>
      <c r="C17" s="14">
        <v>8</v>
      </c>
    </row>
    <row r="18" spans="2:21">
      <c r="B18" s="30" t="s">
        <v>109</v>
      </c>
      <c r="C18" s="3">
        <v>8</v>
      </c>
    </row>
    <row r="19" spans="2:21" ht="17">
      <c r="B19" s="32" t="s">
        <v>69</v>
      </c>
      <c r="C19" s="14">
        <v>8</v>
      </c>
      <c r="F19" s="48" t="s">
        <v>139</v>
      </c>
      <c r="G19" t="s">
        <v>116</v>
      </c>
      <c r="H19" t="s">
        <v>118</v>
      </c>
      <c r="I19" t="s">
        <v>119</v>
      </c>
      <c r="J19" t="s">
        <v>120</v>
      </c>
      <c r="K19" t="s">
        <v>121</v>
      </c>
      <c r="L19" t="s">
        <v>122</v>
      </c>
      <c r="O19" s="48" t="s">
        <v>140</v>
      </c>
      <c r="P19" t="s">
        <v>116</v>
      </c>
      <c r="Q19" t="s">
        <v>118</v>
      </c>
      <c r="R19" t="s">
        <v>119</v>
      </c>
      <c r="S19" t="s">
        <v>120</v>
      </c>
      <c r="T19" t="s">
        <v>121</v>
      </c>
      <c r="U19" t="s">
        <v>122</v>
      </c>
    </row>
    <row r="20" spans="2:21" ht="14" customHeight="1">
      <c r="B20" s="32" t="s">
        <v>72</v>
      </c>
      <c r="C20" s="14">
        <v>8</v>
      </c>
      <c r="F20" s="46" t="s">
        <v>1</v>
      </c>
      <c r="G20">
        <v>-97.441217069572517</v>
      </c>
      <c r="H20">
        <v>-98.15613621684696</v>
      </c>
      <c r="I20">
        <v>-98.590225094028767</v>
      </c>
      <c r="J20">
        <v>-96.436316371422294</v>
      </c>
      <c r="K20">
        <v>-96.311928782397786</v>
      </c>
      <c r="L20">
        <v>-97.482458768876299</v>
      </c>
      <c r="O20" s="46" t="s">
        <v>1</v>
      </c>
      <c r="P20">
        <v>-4.6310460584994049</v>
      </c>
      <c r="Q20">
        <v>-4.5606144144079943</v>
      </c>
      <c r="R20">
        <v>-4.2734508014853256</v>
      </c>
      <c r="S20">
        <v>-4.3923033388820345</v>
      </c>
      <c r="T20">
        <v>-4.4140428353921557</v>
      </c>
      <c r="U20">
        <v>-4.2326328417071313</v>
      </c>
    </row>
    <row r="21" spans="2:21" ht="34">
      <c r="B21" s="32" t="s">
        <v>80</v>
      </c>
      <c r="C21" s="14">
        <v>8</v>
      </c>
      <c r="F21" s="46" t="s">
        <v>12</v>
      </c>
      <c r="G21" s="25">
        <v>-66.809713118968332</v>
      </c>
      <c r="H21" s="25">
        <v>-67.850998843854015</v>
      </c>
      <c r="I21" s="25">
        <v>-66.884723483788974</v>
      </c>
      <c r="J21" s="25">
        <v>-56.12518587995865</v>
      </c>
      <c r="K21" s="25">
        <v>-62.27252712934829</v>
      </c>
      <c r="L21" s="25">
        <v>-75.957904223589495</v>
      </c>
      <c r="M21" s="25"/>
      <c r="N21" s="25"/>
      <c r="O21" s="46" t="s">
        <v>12</v>
      </c>
      <c r="P21">
        <v>-7.7556064229193006E-2</v>
      </c>
      <c r="Q21">
        <v>-0.50947891198415529</v>
      </c>
      <c r="R21">
        <v>0.30157873194677903</v>
      </c>
      <c r="S21">
        <v>-4.2134157097138027</v>
      </c>
      <c r="T21">
        <v>-4.1849280212888145</v>
      </c>
      <c r="U21">
        <v>-3.3067195839087661E-2</v>
      </c>
    </row>
    <row r="22" spans="2:21" ht="17">
      <c r="B22" s="32" t="s">
        <v>81</v>
      </c>
      <c r="C22" s="14">
        <v>8</v>
      </c>
      <c r="F22" s="46" t="s">
        <v>14</v>
      </c>
      <c r="G22">
        <v>-40.27165375177551</v>
      </c>
      <c r="H22">
        <v>-39.705810685957879</v>
      </c>
      <c r="I22">
        <v>-41.291283412843164</v>
      </c>
      <c r="J22">
        <v>-42.2000472683685</v>
      </c>
      <c r="K22">
        <v>-43.565157141548923</v>
      </c>
      <c r="L22">
        <v>-41.904637383066053</v>
      </c>
      <c r="O22" s="46" t="s">
        <v>14</v>
      </c>
      <c r="P22">
        <v>-0.29739620688881507</v>
      </c>
      <c r="Q22">
        <v>-2.7589584993167326</v>
      </c>
      <c r="R22">
        <v>0.41215512184762454</v>
      </c>
      <c r="S22">
        <v>-0.2774991900129255</v>
      </c>
      <c r="T22">
        <v>0.5814450377892173</v>
      </c>
      <c r="U22">
        <v>2.0549392248104537E-2</v>
      </c>
    </row>
    <row r="23" spans="2:21" ht="17">
      <c r="B23" s="32" t="s">
        <v>84</v>
      </c>
      <c r="C23" s="14">
        <v>8</v>
      </c>
      <c r="F23" s="46" t="s">
        <v>15</v>
      </c>
      <c r="G23">
        <v>-80.98498807893229</v>
      </c>
      <c r="H23">
        <v>-83.773460563567511</v>
      </c>
      <c r="I23">
        <v>-83.31363591708778</v>
      </c>
      <c r="J23">
        <v>-84.190042012122362</v>
      </c>
      <c r="K23">
        <v>-81.863112103414949</v>
      </c>
      <c r="L23">
        <v>-82.047562266443535</v>
      </c>
      <c r="O23" s="46" t="s">
        <v>15</v>
      </c>
      <c r="P23">
        <v>-2.4232095607116344</v>
      </c>
      <c r="Q23">
        <v>-1.1617048389210352</v>
      </c>
      <c r="R23">
        <v>-1.6007174163379738</v>
      </c>
      <c r="S23">
        <v>2.244859880999309E-2</v>
      </c>
      <c r="T23">
        <v>0.1830679273827362</v>
      </c>
      <c r="U23">
        <v>-0.51469146727990633</v>
      </c>
    </row>
    <row r="24" spans="2:21" ht="17">
      <c r="B24" s="32" t="s">
        <v>110</v>
      </c>
      <c r="C24" s="3">
        <v>8</v>
      </c>
      <c r="F24" s="46" t="s">
        <v>16</v>
      </c>
      <c r="G24">
        <v>-93.195754087327131</v>
      </c>
      <c r="H24">
        <v>-95.407172040750211</v>
      </c>
      <c r="I24">
        <v>-94.003012265544669</v>
      </c>
      <c r="J24">
        <v>-95.49482842271189</v>
      </c>
      <c r="K24">
        <v>-96.385876432969567</v>
      </c>
      <c r="L24">
        <v>-94.39935616629657</v>
      </c>
      <c r="O24" s="46" t="s">
        <v>16</v>
      </c>
      <c r="P24">
        <v>-1.7601579652337296</v>
      </c>
      <c r="Q24">
        <v>-0.50317028036034894</v>
      </c>
      <c r="R24">
        <v>-0.94623174257058618</v>
      </c>
      <c r="S24">
        <v>7.7167725324335787E-2</v>
      </c>
      <c r="T24">
        <v>0.85605306871635889</v>
      </c>
      <c r="U24">
        <v>0.1482718741695371</v>
      </c>
    </row>
    <row r="25" spans="2:21" ht="17">
      <c r="F25" s="46" t="s">
        <v>17</v>
      </c>
      <c r="G25">
        <v>-95.824750241649724</v>
      </c>
      <c r="H25">
        <v>-96.692649548700814</v>
      </c>
      <c r="I25">
        <v>-96.939470808776605</v>
      </c>
      <c r="J25">
        <v>-97.117961567461265</v>
      </c>
      <c r="K25">
        <v>-97.996753803265804</v>
      </c>
      <c r="L25">
        <v>-98.644763286755179</v>
      </c>
      <c r="O25" s="46" t="s">
        <v>17</v>
      </c>
      <c r="P25">
        <v>-3.4341910796530106</v>
      </c>
      <c r="Q25">
        <v>-3.542962840130746</v>
      </c>
      <c r="R25">
        <v>-2.4776484799429448</v>
      </c>
      <c r="S25">
        <v>-1.4578480073137103</v>
      </c>
      <c r="T25">
        <v>-1.7718481782199438</v>
      </c>
      <c r="U25">
        <v>-0.6052153282359356</v>
      </c>
    </row>
    <row r="26" spans="2:21" ht="17">
      <c r="F26" s="46" t="s">
        <v>106</v>
      </c>
      <c r="G26">
        <v>-100.14242535358213</v>
      </c>
      <c r="H26">
        <v>-101.04424262598984</v>
      </c>
      <c r="I26">
        <v>-100.23772618411942</v>
      </c>
      <c r="J26">
        <v>-99.546154607055172</v>
      </c>
      <c r="K26">
        <v>-100.70386498361651</v>
      </c>
      <c r="L26">
        <v>-101.07481850557822</v>
      </c>
      <c r="O26" s="46" t="s">
        <v>106</v>
      </c>
      <c r="P26">
        <v>9.8222434260869323E-2</v>
      </c>
      <c r="Q26">
        <v>0.7038288740236579</v>
      </c>
      <c r="R26">
        <v>0.49160765886376068</v>
      </c>
      <c r="S26">
        <v>9.5212360789750081E-2</v>
      </c>
      <c r="T26">
        <v>0.4324754033449979</v>
      </c>
      <c r="U26">
        <v>0.402930275525402</v>
      </c>
    </row>
    <row r="27" spans="2:21" ht="17">
      <c r="F27" s="46" t="s">
        <v>49</v>
      </c>
      <c r="G27">
        <v>-59.71990588485491</v>
      </c>
      <c r="H27">
        <v>-57.487054165932399</v>
      </c>
      <c r="I27">
        <v>-60.107210491670351</v>
      </c>
      <c r="J27">
        <v>-60.017805712370873</v>
      </c>
      <c r="K27">
        <v>-58.390275474329059</v>
      </c>
      <c r="L27">
        <v>-59.323063990873557</v>
      </c>
      <c r="M27" s="15"/>
      <c r="O27" s="46" t="s">
        <v>49</v>
      </c>
      <c r="P27" s="15">
        <v>-4.8436696436580515</v>
      </c>
      <c r="Q27" s="15">
        <v>-4.7929618145747162</v>
      </c>
      <c r="R27" s="15">
        <v>-4.4883580863342898</v>
      </c>
      <c r="S27" s="15">
        <v>-4.5982638386224615</v>
      </c>
      <c r="T27" s="15">
        <v>-4.6313823915240668</v>
      </c>
      <c r="U27" s="15">
        <v>-4.448335742515372</v>
      </c>
    </row>
    <row r="28" spans="2:21" ht="34">
      <c r="B28" s="27" t="s">
        <v>13</v>
      </c>
      <c r="C28" s="3">
        <v>12</v>
      </c>
      <c r="F28" s="46" t="s">
        <v>52</v>
      </c>
      <c r="G28">
        <v>-8.6851867640712861</v>
      </c>
      <c r="H28">
        <v>-34.88214496626243</v>
      </c>
      <c r="I28">
        <v>-5.9355583975524855</v>
      </c>
      <c r="J28">
        <v>26.545051855583363</v>
      </c>
      <c r="K28">
        <v>20.797229773239152</v>
      </c>
      <c r="L28">
        <v>-7.8361456925813293</v>
      </c>
      <c r="M28" s="15"/>
      <c r="O28" s="46" t="s">
        <v>52</v>
      </c>
      <c r="P28" s="15">
        <v>-0.52340174308391008</v>
      </c>
      <c r="Q28" s="15">
        <v>-0.79843197469975447</v>
      </c>
      <c r="R28" s="15">
        <v>-0.75028662180291639</v>
      </c>
      <c r="S28" s="15">
        <v>0</v>
      </c>
      <c r="T28" s="15">
        <v>0</v>
      </c>
      <c r="U28" s="15">
        <v>-1.0195376673603989</v>
      </c>
    </row>
    <row r="29" spans="2:21" ht="34">
      <c r="B29" s="28" t="s">
        <v>46</v>
      </c>
      <c r="C29" s="14">
        <v>10</v>
      </c>
      <c r="F29" s="46" t="s">
        <v>55</v>
      </c>
      <c r="G29">
        <v>-48.364497637963673</v>
      </c>
      <c r="H29">
        <v>-41.177835782739642</v>
      </c>
      <c r="I29">
        <v>-50.447158935698916</v>
      </c>
      <c r="J29">
        <v>-59.334463122193597</v>
      </c>
      <c r="K29">
        <v>-55.228466462306642</v>
      </c>
      <c r="L29">
        <v>-51.378864154816888</v>
      </c>
      <c r="M29" s="15"/>
      <c r="O29" s="46" t="s">
        <v>55</v>
      </c>
      <c r="P29" s="15">
        <v>-2.6470874021939861</v>
      </c>
      <c r="Q29" s="15">
        <v>-1.4701477775160097</v>
      </c>
      <c r="R29" s="15">
        <v>-1.8185967915793528</v>
      </c>
      <c r="S29" s="15">
        <v>0.45976452754816949</v>
      </c>
      <c r="T29" s="15">
        <v>1.2142660911831098E-2</v>
      </c>
      <c r="U29" s="15">
        <v>-0.71797265045822145</v>
      </c>
    </row>
    <row r="30" spans="2:21" ht="34">
      <c r="B30" s="29" t="s">
        <v>50</v>
      </c>
      <c r="C30" s="14">
        <v>10</v>
      </c>
      <c r="F30" s="46" t="s">
        <v>58</v>
      </c>
      <c r="G30">
        <v>-54.199305521488881</v>
      </c>
      <c r="H30">
        <v>-55.219725672313992</v>
      </c>
      <c r="I30">
        <v>-54.11593247486222</v>
      </c>
      <c r="J30">
        <v>-56.18558482137982</v>
      </c>
      <c r="K30">
        <v>-55.642471208160757</v>
      </c>
      <c r="L30">
        <v>-54.367304843053908</v>
      </c>
      <c r="M30" s="15"/>
      <c r="O30" s="46" t="s">
        <v>58</v>
      </c>
      <c r="P30" s="15">
        <v>-1.9955603702059659</v>
      </c>
      <c r="Q30" s="15">
        <v>-0.74065705873450338</v>
      </c>
      <c r="R30" s="15">
        <v>-1.1860483668767163</v>
      </c>
      <c r="S30" s="15">
        <v>0.86034926006453161</v>
      </c>
      <c r="T30" s="15">
        <v>0.61744607772311466</v>
      </c>
      <c r="U30" s="15">
        <v>-9.135935390910134E-2</v>
      </c>
    </row>
    <row r="31" spans="2:21" ht="17">
      <c r="B31" s="29" t="s">
        <v>53</v>
      </c>
      <c r="C31" s="14">
        <v>10</v>
      </c>
      <c r="F31" s="46" t="s">
        <v>63</v>
      </c>
      <c r="G31">
        <v>-56.828233870994858</v>
      </c>
      <c r="H31">
        <v>-56.505203180264608</v>
      </c>
      <c r="I31">
        <v>-57.052391018094141</v>
      </c>
      <c r="J31">
        <v>-57.808647241373428</v>
      </c>
      <c r="K31">
        <v>-57.253275651779894</v>
      </c>
      <c r="L31">
        <v>-58.612782448928996</v>
      </c>
      <c r="M31" s="15"/>
      <c r="O31" s="46" t="s">
        <v>63</v>
      </c>
      <c r="P31" s="15">
        <v>-3.6611046165435721</v>
      </c>
      <c r="Q31" s="15">
        <v>-3.7762678600695594</v>
      </c>
      <c r="R31" s="15">
        <v>-2.7078752744736874</v>
      </c>
      <c r="S31" s="15">
        <v>-1.6831547588973672</v>
      </c>
      <c r="T31" s="15">
        <v>-2.0052595287399426</v>
      </c>
      <c r="U31" s="15">
        <v>-0.83129702465468525</v>
      </c>
    </row>
    <row r="32" spans="2:21" ht="34">
      <c r="B32" s="29" t="s">
        <v>56</v>
      </c>
      <c r="C32" s="14">
        <v>40</v>
      </c>
      <c r="F32" s="46" t="s">
        <v>108</v>
      </c>
      <c r="G32">
        <v>-61.145908982927246</v>
      </c>
      <c r="H32">
        <v>-60.856796257553611</v>
      </c>
      <c r="I32">
        <v>-60.350577176518634</v>
      </c>
      <c r="J32">
        <v>-60.236911005723108</v>
      </c>
      <c r="K32">
        <v>-59.960386832130581</v>
      </c>
      <c r="L32">
        <v>-61.042767182335574</v>
      </c>
      <c r="M32" s="15"/>
      <c r="O32" s="46" t="s">
        <v>108</v>
      </c>
      <c r="P32" s="15">
        <v>0.36888528912068835</v>
      </c>
      <c r="Q32" s="15">
        <v>0.19363343224881377</v>
      </c>
      <c r="R32" s="15">
        <v>0.27125788033053383</v>
      </c>
      <c r="S32" s="15">
        <v>0.20172974873344235</v>
      </c>
      <c r="T32" s="15">
        <v>0.20729369040122184</v>
      </c>
      <c r="U32" s="15">
        <v>0.28915252549493331</v>
      </c>
    </row>
    <row r="33" spans="2:21" ht="17">
      <c r="B33" s="29" t="s">
        <v>60</v>
      </c>
      <c r="C33" s="14">
        <v>40</v>
      </c>
      <c r="F33" s="46" t="s">
        <v>64</v>
      </c>
      <c r="G33">
        <v>-4.2453951774287919</v>
      </c>
      <c r="H33">
        <v>-2.7489641760967398</v>
      </c>
      <c r="I33">
        <v>-4.5872128284840885</v>
      </c>
      <c r="J33">
        <v>-0.94148794871039676</v>
      </c>
      <c r="K33">
        <v>7.3947650571798834E-2</v>
      </c>
      <c r="L33">
        <v>-3.0831026025797361</v>
      </c>
      <c r="O33" s="46" t="s">
        <v>64</v>
      </c>
      <c r="P33">
        <v>-5.9918706360550011</v>
      </c>
      <c r="Q33">
        <v>-6.1133627888011306</v>
      </c>
      <c r="R33">
        <v>-5.6057357695088683</v>
      </c>
      <c r="S33">
        <v>-6.4027291866236613</v>
      </c>
      <c r="T33">
        <v>0</v>
      </c>
      <c r="U33">
        <v>-5.7325713385745427</v>
      </c>
    </row>
    <row r="34" spans="2:21" ht="17">
      <c r="B34" s="29" t="s">
        <v>107</v>
      </c>
      <c r="C34" s="3">
        <v>40</v>
      </c>
      <c r="F34" s="49" t="s">
        <v>68</v>
      </c>
      <c r="G34">
        <v>-2.628928349505991</v>
      </c>
      <c r="H34">
        <v>-1.2854775079506142</v>
      </c>
      <c r="I34">
        <v>-2.9364585432319186</v>
      </c>
      <c r="J34">
        <v>-1.6230624199936123</v>
      </c>
      <c r="K34">
        <v>-1.6108044436191398</v>
      </c>
      <c r="L34">
        <v>-4.2454776058751005</v>
      </c>
      <c r="O34" s="49" t="s">
        <v>68</v>
      </c>
      <c r="P34">
        <v>-4.9958900259042798</v>
      </c>
      <c r="Q34">
        <v>-5.4192918187805059</v>
      </c>
      <c r="R34">
        <v>-3.9963252506531348</v>
      </c>
      <c r="S34">
        <v>-3.2348123433140334</v>
      </c>
      <c r="T34">
        <v>-3.5560170489091476</v>
      </c>
      <c r="U34">
        <v>-1.9713628088285566</v>
      </c>
    </row>
    <row r="35" spans="2:21" ht="17">
      <c r="B35" s="32" t="s">
        <v>75</v>
      </c>
      <c r="C35" s="14">
        <v>24</v>
      </c>
      <c r="F35" s="46" t="s">
        <v>109</v>
      </c>
      <c r="G35">
        <v>-6.946603461438376</v>
      </c>
      <c r="H35">
        <v>-5.6370705852396243</v>
      </c>
      <c r="I35">
        <v>-6.2347139185747498</v>
      </c>
      <c r="J35">
        <v>-4.0513261843432877</v>
      </c>
      <c r="K35">
        <v>-4.3179156239698324</v>
      </c>
      <c r="L35">
        <v>-6.675462339281661</v>
      </c>
      <c r="O35" s="46" t="s">
        <v>109</v>
      </c>
      <c r="P35">
        <v>-0.41315270001780796</v>
      </c>
      <c r="Q35">
        <v>-0.51061000008828472</v>
      </c>
      <c r="R35">
        <v>-0.71460701703750951</v>
      </c>
      <c r="S35">
        <v>-0.97053573314714214</v>
      </c>
      <c r="T35">
        <v>-0.93529658404944305</v>
      </c>
      <c r="U35">
        <v>-0.67200033717260466</v>
      </c>
    </row>
    <row r="36" spans="2:21" ht="17">
      <c r="F36" s="46" t="s">
        <v>69</v>
      </c>
      <c r="G36" s="45">
        <v>-28.517892207640674</v>
      </c>
      <c r="H36" s="45">
        <v>-28.383444470927415</v>
      </c>
      <c r="I36" s="45">
        <v>-28.124841208858658</v>
      </c>
      <c r="J36" s="45">
        <v>-26.688835284642888</v>
      </c>
      <c r="K36" s="45">
        <v>-26.600807663521095</v>
      </c>
      <c r="L36" s="45">
        <v>-25.648021896068421</v>
      </c>
      <c r="O36" s="46" t="s">
        <v>69</v>
      </c>
      <c r="P36" s="15">
        <v>-5.164671335159726</v>
      </c>
      <c r="Q36" s="15">
        <v>-5.0994667709539874</v>
      </c>
      <c r="R36" s="15">
        <v>-4.8181945805238726</v>
      </c>
      <c r="S36" s="15">
        <v>-4.9502143305775439</v>
      </c>
      <c r="T36" s="15">
        <v>-4.9728280926595154</v>
      </c>
      <c r="U36" s="15">
        <v>-4.8125054406553778</v>
      </c>
    </row>
    <row r="37" spans="2:21" ht="17">
      <c r="F37" s="46" t="s">
        <v>110</v>
      </c>
      <c r="G37" s="45">
        <v>-4.3176751119323846</v>
      </c>
      <c r="H37" s="45">
        <v>-4.3515930772890083</v>
      </c>
      <c r="I37" s="45">
        <v>-3.2982553753428312</v>
      </c>
      <c r="J37" s="45">
        <v>-2.4281930395939115</v>
      </c>
      <c r="K37" s="45">
        <v>-2.7071111803506933</v>
      </c>
      <c r="L37" s="45">
        <v>-2.4299847334065618</v>
      </c>
      <c r="O37" s="46" t="s">
        <v>110</v>
      </c>
      <c r="P37" s="15">
        <v>-0.61967524814167796</v>
      </c>
      <c r="Q37" s="15">
        <v>-0.62301519582312404</v>
      </c>
      <c r="R37" s="15">
        <v>-0.99113926869355551</v>
      </c>
      <c r="S37" s="15">
        <v>-1.1928497342077633</v>
      </c>
      <c r="T37" s="15">
        <v>-1.1380646431202357</v>
      </c>
      <c r="U37" s="15">
        <v>-1.1108781421624341</v>
      </c>
    </row>
    <row r="40" spans="2:21" ht="51">
      <c r="F40" s="48" t="s">
        <v>140</v>
      </c>
      <c r="G40" t="s">
        <v>116</v>
      </c>
      <c r="H40" s="48" t="s">
        <v>140</v>
      </c>
      <c r="I40" t="s">
        <v>118</v>
      </c>
      <c r="J40" s="48" t="s">
        <v>140</v>
      </c>
      <c r="K40" t="s">
        <v>119</v>
      </c>
      <c r="L40" s="48" t="s">
        <v>140</v>
      </c>
      <c r="O40" t="s">
        <v>121</v>
      </c>
      <c r="P40" s="48" t="s">
        <v>140</v>
      </c>
      <c r="Q40" t="s">
        <v>122</v>
      </c>
    </row>
    <row r="41" spans="2:21" ht="34">
      <c r="F41" s="46" t="s">
        <v>1</v>
      </c>
      <c r="G41">
        <v>-4.6310460584994049</v>
      </c>
      <c r="H41" s="46" t="s">
        <v>1</v>
      </c>
      <c r="I41">
        <v>-4.5606144144079943</v>
      </c>
      <c r="J41" s="46" t="s">
        <v>1</v>
      </c>
      <c r="K41">
        <v>-4.2734508014853256</v>
      </c>
      <c r="L41" s="46" t="s">
        <v>1</v>
      </c>
      <c r="O41">
        <v>-4.4140428353921557</v>
      </c>
      <c r="P41" s="46" t="s">
        <v>1</v>
      </c>
      <c r="Q41">
        <v>-4.2326328417071313</v>
      </c>
    </row>
    <row r="42" spans="2:21" ht="68">
      <c r="F42" s="46" t="s">
        <v>12</v>
      </c>
      <c r="G42">
        <v>-7.7556064229193006E-2</v>
      </c>
      <c r="H42" s="46" t="s">
        <v>12</v>
      </c>
      <c r="I42">
        <v>-0.50947891198415529</v>
      </c>
      <c r="J42" s="46" t="s">
        <v>12</v>
      </c>
      <c r="K42">
        <v>0.30157873194677903</v>
      </c>
      <c r="L42" s="46" t="s">
        <v>12</v>
      </c>
      <c r="O42">
        <v>-4.1849280212888145</v>
      </c>
      <c r="P42" s="46" t="s">
        <v>12</v>
      </c>
      <c r="Q42">
        <v>-3.3067195839087661E-2</v>
      </c>
    </row>
    <row r="43" spans="2:21" ht="68">
      <c r="F43" s="46" t="s">
        <v>14</v>
      </c>
      <c r="G43">
        <v>-0.29739620688881507</v>
      </c>
      <c r="H43" s="46" t="s">
        <v>14</v>
      </c>
      <c r="I43">
        <v>-2.7589584993167326</v>
      </c>
      <c r="J43" s="46" t="s">
        <v>14</v>
      </c>
      <c r="K43">
        <v>0.41215512184762454</v>
      </c>
      <c r="L43" s="46" t="s">
        <v>14</v>
      </c>
      <c r="O43">
        <v>0.5814450377892173</v>
      </c>
      <c r="P43" s="46" t="s">
        <v>14</v>
      </c>
      <c r="Q43">
        <v>2.0549392248104537E-2</v>
      </c>
    </row>
    <row r="44" spans="2:21" ht="51">
      <c r="F44" s="46" t="s">
        <v>15</v>
      </c>
      <c r="G44">
        <v>-2.4232095607116344</v>
      </c>
      <c r="H44" s="46" t="s">
        <v>15</v>
      </c>
      <c r="I44">
        <v>-1.1617048389210352</v>
      </c>
      <c r="J44" s="46" t="s">
        <v>15</v>
      </c>
      <c r="K44">
        <v>-1.6007174163379738</v>
      </c>
      <c r="L44" s="46" t="s">
        <v>15</v>
      </c>
      <c r="M44" t="s">
        <v>120</v>
      </c>
      <c r="N44" s="48" t="s">
        <v>140</v>
      </c>
      <c r="O44">
        <v>0.1830679273827362</v>
      </c>
      <c r="P44" s="46" t="s">
        <v>15</v>
      </c>
      <c r="Q44">
        <v>-0.51469146727990633</v>
      </c>
    </row>
    <row r="45" spans="2:21" ht="51">
      <c r="F45" s="46" t="s">
        <v>16</v>
      </c>
      <c r="G45">
        <v>-1.7601579652337296</v>
      </c>
      <c r="H45" s="46" t="s">
        <v>16</v>
      </c>
      <c r="I45">
        <v>-0.50317028036034894</v>
      </c>
      <c r="J45" s="46" t="s">
        <v>16</v>
      </c>
      <c r="K45">
        <v>-0.94623174257058618</v>
      </c>
      <c r="L45" s="46" t="s">
        <v>16</v>
      </c>
      <c r="M45">
        <v>-4.3923033388820345</v>
      </c>
      <c r="N45" s="46" t="s">
        <v>1</v>
      </c>
      <c r="O45">
        <v>0.85605306871635889</v>
      </c>
      <c r="P45" s="46" t="s">
        <v>16</v>
      </c>
      <c r="Q45">
        <v>0.1482718741695371</v>
      </c>
    </row>
    <row r="46" spans="2:21" ht="68">
      <c r="F46" s="46" t="s">
        <v>17</v>
      </c>
      <c r="G46">
        <v>-3.4341910796530106</v>
      </c>
      <c r="H46" s="46" t="s">
        <v>17</v>
      </c>
      <c r="I46">
        <v>-3.542962840130746</v>
      </c>
      <c r="J46" s="46" t="s">
        <v>17</v>
      </c>
      <c r="K46">
        <v>-2.4776484799429448</v>
      </c>
      <c r="L46" s="46" t="s">
        <v>17</v>
      </c>
      <c r="M46">
        <v>-4.2134157097138027</v>
      </c>
      <c r="N46" s="46" t="s">
        <v>12</v>
      </c>
      <c r="O46">
        <v>-1.7718481782199438</v>
      </c>
      <c r="P46" s="46" t="s">
        <v>17</v>
      </c>
      <c r="Q46">
        <v>-0.6052153282359356</v>
      </c>
    </row>
    <row r="47" spans="2:21" ht="68">
      <c r="F47" s="46" t="s">
        <v>106</v>
      </c>
      <c r="G47">
        <v>9.8222434260869323E-2</v>
      </c>
      <c r="H47" s="46" t="s">
        <v>106</v>
      </c>
      <c r="I47">
        <v>0.7038288740236579</v>
      </c>
      <c r="J47" s="46" t="s">
        <v>106</v>
      </c>
      <c r="K47">
        <v>0.49160765886376068</v>
      </c>
      <c r="L47" s="46" t="s">
        <v>106</v>
      </c>
      <c r="M47">
        <v>-0.2774991900129255</v>
      </c>
      <c r="N47" s="46" t="s">
        <v>14</v>
      </c>
      <c r="O47">
        <v>0.4324754033449979</v>
      </c>
      <c r="P47" s="46" t="s">
        <v>106</v>
      </c>
      <c r="Q47">
        <v>0.402930275525402</v>
      </c>
    </row>
    <row r="48" spans="2:21" ht="68">
      <c r="F48" s="46" t="s">
        <v>49</v>
      </c>
      <c r="G48" s="15">
        <v>-4.8436696436580515</v>
      </c>
      <c r="H48" s="46" t="s">
        <v>49</v>
      </c>
      <c r="I48" s="15">
        <v>-4.7929618145747162</v>
      </c>
      <c r="J48" s="46" t="s">
        <v>49</v>
      </c>
      <c r="K48" s="15">
        <v>-4.4883580863342898</v>
      </c>
      <c r="L48" s="46" t="s">
        <v>49</v>
      </c>
      <c r="M48">
        <v>2.244859880999309E-2</v>
      </c>
      <c r="N48" s="46" t="s">
        <v>15</v>
      </c>
      <c r="O48" s="15">
        <v>-4.6313823915240668</v>
      </c>
      <c r="P48" s="46" t="s">
        <v>49</v>
      </c>
      <c r="Q48" s="15">
        <v>-4.448335742515372</v>
      </c>
    </row>
    <row r="49" spans="6:17" ht="102">
      <c r="F49" s="46" t="s">
        <v>52</v>
      </c>
      <c r="G49" s="15">
        <v>-0.52340174308391008</v>
      </c>
      <c r="H49" s="46" t="s">
        <v>52</v>
      </c>
      <c r="I49" s="15">
        <v>-0.79843197469975447</v>
      </c>
      <c r="J49" s="46" t="s">
        <v>52</v>
      </c>
      <c r="K49" s="15">
        <v>-0.75028662180291639</v>
      </c>
      <c r="L49" s="46" t="s">
        <v>52</v>
      </c>
      <c r="M49">
        <v>7.7167725324335787E-2</v>
      </c>
      <c r="N49" s="46" t="s">
        <v>16</v>
      </c>
      <c r="O49" s="15">
        <v>0</v>
      </c>
      <c r="P49" s="46" t="s">
        <v>52</v>
      </c>
      <c r="Q49" s="15">
        <v>-1.0195376673603989</v>
      </c>
    </row>
    <row r="50" spans="6:17" ht="85">
      <c r="F50" s="46" t="s">
        <v>55</v>
      </c>
      <c r="G50" s="15">
        <v>-2.6470874021939861</v>
      </c>
      <c r="H50" s="46" t="s">
        <v>55</v>
      </c>
      <c r="I50" s="15">
        <v>-1.4701477775160097</v>
      </c>
      <c r="J50" s="46" t="s">
        <v>55</v>
      </c>
      <c r="K50" s="15">
        <v>-1.8185967915793528</v>
      </c>
      <c r="L50" s="46" t="s">
        <v>55</v>
      </c>
      <c r="M50">
        <v>-1.4578480073137103</v>
      </c>
      <c r="N50" s="46" t="s">
        <v>17</v>
      </c>
      <c r="O50" s="15">
        <v>1.2142660911831098E-2</v>
      </c>
      <c r="P50" s="46" t="s">
        <v>55</v>
      </c>
      <c r="Q50" s="15">
        <v>-0.71797265045822145</v>
      </c>
    </row>
    <row r="51" spans="6:17" ht="68">
      <c r="F51" s="46" t="s">
        <v>58</v>
      </c>
      <c r="G51" s="15">
        <v>-1.9955603702059659</v>
      </c>
      <c r="H51" s="46" t="s">
        <v>58</v>
      </c>
      <c r="I51" s="15">
        <v>-0.74065705873450338</v>
      </c>
      <c r="J51" s="46" t="s">
        <v>58</v>
      </c>
      <c r="K51" s="15">
        <v>-1.1860483668767163</v>
      </c>
      <c r="L51" s="46" t="s">
        <v>58</v>
      </c>
      <c r="M51">
        <v>9.5212360789750081E-2</v>
      </c>
      <c r="N51" s="46" t="s">
        <v>106</v>
      </c>
      <c r="O51" s="15">
        <v>0.61744607772311466</v>
      </c>
      <c r="P51" s="46" t="s">
        <v>58</v>
      </c>
      <c r="Q51" s="15">
        <v>-9.135935390910134E-2</v>
      </c>
    </row>
    <row r="52" spans="6:17" ht="68">
      <c r="F52" s="46" t="s">
        <v>63</v>
      </c>
      <c r="G52" s="15">
        <v>-3.6611046165435721</v>
      </c>
      <c r="H52" s="46" t="s">
        <v>63</v>
      </c>
      <c r="I52" s="15">
        <v>-3.7762678600695594</v>
      </c>
      <c r="J52" s="46" t="s">
        <v>63</v>
      </c>
      <c r="K52" s="15">
        <v>-2.7078752744736874</v>
      </c>
      <c r="L52" s="46" t="s">
        <v>63</v>
      </c>
      <c r="M52" s="15">
        <v>-4.5982638386224615</v>
      </c>
      <c r="N52" s="46" t="s">
        <v>49</v>
      </c>
      <c r="O52" s="15">
        <v>-2.0052595287399426</v>
      </c>
      <c r="P52" s="46" t="s">
        <v>63</v>
      </c>
      <c r="Q52" s="15">
        <v>-0.83129702465468525</v>
      </c>
    </row>
    <row r="53" spans="6:17" ht="102">
      <c r="F53" s="46" t="s">
        <v>108</v>
      </c>
      <c r="G53" s="15">
        <v>0.36888528912068835</v>
      </c>
      <c r="H53" s="46" t="s">
        <v>108</v>
      </c>
      <c r="I53" s="15">
        <v>0.19363343224881377</v>
      </c>
      <c r="J53" s="46" t="s">
        <v>108</v>
      </c>
      <c r="K53" s="15">
        <v>0.27125788033053383</v>
      </c>
      <c r="L53" s="46" t="s">
        <v>108</v>
      </c>
      <c r="M53" s="15">
        <v>0</v>
      </c>
      <c r="N53" s="46" t="s">
        <v>52</v>
      </c>
      <c r="O53" s="15">
        <v>0.20729369040122184</v>
      </c>
      <c r="P53" s="46" t="s">
        <v>108</v>
      </c>
      <c r="Q53" s="15">
        <v>0.28915252549493331</v>
      </c>
    </row>
    <row r="54" spans="6:17" ht="85">
      <c r="F54" s="49" t="s">
        <v>68</v>
      </c>
      <c r="G54">
        <v>-5.9918706360550011</v>
      </c>
      <c r="H54" s="49" t="s">
        <v>68</v>
      </c>
      <c r="I54">
        <v>-6.1133627888011306</v>
      </c>
      <c r="J54" s="49" t="s">
        <v>68</v>
      </c>
      <c r="K54">
        <v>-5.6057357695088683</v>
      </c>
      <c r="L54" s="49" t="s">
        <v>68</v>
      </c>
      <c r="M54" s="15">
        <v>0.45976452754816949</v>
      </c>
      <c r="N54" s="46" t="s">
        <v>55</v>
      </c>
      <c r="O54">
        <v>0</v>
      </c>
      <c r="P54" s="49" t="s">
        <v>68</v>
      </c>
      <c r="Q54">
        <v>-5.7325713385745427</v>
      </c>
    </row>
    <row r="55" spans="6:17" ht="68">
      <c r="F55" s="46" t="s">
        <v>109</v>
      </c>
      <c r="G55">
        <v>0</v>
      </c>
      <c r="H55" s="46" t="s">
        <v>109</v>
      </c>
      <c r="I55">
        <v>0</v>
      </c>
      <c r="J55" s="46" t="s">
        <v>109</v>
      </c>
      <c r="K55">
        <v>0</v>
      </c>
      <c r="L55" s="46" t="s">
        <v>109</v>
      </c>
      <c r="M55" s="15">
        <v>0.86034926006453161</v>
      </c>
      <c r="N55" s="46" t="s">
        <v>58</v>
      </c>
      <c r="O55">
        <v>0</v>
      </c>
      <c r="P55" s="46" t="s">
        <v>109</v>
      </c>
      <c r="Q55">
        <v>0</v>
      </c>
    </row>
    <row r="56" spans="6:17" ht="68">
      <c r="F56" s="46" t="s">
        <v>69</v>
      </c>
      <c r="G56">
        <v>-4.9958900259042798</v>
      </c>
      <c r="H56" s="46" t="s">
        <v>69</v>
      </c>
      <c r="I56">
        <v>-5.4192918187805059</v>
      </c>
      <c r="J56" s="46" t="s">
        <v>69</v>
      </c>
      <c r="K56">
        <v>-3.9963252506531348</v>
      </c>
      <c r="L56" s="46" t="s">
        <v>69</v>
      </c>
      <c r="M56" s="15">
        <v>-1.6831547588973672</v>
      </c>
      <c r="N56" s="46" t="s">
        <v>63</v>
      </c>
      <c r="O56">
        <v>-3.5560170489091476</v>
      </c>
      <c r="P56" s="46" t="s">
        <v>69</v>
      </c>
      <c r="Q56">
        <v>-1.9713628088285566</v>
      </c>
    </row>
    <row r="57" spans="6:17" ht="85">
      <c r="F57" s="46" t="s">
        <v>110</v>
      </c>
      <c r="G57">
        <v>-0.41315270001780796</v>
      </c>
      <c r="H57" s="46" t="s">
        <v>110</v>
      </c>
      <c r="I57">
        <v>-0.51061000008828472</v>
      </c>
      <c r="J57" s="46" t="s">
        <v>110</v>
      </c>
      <c r="K57">
        <v>-0.71460701703750951</v>
      </c>
      <c r="L57" s="46" t="s">
        <v>110</v>
      </c>
      <c r="M57" s="15">
        <v>0.20172974873344235</v>
      </c>
      <c r="N57" s="46" t="s">
        <v>108</v>
      </c>
      <c r="O57">
        <v>-0.93529658404944305</v>
      </c>
      <c r="P57" s="46" t="s">
        <v>110</v>
      </c>
      <c r="Q57">
        <v>-0.67200033717260466</v>
      </c>
    </row>
    <row r="58" spans="6:17" ht="68">
      <c r="G58" s="15">
        <v>-5.164671335159726</v>
      </c>
      <c r="I58" s="15">
        <v>-5.0994667709539874</v>
      </c>
      <c r="K58" s="15">
        <v>-4.8181945805238726</v>
      </c>
      <c r="M58">
        <v>-6.4027291866236613</v>
      </c>
      <c r="N58" s="49" t="s">
        <v>68</v>
      </c>
      <c r="O58" s="15">
        <v>-4.9728280926595154</v>
      </c>
      <c r="Q58" s="15">
        <v>-4.8125054406553778</v>
      </c>
    </row>
    <row r="59" spans="6:17" ht="68">
      <c r="G59" s="15">
        <v>0</v>
      </c>
      <c r="I59" s="15">
        <v>0</v>
      </c>
      <c r="K59" s="15">
        <v>0</v>
      </c>
      <c r="M59">
        <v>0</v>
      </c>
      <c r="N59" s="46" t="s">
        <v>109</v>
      </c>
      <c r="O59" s="15">
        <v>0</v>
      </c>
      <c r="Q59" s="15">
        <v>0</v>
      </c>
    </row>
    <row r="60" spans="6:17" ht="68">
      <c r="G60" s="15">
        <v>0</v>
      </c>
      <c r="I60" s="15">
        <v>0</v>
      </c>
      <c r="K60" s="15">
        <v>0</v>
      </c>
      <c r="M60">
        <v>-3.2348123433140334</v>
      </c>
      <c r="N60" s="46" t="s">
        <v>69</v>
      </c>
      <c r="O60" s="15">
        <v>0</v>
      </c>
      <c r="Q60" s="15">
        <v>0</v>
      </c>
    </row>
    <row r="61" spans="6:17" ht="68">
      <c r="G61" s="15">
        <v>0</v>
      </c>
      <c r="I61" s="15">
        <v>0</v>
      </c>
      <c r="K61" s="15">
        <v>0</v>
      </c>
      <c r="M61">
        <v>-0.97053573314714214</v>
      </c>
      <c r="N61" s="46" t="s">
        <v>110</v>
      </c>
      <c r="O61" s="15">
        <v>0</v>
      </c>
      <c r="Q61" s="15">
        <v>0</v>
      </c>
    </row>
    <row r="62" spans="6:17">
      <c r="G62" s="15">
        <v>-0.61967524814167796</v>
      </c>
      <c r="I62" s="15">
        <v>-0.62301519582312404</v>
      </c>
      <c r="K62" s="15">
        <v>-0.99113926869355551</v>
      </c>
      <c r="M62" s="15">
        <v>-4.9502143305775439</v>
      </c>
      <c r="O62" s="15">
        <v>-1.1380646431202357</v>
      </c>
      <c r="Q62" s="15">
        <v>-1.1108781421624341</v>
      </c>
    </row>
    <row r="63" spans="6:17">
      <c r="M63" s="15">
        <v>0</v>
      </c>
    </row>
    <row r="64" spans="6:17">
      <c r="M64" s="15">
        <v>0</v>
      </c>
    </row>
    <row r="65" spans="13:13">
      <c r="M65" s="15">
        <v>0</v>
      </c>
    </row>
    <row r="66" spans="13:13">
      <c r="M66" s="15">
        <v>-1.1928497342077633</v>
      </c>
    </row>
  </sheetData>
  <conditionalFormatting sqref="O11:S16">
    <cfRule type="colorScale" priority="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:S7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:W16">
    <cfRule type="colorScale" priority="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2:W7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:AB16">
    <cfRule type="colorScale" priority="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2:AB7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8:U32">
    <cfRule type="colorScale" priority="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8:L32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:T16">
    <cfRule type="colorScale" priority="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2:T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L33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3:U33">
    <cfRule type="colorScale" priority="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:M7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M16">
    <cfRule type="colorScale" priority="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0:L2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0:U26">
    <cfRule type="colorScale" priority="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:N7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:N16">
    <cfRule type="colorScale" priority="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2:X7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:X16">
    <cfRule type="colorScale" priority="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7:L27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7:U27">
    <cfRule type="colorScale" priority="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36:L3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6:U36">
    <cfRule type="colorScale" priority="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49:G53">
    <cfRule type="colorScale" priority="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55:G57">
    <cfRule type="colorScale" priority="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59:G62">
    <cfRule type="colorScale" priority="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54">
    <cfRule type="colorScale" priority="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41:G47">
    <cfRule type="colorScale" priority="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48">
    <cfRule type="colorScale" priority="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58">
    <cfRule type="colorScale" priority="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9:I53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5:I57">
    <cfRule type="colorScale" priority="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9:I62">
    <cfRule type="colorScale" priority="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4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1:I47">
    <cfRule type="colorScale" priority="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8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8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49:K53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55:K57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59:K62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54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41:K47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48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58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53:M57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59:M61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63:M66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58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5:M51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52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62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49:O53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55:O57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59:O62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54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41:O47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48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58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49:Q53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55:Q57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59:Q62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54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41:Q4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4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5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37:U37">
    <cfRule type="colorScale" priority="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37:L37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L35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4:U35">
    <cfRule type="colorScale" priority="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scale="18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B3567-A258-304B-8A1F-016192922D96}">
  <dimension ref="A1:M19"/>
  <sheetViews>
    <sheetView workbookViewId="0">
      <selection activeCell="D24" sqref="D24"/>
    </sheetView>
  </sheetViews>
  <sheetFormatPr baseColWidth="10" defaultRowHeight="16"/>
  <cols>
    <col min="1" max="1" width="43.1640625" customWidth="1"/>
  </cols>
  <sheetData>
    <row r="1" spans="1:13" ht="17">
      <c r="A1" s="48" t="s">
        <v>139</v>
      </c>
      <c r="B1" t="s">
        <v>145</v>
      </c>
      <c r="C1" s="64" t="s">
        <v>146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152</v>
      </c>
      <c r="J1" t="s">
        <v>153</v>
      </c>
      <c r="K1" t="s">
        <v>154</v>
      </c>
      <c r="L1" t="s">
        <v>155</v>
      </c>
      <c r="M1" t="s">
        <v>156</v>
      </c>
    </row>
    <row r="2" spans="1:13" ht="17">
      <c r="A2" s="46" t="s">
        <v>1</v>
      </c>
      <c r="B2">
        <v>-97.441217069572517</v>
      </c>
      <c r="C2">
        <v>-98.15613621684696</v>
      </c>
      <c r="D2">
        <v>-98.590225094028767</v>
      </c>
      <c r="E2">
        <v>-96.436316371422294</v>
      </c>
      <c r="F2">
        <v>-96.311928782397786</v>
      </c>
      <c r="G2">
        <v>-97.482458768876299</v>
      </c>
      <c r="H2">
        <v>-4.6310460584994049</v>
      </c>
      <c r="I2">
        <v>-4.5606144144079943</v>
      </c>
      <c r="J2">
        <v>-4.2734508014853256</v>
      </c>
      <c r="K2">
        <v>-4.3923033388820345</v>
      </c>
      <c r="L2">
        <v>-4.4140428353921557</v>
      </c>
      <c r="M2">
        <v>-4.2326328417071313</v>
      </c>
    </row>
    <row r="3" spans="1:13" ht="17">
      <c r="A3" s="46" t="s">
        <v>12</v>
      </c>
      <c r="B3" s="25">
        <v>-66.809713118968332</v>
      </c>
      <c r="C3" s="25">
        <v>-67.850998843854015</v>
      </c>
      <c r="D3" s="25">
        <v>-66.884723483788974</v>
      </c>
      <c r="E3" s="25">
        <v>-56.12518587995865</v>
      </c>
      <c r="F3" s="25">
        <v>-62.27252712934829</v>
      </c>
      <c r="G3" s="25">
        <v>-75.957904223589495</v>
      </c>
      <c r="H3">
        <v>-7.7556064229193006E-2</v>
      </c>
      <c r="I3">
        <v>-0.50947891198415529</v>
      </c>
      <c r="J3">
        <v>0.30157873194677903</v>
      </c>
      <c r="K3">
        <v>-4.2134157097138027</v>
      </c>
      <c r="L3">
        <v>-4.1849280212888145</v>
      </c>
      <c r="M3">
        <v>-3.3067195839087661E-2</v>
      </c>
    </row>
    <row r="4" spans="1:13" ht="17">
      <c r="A4" s="46" t="s">
        <v>14</v>
      </c>
      <c r="B4">
        <v>-40.27165375177551</v>
      </c>
      <c r="C4">
        <v>-39.705810685957879</v>
      </c>
      <c r="D4">
        <v>-41.291283412843164</v>
      </c>
      <c r="E4">
        <v>-42.2000472683685</v>
      </c>
      <c r="F4">
        <v>-43.565157141548923</v>
      </c>
      <c r="G4">
        <v>-41.904637383066053</v>
      </c>
      <c r="H4">
        <v>-0.29739620688881507</v>
      </c>
      <c r="I4">
        <v>-2.7589584993167326</v>
      </c>
      <c r="J4">
        <v>0.41215512184762454</v>
      </c>
      <c r="K4">
        <v>-0.2774991900129255</v>
      </c>
      <c r="L4">
        <v>0.5814450377892173</v>
      </c>
      <c r="M4">
        <v>2.0549392248104537E-2</v>
      </c>
    </row>
    <row r="5" spans="1:13" ht="17">
      <c r="A5" s="46" t="s">
        <v>15</v>
      </c>
      <c r="B5">
        <v>-80.98498807893229</v>
      </c>
      <c r="C5">
        <v>-83.773460563567511</v>
      </c>
      <c r="D5">
        <v>-83.31363591708778</v>
      </c>
      <c r="E5">
        <v>-84.190042012122362</v>
      </c>
      <c r="F5">
        <v>-81.863112103414949</v>
      </c>
      <c r="G5">
        <v>-82.047562266443535</v>
      </c>
      <c r="H5">
        <v>-2.4232095607116344</v>
      </c>
      <c r="I5">
        <v>-1.1617048389210352</v>
      </c>
      <c r="J5">
        <v>-1.6007174163379738</v>
      </c>
      <c r="K5">
        <v>2.244859880999309E-2</v>
      </c>
      <c r="L5">
        <v>0.1830679273827362</v>
      </c>
      <c r="M5">
        <v>-0.51469146727990633</v>
      </c>
    </row>
    <row r="6" spans="1:13" ht="17">
      <c r="A6" s="46" t="s">
        <v>16</v>
      </c>
      <c r="B6">
        <v>-93.195754087327131</v>
      </c>
      <c r="C6">
        <v>-95.407172040750211</v>
      </c>
      <c r="D6">
        <v>-94.003012265544669</v>
      </c>
      <c r="E6">
        <v>-95.49482842271189</v>
      </c>
      <c r="F6">
        <v>-96.385876432969567</v>
      </c>
      <c r="G6">
        <v>-94.39935616629657</v>
      </c>
      <c r="H6">
        <v>-1.7601579652337296</v>
      </c>
      <c r="I6">
        <v>-0.50317028036034894</v>
      </c>
      <c r="J6">
        <v>-0.94623174257058618</v>
      </c>
      <c r="K6">
        <v>7.7167725324335787E-2</v>
      </c>
      <c r="L6">
        <v>0.85605306871635889</v>
      </c>
      <c r="M6">
        <v>0.1482718741695371</v>
      </c>
    </row>
    <row r="7" spans="1:13" ht="17">
      <c r="A7" s="46" t="s">
        <v>17</v>
      </c>
      <c r="B7">
        <v>-95.824750241649724</v>
      </c>
      <c r="C7">
        <v>-96.692649548700814</v>
      </c>
      <c r="D7">
        <v>-96.939470808776605</v>
      </c>
      <c r="E7">
        <v>-97.117961567461265</v>
      </c>
      <c r="F7">
        <v>-97.996753803265804</v>
      </c>
      <c r="G7">
        <v>-98.644763286755179</v>
      </c>
      <c r="H7">
        <v>-3.4341910796530106</v>
      </c>
      <c r="I7">
        <v>-3.542962840130746</v>
      </c>
      <c r="J7">
        <v>-2.4776484799429448</v>
      </c>
      <c r="K7">
        <v>-1.4578480073137103</v>
      </c>
      <c r="L7">
        <v>-1.7718481782199438</v>
      </c>
      <c r="M7">
        <v>-0.6052153282359356</v>
      </c>
    </row>
    <row r="8" spans="1:13" ht="17">
      <c r="A8" s="46" t="s">
        <v>106</v>
      </c>
      <c r="B8">
        <v>-100.14242535358213</v>
      </c>
      <c r="C8">
        <v>-101.04424262598984</v>
      </c>
      <c r="D8">
        <v>-100.23772618411942</v>
      </c>
      <c r="E8">
        <v>-99.546154607055172</v>
      </c>
      <c r="F8">
        <v>-100.70386498361651</v>
      </c>
      <c r="G8">
        <v>-101.07481850557822</v>
      </c>
      <c r="H8">
        <v>9.8222434260869323E-2</v>
      </c>
      <c r="I8">
        <v>0.7038288740236579</v>
      </c>
      <c r="J8">
        <v>0.49160765886376068</v>
      </c>
      <c r="K8">
        <v>9.5212360789750081E-2</v>
      </c>
      <c r="L8">
        <v>0.4324754033449979</v>
      </c>
      <c r="M8">
        <v>0.402930275525402</v>
      </c>
    </row>
    <row r="9" spans="1:13" ht="17">
      <c r="A9" s="46" t="s">
        <v>49</v>
      </c>
      <c r="B9">
        <v>-59.71990588485491</v>
      </c>
      <c r="C9">
        <v>-57.487054165932399</v>
      </c>
      <c r="D9">
        <v>-60.107210491670351</v>
      </c>
      <c r="E9">
        <v>-60.017805712370873</v>
      </c>
      <c r="F9">
        <v>-58.390275474329059</v>
      </c>
      <c r="G9">
        <v>-59.323063990873557</v>
      </c>
      <c r="H9" s="15">
        <v>-4.8436696436580515</v>
      </c>
      <c r="I9" s="15">
        <v>-4.7929618145747162</v>
      </c>
      <c r="J9" s="15">
        <v>-4.4883580863342898</v>
      </c>
      <c r="K9" s="15">
        <v>-4.5982638386224615</v>
      </c>
      <c r="L9" s="15">
        <v>-4.6313823915240668</v>
      </c>
      <c r="M9" s="15">
        <v>-4.448335742515372</v>
      </c>
    </row>
    <row r="10" spans="1:13" ht="34">
      <c r="A10" s="46" t="s">
        <v>52</v>
      </c>
      <c r="B10">
        <v>-8.6851867640712861</v>
      </c>
      <c r="C10">
        <v>-34.88214496626243</v>
      </c>
      <c r="D10">
        <v>-5.9355583975524855</v>
      </c>
      <c r="E10">
        <v>26.545051855583363</v>
      </c>
      <c r="F10">
        <v>20.797229773239152</v>
      </c>
      <c r="G10">
        <v>-7.8361456925813293</v>
      </c>
      <c r="H10" s="15">
        <v>-0.52340174308391008</v>
      </c>
      <c r="I10" s="15">
        <v>-0.79843197469975447</v>
      </c>
      <c r="J10" s="15">
        <v>-0.75028662180291639</v>
      </c>
      <c r="K10" s="15">
        <v>-10</v>
      </c>
      <c r="L10" s="15">
        <v>-10</v>
      </c>
      <c r="M10" s="15">
        <v>-1.0195376673603989</v>
      </c>
    </row>
    <row r="11" spans="1:13" ht="17">
      <c r="A11" s="46" t="s">
        <v>55</v>
      </c>
      <c r="B11">
        <v>-48.364497637963673</v>
      </c>
      <c r="C11">
        <v>-41.177835782739642</v>
      </c>
      <c r="D11">
        <v>-50.447158935698916</v>
      </c>
      <c r="E11">
        <v>-59.334463122193597</v>
      </c>
      <c r="F11">
        <v>-55.228466462306642</v>
      </c>
      <c r="G11">
        <v>-51.378864154816888</v>
      </c>
      <c r="H11" s="15">
        <v>-2.6470874021939861</v>
      </c>
      <c r="I11" s="15">
        <v>-1.4701477775160097</v>
      </c>
      <c r="J11" s="15">
        <v>-1.8185967915793528</v>
      </c>
      <c r="K11" s="15">
        <v>0.45976452754816949</v>
      </c>
      <c r="L11" s="15">
        <v>1.2142660911831098E-2</v>
      </c>
      <c r="M11" s="15">
        <v>-0.71797265045822145</v>
      </c>
    </row>
    <row r="12" spans="1:13" ht="17">
      <c r="A12" s="46" t="s">
        <v>58</v>
      </c>
      <c r="B12">
        <v>-54.199305521488881</v>
      </c>
      <c r="C12">
        <v>-55.219725672313992</v>
      </c>
      <c r="D12">
        <v>-54.11593247486222</v>
      </c>
      <c r="E12">
        <v>-56.18558482137982</v>
      </c>
      <c r="F12">
        <v>-55.642471208160757</v>
      </c>
      <c r="G12">
        <v>-54.367304843053908</v>
      </c>
      <c r="H12" s="15">
        <v>-1.9955603702059659</v>
      </c>
      <c r="I12" s="15">
        <v>-0.74065705873450338</v>
      </c>
      <c r="J12" s="15">
        <v>-1.1860483668767163</v>
      </c>
      <c r="K12" s="15">
        <v>0.86034926006453161</v>
      </c>
      <c r="L12" s="15">
        <v>0.61744607772311466</v>
      </c>
      <c r="M12" s="15">
        <v>-9.135935390910134E-2</v>
      </c>
    </row>
    <row r="13" spans="1:13" ht="17">
      <c r="A13" s="46" t="s">
        <v>63</v>
      </c>
      <c r="B13">
        <v>-56.828233870994858</v>
      </c>
      <c r="C13">
        <v>-56.505203180264608</v>
      </c>
      <c r="D13">
        <v>-57.052391018094141</v>
      </c>
      <c r="E13">
        <v>-57.808647241373428</v>
      </c>
      <c r="F13">
        <v>-57.253275651779894</v>
      </c>
      <c r="G13">
        <v>-58.612782448928996</v>
      </c>
      <c r="H13" s="15">
        <v>-3.6611046165435721</v>
      </c>
      <c r="I13" s="15">
        <v>-3.7762678600695594</v>
      </c>
      <c r="J13" s="15">
        <v>-2.7078752744736874</v>
      </c>
      <c r="K13" s="15">
        <v>-1.6831547588973672</v>
      </c>
      <c r="L13" s="15">
        <v>-2.0052595287399426</v>
      </c>
      <c r="M13" s="15">
        <v>-0.83129702465468525</v>
      </c>
    </row>
    <row r="14" spans="1:13" ht="17">
      <c r="A14" s="46" t="s">
        <v>108</v>
      </c>
      <c r="B14">
        <v>-61.145908982927246</v>
      </c>
      <c r="C14">
        <v>-60.856796257553611</v>
      </c>
      <c r="D14">
        <v>-60.350577176518634</v>
      </c>
      <c r="E14">
        <v>-60.236911005723108</v>
      </c>
      <c r="F14">
        <v>-59.960386832130581</v>
      </c>
      <c r="G14">
        <v>-61.042767182335574</v>
      </c>
      <c r="H14" s="15">
        <v>0.36888528912068835</v>
      </c>
      <c r="I14" s="15">
        <v>0.19363343224881377</v>
      </c>
      <c r="J14" s="15">
        <v>0.27125788033053383</v>
      </c>
      <c r="K14" s="15">
        <v>0.20172974873344235</v>
      </c>
      <c r="L14" s="15">
        <v>0.20729369040122184</v>
      </c>
      <c r="M14" s="15">
        <v>0.28915252549493331</v>
      </c>
    </row>
    <row r="15" spans="1:13" ht="17">
      <c r="A15" s="46" t="s">
        <v>64</v>
      </c>
      <c r="B15">
        <v>-4.2453951774287919</v>
      </c>
      <c r="C15">
        <v>-2.7489641760967398</v>
      </c>
      <c r="D15">
        <v>-4.5872128284840885</v>
      </c>
      <c r="E15">
        <v>-0.94148794871039676</v>
      </c>
      <c r="F15">
        <v>7.3947650571798834E-2</v>
      </c>
      <c r="G15">
        <v>-3.0831026025797361</v>
      </c>
      <c r="H15">
        <v>-5.9918706360550011</v>
      </c>
      <c r="I15">
        <v>-6.1133627888011306</v>
      </c>
      <c r="J15">
        <v>-5.6057357695088683</v>
      </c>
      <c r="K15">
        <v>-6.4027291866236613</v>
      </c>
      <c r="L15" s="15">
        <v>-10</v>
      </c>
      <c r="M15">
        <v>-5.7325713385745427</v>
      </c>
    </row>
    <row r="16" spans="1:13" ht="17">
      <c r="A16" s="49" t="s">
        <v>68</v>
      </c>
      <c r="B16">
        <v>-2.628928349505991</v>
      </c>
      <c r="C16">
        <v>-1.2854775079506142</v>
      </c>
      <c r="D16">
        <v>-2.9364585432319186</v>
      </c>
      <c r="E16">
        <v>-1.6230624199936123</v>
      </c>
      <c r="F16">
        <v>-1.6108044436191398</v>
      </c>
      <c r="G16">
        <v>-4.2454776058751005</v>
      </c>
      <c r="H16">
        <v>-4.9958900259042798</v>
      </c>
      <c r="I16">
        <v>-5.4192918187805059</v>
      </c>
      <c r="J16">
        <v>-3.9963252506531348</v>
      </c>
      <c r="K16">
        <v>-3.2348123433140334</v>
      </c>
      <c r="L16">
        <v>-3.5560170489091476</v>
      </c>
      <c r="M16">
        <v>-1.9713628088285566</v>
      </c>
    </row>
    <row r="17" spans="1:13" ht="17">
      <c r="A17" s="46" t="s">
        <v>109</v>
      </c>
      <c r="B17">
        <v>-6.946603461438376</v>
      </c>
      <c r="C17">
        <v>-5.6370705852396243</v>
      </c>
      <c r="D17">
        <v>-6.2347139185747498</v>
      </c>
      <c r="E17">
        <v>-4.0513261843432877</v>
      </c>
      <c r="F17">
        <v>-4.3179156239698324</v>
      </c>
      <c r="G17">
        <v>-6.675462339281661</v>
      </c>
      <c r="H17">
        <v>-0.41315270001780796</v>
      </c>
      <c r="I17">
        <v>-0.51061000008828472</v>
      </c>
      <c r="J17">
        <v>-0.71460701703750951</v>
      </c>
      <c r="K17">
        <v>-0.97053573314714214</v>
      </c>
      <c r="L17">
        <v>-0.93529658404944305</v>
      </c>
      <c r="M17">
        <v>-0.67200033717260466</v>
      </c>
    </row>
    <row r="18" spans="1:13" ht="17">
      <c r="A18" s="46" t="s">
        <v>69</v>
      </c>
      <c r="B18" s="45">
        <v>-28.517892207640674</v>
      </c>
      <c r="C18" s="45">
        <v>-28.383444470927415</v>
      </c>
      <c r="D18" s="45">
        <v>-28.124841208858658</v>
      </c>
      <c r="E18" s="45">
        <v>-26.688835284642888</v>
      </c>
      <c r="F18" s="45">
        <v>-26.600807663521095</v>
      </c>
      <c r="G18" s="45">
        <v>-25.648021896068421</v>
      </c>
      <c r="H18" s="15">
        <v>-5.164671335159726</v>
      </c>
      <c r="I18" s="15">
        <v>-5.0994667709539874</v>
      </c>
      <c r="J18" s="15">
        <v>-4.8181945805238726</v>
      </c>
      <c r="K18" s="15">
        <v>-4.9502143305775439</v>
      </c>
      <c r="L18" s="15">
        <v>-4.9728280926595154</v>
      </c>
      <c r="M18" s="15">
        <v>-4.8125054406553778</v>
      </c>
    </row>
    <row r="19" spans="1:13" ht="17">
      <c r="A19" s="46" t="s">
        <v>110</v>
      </c>
      <c r="B19" s="45">
        <v>-4.3176751119323846</v>
      </c>
      <c r="C19" s="45">
        <v>-4.3515930772890083</v>
      </c>
      <c r="D19" s="45">
        <v>-3.2982553753428312</v>
      </c>
      <c r="E19" s="45">
        <v>-2.4281930395939115</v>
      </c>
      <c r="F19" s="45">
        <v>-2.7071111803506933</v>
      </c>
      <c r="G19" s="45">
        <v>-2.4299847334065618</v>
      </c>
      <c r="H19" s="15">
        <v>-0.61967524814167796</v>
      </c>
      <c r="I19" s="15">
        <v>-0.62301519582312404</v>
      </c>
      <c r="J19" s="15">
        <v>-0.99113926869355551</v>
      </c>
      <c r="K19" s="15">
        <v>-1.1928497342077633</v>
      </c>
      <c r="L19" s="15">
        <v>-1.1380646431202357</v>
      </c>
      <c r="M19" s="15">
        <v>-1.1108781421624341</v>
      </c>
    </row>
  </sheetData>
  <conditionalFormatting sqref="H10:M14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0:G1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M17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9:M19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5:G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:K15 M15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G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M8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9:G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:M9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8:G1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M18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5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9:G19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G17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display="D@_DG" xr:uid="{34F6A6BA-8592-FB4D-8E4C-70D390D9C40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Jan2019 SpecE8 compelation</vt:lpstr>
      <vt:lpstr>SPCRT</vt:lpstr>
      <vt:lpstr>acetate</vt:lpstr>
      <vt:lpstr>O2</vt:lpstr>
      <vt:lpstr>NO3</vt:lpstr>
      <vt:lpstr>SO4</vt:lpstr>
      <vt:lpstr>HCO3-</vt:lpstr>
      <vt:lpstr>all rxns</vt:lpstr>
      <vt:lpstr>DeMMO energetics</vt:lpstr>
      <vt:lpstr>ED by 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Magdalena Rose Osburn</dc:creator>
  <cp:lastModifiedBy>Magdalena Rose Osburn</cp:lastModifiedBy>
  <cp:lastPrinted>2019-01-11T20:25:35Z</cp:lastPrinted>
  <dcterms:created xsi:type="dcterms:W3CDTF">2019-01-10T19:00:17Z</dcterms:created>
  <dcterms:modified xsi:type="dcterms:W3CDTF">2019-01-23T17:33:37Z</dcterms:modified>
</cp:coreProperties>
</file>