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24"/>
  <workbookPr defaultThemeVersion="166925"/>
  <mc:AlternateContent xmlns:mc="http://schemas.openxmlformats.org/markup-compatibility/2006">
    <mc:Choice Requires="x15">
      <x15ac:absPath xmlns:x15ac="http://schemas.microsoft.com/office/spreadsheetml/2010/11/ac" url="https://mines0-my.sharepoint.com/personal/gsowers_mines_edu/Documents/Ice_challenge/BTI_Phase_2/Systems Engineering/"/>
    </mc:Choice>
  </mc:AlternateContent>
  <xr:revisionPtr revIDLastSave="0" documentId="8_{F019792E-87B7-41E8-BA04-C61C2AEA2257}" xr6:coauthVersionLast="47" xr6:coauthVersionMax="47" xr10:uidLastSave="{00000000-0000-0000-0000-000000000000}"/>
  <bookViews>
    <workbookView xWindow="30945" yWindow="5265" windowWidth="11835" windowHeight="11820" firstSheet="1" activeTab="1" xr2:uid="{00000000-000D-0000-FFFF-FFFF00000000}"/>
  </bookViews>
  <sheets>
    <sheet name="Overview" sheetId="1" r:id="rId1"/>
    <sheet name="Spec" sheetId="14" r:id="rId2"/>
    <sheet name="ICD" sheetId="15" r:id="rId3"/>
    <sheet name="Defined Terms" sheetId="8" r:id="rId4"/>
    <sheet name="ConOps" sheetId="10" r:id="rId5"/>
    <sheet name="MOE Slide" sheetId="13" r:id="rId6"/>
    <sheet name="Concrete" sheetId="9" r:id="rId7"/>
    <sheet name="Excavation" sheetId="3" r:id="rId8"/>
    <sheet name="Charging" sheetId="7" r:id="rId9"/>
    <sheet name="Mobility" sheetId="5" r:id="rId10"/>
    <sheet name="Communication" sheetId="6" r:id="rId11"/>
    <sheet name="Loading" sheetId="4" r:id="rId12"/>
    <sheet name="Testing" sheetId="12" r:id="rId13"/>
  </sheets>
  <definedNames>
    <definedName name="_xlnm._FilterDatabase" localSheetId="3" hidden="1">'Defined Terms'!$B$3:$F$37</definedName>
    <definedName name="_xlnm._FilterDatabase" localSheetId="1" hidden="1">Spec!$B$3:$E$3</definedName>
    <definedName name="_xlchart.v1.0" hidden="1">ConOps!$B$20:$B$25</definedName>
    <definedName name="_xlchart.v1.1" hidden="1">ConOps!$C$20:$C$25</definedName>
    <definedName name="Average_Loaded_Speed">'Defined Terms'!$C$5</definedName>
    <definedName name="Average_Unloaded_Speed">'Defined Terms'!$C$4</definedName>
    <definedName name="Breaking_Rate">'Defined Terms'!$C$22</definedName>
    <definedName name="Charge_ratio">'Defined Terms'!$C$32</definedName>
    <definedName name="Charging_Energy">'Defined Terms'!$C$9</definedName>
    <definedName name="Charging_Station_Mass">'Defined Terms'!$C$10</definedName>
    <definedName name="Charging_Time">'Defined Terms'!$C$9</definedName>
    <definedName name="Comm_Mass">'Defined Terms'!$C$12</definedName>
    <definedName name="Daily_Regolith">'Defined Terms'!$C$15:$C$15</definedName>
    <definedName name="Dimensions">'Defined Terms'!$D$35</definedName>
    <definedName name="Distance">'Defined Terms'!$C$33</definedName>
    <definedName name="Distance_Traveled">'Defined Terms'!$B$33</definedName>
    <definedName name="Energy_Storage_Mass">'Defined Terms'!#REF!</definedName>
    <definedName name="Excavation_Mass">'Defined Terms'!$C$13</definedName>
    <definedName name="ExternalData_1" localSheetId="0" hidden="1">Overview!$B$11:$D$49</definedName>
    <definedName name="Loading_Mass">'Defined Terms'!$C$14</definedName>
    <definedName name="Loading_Rate">'Defined Terms'!$C$23</definedName>
    <definedName name="Max_Compressive_Strength">'Defined Terms'!$C$17</definedName>
    <definedName name="Max_Concrete_Density">'Defined Terms'!$C$20</definedName>
    <definedName name="Min_Compressive_Strength">'Defined Terms'!$C$18</definedName>
    <definedName name="Min_Concrete_Density">'Defined Terms'!$C$19</definedName>
    <definedName name="Mobility_Excavation_Speed">'Defined Terms'!$C$25</definedName>
    <definedName name="Mobility_Horizontal_Excavation_Force">'Defined Terms'!$C$21</definedName>
    <definedName name="Mobility_Mass">'Defined Terms'!$C$11</definedName>
    <definedName name="Payload_Capacity">'Defined Terms'!$C$6</definedName>
    <definedName name="Runtime">'Defined Terms'!$C$37</definedName>
    <definedName name="Slope">'Defined Terms'!$C$34</definedName>
    <definedName name="State_Estimation">'Defined Terms'!$C$36</definedName>
    <definedName name="Unloading_Rate">'Defined Terms'!$C$24</definedName>
    <definedName name="Vertical_Excavation_Force">'Defined Terms'!$C$26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3" i="10" l="1"/>
  <c r="D26" i="8"/>
  <c r="C8" i="10"/>
  <c r="N41" i="13"/>
  <c r="C17" i="10"/>
  <c r="C18" i="10"/>
  <c r="D30" i="8"/>
  <c r="H30" i="8" s="1"/>
  <c r="H9" i="8"/>
  <c r="H10" i="8"/>
  <c r="H11" i="8"/>
  <c r="H12" i="8"/>
  <c r="H13" i="8"/>
  <c r="H14" i="8"/>
  <c r="H15" i="8"/>
  <c r="H16" i="8"/>
  <c r="H17" i="8"/>
  <c r="H18" i="8"/>
  <c r="H19" i="8"/>
  <c r="H20" i="8"/>
  <c r="H21" i="8"/>
  <c r="H24" i="8"/>
  <c r="H25" i="8"/>
  <c r="H27" i="8"/>
  <c r="H28" i="8"/>
  <c r="H29" i="8"/>
  <c r="H31" i="8"/>
  <c r="H32" i="8"/>
  <c r="H33" i="8"/>
  <c r="H34" i="8"/>
  <c r="H36" i="8"/>
  <c r="H37" i="8"/>
  <c r="H38" i="8"/>
  <c r="C38" i="8"/>
  <c r="D11" i="8"/>
  <c r="H5" i="13"/>
  <c r="C21" i="10"/>
  <c r="C20" i="10"/>
  <c r="H4" i="13"/>
  <c r="H6" i="13"/>
  <c r="H7" i="13"/>
  <c r="H8" i="13"/>
  <c r="H9" i="13"/>
  <c r="H10" i="13"/>
  <c r="H11" i="13"/>
  <c r="H12" i="13"/>
  <c r="H13" i="13"/>
  <c r="H14" i="13"/>
  <c r="H15" i="13"/>
  <c r="H16" i="13"/>
  <c r="H17" i="13"/>
  <c r="H18" i="13"/>
  <c r="H19" i="13"/>
  <c r="H20" i="13"/>
  <c r="H21" i="13"/>
  <c r="H22" i="13"/>
  <c r="H23" i="13"/>
  <c r="H24" i="13"/>
  <c r="H25" i="13"/>
  <c r="H26" i="13"/>
  <c r="H27" i="13"/>
  <c r="H28" i="13"/>
  <c r="H29" i="13"/>
  <c r="C19" i="10"/>
  <c r="C22" i="10" s="1"/>
  <c r="C37" i="8"/>
  <c r="C31" i="8"/>
  <c r="C9" i="5" s="1"/>
  <c r="C32" i="8"/>
  <c r="C12" i="5" s="1"/>
  <c r="C33" i="8"/>
  <c r="C11" i="5" s="1"/>
  <c r="C34" i="8"/>
  <c r="C15" i="5" s="1"/>
  <c r="C35" i="8"/>
  <c r="C36" i="8"/>
  <c r="C16" i="5" s="1"/>
  <c r="C14" i="5"/>
  <c r="D8" i="8"/>
  <c r="D24" i="8"/>
  <c r="D23" i="8"/>
  <c r="H23" i="8" s="1"/>
  <c r="D22" i="8"/>
  <c r="H22" i="8" s="1"/>
  <c r="D9" i="8"/>
  <c r="D5" i="8"/>
  <c r="H5" i="8" s="1"/>
  <c r="C30" i="8" s="1"/>
  <c r="D4" i="8"/>
  <c r="H4" i="8" s="1"/>
  <c r="C29" i="8"/>
  <c r="D28" i="8"/>
  <c r="C28" i="8" s="1"/>
  <c r="C27" i="8"/>
  <c r="C5" i="7" s="1"/>
  <c r="C25" i="8"/>
  <c r="C23" i="8"/>
  <c r="C24" i="8"/>
  <c r="C22" i="8"/>
  <c r="C5" i="8"/>
  <c r="C9" i="8"/>
  <c r="C10" i="8"/>
  <c r="C4" i="7" s="1"/>
  <c r="C11" i="8"/>
  <c r="C12" i="8"/>
  <c r="C3" i="6" s="1"/>
  <c r="C13" i="8"/>
  <c r="C3" i="3" s="1"/>
  <c r="C14" i="8"/>
  <c r="C15" i="8"/>
  <c r="C16" i="8"/>
  <c r="C17" i="8"/>
  <c r="C18" i="8"/>
  <c r="C3" i="9" s="1"/>
  <c r="C19" i="8"/>
  <c r="C20" i="8"/>
  <c r="C21" i="8"/>
  <c r="C7" i="5" s="1"/>
  <c r="C4" i="8"/>
  <c r="C4" i="5" s="1"/>
  <c r="C4" i="6"/>
  <c r="C6" i="5"/>
  <c r="C26" i="8" l="1"/>
  <c r="C5" i="3" s="1"/>
  <c r="H26" i="8"/>
  <c r="H39" i="8" s="1"/>
  <c r="D6" i="8"/>
  <c r="H6" i="8" s="1"/>
  <c r="H8" i="8"/>
  <c r="C8" i="8"/>
  <c r="C3" i="7"/>
  <c r="C13" i="5"/>
  <c r="C3" i="4"/>
  <c r="C6" i="4"/>
  <c r="C5" i="4"/>
  <c r="C8" i="5"/>
  <c r="C6" i="7"/>
  <c r="C6" i="3"/>
  <c r="C4" i="4" a="1"/>
  <c r="C4" i="4" s="1"/>
  <c r="C4" i="3" a="1"/>
  <c r="C4" i="3" s="1"/>
  <c r="C24" i="10"/>
  <c r="C26" i="10"/>
  <c r="C4" i="9"/>
  <c r="D7" i="8" l="1"/>
  <c r="C6" i="8"/>
  <c r="C7" i="8" l="1"/>
  <c r="H7" i="8"/>
  <c r="C3" i="5"/>
  <c r="C5"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7D17C7D-9F9F-4D29-A4B2-EB9D6715DEE8}"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<sst xmlns="http://schemas.openxmlformats.org/spreadsheetml/2006/main" count="619" uniqueCount="351">
  <si>
    <r>
      <rPr>
        <b/>
        <u/>
        <sz val="11"/>
        <color rgb="FF000000"/>
        <rFont val="Calibri"/>
      </rPr>
      <t xml:space="preserve">README
</t>
    </r>
    <r>
      <rPr>
        <sz val="11"/>
        <color rgb="FF000000"/>
        <rFont val="Calibri"/>
      </rPr>
      <t xml:space="preserve">All numeric values shall be defined as named terms in the "Defined Terms" sheet. This is only available on the desktop version of Excel. Reference these named terms within requirements to allow for efficient updating.
Hit refresh on Excel's "Data" tab to update the combined table to the right. </t>
    </r>
    <r>
      <rPr>
        <b/>
        <sz val="11"/>
        <color rgb="FF000000"/>
        <rFont val="Calibri"/>
      </rPr>
      <t xml:space="preserve"> </t>
    </r>
  </si>
  <si>
    <t>System/Function</t>
  </si>
  <si>
    <t>Acronym</t>
  </si>
  <si>
    <t>Responsible Party</t>
  </si>
  <si>
    <t>Responsible Engineer</t>
  </si>
  <si>
    <t>Mobility</t>
  </si>
  <si>
    <t>MB</t>
  </si>
  <si>
    <t>Lunar Outpost</t>
  </si>
  <si>
    <t>Joseph Kenrick</t>
  </si>
  <si>
    <t>*deleted joe's comment because they got out of sync with table. Many were changed per the comment. Others address that much of the inputs are placeholders right now and will be further evalutated as data appears.</t>
  </si>
  <si>
    <t>Excavation</t>
  </si>
  <si>
    <t>EX</t>
  </si>
  <si>
    <t>Mines</t>
  </si>
  <si>
    <t>Loading</t>
  </si>
  <si>
    <t>LD</t>
  </si>
  <si>
    <t>Charging</t>
  </si>
  <si>
    <t>CG</t>
  </si>
  <si>
    <t>Lunar Outpost/Mines</t>
  </si>
  <si>
    <t>Communication and Navigation</t>
  </si>
  <si>
    <t>CN</t>
  </si>
  <si>
    <t>Concrete</t>
  </si>
  <si>
    <t>CT</t>
  </si>
  <si>
    <t>Compiled list from Subsystem sheets (Hit refresh under data tab to update)</t>
  </si>
  <si>
    <t>Testing</t>
  </si>
  <si>
    <t>TT</t>
  </si>
  <si>
    <t>Subsystem</t>
  </si>
  <si>
    <t>Requirement ID</t>
  </si>
  <si>
    <t>Requirement</t>
  </si>
  <si>
    <t>CT1</t>
  </si>
  <si>
    <t>The concrete simulant shall have a compressive strength between 1.5 MPa and 2 MPa</t>
  </si>
  <si>
    <t>CT2</t>
  </si>
  <si>
    <t>The concrete simulant shall have a density between 1000 kg/m3 and 2000 kg/m3</t>
  </si>
  <si>
    <t>CT3</t>
  </si>
  <si>
    <t>The concrete simulant shall be tested by ASTM C39 Compression Test of 150 mm by 300 mm cylinders</t>
  </si>
  <si>
    <t>CG1</t>
  </si>
  <si>
    <t xml:space="preserve">The charging station shall charge the mobility system in the time defined by the Runtime: 4 hr, and the Runtime to charge Ratio: 2 </t>
  </si>
  <si>
    <t>CG2</t>
  </si>
  <si>
    <t>The charging station shall have a mass less than 20 kg</t>
  </si>
  <si>
    <t>CG3</t>
  </si>
  <si>
    <t>The charging station shall supply a minimum power of 500 W</t>
  </si>
  <si>
    <t>CG4</t>
  </si>
  <si>
    <t>The charging station shall have 2 Charging Ports</t>
  </si>
  <si>
    <t>MB1</t>
  </si>
  <si>
    <t>The mobility system shall have a payload capacity of 71.0625 kg</t>
  </si>
  <si>
    <t>MB2</t>
  </si>
  <si>
    <t>The mobility subsystem shall have a minimum average speed of 0.4 m/s over a distance of 500m while carrying no simulant.</t>
  </si>
  <si>
    <t>MB3</t>
  </si>
  <si>
    <t>The mobility subsystem shall have a minimum average speed of 0.2 m/s over a distance of 500m while supporting 71.0625 kg of payload mass.</t>
  </si>
  <si>
    <t>MB4</t>
  </si>
  <si>
    <t>The mobility subsystem shall have a mass less than 67 kg</t>
  </si>
  <si>
    <t>MB5</t>
  </si>
  <si>
    <t>The mobility subsystem shall provide 200 N of horizontal force</t>
  </si>
  <si>
    <t>MB6</t>
  </si>
  <si>
    <t>The mobilty subsystem shall have a maximum battery size of 4000 Whr</t>
  </si>
  <si>
    <t>MB7</t>
  </si>
  <si>
    <t>The mobility subsystem shall be able to overcome over cliff edges rising 15 cm</t>
  </si>
  <si>
    <t>MB8</t>
  </si>
  <si>
    <t>The mobility subsystem shall record its real time energy use</t>
  </si>
  <si>
    <t>MB9</t>
  </si>
  <si>
    <t>The mobility subsystem shall record the distance traversed of 150 km</t>
  </si>
  <si>
    <t>MB10</t>
  </si>
  <si>
    <t xml:space="preserve">The mobility subsystem shall record run time:charge time ratio of 2 </t>
  </si>
  <si>
    <t>MB11</t>
  </si>
  <si>
    <t>The mobility subsystem shall drive up to 150 km over the course of a single mission</t>
  </si>
  <si>
    <t>MB12</t>
  </si>
  <si>
    <t>The mobility subsystem shall not exceed 1.5m (H) x 1.5m (W) x 2.5m (L)</t>
  </si>
  <si>
    <t>MB13</t>
  </si>
  <si>
    <t>The mobility subsystem shall drive up slopes up to 20 deg degrees</t>
  </si>
  <si>
    <t>MB14</t>
  </si>
  <si>
    <t>The mobility subsystem shall have state estimation accuracy better than 50 cm/km</t>
  </si>
  <si>
    <t>CN1</t>
  </si>
  <si>
    <t>The communication subsystem shall have a mass less than 3 kg</t>
  </si>
  <si>
    <t>CN2</t>
  </si>
  <si>
    <t>The communication subsystem shall provide wireless control capabilities for all subsystems</t>
  </si>
  <si>
    <t>EX1</t>
  </si>
  <si>
    <t>The excavation subsystem shall have a mass less than 10 kg</t>
  </si>
  <si>
    <t>EX2</t>
  </si>
  <si>
    <t>The excavation subsystem shall be capable of providing at least 800 kg/day of excavated simulant to the loading subsystem</t>
  </si>
  <si>
    <t>EX3</t>
  </si>
  <si>
    <t>The vetical excavation force shall not exceed 141.375 N</t>
  </si>
  <si>
    <t>EX4</t>
  </si>
  <si>
    <t>The horizontal excavation force shall not exceed 200 N</t>
  </si>
  <si>
    <t>LD1</t>
  </si>
  <si>
    <t>The loading subsystem shall have a mass less than 10 kg</t>
  </si>
  <si>
    <t>LD2</t>
  </si>
  <si>
    <t>The loading system shall be capable of receiving 800 kg/day of simulant from the excavation subsystem</t>
  </si>
  <si>
    <t>LD3</t>
  </si>
  <si>
    <t>The loading system shall be able to load excavated simulant at a minimum rate of 600 kg/hr</t>
  </si>
  <si>
    <t>LD4</t>
  </si>
  <si>
    <t>The loading system shall be able to unload excavated simulant at a minimum rate of 1000 kg/hr</t>
  </si>
  <si>
    <t>TT1</t>
  </si>
  <si>
    <t>At least one live feed of 1080p shall be accessible to the NASA judging panel</t>
  </si>
  <si>
    <t>TT2</t>
  </si>
  <si>
    <t>Separate video feeds focusing on major hardware and equipment are required</t>
  </si>
  <si>
    <t>TT3</t>
  </si>
  <si>
    <t>Detailed photos of each major piece of hardware and equipment performing normal operations shall be captured</t>
  </si>
  <si>
    <t>TT4</t>
  </si>
  <si>
    <t>The compressive strength of the simulant bed shall be recorded at the beginning of the 15 day test</t>
  </si>
  <si>
    <t>TT5</t>
  </si>
  <si>
    <t>The test system shall be able to measure the amount of simulant collected each day</t>
  </si>
  <si>
    <t>TT6</t>
  </si>
  <si>
    <t>A log shall be maintainted of parts replaced, breakdowns, issues requiring human intervention, job hours spent on repairs and maintenace on the excavation and transportation system</t>
  </si>
  <si>
    <t>TT7</t>
  </si>
  <si>
    <t>A log shall be maintained for any mainteance or repair to the transportation demonstration area</t>
  </si>
  <si>
    <t>**This document will be transferred to a word document/PDF for submission and editting</t>
  </si>
  <si>
    <t>Heading</t>
  </si>
  <si>
    <t>Section</t>
  </si>
  <si>
    <t>Subsection</t>
  </si>
  <si>
    <t>Requirement/Definition</t>
  </si>
  <si>
    <t>Comment</t>
  </si>
  <si>
    <t>Introduction</t>
  </si>
  <si>
    <t>Definitions</t>
  </si>
  <si>
    <t>Brackets</t>
  </si>
  <si>
    <t>[] indicates an estimated value, or a term or requirement defined in this Spec (or something that maybe should be defined in this Spec but is not yet)</t>
  </si>
  <si>
    <t>Digger Control System (DCS)</t>
  </si>
  <si>
    <t xml:space="preserve">The Digger Control System refers to the control hardware and software responsible for operating the Digger Systems. It is included in the mass and eneergy consumption requirements of the Digger Systems. </t>
  </si>
  <si>
    <t>Outpost Digger System (ODS)</t>
  </si>
  <si>
    <t xml:space="preserve">The Outpost Digger System refers to the total system used to excavate, load, transport, and unload regolith simulant during the Break the Ice challenge. </t>
  </si>
  <si>
    <t>Digger Systems</t>
  </si>
  <si>
    <t>The term Digger Systems refers to the cumulative subsystems that Mines is responsible for, the Excavation subsystem and the Transfer subsystem. This term also includes the Digger Control Systems.</t>
  </si>
  <si>
    <t>Rover</t>
  </si>
  <si>
    <t>The term rover refers to the Lunar Outpost Cerebus rover that the Digger Systems are attached to. The Cerbus rover provides mobility, power, and data handling for the Digger Systems.</t>
  </si>
  <si>
    <t>Excavation Subsystem</t>
  </si>
  <si>
    <t>The Excavation subsystem is responsible for breaking the regolith simulant into smaller pieces that are accessible for the Transfer subsystem. The principal component of the Excavation subsystem is an impact hammer.</t>
  </si>
  <si>
    <t>Transfer Subsystem</t>
  </si>
  <si>
    <t>The Transfer subsytem is responsible for transferring  regolith simulant to the rover from the ground, containing the simulant while the rover is travelling to the dump site, and transfering simulant from the rover to the ground. The principal component of the Transfer subsystem is a bucket scoop.</t>
  </si>
  <si>
    <t>Requirements</t>
  </si>
  <si>
    <t>Missions</t>
  </si>
  <si>
    <t>M1</t>
  </si>
  <si>
    <t>M1 shall be started by September 15th, 2023. M1 is a 15-day duration test where 800 kg of regolith simulant shall be delivered from an excavation pit to a specified drop off location 500 m away. M1 will be performed at the Colorado Air and Space Port (CASP) and will therefore be performed subject to the CASP envrionments.</t>
  </si>
  <si>
    <t>M2</t>
  </si>
  <si>
    <t>M2 will be the Level 3 NASA testing challenge. It will be performed at a NASA test facility and subject to the NASA Test Bed environment. M2 will only be conducted if the ODS system successfully completes M1. The exact details of this mission are presently unknown.</t>
  </si>
  <si>
    <t>Operational Performance Requirements</t>
  </si>
  <si>
    <t>Cost</t>
  </si>
  <si>
    <t xml:space="preserve">The total budget for research, testing, and manufacturing of the Digger Systems shall be less than $40,000. This amount is half of the sum of the winnings from Phase 1 and half of the Phase 2 Level 1 winnings.  </t>
  </si>
  <si>
    <t>Mass (Digger Systems)</t>
  </si>
  <si>
    <t>The total mass of the Digger Systems shall be less than 25 kg.</t>
  </si>
  <si>
    <t>Mass (Payload Mass)</t>
  </si>
  <si>
    <t>The payload mass of the Rover is [Totat Payload Mass]. Therfore, the amount of simulant that can be carried is the [Total Payload Mass] minus the Digger Systems' mass.</t>
  </si>
  <si>
    <t>Digger Systems Base Energy Consumption</t>
  </si>
  <si>
    <t xml:space="preserve">The Digger Systems shall consume less than [20] W while the ODS is in the [Travel and Charging] submodes. </t>
  </si>
  <si>
    <t>Digger Systems Operational Energy Consumption</t>
  </si>
  <si>
    <t>The Digger System shall consume less than [300] W while the ODS is in the [Breaking, Loading, and Unloading] submodes.</t>
  </si>
  <si>
    <t>MOE#1</t>
  </si>
  <si>
    <t>Reliability</t>
  </si>
  <si>
    <t>Maintainability</t>
  </si>
  <si>
    <t>Availability</t>
  </si>
  <si>
    <t xml:space="preserve">The Digger Systems shall have an uptime of 95% throughout M1. </t>
  </si>
  <si>
    <t>Capabilities</t>
  </si>
  <si>
    <t>Excavate Simulant</t>
  </si>
  <si>
    <t xml:space="preserve">The Excavation subsystem shall break regolith simulant into pieces small enough to be within the Transfer subsystem. </t>
  </si>
  <si>
    <t>Excavation Rate</t>
  </si>
  <si>
    <t xml:space="preserve">The Excavation subsystem shall [Excavate Simulant] at an average rate of [70] kg/hour throughout the 15-day duration of [M1]. The listed rate should be verified by tests that last at least 30 minutes in duration.  </t>
  </si>
  <si>
    <t>Transfer Simulant to Rover</t>
  </si>
  <si>
    <t xml:space="preserve">The Transfer subsystem shall transfer Excavated Simulant from the ground to the Tranfer subsystem.  </t>
  </si>
  <si>
    <t>Loading Rate</t>
  </si>
  <si>
    <t xml:space="preserve">The Transfer subsystem shall be transfer excavated simulant from the ground to the Transfer Subsystem at an average rate of 150 kg/hour throughout the 15-day duration of [M1]. The listed rate should be verified by tests that last at least 20 minutes in duration.  </t>
  </si>
  <si>
    <t>Unloading Rate</t>
  </si>
  <si>
    <t xml:space="preserve">The Transfer subsystem shall be transfer excavated simulant from the Rover to the [Weigh Station] at an average rate of 600 kg/hour throughout the 15-day duration of [M1]. </t>
  </si>
  <si>
    <t>Carrying Capacity Measurement</t>
  </si>
  <si>
    <t>The ODS shall estimate the mass of simulant contained within the Transfer Subsystem within +/- [5] kg.</t>
  </si>
  <si>
    <t>Carrying Capacity</t>
  </si>
  <si>
    <t xml:space="preserve">The Transfer subsystem shall contain [40] kg of Excavated simulant. It is assumed the density of the excavated simulant will have half the density of unexcavated simulant. </t>
  </si>
  <si>
    <t>Doesn't this set E15 Mass (Payload Mass)?</t>
  </si>
  <si>
    <t>Travelling Center of Gravity</t>
  </si>
  <si>
    <t>The Transfer subsytem shall be able to move [40] kg of contained simulant to a location where the ODS's center of gravity is less than [30] cm from the midpoint of the Rover. This is the location that the Transfer subsystem will keep the contained simulant for [Travelling]. This requirement should be flowed into a requirement that defines the angles the Transfer Subsystem shall achieve relative to the Rover.</t>
  </si>
  <si>
    <t>Bucket Scoop Height</t>
  </si>
  <si>
    <t xml:space="preserve">The Transfer subsystem shall be able to move the leading edge of the bucket scoop to heights [-3 to 0] cm during [Loading] relative to the bottom of the Rover's wheel. [Travelling Center of Gravity] may dictate additional height capabilities for the bucket scoop. </t>
  </si>
  <si>
    <t>Bucket Scoop Angle</t>
  </si>
  <si>
    <t>The Transfer subsystem shall rotate the bucket scoop to angles [45, 90, 135] within +/- [5] degrees. The measured angle is from the base of the bucket scoop to the z-axis. The base of the bucket scoop pointing straight up is defined as 180 degrees.</t>
  </si>
  <si>
    <t>Bucket Scoop Height Measurement</t>
  </si>
  <si>
    <t xml:space="preserve">The Transfer subsystem shall estimate the height of the leading edge of the bucket scoop relative to ground within +/- [1] cm. </t>
  </si>
  <si>
    <t>Bucket Scoop Angle Measurement</t>
  </si>
  <si>
    <t>The Transfer subsystem shall estimate the angle between of the base of the bucket scoop and the [z-axis] at the following angles [45, 90, 135] within +/- [5] degrees.</t>
  </si>
  <si>
    <t>Impact Hammer Height</t>
  </si>
  <si>
    <t>The Excavation subsystem shall move the tip of the impact hammer to heights [-2 to 2] cm measure against the bottom of the Rover's wheel.</t>
  </si>
  <si>
    <t>Impact Hammer Rotation</t>
  </si>
  <si>
    <t xml:space="preserve">The Excavation Subsystem shall rotate the Impact hammer to angles between [10 to 30] degrees measured between the axis of the impact hammer bit and the z-axis where 0 degrees is the tip of the impact hammer facing the ground. </t>
  </si>
  <si>
    <t>External Interfaces</t>
  </si>
  <si>
    <t>Mechanical</t>
  </si>
  <si>
    <t>The Digger Systems shall mechanically attach to the Rover. The attachment will provide static attachment.</t>
  </si>
  <si>
    <t>All necessary degrees of freedom will be provided by the Digger Systems.</t>
  </si>
  <si>
    <t>Electrical Power</t>
  </si>
  <si>
    <t xml:space="preserve">The Digger Systems shall recieve [28] VDC power from the Rover. </t>
  </si>
  <si>
    <t>Battery Capacity</t>
  </si>
  <si>
    <t>The Rover should provide electricial endurance for [13 hours]</t>
  </si>
  <si>
    <t>Software Language</t>
  </si>
  <si>
    <t>The Digger Control System shall be written in [C, C++, C#, PLC, or Python]. This requirement is subject to clarification from Lunar Outpost.</t>
  </si>
  <si>
    <t>Software Implementation</t>
  </si>
  <si>
    <t>The Digger Control System shall be executed by compute and hardware provided by Lunar Outpost.</t>
  </si>
  <si>
    <t>Software Communication</t>
  </si>
  <si>
    <t>The Digger Control System shall be controlable by operations</t>
  </si>
  <si>
    <t>Operating Environments</t>
  </si>
  <si>
    <r>
      <rPr>
        <strike/>
        <sz val="11"/>
        <color rgb="FF000000"/>
        <rFont val="Times New Roman"/>
      </rPr>
      <t>Water</t>
    </r>
    <r>
      <rPr>
        <sz val="11"/>
        <color rgb="FF000000"/>
        <rFont val="Times New Roman"/>
      </rPr>
      <t xml:space="preserve"> Precipitation or Moisture</t>
    </r>
  </si>
  <si>
    <t xml:space="preserve">The Digger systems shall be resistant to water and snow. </t>
  </si>
  <si>
    <t>Should this be separated this out into rain/snow operational conditions</t>
  </si>
  <si>
    <t>Wet environment</t>
  </si>
  <si>
    <t>In M1 The Digger shall be able to operate in a wet environment, such as traversing snow or puddles</t>
  </si>
  <si>
    <t>Feel free to delete this line or replace the subject, but just a thought</t>
  </si>
  <si>
    <t>Wind</t>
  </si>
  <si>
    <t>In M1 the ODS shall be able to handle sustained winds of [local wind speed]</t>
  </si>
  <si>
    <t>In M1 the ODS shall be able to handle wind gusts of [local gust speed]</t>
  </si>
  <si>
    <t>Dust</t>
  </si>
  <si>
    <t xml:space="preserve">The Digger systems shall be tolerant to dust. </t>
  </si>
  <si>
    <t>Temperature</t>
  </si>
  <si>
    <t>The Digger systems shall withstand ambient temperatures between [30 to 100] degrees Farenheit.</t>
  </si>
  <si>
    <t>Vibration</t>
  </si>
  <si>
    <t>The ODS shall be able to within the vibrations caused by the excavation system runing at [100% or perhaps include margin]</t>
  </si>
  <si>
    <t>We might need consider how close the ODS's can operate their excavation system in proximity of each other or if proximity operations would cause excessive vibration</t>
  </si>
  <si>
    <t>Vacuum</t>
  </si>
  <si>
    <t>The Digger Systems shall use technologies who's fundamental modes of operation can function in a vacuum.</t>
  </si>
  <si>
    <t>This will be the environment for M2, but M1 we'll to consider as well</t>
  </si>
  <si>
    <t>Test Facility</t>
  </si>
  <si>
    <t xml:space="preserve">The Test Facility operating environment includes the [Dust, Water, and Vacuum] environmental requirements. </t>
  </si>
  <si>
    <t>CASP</t>
  </si>
  <si>
    <t xml:space="preserve">The CASP operating environment includes the [Water, Dust, Temperature, and Vacuum] environmental requirements. </t>
  </si>
  <si>
    <t>NASA Test Bed</t>
  </si>
  <si>
    <t>The NASA Test Bed will consist of a gravity offloading apparatus that simulates lunar gravity. All other information about the NASA Test Bed is currently unknown. It is assumed the operating environments includes the [Dust, Water and Vaccum] environmetal requirements.</t>
  </si>
  <si>
    <t xml:space="preserve">Maintenance </t>
  </si>
  <si>
    <t>The Digger Systems shall be able to be maintained without the need of a clean room environment.</t>
  </si>
  <si>
    <t>Design and Manufacturing</t>
  </si>
  <si>
    <t>Precedence and Criticality of Requirements</t>
  </si>
  <si>
    <t>Qualification Provisions</t>
  </si>
  <si>
    <t>Responsibility for Verification</t>
  </si>
  <si>
    <t>Verification Methods</t>
  </si>
  <si>
    <t>Quality Inspections</t>
  </si>
  <si>
    <t>Qualification Tests</t>
  </si>
  <si>
    <t>Electric Control of Excavation Subsystem</t>
  </si>
  <si>
    <t>Success Criteria: Able to control Excavation Subsytem via DCS</t>
  </si>
  <si>
    <t>0.5 Hr Excavation Subsystem Test</t>
  </si>
  <si>
    <t xml:space="preserve">Success Criteria: Able to excavate [35 kg] of material in 0.5 Hr. </t>
  </si>
  <si>
    <t>1 Hr Excavation Subsystem Test</t>
  </si>
  <si>
    <t>Success Criteria: Able to excavate [70 kg] of material in 0.5 Hr. 
Record: Power consumption, vibration, vertical and horizontal force</t>
  </si>
  <si>
    <t xml:space="preserve">0.5 Hr Excavation Subsystem Test with Rover Integration </t>
  </si>
  <si>
    <t>Success Criteria: Able to excavate [35 kg] of material in 0.5 Hr while with Rover/DCS interface
Record: Power consumption, vibration, vertical and horizontal force, all Rover data</t>
  </si>
  <si>
    <t>1-Day ODS Test</t>
  </si>
  <si>
    <t>Success Criteria: 800 kg delivered to a deliver site, emulating 1 day of [M1] mission</t>
  </si>
  <si>
    <t>Preparation for Deliver</t>
  </si>
  <si>
    <t>Packaging</t>
  </si>
  <si>
    <t>Handling</t>
  </si>
  <si>
    <t>Storage</t>
  </si>
  <si>
    <t>Transportation</t>
  </si>
  <si>
    <t>Signal</t>
  </si>
  <si>
    <t xml:space="preserve">From </t>
  </si>
  <si>
    <t>To</t>
  </si>
  <si>
    <t>Loaded Simulant Mass</t>
  </si>
  <si>
    <t>?</t>
  </si>
  <si>
    <t>ODS</t>
  </si>
  <si>
    <t>DCS</t>
  </si>
  <si>
    <t>ConOps Derived Value</t>
  </si>
  <si>
    <t>Defined Terms</t>
  </si>
  <si>
    <t>Text Input</t>
  </si>
  <si>
    <t>Value</t>
  </si>
  <si>
    <t>Units</t>
  </si>
  <si>
    <t>Mass Term</t>
  </si>
  <si>
    <t>Quantity</t>
  </si>
  <si>
    <t>Landed Mass</t>
  </si>
  <si>
    <t>Average Unloaded Speed</t>
  </si>
  <si>
    <t>m/s</t>
  </si>
  <si>
    <t>Average Loaded Speed</t>
  </si>
  <si>
    <t>Payload Capacity</t>
  </si>
  <si>
    <t>kg</t>
  </si>
  <si>
    <t>Payload Mass (derived)</t>
  </si>
  <si>
    <t>Payload Mass (ConOps)</t>
  </si>
  <si>
    <t>Charging Time</t>
  </si>
  <si>
    <t>hr</t>
  </si>
  <si>
    <t>Charging Station Mass</t>
  </si>
  <si>
    <t>Mobility Mass</t>
  </si>
  <si>
    <t>Comm Mass</t>
  </si>
  <si>
    <t>Excavation Mass</t>
  </si>
  <si>
    <t>Loading Mass</t>
  </si>
  <si>
    <t>Daily Regolith</t>
  </si>
  <si>
    <t>kg/day</t>
  </si>
  <si>
    <t>Total Days</t>
  </si>
  <si>
    <t>days</t>
  </si>
  <si>
    <t>Max Compressive Strength</t>
  </si>
  <si>
    <t>MPa</t>
  </si>
  <si>
    <t>Min Compressive Strength</t>
  </si>
  <si>
    <t>Min Concrete Density</t>
  </si>
  <si>
    <t>kg/m3</t>
  </si>
  <si>
    <t>Max Concrete Density</t>
  </si>
  <si>
    <t>Mobility Horizontal Excavation Force</t>
  </si>
  <si>
    <t>N</t>
  </si>
  <si>
    <t>Breaking Rate</t>
  </si>
  <si>
    <t>kg/hr</t>
  </si>
  <si>
    <t>Mobility Excavation Speed</t>
  </si>
  <si>
    <t>Vertical Excavation Force</t>
  </si>
  <si>
    <t>Charging Minimum Power</t>
  </si>
  <si>
    <t>W</t>
  </si>
  <si>
    <t>Battery Maximum Size</t>
  </si>
  <si>
    <t>Whr</t>
  </si>
  <si>
    <t>Charging Ports</t>
  </si>
  <si>
    <t>System Mass</t>
  </si>
  <si>
    <t>Wheel Obstacle Clearance</t>
  </si>
  <si>
    <t>cm</t>
  </si>
  <si>
    <t>Runtime:Charge time ratio</t>
  </si>
  <si>
    <t>Distance Traveled</t>
  </si>
  <si>
    <t>km</t>
  </si>
  <si>
    <t>Slope</t>
  </si>
  <si>
    <t>deg</t>
  </si>
  <si>
    <t>Dimensions</t>
  </si>
  <si>
    <t>1.5m (H) x 1.5m (W) x 2.5m (L)</t>
  </si>
  <si>
    <t>State Estimation</t>
  </si>
  <si>
    <t>cm/km</t>
  </si>
  <si>
    <t>Runtime</t>
  </si>
  <si>
    <t>Spare Parts</t>
  </si>
  <si>
    <t>Attribute</t>
  </si>
  <si>
    <t>Notes</t>
  </si>
  <si>
    <t>Simulant</t>
  </si>
  <si>
    <t>10% +/- or penalties</t>
  </si>
  <si>
    <t>Travel Distance</t>
  </si>
  <si>
    <t>m/leg</t>
  </si>
  <si>
    <t>Rover Mass</t>
  </si>
  <si>
    <t>Overhead Mass</t>
  </si>
  <si>
    <t>excavation and bucket</t>
  </si>
  <si>
    <t>Regolith Load</t>
  </si>
  <si>
    <t>Rover Loaded Speed</t>
  </si>
  <si>
    <t>Rover Unloaded Speed</t>
  </si>
  <si>
    <t>Rover Breaking Rate</t>
  </si>
  <si>
    <t>kg/hour</t>
  </si>
  <si>
    <t>Rover Loading Rate</t>
  </si>
  <si>
    <t>Rover Unloading Rate</t>
  </si>
  <si>
    <t>Number Rovers</t>
  </si>
  <si>
    <t>#</t>
  </si>
  <si>
    <t>Assuming multipurpose rover (can excavate, load, and haul)</t>
  </si>
  <si>
    <t>Total Trips</t>
  </si>
  <si>
    <t>Trips</t>
  </si>
  <si>
    <t>RoverTrips</t>
  </si>
  <si>
    <t>Trips/rover</t>
  </si>
  <si>
    <t>Total Distance</t>
  </si>
  <si>
    <t>m/rover/day</t>
  </si>
  <si>
    <t>Breaking Time</t>
  </si>
  <si>
    <t>Loading Time</t>
  </si>
  <si>
    <t>Loaded Travel Time</t>
  </si>
  <si>
    <t>Unloading Time</t>
  </si>
  <si>
    <t>Unloaded Travel Time</t>
  </si>
  <si>
    <t>Total Time</t>
  </si>
  <si>
    <t>Assumption</t>
  </si>
  <si>
    <t>Mass Efficiency</t>
  </si>
  <si>
    <t>Drives</t>
  </si>
  <si>
    <t>CT4</t>
  </si>
  <si>
    <t>CG5</t>
  </si>
  <si>
    <t>CG6</t>
  </si>
  <si>
    <t>CG7</t>
  </si>
  <si>
    <t>CG8</t>
  </si>
  <si>
    <t>CN3</t>
  </si>
  <si>
    <t>CN4</t>
  </si>
  <si>
    <t>CN5</t>
  </si>
  <si>
    <t>CN6</t>
  </si>
  <si>
    <t>CN7</t>
  </si>
  <si>
    <t>LD5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</si>
</sst>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theme="1"/>
      <name val="Calibri"/>
      <family val="2"/>
      <scheme val="minor"/>
    </font>
    <font>
      <b/>
      <sz val="11"/>
      <color theme="1"/>
      <name val="Calibri"/>
      <family val="2"/>
      <scheme val="minor"/>
    </font>
    <font>
      <sz val="8"/>
      <name val="Calibri"/>
      <family val="2"/>
      <scheme val="minor"/>
    </font>
    <font>
      <b/>
      <u/>
      <sz val="11"/>
      <color rgb="FF000000"/>
      <name val="Calibri"/>
    </font>
    <font>
      <b/>
      <sz val="11"/>
      <color rgb="FF000000"/>
      <name val="Calibri"/>
    </font>
    <font>
      <sz val="11"/>
      <color rgb="FF000000"/>
      <name val="Calibri"/>
    </font>
    <font>
      <b/>
      <sz val="11"/>
      <color rgb="FF000000"/>
      <name val="Calibri"/>
      <family val="2"/>
      <scheme val="minor"/>
    </font>
    <font>
      <sz val="11"/>
      <color rgb="FF000000"/>
      <name val="Calibri"/>
      <family val="2"/>
      <scheme val="minor"/>
    </font>
    <font>
      <sz val="11"/>
      <color rgb="FF000000"/>
      <name val="Calibri"/>
      <charset val="1"/>
    </font>
    <font>
      <sz val="11"/>
      <color theme="1"/>
      <name val="Times New Roman"/>
    </font>
    <font>
      <b/>
      <sz val="11"/>
      <color theme="1"/>
      <name val="Times New Roman"/>
    </font>
    <font>
      <sz val="11"/>
      <color rgb="FF000000"/>
      <name val="Times New Roman"/>
    </font>
    <font>
      <strike/>
      <sz val="11"/>
      <color rgb="FF000000"/>
      <name val="Times New Roman"/>
    </font>
    <font>
      <sz val="14"/>
      <color theme="1"/>
      <name val="Times New Roman"/>
    </font>
  </fonts>
  <fills count="7">
    <fill>
      <patternFill patternType="none"/>
    </fill>
    <fill>
      <patternFill patternType="gray125"/>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rgb="FFFCE4D6"/>
        <bgColor indexed="64"/>
      </patternFill>
    </fill>
    <fill>
      <patternFill patternType="solid">
        <fgColor theme="6" tint="0.79998168889431442"/>
        <bgColor theme="6" tint="0.79998168889431442"/>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top/>
      <bottom style="thin">
        <color theme="6"/>
      </bottom>
      <diagonal/>
    </border>
  </borders>
  <cellStyleXfs count="1">
    <xf numFmtId="0" fontId="0" fillId="0" borderId="0"/>
  </cellStyleXfs>
  <cellXfs count="38">
    <xf numFmtId="0" fontId="0" fillId="0" borderId="0" xfId="0"/>
    <xf numFmtId="0" fontId="1" fillId="0" borderId="0" xfId="0" applyFont="1"/>
    <xf numFmtId="0" fontId="1" fillId="0" borderId="1" xfId="0" applyFont="1" applyBorder="1"/>
    <xf numFmtId="0" fontId="0" fillId="0" borderId="1" xfId="0" applyBorder="1"/>
    <xf numFmtId="0" fontId="6" fillId="0" borderId="0" xfId="0" applyFont="1"/>
    <xf numFmtId="0" fontId="7" fillId="0" borderId="0" xfId="0" applyFont="1"/>
    <xf numFmtId="0" fontId="0" fillId="3" borderId="0" xfId="0" applyFill="1"/>
    <xf numFmtId="2" fontId="0" fillId="0" borderId="0" xfId="0" applyNumberFormat="1"/>
    <xf numFmtId="164" fontId="0" fillId="0" borderId="0" xfId="0" applyNumberFormat="1"/>
    <xf numFmtId="164" fontId="0" fillId="3" borderId="0" xfId="0" applyNumberFormat="1" applyFill="1"/>
    <xf numFmtId="0" fontId="7" fillId="4" borderId="0" xfId="0" applyFont="1" applyFill="1"/>
    <xf numFmtId="164" fontId="7" fillId="4" borderId="0" xfId="0" applyNumberFormat="1" applyFont="1" applyFill="1"/>
    <xf numFmtId="0" fontId="0" fillId="5" borderId="0" xfId="0" applyFill="1"/>
    <xf numFmtId="0" fontId="7" fillId="6" borderId="0" xfId="0" applyFont="1" applyFill="1"/>
    <xf numFmtId="0" fontId="0" fillId="0" borderId="10" xfId="0" applyBorder="1"/>
    <xf numFmtId="0" fontId="0" fillId="0" borderId="11" xfId="0" applyBorder="1"/>
    <xf numFmtId="0" fontId="6" fillId="0" borderId="12" xfId="0" applyFont="1" applyBorder="1"/>
    <xf numFmtId="0" fontId="8" fillId="0" borderId="0" xfId="0" applyFont="1"/>
    <xf numFmtId="0" fontId="1" fillId="0" borderId="0" xfId="0" applyFont="1" applyAlignment="1">
      <alignment horizontal="center"/>
    </xf>
    <xf numFmtId="0" fontId="4" fillId="2" borderId="0" xfId="0" applyFont="1" applyFill="1" applyAlignment="1">
      <alignment horizontal="center" vertical="center" wrapText="1"/>
    </xf>
    <xf numFmtId="1" fontId="0" fillId="3" borderId="0" xfId="0" applyNumberFormat="1" applyFill="1"/>
    <xf numFmtId="1" fontId="0" fillId="0" borderId="0" xfId="0" applyNumberFormat="1"/>
    <xf numFmtId="0" fontId="9" fillId="0" borderId="0" xfId="0" applyFont="1"/>
    <xf numFmtId="0" fontId="9" fillId="0" borderId="0" xfId="0" applyFont="1" applyAlignment="1">
      <alignment wrapText="1"/>
    </xf>
    <xf numFmtId="0" fontId="10" fillId="0" borderId="0" xfId="0" applyFont="1"/>
    <xf numFmtId="0" fontId="10" fillId="0" borderId="0" xfId="0" applyFont="1" applyAlignment="1">
      <alignment wrapText="1"/>
    </xf>
    <xf numFmtId="0" fontId="11" fillId="0" borderId="0" xfId="0" applyFont="1"/>
    <xf numFmtId="0" fontId="13" fillId="0" borderId="0" xfId="0" applyFont="1"/>
    <xf numFmtId="0" fontId="1" fillId="0" borderId="0" xfId="0" applyFont="1" applyAlignment="1">
      <alignment horizont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cellXfs>
  <cellStyles count="1">
    <cellStyle name="Normal" xfId="0" builtinId="0"/>
  </cellStyles>
  <dxfs count="36">
    <dxf>
      <font>
        <b val="0"/>
        <i val="0"/>
        <strike val="0"/>
        <condense val="0"/>
        <extend val="0"/>
        <outline val="0"/>
        <shadow val="0"/>
        <u val="none"/>
        <vertAlign val="baseline"/>
        <sz val="11"/>
        <color rgb="FF000000"/>
        <name val="Calibri"/>
        <family val="2"/>
        <scheme val="minor"/>
      </font>
      <fill>
        <patternFill patternType="solid">
          <fgColor theme="6" tint="0.79998168889431442"/>
          <bgColor theme="6" tint="0.79998168889431442"/>
        </patternFill>
      </fill>
    </dxf>
    <dxf>
      <font>
        <b val="0"/>
        <i val="0"/>
        <strike val="0"/>
        <condense val="0"/>
        <extend val="0"/>
        <outline val="0"/>
        <shadow val="0"/>
        <u val="none"/>
        <vertAlign val="baseline"/>
        <sz val="11"/>
        <color rgb="FF000000"/>
        <name val="Calibri"/>
        <family val="2"/>
        <scheme val="minor"/>
      </font>
      <fill>
        <patternFill patternType="solid">
          <fgColor theme="6" tint="0.79998168889431442"/>
          <bgColor theme="6" tint="0.79998168889431442"/>
        </patternFill>
      </fill>
    </dxf>
    <dxf>
      <font>
        <b val="0"/>
        <i val="0"/>
        <strike val="0"/>
        <condense val="0"/>
        <extend val="0"/>
        <outline val="0"/>
        <shadow val="0"/>
        <u val="none"/>
        <vertAlign val="baseline"/>
        <sz val="11"/>
        <color rgb="FF000000"/>
        <name val="Calibri"/>
        <family val="2"/>
        <scheme val="minor"/>
      </font>
      <fill>
        <patternFill patternType="solid">
          <fgColor theme="6" tint="0.79998168889431442"/>
          <bgColor theme="6" tint="0.79998168889431442"/>
        </patternFill>
      </fill>
    </dxf>
    <dxf>
      <border outline="0">
        <bottom style="thin">
          <color theme="6"/>
        </bottom>
      </border>
    </dxf>
    <dxf>
      <border outline="0">
        <top style="thin">
          <color theme="6"/>
        </top>
      </border>
    </dxf>
    <dxf>
      <font>
        <b val="0"/>
        <i val="0"/>
        <strike val="0"/>
        <condense val="0"/>
        <extend val="0"/>
        <outline val="0"/>
        <shadow val="0"/>
        <u val="none"/>
        <vertAlign val="baseline"/>
        <sz val="11"/>
        <color rgb="FF000000"/>
        <name val="Calibri"/>
        <family val="2"/>
        <scheme val="minor"/>
      </font>
      <fill>
        <patternFill patternType="solid">
          <fgColor theme="6" tint="0.79998168889431442"/>
          <bgColor theme="6" tint="0.79998168889431442"/>
        </patternFill>
      </fill>
    </dxf>
    <dxf>
      <font>
        <b/>
        <i val="0"/>
        <strike val="0"/>
        <condense val="0"/>
        <extend val="0"/>
        <outline val="0"/>
        <shadow val="0"/>
        <u val="none"/>
        <vertAlign val="baseline"/>
        <sz val="11"/>
        <color rgb="FF000000"/>
        <name val="Calibri"/>
        <family val="2"/>
        <scheme val="minor"/>
      </font>
    </dxf>
    <dxf>
      <font>
        <color rgb="FF000000"/>
      </font>
      <numFmt numFmtId="0" formatCode="General"/>
    </dxf>
    <dxf>
      <font>
        <color rgb="FF000000"/>
      </font>
    </dxf>
    <dxf>
      <font>
        <color rgb="FF000000"/>
      </font>
    </dxf>
    <dxf>
      <font>
        <b/>
        <i val="0"/>
        <strike val="0"/>
        <condense val="0"/>
        <extend val="0"/>
        <outline val="0"/>
        <shadow val="0"/>
        <u val="none"/>
        <vertAlign val="baseline"/>
        <sz val="11"/>
        <color rgb="FF000000"/>
        <name val="Calibri"/>
        <family val="2"/>
        <scheme val="minor"/>
      </font>
    </dxf>
    <dxf>
      <font>
        <color rgb="FF000000"/>
      </font>
      <numFmt numFmtId="0" formatCode="General"/>
    </dxf>
    <dxf>
      <font>
        <color rgb="FF000000"/>
      </font>
    </dxf>
    <dxf>
      <font>
        <color rgb="FF000000"/>
      </font>
    </dxf>
    <dxf>
      <font>
        <b/>
        <i val="0"/>
        <strike val="0"/>
        <condense val="0"/>
        <extend val="0"/>
        <outline val="0"/>
        <shadow val="0"/>
        <u val="none"/>
        <vertAlign val="baseline"/>
        <sz val="11"/>
        <color rgb="FF000000"/>
        <name val="Calibri"/>
        <family val="2"/>
        <scheme val="minor"/>
      </font>
    </dxf>
    <dxf>
      <font>
        <color rgb="FF000000"/>
      </font>
    </dxf>
    <dxf>
      <font>
        <color rgb="FF000000"/>
      </font>
    </dxf>
    <dxf>
      <font>
        <color rgb="FF000000"/>
      </font>
    </dxf>
    <dxf>
      <font>
        <color rgb="FF000000"/>
      </font>
    </dxf>
    <dxf>
      <font>
        <b/>
        <i val="0"/>
        <strike val="0"/>
        <condense val="0"/>
        <extend val="0"/>
        <outline val="0"/>
        <shadow val="0"/>
        <u val="none"/>
        <vertAlign val="baseline"/>
        <sz val="11"/>
        <color rgb="FF000000"/>
        <name val="Calibri"/>
        <family val="2"/>
        <scheme val="minor"/>
      </font>
    </dxf>
    <dxf>
      <font>
        <color rgb="FF000000"/>
      </font>
    </dxf>
    <dxf>
      <font>
        <color rgb="FF000000"/>
      </font>
    </dxf>
    <dxf>
      <font>
        <color rgb="FF000000"/>
      </font>
    </dxf>
    <dxf>
      <font>
        <color rgb="FF000000"/>
      </font>
    </dxf>
    <dxf>
      <font>
        <b/>
        <i val="0"/>
        <strike val="0"/>
        <condense val="0"/>
        <extend val="0"/>
        <outline val="0"/>
        <shadow val="0"/>
        <u val="none"/>
        <vertAlign val="baseline"/>
        <sz val="11"/>
        <color rgb="FF000000"/>
        <name val="Calibri"/>
        <family val="2"/>
        <scheme val="minor"/>
      </font>
    </dxf>
    <dxf>
      <font>
        <color rgb="FF000000"/>
      </font>
      <numFmt numFmtId="0" formatCode="General"/>
    </dxf>
    <dxf>
      <font>
        <color rgb="FF000000"/>
      </font>
    </dxf>
    <dxf>
      <font>
        <color rgb="FF000000"/>
      </font>
    </dxf>
    <dxf>
      <font>
        <b/>
        <i val="0"/>
        <strike val="0"/>
        <condense val="0"/>
        <extend val="0"/>
        <outline val="0"/>
        <shadow val="0"/>
        <u val="none"/>
        <vertAlign val="baseline"/>
        <sz val="11"/>
        <color rgb="FF000000"/>
        <name val="Calibri"/>
        <family val="2"/>
        <scheme val="minor"/>
      </font>
    </dxf>
    <dxf>
      <font>
        <color rgb="FF000000"/>
      </font>
    </dxf>
    <dxf>
      <font>
        <color rgb="FF000000"/>
      </font>
    </dxf>
    <dxf>
      <font>
        <color rgb="FF000000"/>
      </font>
    </dxf>
    <dxf>
      <font>
        <color rgb="FF000000"/>
      </font>
    </dxf>
    <dxf>
      <font>
        <color rgb="FF000000"/>
      </font>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12056267574257"/>
          <c:y val="9.2603278604772937E-2"/>
          <c:w val="0.77588986112827196"/>
          <c:h val="0.68685607729690723"/>
        </c:manualLayout>
      </c:layout>
      <c:scatterChart>
        <c:scatterStyle val="smoothMarker"/>
        <c:varyColors val="0"/>
        <c:ser>
          <c:idx val="0"/>
          <c:order val="0"/>
          <c:tx>
            <c:strRef>
              <c:f>'MOE Slide'!$H$3</c:f>
              <c:strCache>
                <c:ptCount val="1"/>
                <c:pt idx="0">
                  <c:v>Mass Efficiency</c:v>
                </c:pt>
              </c:strCache>
            </c:strRef>
          </c:tx>
          <c:spPr>
            <a:ln w="19050" cap="rnd">
              <a:solidFill>
                <a:schemeClr val="accent1"/>
              </a:solidFill>
              <a:round/>
            </a:ln>
            <a:effectLst/>
          </c:spPr>
          <c:marker>
            <c:symbol val="none"/>
          </c:marker>
          <c:xVal>
            <c:numRef>
              <c:f>'MOE Slide'!$G$4:$G$29</c:f>
              <c:numCache>
                <c:formatCode>General</c:formatCode>
                <c:ptCount val="26"/>
                <c:pt idx="0">
                  <c:v>250</c:v>
                </c:pt>
                <c:pt idx="1">
                  <c:v>260</c:v>
                </c:pt>
                <c:pt idx="2">
                  <c:v>270</c:v>
                </c:pt>
                <c:pt idx="3">
                  <c:v>280</c:v>
                </c:pt>
                <c:pt idx="4">
                  <c:v>290</c:v>
                </c:pt>
                <c:pt idx="5">
                  <c:v>300</c:v>
                </c:pt>
                <c:pt idx="6">
                  <c:v>310</c:v>
                </c:pt>
                <c:pt idx="7">
                  <c:v>320</c:v>
                </c:pt>
                <c:pt idx="8">
                  <c:v>330</c:v>
                </c:pt>
                <c:pt idx="9">
                  <c:v>340</c:v>
                </c:pt>
                <c:pt idx="10">
                  <c:v>350</c:v>
                </c:pt>
                <c:pt idx="11">
                  <c:v>360</c:v>
                </c:pt>
                <c:pt idx="12">
                  <c:v>370</c:v>
                </c:pt>
                <c:pt idx="13">
                  <c:v>380</c:v>
                </c:pt>
                <c:pt idx="14">
                  <c:v>390</c:v>
                </c:pt>
                <c:pt idx="15">
                  <c:v>400</c:v>
                </c:pt>
                <c:pt idx="16">
                  <c:v>410</c:v>
                </c:pt>
                <c:pt idx="17">
                  <c:v>420</c:v>
                </c:pt>
                <c:pt idx="18">
                  <c:v>430</c:v>
                </c:pt>
                <c:pt idx="19">
                  <c:v>440</c:v>
                </c:pt>
                <c:pt idx="20">
                  <c:v>450</c:v>
                </c:pt>
                <c:pt idx="21">
                  <c:v>460</c:v>
                </c:pt>
                <c:pt idx="22">
                  <c:v>470</c:v>
                </c:pt>
                <c:pt idx="23">
                  <c:v>480</c:v>
                </c:pt>
                <c:pt idx="24">
                  <c:v>490</c:v>
                </c:pt>
                <c:pt idx="25">
                  <c:v>500</c:v>
                </c:pt>
              </c:numCache>
            </c:numRef>
          </c:xVal>
          <c:yVal>
            <c:numRef>
              <c:f>'MOE Slide'!$H$4:$H$29</c:f>
              <c:numCache>
                <c:formatCode>General</c:formatCode>
                <c:ptCount val="26"/>
                <c:pt idx="0">
                  <c:v>48</c:v>
                </c:pt>
                <c:pt idx="1">
                  <c:v>46.153846153846153</c:v>
                </c:pt>
                <c:pt idx="2">
                  <c:v>44.444444444444443</c:v>
                </c:pt>
                <c:pt idx="3">
                  <c:v>42.857142857142854</c:v>
                </c:pt>
                <c:pt idx="4">
                  <c:v>41.379310344827587</c:v>
                </c:pt>
                <c:pt idx="5">
                  <c:v>40</c:v>
                </c:pt>
                <c:pt idx="6">
                  <c:v>38.70967741935484</c:v>
                </c:pt>
                <c:pt idx="7">
                  <c:v>37.5</c:v>
                </c:pt>
                <c:pt idx="8">
                  <c:v>36.363636363636367</c:v>
                </c:pt>
                <c:pt idx="9">
                  <c:v>35.294117647058826</c:v>
                </c:pt>
                <c:pt idx="10">
                  <c:v>34.285714285714285</c:v>
                </c:pt>
                <c:pt idx="11">
                  <c:v>33.333333333333336</c:v>
                </c:pt>
                <c:pt idx="12">
                  <c:v>32.432432432432435</c:v>
                </c:pt>
                <c:pt idx="13">
                  <c:v>31.578947368421051</c:v>
                </c:pt>
                <c:pt idx="14">
                  <c:v>30.76923076923077</c:v>
                </c:pt>
                <c:pt idx="15">
                  <c:v>30</c:v>
                </c:pt>
                <c:pt idx="16">
                  <c:v>29.26829268292683</c:v>
                </c:pt>
                <c:pt idx="17">
                  <c:v>28.571428571428573</c:v>
                </c:pt>
                <c:pt idx="18">
                  <c:v>27.906976744186046</c:v>
                </c:pt>
                <c:pt idx="19">
                  <c:v>27.272727272727273</c:v>
                </c:pt>
                <c:pt idx="20">
                  <c:v>26.666666666666668</c:v>
                </c:pt>
                <c:pt idx="21">
                  <c:v>26.086956521739129</c:v>
                </c:pt>
                <c:pt idx="22">
                  <c:v>25.531914893617021</c:v>
                </c:pt>
                <c:pt idx="23">
                  <c:v>25</c:v>
                </c:pt>
                <c:pt idx="24">
                  <c:v>24.489795918367346</c:v>
                </c:pt>
                <c:pt idx="25">
                  <c:v>24</c:v>
                </c:pt>
              </c:numCache>
            </c:numRef>
          </c:yVal>
          <c:smooth val="1"/>
          <c:extLst>
            <c:ext xmlns:c16="http://schemas.microsoft.com/office/drawing/2014/chart" uri="{C3380CC4-5D6E-409C-BE32-E72D297353CC}">
              <c16:uniqueId val="{00000001-7E6E-47D2-9F6E-B883E7BE00CD}"/>
            </c:ext>
          </c:extLst>
        </c:ser>
        <c:dLbls>
          <c:showLegendKey val="0"/>
          <c:showVal val="0"/>
          <c:showCatName val="0"/>
          <c:showSerName val="0"/>
          <c:showPercent val="0"/>
          <c:showBubbleSize val="0"/>
        </c:dLbls>
        <c:axId val="1203937800"/>
        <c:axId val="1086313080"/>
      </c:scatterChart>
      <c:valAx>
        <c:axId val="1203937800"/>
        <c:scaling>
          <c:orientation val="minMax"/>
          <c:min val="2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a:t>Landed Mass </a:t>
                </a:r>
              </a:p>
              <a:p>
                <a:pPr>
                  <a:defRPr/>
                </a:pPr>
                <a:r>
                  <a:rPr lang="en-US" sz="1400"/>
                  <a:t>(kg)</a:t>
                </a:r>
              </a:p>
            </c:rich>
          </c:tx>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086313080"/>
        <c:crosses val="autoZero"/>
        <c:crossBetween val="midCat"/>
      </c:valAx>
      <c:valAx>
        <c:axId val="1086313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a:t>Mass Efficiency</a:t>
                </a:r>
              </a:p>
              <a:p>
                <a:pPr>
                  <a:defRPr/>
                </a:pPr>
                <a:r>
                  <a:rPr lang="en-US" sz="1400"/>
                  <a:t>(kg delivered/kg landed)</a:t>
                </a:r>
                <a:endParaRPr lang="en-US"/>
              </a:p>
            </c:rich>
          </c:tx>
          <c:layout>
            <c:manualLayout>
              <c:xMode val="edge"/>
              <c:yMode val="edge"/>
              <c:x val="1.1412268188302425E-2"/>
              <c:y val="0.24137606886730401"/>
            </c:manualLayout>
          </c:layout>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0393780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2000"/>
      </a:pPr>
      <a:endParaRPr lang="en-US"/>
    </a:p>
  </c:txPr>
  <c:printSettings>
    <c:headerFooter/>
    <c:pageMargins b="0.75" l="0.7" r="0.7" t="0.75" header="0.3" footer="0.3"/>
    <c:pageSetup/>
  </c:printSettings>
  <c:userShapes r:id="rId3"/>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plotArea>
      <cx:plotAreaRegion>
        <cx:series layoutId="waterfall" uniqueId="{BBBF053D-F60C-4FC8-8840-93A7C30F2877}">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800100</xdr:colOff>
      <xdr:row>5</xdr:row>
      <xdr:rowOff>95250</xdr:rowOff>
    </xdr:from>
    <xdr:to>
      <xdr:col>10</xdr:col>
      <xdr:colOff>361950</xdr:colOff>
      <xdr:row>22</xdr:row>
      <xdr:rowOff>19050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86DE3B4-D8BA-2840-B660-8B6B6CB2D77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76200</xdr:colOff>
      <xdr:row>14</xdr:row>
      <xdr:rowOff>104775</xdr:rowOff>
    </xdr:from>
    <xdr:to>
      <xdr:col>20</xdr:col>
      <xdr:colOff>47625</xdr:colOff>
      <xdr:row>35</xdr:row>
      <xdr:rowOff>19050</xdr:rowOff>
    </xdr:to>
    <xdr:graphicFrame macro="">
      <xdr:nvGraphicFramePr>
        <xdr:cNvPr id="68" name="Chart 1">
          <a:extLst>
            <a:ext uri="{FF2B5EF4-FFF2-40B4-BE49-F238E27FC236}">
              <a16:creationId xmlns:a16="http://schemas.microsoft.com/office/drawing/2014/main" id="{9AEA4F53-2DDC-88E8-78EC-7E4DA81710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302173</xdr:colOff>
      <xdr:row>15</xdr:row>
      <xdr:rowOff>19707</xdr:rowOff>
    </xdr:from>
    <xdr:to>
      <xdr:col>12</xdr:col>
      <xdr:colOff>486104</xdr:colOff>
      <xdr:row>16</xdr:row>
      <xdr:rowOff>65690</xdr:rowOff>
    </xdr:to>
    <xdr:sp macro="" textlink="">
      <xdr:nvSpPr>
        <xdr:cNvPr id="107" name="TextBox 2">
          <a:extLst>
            <a:ext uri="{FF2B5EF4-FFF2-40B4-BE49-F238E27FC236}">
              <a16:creationId xmlns:a16="http://schemas.microsoft.com/office/drawing/2014/main" id="{436F72B6-6FD6-A391-5F61-126514194EC5}"/>
            </a:ext>
          </a:extLst>
        </xdr:cNvPr>
        <xdr:cNvSpPr txBox="1"/>
      </xdr:nvSpPr>
      <xdr:spPr>
        <a:xfrm>
          <a:off x="7843345" y="2877207"/>
          <a:ext cx="794845" cy="2364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Times New Roman" panose="02020603050405020304" pitchFamily="18" charset="0"/>
              <a:cs typeface="Times New Roman" panose="02020603050405020304" pitchFamily="18" charset="0"/>
            </a:rPr>
            <a:t>0% margin</a:t>
          </a:r>
        </a:p>
      </xdr:txBody>
    </xdr:sp>
    <xdr:clientData/>
  </xdr:twoCellAnchor>
  <xdr:twoCellAnchor>
    <xdr:from>
      <xdr:col>13</xdr:col>
      <xdr:colOff>250935</xdr:colOff>
      <xdr:row>15</xdr:row>
      <xdr:rowOff>34159</xdr:rowOff>
    </xdr:from>
    <xdr:to>
      <xdr:col>14</xdr:col>
      <xdr:colOff>545224</xdr:colOff>
      <xdr:row>16</xdr:row>
      <xdr:rowOff>80142</xdr:rowOff>
    </xdr:to>
    <xdr:sp macro="" textlink="">
      <xdr:nvSpPr>
        <xdr:cNvPr id="110" name="TextBox 3">
          <a:extLst>
            <a:ext uri="{FF2B5EF4-FFF2-40B4-BE49-F238E27FC236}">
              <a16:creationId xmlns:a16="http://schemas.microsoft.com/office/drawing/2014/main" id="{B9B20C57-80F3-4F4C-B58D-243348F5CBCD}"/>
            </a:ext>
          </a:extLst>
        </xdr:cNvPr>
        <xdr:cNvSpPr txBox="1"/>
      </xdr:nvSpPr>
      <xdr:spPr>
        <a:xfrm>
          <a:off x="9013935" y="2891659"/>
          <a:ext cx="905203" cy="2364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Times New Roman" panose="02020603050405020304" pitchFamily="18" charset="0"/>
              <a:cs typeface="Times New Roman" panose="02020603050405020304" pitchFamily="18" charset="0"/>
            </a:rPr>
            <a:t>50% margin</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0.28959</cdr:x>
      <cdr:y>0.09405</cdr:y>
    </cdr:from>
    <cdr:to>
      <cdr:x>0.41957</cdr:x>
      <cdr:y>0.77859</cdr:y>
    </cdr:to>
    <cdr:sp macro="" textlink="">
      <cdr:nvSpPr>
        <cdr:cNvPr id="2" name="Rectangle 1">
          <a:extLst xmlns:a="http://schemas.openxmlformats.org/drawingml/2006/main">
            <a:ext uri="{FF2B5EF4-FFF2-40B4-BE49-F238E27FC236}">
              <a16:creationId xmlns:a16="http://schemas.microsoft.com/office/drawing/2014/main" id="{1AB46145-159A-BDE4-E44E-C7901C7305D6}"/>
            </a:ext>
          </a:extLst>
        </cdr:cNvPr>
        <cdr:cNvSpPr/>
      </cdr:nvSpPr>
      <cdr:spPr>
        <a:xfrm xmlns:a="http://schemas.openxmlformats.org/drawingml/2006/main">
          <a:off x="1937760" y="368191"/>
          <a:ext cx="869816" cy="2679809"/>
        </a:xfrm>
        <a:prstGeom xmlns:a="http://schemas.openxmlformats.org/drawingml/2006/main" prst="rect">
          <a:avLst/>
        </a:prstGeom>
        <a:solidFill xmlns:a="http://schemas.openxmlformats.org/drawingml/2006/main">
          <a:schemeClr val="accent2">
            <a:lumMod val="60000"/>
            <a:lumOff val="40000"/>
            <a:alpha val="46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EEB688D-CD4F-4328-9FE6-DEFE15BD723D}" autoFormatId="16" applyNumberFormats="0" applyBorderFormats="0" applyFontFormats="0" applyPatternFormats="0" applyAlignmentFormats="0" applyWidthHeightFormats="0">
  <queryTableRefresh nextId="7">
    <queryTableFields count="3">
      <queryTableField id="3" name="Subsystem" tableColumnId="3"/>
      <queryTableField id="1" name="Requirement ID" tableColumnId="1"/>
      <queryTableField id="2" name="Requiremen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1A9D157-F257-458B-BCCD-4AF8631C7909}" name="Query1" displayName="Query1" ref="B11:D49" tableType="queryTable" totalsRowShown="0">
  <autoFilter ref="B11:D49" xr:uid="{61A9D157-F257-458B-BCCD-4AF8631C7909}"/>
  <tableColumns count="3">
    <tableColumn id="3" xr3:uid="{12D073A5-D8B8-4A90-A7EB-1AB3BF242C83}" uniqueName="3" name="Subsystem" queryTableFieldId="3" dataDxfId="35"/>
    <tableColumn id="1" xr3:uid="{7A1791E9-805B-4953-AE4D-62373EC7D8E3}" uniqueName="1" name="Requirement ID" queryTableFieldId="1" dataDxfId="34"/>
    <tableColumn id="2" xr3:uid="{311E0FD6-0B91-441D-8A14-D474AE334DA9}" uniqueName="2" name="Requirement" queryTableFieldId="2"/>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88DBB65-6513-428D-8AD6-864AA8D4E739}" name="Table8" displayName="Table8" ref="B2:D6" totalsRowShown="0" headerRowDxfId="33" dataDxfId="32">
  <autoFilter ref="B2:D6" xr:uid="{188DBB65-6513-428D-8AD6-864AA8D4E739}"/>
  <tableColumns count="3">
    <tableColumn id="1" xr3:uid="{15F74F15-B218-447D-9CA9-EEBBBC2B1791}" name="Requirement ID" dataDxfId="31"/>
    <tableColumn id="2" xr3:uid="{27967D69-9A04-4197-A9EA-3B4A102B14EE}" name="Requirement" dataDxfId="30">
      <calculatedColumnFormula>"The concrete simulant shall have a compressive strength between" &amp;Min_Compressive_Strength&amp; " and " &amp; Max_Compressive_Strength</calculatedColumnFormula>
    </tableColumn>
    <tableColumn id="3" xr3:uid="{1B40DB19-A5AE-4E07-B66F-4C4B643BA7B2}" name="Drives" dataDxfId="29"/>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E151446-F819-4B78-A60E-4EC1F0B295B5}" name="Table4" displayName="Table4" ref="B2:C6" totalsRowShown="0" headerRowDxfId="28" dataDxfId="27">
  <autoFilter ref="B2:C6" xr:uid="{CE151446-F819-4B78-A60E-4EC1F0B295B5}"/>
  <tableColumns count="2">
    <tableColumn id="1" xr3:uid="{B3EAB2CD-A9F1-415E-8889-D0F82DB97342}" name="Requirement ID" dataDxfId="26"/>
    <tableColumn id="2" xr3:uid="{4FC9901B-EC57-47F6-BFB8-C48984BA3DA9}" name="Requirement" dataDxfId="25">
      <calculatedColumnFormula>"The excavation subsystem shall have a mass less than " &amp;Excavation_Mass</calculatedColumnFormula>
    </tableColumn>
  </tableColumns>
  <tableStyleInfo name="TableStyleLight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535B91-615B-4598-BC8C-42C31C7D32CD}" name="Table1" displayName="Table1" ref="B2:D10" totalsRowShown="0" headerRowDxfId="24" dataDxfId="23">
  <autoFilter ref="B2:D10" xr:uid="{05535B91-615B-4598-BC8C-42C31C7D32CD}"/>
  <tableColumns count="3">
    <tableColumn id="1" xr3:uid="{7107FAF6-8D83-4915-A1D7-87D32F3E2558}" name="Requirement ID" dataDxfId="22"/>
    <tableColumn id="2" xr3:uid="{9E83463B-78B2-4223-8B1F-D39BCCEC58C3}" name="Requirement" dataDxfId="21"/>
    <tableColumn id="3" xr3:uid="{2C773340-6A12-40DE-9566-ABF76593A5CE}" name="Drives" dataDxfId="20"/>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A8001F-661E-44E4-9306-B706E6124FE8}" name="Table2" displayName="Table2" ref="B2:D16" totalsRowShown="0" headerRowDxfId="19" dataDxfId="18">
  <autoFilter ref="B2:D16" xr:uid="{FBA8001F-661E-44E4-9306-B706E6124FE8}"/>
  <tableColumns count="3">
    <tableColumn id="1" xr3:uid="{5D8C1304-4F38-4C62-A1D5-3B55F65CFB6D}" name="Requirement ID" dataDxfId="17"/>
    <tableColumn id="2" xr3:uid="{26A8BBAB-BFA1-4A49-8892-7724C0F5BEA0}" name="Requirement" dataDxfId="16"/>
    <tableColumn id="3" xr3:uid="{1D256D77-1208-4304-B641-710F40631995}" name="Drives" dataDxfId="15"/>
  </tableColumns>
  <tableStyleInfo name="TableStyleLight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390EA3-8968-409B-A1CA-8D479D6EA5C7}" name="Table3" displayName="Table3" ref="B2:C9" totalsRowShown="0" headerRowDxfId="14" dataDxfId="13">
  <autoFilter ref="B2:C9" xr:uid="{40390EA3-8968-409B-A1CA-8D479D6EA5C7}"/>
  <tableColumns count="2">
    <tableColumn id="1" xr3:uid="{685D8285-DBAE-4193-BB09-47ABE29A8AB1}" name="Requirement ID" dataDxfId="12"/>
    <tableColumn id="2" xr3:uid="{C96288B2-140B-4878-A0C6-042179515394}" name="Requirement" dataDxfId="11">
      <calculatedColumnFormula>"The communication subsystem shall have a mass less than " &amp;Comm_Mass</calculatedColumnFormula>
    </tableColumn>
  </tableColumns>
  <tableStyleInfo name="TableStyleLight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D701907-0D6B-437F-9E49-DD88F16557AB}" name="Table5" displayName="Table5" ref="B2:C7" totalsRowShown="0" headerRowDxfId="10" dataDxfId="9">
  <autoFilter ref="B2:C7" xr:uid="{2D701907-0D6B-437F-9E49-DD88F16557AB}"/>
  <tableColumns count="2">
    <tableColumn id="1" xr3:uid="{BB7504E1-F83E-4162-B96A-82A8F6F22A80}" name="Requirement ID" dataDxfId="8"/>
    <tableColumn id="2" xr3:uid="{DB3B2FCB-D6B4-440D-AA97-3BD2854A5B34}" name="Requirement" dataDxfId="7">
      <calculatedColumnFormula>"The loading subsystem shall have a mass less than " &amp;Loading_Mass</calculatedColumnFormula>
    </tableColumn>
  </tableColumns>
  <tableStyleInfo name="TableStyleLight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E48635E-9283-4D60-8B30-1134B193C35D}" name="Table7" displayName="Table7" ref="B3:D10" totalsRowShown="0" headerRowDxfId="6" dataDxfId="5" headerRowBorderDxfId="3" tableBorderDxfId="4">
  <autoFilter ref="B3:D10" xr:uid="{5E48635E-9283-4D60-8B30-1134B193C35D}"/>
  <tableColumns count="3">
    <tableColumn id="1" xr3:uid="{13493137-FD52-4E5A-89EC-AFAEC1AB0699}" name="Requirement ID" dataDxfId="2"/>
    <tableColumn id="2" xr3:uid="{AA9939D5-4955-4971-B015-0BF7D29EC55E}" name="Requirement" dataDxfId="1"/>
    <tableColumn id="3" xr3:uid="{031F5D82-90FE-4722-AF68-67614CB7A64E}" name="Drives" dataDxfId="0"/>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49"/>
  <sheetViews>
    <sheetView zoomScale="85" zoomScaleNormal="85" workbookViewId="0">
      <selection activeCell="D20" sqref="D20"/>
    </sheetView>
  </sheetViews>
  <sheetFormatPr defaultRowHeight="15"/>
  <cols>
    <col min="1" max="1" width="3" customWidth="1"/>
    <col min="2" max="2" width="12.85546875" bestFit="1" customWidth="1"/>
    <col min="3" max="3" width="17.42578125" bestFit="1" customWidth="1"/>
    <col min="4" max="4" width="177.42578125" bestFit="1" customWidth="1"/>
    <col min="5" max="5" width="58.28515625" customWidth="1"/>
    <col min="6" max="6" width="29.140625" bestFit="1" customWidth="1"/>
    <col min="7" max="7" width="9.140625" bestFit="1" customWidth="1"/>
    <col min="8" max="8" width="20.140625" bestFit="1" customWidth="1"/>
    <col min="9" max="10" width="20.42578125" bestFit="1" customWidth="1"/>
  </cols>
  <sheetData>
    <row r="3" spans="2:9" ht="15" customHeight="1">
      <c r="B3" s="29" t="s">
        <v>0</v>
      </c>
      <c r="C3" s="30"/>
      <c r="D3" s="31"/>
      <c r="E3" s="19"/>
      <c r="F3" s="2" t="s">
        <v>1</v>
      </c>
      <c r="G3" s="2" t="s">
        <v>2</v>
      </c>
      <c r="H3" s="2" t="s">
        <v>3</v>
      </c>
      <c r="I3" s="2" t="s">
        <v>4</v>
      </c>
    </row>
    <row r="4" spans="2:9">
      <c r="B4" s="32"/>
      <c r="C4" s="33"/>
      <c r="D4" s="34"/>
      <c r="E4" s="19"/>
      <c r="F4" s="3" t="s">
        <v>5</v>
      </c>
      <c r="G4" s="3" t="s">
        <v>6</v>
      </c>
      <c r="H4" s="3" t="s">
        <v>7</v>
      </c>
      <c r="I4" s="3" t="s">
        <v>8</v>
      </c>
    </row>
    <row r="5" spans="2:9" ht="60">
      <c r="B5" s="32"/>
      <c r="C5" s="33"/>
      <c r="D5" s="34"/>
      <c r="E5" s="19" t="s">
        <v>9</v>
      </c>
      <c r="F5" s="3" t="s">
        <v>10</v>
      </c>
      <c r="G5" s="3" t="s">
        <v>11</v>
      </c>
      <c r="H5" s="3" t="s">
        <v>12</v>
      </c>
      <c r="I5" s="3"/>
    </row>
    <row r="6" spans="2:9">
      <c r="B6" s="32"/>
      <c r="C6" s="33"/>
      <c r="D6" s="34"/>
      <c r="E6" s="19"/>
      <c r="F6" s="3" t="s">
        <v>13</v>
      </c>
      <c r="G6" s="3" t="s">
        <v>14</v>
      </c>
      <c r="H6" s="3" t="s">
        <v>12</v>
      </c>
      <c r="I6" s="3"/>
    </row>
    <row r="7" spans="2:9">
      <c r="B7" s="35"/>
      <c r="C7" s="36"/>
      <c r="D7" s="37"/>
      <c r="E7" s="19"/>
      <c r="F7" s="3" t="s">
        <v>15</v>
      </c>
      <c r="G7" s="3" t="s">
        <v>16</v>
      </c>
      <c r="H7" s="3" t="s">
        <v>17</v>
      </c>
      <c r="I7" s="3" t="s">
        <v>8</v>
      </c>
    </row>
    <row r="8" spans="2:9">
      <c r="F8" s="3" t="s">
        <v>18</v>
      </c>
      <c r="G8" s="3" t="s">
        <v>19</v>
      </c>
      <c r="H8" s="3" t="s">
        <v>7</v>
      </c>
      <c r="I8" s="3" t="s">
        <v>8</v>
      </c>
    </row>
    <row r="9" spans="2:9">
      <c r="F9" s="15" t="s">
        <v>20</v>
      </c>
      <c r="G9" s="15" t="s">
        <v>21</v>
      </c>
      <c r="H9" s="15" t="s">
        <v>12</v>
      </c>
      <c r="I9" s="15"/>
    </row>
    <row r="10" spans="2:9">
      <c r="B10" s="28" t="s">
        <v>22</v>
      </c>
      <c r="C10" s="28"/>
      <c r="D10" s="28"/>
      <c r="E10" s="18"/>
      <c r="F10" s="14" t="s">
        <v>23</v>
      </c>
      <c r="G10" s="14" t="s">
        <v>24</v>
      </c>
      <c r="H10" s="14" t="s">
        <v>12</v>
      </c>
      <c r="I10" s="14"/>
    </row>
    <row r="11" spans="2:9">
      <c r="B11" t="s">
        <v>25</v>
      </c>
      <c r="C11" t="s">
        <v>26</v>
      </c>
      <c r="D11" t="s">
        <v>27</v>
      </c>
    </row>
    <row r="12" spans="2:9">
      <c r="B12" t="s">
        <v>21</v>
      </c>
      <c r="C12" t="s">
        <v>28</v>
      </c>
      <c r="D12" t="s">
        <v>29</v>
      </c>
    </row>
    <row r="13" spans="2:9">
      <c r="B13" t="s">
        <v>21</v>
      </c>
      <c r="C13" t="s">
        <v>30</v>
      </c>
      <c r="D13" t="s">
        <v>31</v>
      </c>
    </row>
    <row r="14" spans="2:9">
      <c r="B14" t="s">
        <v>21</v>
      </c>
      <c r="C14" t="s">
        <v>32</v>
      </c>
      <c r="D14" t="s">
        <v>33</v>
      </c>
    </row>
    <row r="15" spans="2:9">
      <c r="B15" t="s">
        <v>16</v>
      </c>
      <c r="C15" t="s">
        <v>34</v>
      </c>
      <c r="D15" t="s">
        <v>35</v>
      </c>
    </row>
    <row r="16" spans="2:9">
      <c r="B16" t="s">
        <v>16</v>
      </c>
      <c r="C16" t="s">
        <v>36</v>
      </c>
      <c r="D16" t="s">
        <v>37</v>
      </c>
    </row>
    <row r="17" spans="2:4">
      <c r="B17" t="s">
        <v>16</v>
      </c>
      <c r="C17" t="s">
        <v>38</v>
      </c>
      <c r="D17" t="s">
        <v>39</v>
      </c>
    </row>
    <row r="18" spans="2:4">
      <c r="B18" t="s">
        <v>16</v>
      </c>
      <c r="C18" t="s">
        <v>40</v>
      </c>
      <c r="D18" t="s">
        <v>41</v>
      </c>
    </row>
    <row r="19" spans="2:4">
      <c r="B19" t="s">
        <v>6</v>
      </c>
      <c r="C19" t="s">
        <v>42</v>
      </c>
      <c r="D19" t="s">
        <v>43</v>
      </c>
    </row>
    <row r="20" spans="2:4">
      <c r="B20" t="s">
        <v>6</v>
      </c>
      <c r="C20" t="s">
        <v>44</v>
      </c>
      <c r="D20" t="s">
        <v>45</v>
      </c>
    </row>
    <row r="21" spans="2:4">
      <c r="B21" t="s">
        <v>6</v>
      </c>
      <c r="C21" t="s">
        <v>46</v>
      </c>
      <c r="D21" t="s">
        <v>47</v>
      </c>
    </row>
    <row r="22" spans="2:4">
      <c r="B22" t="s">
        <v>6</v>
      </c>
      <c r="C22" t="s">
        <v>48</v>
      </c>
      <c r="D22" t="s">
        <v>49</v>
      </c>
    </row>
    <row r="23" spans="2:4">
      <c r="B23" t="s">
        <v>6</v>
      </c>
      <c r="C23" t="s">
        <v>50</v>
      </c>
      <c r="D23" t="s">
        <v>51</v>
      </c>
    </row>
    <row r="24" spans="2:4">
      <c r="B24" t="s">
        <v>6</v>
      </c>
      <c r="C24" t="s">
        <v>52</v>
      </c>
      <c r="D24" t="s">
        <v>53</v>
      </c>
    </row>
    <row r="25" spans="2:4">
      <c r="B25" t="s">
        <v>6</v>
      </c>
      <c r="C25" t="s">
        <v>54</v>
      </c>
      <c r="D25" t="s">
        <v>55</v>
      </c>
    </row>
    <row r="26" spans="2:4">
      <c r="B26" t="s">
        <v>6</v>
      </c>
      <c r="C26" t="s">
        <v>56</v>
      </c>
      <c r="D26" t="s">
        <v>57</v>
      </c>
    </row>
    <row r="27" spans="2:4">
      <c r="B27" t="s">
        <v>6</v>
      </c>
      <c r="C27" t="s">
        <v>58</v>
      </c>
      <c r="D27" t="s">
        <v>59</v>
      </c>
    </row>
    <row r="28" spans="2:4">
      <c r="B28" t="s">
        <v>6</v>
      </c>
      <c r="C28" t="s">
        <v>60</v>
      </c>
      <c r="D28" t="s">
        <v>61</v>
      </c>
    </row>
    <row r="29" spans="2:4">
      <c r="B29" t="s">
        <v>6</v>
      </c>
      <c r="C29" t="s">
        <v>62</v>
      </c>
      <c r="D29" t="s">
        <v>63</v>
      </c>
    </row>
    <row r="30" spans="2:4">
      <c r="B30" t="s">
        <v>6</v>
      </c>
      <c r="C30" t="s">
        <v>64</v>
      </c>
      <c r="D30" t="s">
        <v>65</v>
      </c>
    </row>
    <row r="31" spans="2:4">
      <c r="B31" t="s">
        <v>6</v>
      </c>
      <c r="C31" t="s">
        <v>66</v>
      </c>
      <c r="D31" t="s">
        <v>67</v>
      </c>
    </row>
    <row r="32" spans="2:4">
      <c r="B32" t="s">
        <v>6</v>
      </c>
      <c r="C32" t="s">
        <v>68</v>
      </c>
      <c r="D32" t="s">
        <v>69</v>
      </c>
    </row>
    <row r="33" spans="2:4">
      <c r="B33" t="s">
        <v>19</v>
      </c>
      <c r="C33" t="s">
        <v>70</v>
      </c>
      <c r="D33" t="s">
        <v>71</v>
      </c>
    </row>
    <row r="34" spans="2:4">
      <c r="B34" t="s">
        <v>19</v>
      </c>
      <c r="C34" t="s">
        <v>72</v>
      </c>
      <c r="D34" t="s">
        <v>73</v>
      </c>
    </row>
    <row r="35" spans="2:4">
      <c r="B35" t="s">
        <v>11</v>
      </c>
      <c r="C35" t="s">
        <v>74</v>
      </c>
      <c r="D35" t="s">
        <v>75</v>
      </c>
    </row>
    <row r="36" spans="2:4">
      <c r="B36" t="s">
        <v>11</v>
      </c>
      <c r="C36" t="s">
        <v>76</v>
      </c>
      <c r="D36" t="s">
        <v>77</v>
      </c>
    </row>
    <row r="37" spans="2:4">
      <c r="B37" t="s">
        <v>11</v>
      </c>
      <c r="C37" t="s">
        <v>78</v>
      </c>
      <c r="D37" t="s">
        <v>79</v>
      </c>
    </row>
    <row r="38" spans="2:4">
      <c r="B38" t="s">
        <v>11</v>
      </c>
      <c r="C38" t="s">
        <v>80</v>
      </c>
      <c r="D38" t="s">
        <v>81</v>
      </c>
    </row>
    <row r="39" spans="2:4">
      <c r="B39" t="s">
        <v>14</v>
      </c>
      <c r="C39" t="s">
        <v>82</v>
      </c>
      <c r="D39" t="s">
        <v>83</v>
      </c>
    </row>
    <row r="40" spans="2:4">
      <c r="B40" t="s">
        <v>14</v>
      </c>
      <c r="C40" t="s">
        <v>84</v>
      </c>
      <c r="D40" t="s">
        <v>85</v>
      </c>
    </row>
    <row r="41" spans="2:4">
      <c r="B41" t="s">
        <v>14</v>
      </c>
      <c r="C41" t="s">
        <v>86</v>
      </c>
      <c r="D41" t="s">
        <v>87</v>
      </c>
    </row>
    <row r="42" spans="2:4">
      <c r="B42" t="s">
        <v>14</v>
      </c>
      <c r="C42" t="s">
        <v>88</v>
      </c>
      <c r="D42" t="s">
        <v>89</v>
      </c>
    </row>
    <row r="43" spans="2:4">
      <c r="B43" t="s">
        <v>24</v>
      </c>
      <c r="C43" t="s">
        <v>90</v>
      </c>
      <c r="D43" t="s">
        <v>91</v>
      </c>
    </row>
    <row r="44" spans="2:4">
      <c r="B44" t="s">
        <v>24</v>
      </c>
      <c r="C44" t="s">
        <v>92</v>
      </c>
      <c r="D44" t="s">
        <v>93</v>
      </c>
    </row>
    <row r="45" spans="2:4">
      <c r="B45" t="s">
        <v>24</v>
      </c>
      <c r="C45" t="s">
        <v>94</v>
      </c>
      <c r="D45" t="s">
        <v>95</v>
      </c>
    </row>
    <row r="46" spans="2:4">
      <c r="B46" t="s">
        <v>24</v>
      </c>
      <c r="C46" t="s">
        <v>96</v>
      </c>
      <c r="D46" t="s">
        <v>97</v>
      </c>
    </row>
    <row r="47" spans="2:4">
      <c r="B47" t="s">
        <v>24</v>
      </c>
      <c r="C47" t="s">
        <v>98</v>
      </c>
      <c r="D47" t="s">
        <v>99</v>
      </c>
    </row>
    <row r="48" spans="2:4">
      <c r="B48" t="s">
        <v>24</v>
      </c>
      <c r="C48" t="s">
        <v>100</v>
      </c>
      <c r="D48" t="s">
        <v>101</v>
      </c>
    </row>
    <row r="49" spans="2:4">
      <c r="B49" t="s">
        <v>24</v>
      </c>
      <c r="C49" t="s">
        <v>102</v>
      </c>
      <c r="D49" t="s">
        <v>103</v>
      </c>
    </row>
  </sheetData>
  <dataConsolidate/>
  <mergeCells count="2">
    <mergeCell ref="B10:D10"/>
    <mergeCell ref="B3:D7"/>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ADA01-2A5C-4AD7-9B74-A825D20E4BA2}">
  <sheetPr filterMode="1"/>
  <dimension ref="B1:G69"/>
  <sheetViews>
    <sheetView tabSelected="1" workbookViewId="0">
      <pane ySplit="3" topLeftCell="A27" activePane="bottomLeft" state="frozen"/>
      <selection pane="bottomLeft" activeCell="E28" sqref="E28"/>
    </sheetView>
  </sheetViews>
  <sheetFormatPr defaultRowHeight="15"/>
  <cols>
    <col min="1" max="1" width="7.28515625" style="22" customWidth="1"/>
    <col min="2" max="2" width="22" style="22" bestFit="1" customWidth="1"/>
    <col min="3" max="3" width="39.42578125" style="22" customWidth="1"/>
    <col min="4" max="4" width="51.85546875" style="22" bestFit="1" customWidth="1"/>
    <col min="5" max="5" width="84.7109375" style="23" customWidth="1"/>
    <col min="6" max="6" width="21.7109375" style="22" customWidth="1"/>
    <col min="7" max="16384" width="9.140625" style="22"/>
  </cols>
  <sheetData>
    <row r="1" spans="2:7">
      <c r="B1" s="22" t="s">
        <v>104</v>
      </c>
    </row>
    <row r="3" spans="2:7">
      <c r="B3" s="24" t="s">
        <v>105</v>
      </c>
      <c r="C3" s="24" t="s">
        <v>106</v>
      </c>
      <c r="D3" s="24" t="s">
        <v>107</v>
      </c>
      <c r="E3" s="25" t="s">
        <v>108</v>
      </c>
      <c r="F3" s="24" t="s">
        <v>3</v>
      </c>
      <c r="G3" s="22" t="s">
        <v>109</v>
      </c>
    </row>
    <row r="4" spans="2:7" ht="30" hidden="1">
      <c r="B4" s="26" t="s">
        <v>110</v>
      </c>
      <c r="C4" s="26" t="s">
        <v>111</v>
      </c>
      <c r="D4" s="22" t="s">
        <v>112</v>
      </c>
      <c r="E4" s="23" t="s">
        <v>113</v>
      </c>
    </row>
    <row r="5" spans="2:7" ht="45.75" hidden="1">
      <c r="B5" s="26" t="s">
        <v>110</v>
      </c>
      <c r="C5" s="26" t="s">
        <v>111</v>
      </c>
      <c r="D5" s="22" t="s">
        <v>114</v>
      </c>
      <c r="E5" s="23" t="s">
        <v>115</v>
      </c>
    </row>
    <row r="6" spans="2:7" ht="30" hidden="1">
      <c r="B6" s="26" t="s">
        <v>110</v>
      </c>
      <c r="C6" s="26" t="s">
        <v>111</v>
      </c>
      <c r="D6" s="22" t="s">
        <v>116</v>
      </c>
      <c r="E6" s="23" t="s">
        <v>117</v>
      </c>
    </row>
    <row r="7" spans="2:7" ht="45.75" hidden="1">
      <c r="B7" s="26" t="s">
        <v>110</v>
      </c>
      <c r="C7" s="26" t="s">
        <v>111</v>
      </c>
      <c r="D7" s="22" t="s">
        <v>118</v>
      </c>
      <c r="E7" s="23" t="s">
        <v>119</v>
      </c>
    </row>
    <row r="8" spans="2:7" ht="45.75" hidden="1">
      <c r="B8" s="26" t="s">
        <v>110</v>
      </c>
      <c r="C8" s="26" t="s">
        <v>111</v>
      </c>
      <c r="D8" s="22" t="s">
        <v>120</v>
      </c>
      <c r="E8" s="23" t="s">
        <v>121</v>
      </c>
    </row>
    <row r="9" spans="2:7" ht="45.75" hidden="1">
      <c r="B9" s="26" t="s">
        <v>110</v>
      </c>
      <c r="C9" s="26" t="s">
        <v>111</v>
      </c>
      <c r="D9" s="26" t="s">
        <v>122</v>
      </c>
      <c r="E9" s="23" t="s">
        <v>123</v>
      </c>
    </row>
    <row r="10" spans="2:7" ht="60.75" hidden="1">
      <c r="B10" s="26" t="s">
        <v>110</v>
      </c>
      <c r="C10" s="26" t="s">
        <v>111</v>
      </c>
      <c r="D10" s="22" t="s">
        <v>124</v>
      </c>
      <c r="E10" s="23" t="s">
        <v>125</v>
      </c>
    </row>
    <row r="11" spans="2:7" ht="62.25" hidden="1" customHeight="1">
      <c r="B11" s="22" t="s">
        <v>126</v>
      </c>
      <c r="C11" s="22" t="s">
        <v>127</v>
      </c>
      <c r="D11" s="22" t="s">
        <v>128</v>
      </c>
      <c r="E11" s="23" t="s">
        <v>129</v>
      </c>
    </row>
    <row r="12" spans="2:7" ht="60.75" hidden="1">
      <c r="B12" s="22" t="s">
        <v>126</v>
      </c>
      <c r="C12" s="22" t="s">
        <v>127</v>
      </c>
      <c r="D12" s="22" t="s">
        <v>130</v>
      </c>
      <c r="E12" s="23" t="s">
        <v>131</v>
      </c>
    </row>
    <row r="13" spans="2:7" ht="45.75" hidden="1">
      <c r="B13" s="22" t="s">
        <v>126</v>
      </c>
      <c r="C13" s="22" t="s">
        <v>132</v>
      </c>
      <c r="D13" s="22" t="s">
        <v>133</v>
      </c>
      <c r="E13" s="23" t="s">
        <v>134</v>
      </c>
    </row>
    <row r="14" spans="2:7" hidden="1">
      <c r="B14" s="22" t="s">
        <v>126</v>
      </c>
      <c r="C14" s="22" t="s">
        <v>132</v>
      </c>
      <c r="D14" s="22" t="s">
        <v>135</v>
      </c>
      <c r="E14" s="23" t="s">
        <v>136</v>
      </c>
    </row>
    <row r="15" spans="2:7" ht="47.25" hidden="1" customHeight="1">
      <c r="B15" s="22" t="s">
        <v>126</v>
      </c>
      <c r="C15" s="22" t="s">
        <v>132</v>
      </c>
      <c r="D15" s="22" t="s">
        <v>137</v>
      </c>
      <c r="E15" s="23" t="s">
        <v>138</v>
      </c>
    </row>
    <row r="16" spans="2:7" ht="36.75" hidden="1" customHeight="1">
      <c r="B16" s="22" t="s">
        <v>126</v>
      </c>
      <c r="C16" s="22" t="s">
        <v>132</v>
      </c>
      <c r="D16" s="22" t="s">
        <v>139</v>
      </c>
      <c r="E16" s="23" t="s">
        <v>140</v>
      </c>
    </row>
    <row r="17" spans="2:7" ht="36.75" hidden="1" customHeight="1">
      <c r="B17" s="22" t="s">
        <v>126</v>
      </c>
      <c r="C17" s="22" t="s">
        <v>132</v>
      </c>
      <c r="D17" s="22" t="s">
        <v>141</v>
      </c>
      <c r="E17" s="23" t="s">
        <v>142</v>
      </c>
    </row>
    <row r="18" spans="2:7" ht="36.75" hidden="1" customHeight="1">
      <c r="B18" s="22" t="s">
        <v>126</v>
      </c>
      <c r="C18" s="22" t="s">
        <v>132</v>
      </c>
      <c r="D18" s="22" t="s">
        <v>143</v>
      </c>
    </row>
    <row r="19" spans="2:7" ht="36.75" hidden="1" customHeight="1">
      <c r="B19" s="22" t="s">
        <v>126</v>
      </c>
      <c r="C19" s="22" t="s">
        <v>132</v>
      </c>
      <c r="D19" s="22" t="s">
        <v>144</v>
      </c>
    </row>
    <row r="20" spans="2:7" ht="36.75" hidden="1" customHeight="1">
      <c r="B20" s="22" t="s">
        <v>126</v>
      </c>
      <c r="C20" s="22" t="s">
        <v>132</v>
      </c>
      <c r="D20" s="22" t="s">
        <v>145</v>
      </c>
    </row>
    <row r="21" spans="2:7" ht="36.75" hidden="1" customHeight="1">
      <c r="B21" s="22" t="s">
        <v>126</v>
      </c>
      <c r="C21" s="22" t="s">
        <v>132</v>
      </c>
      <c r="D21" s="22" t="s">
        <v>146</v>
      </c>
      <c r="E21" s="23" t="s">
        <v>147</v>
      </c>
    </row>
    <row r="22" spans="2:7" ht="36.75" customHeight="1">
      <c r="B22" s="22" t="s">
        <v>126</v>
      </c>
      <c r="C22" s="22" t="s">
        <v>148</v>
      </c>
      <c r="D22" s="22" t="s">
        <v>149</v>
      </c>
      <c r="E22" s="23" t="s">
        <v>150</v>
      </c>
    </row>
    <row r="23" spans="2:7" ht="45.75">
      <c r="B23" s="22" t="s">
        <v>126</v>
      </c>
      <c r="C23" s="22" t="s">
        <v>148</v>
      </c>
      <c r="D23" s="22" t="s">
        <v>151</v>
      </c>
      <c r="E23" s="23" t="s">
        <v>152</v>
      </c>
    </row>
    <row r="24" spans="2:7" ht="36.75" customHeight="1">
      <c r="B24" s="22" t="s">
        <v>126</v>
      </c>
      <c r="C24" s="22" t="s">
        <v>148</v>
      </c>
      <c r="D24" s="22" t="s">
        <v>153</v>
      </c>
      <c r="E24" s="23" t="s">
        <v>154</v>
      </c>
    </row>
    <row r="25" spans="2:7" ht="50.25" customHeight="1">
      <c r="B25" s="22" t="s">
        <v>126</v>
      </c>
      <c r="C25" s="22" t="s">
        <v>148</v>
      </c>
      <c r="D25" s="22" t="s">
        <v>155</v>
      </c>
      <c r="E25" s="23" t="s">
        <v>156</v>
      </c>
    </row>
    <row r="26" spans="2:7" ht="57.75" customHeight="1">
      <c r="B26" s="22" t="s">
        <v>126</v>
      </c>
      <c r="C26" s="22" t="s">
        <v>148</v>
      </c>
      <c r="D26" s="22" t="s">
        <v>157</v>
      </c>
      <c r="E26" s="23" t="s">
        <v>158</v>
      </c>
    </row>
    <row r="27" spans="2:7" ht="35.25" customHeight="1">
      <c r="B27" s="22" t="s">
        <v>126</v>
      </c>
      <c r="C27" s="22" t="s">
        <v>148</v>
      </c>
      <c r="D27" s="22" t="s">
        <v>159</v>
      </c>
      <c r="E27" s="23" t="s">
        <v>160</v>
      </c>
    </row>
    <row r="28" spans="2:7" ht="57.75" customHeight="1">
      <c r="B28" s="22" t="s">
        <v>126</v>
      </c>
      <c r="C28" s="22" t="s">
        <v>148</v>
      </c>
      <c r="D28" s="22" t="s">
        <v>161</v>
      </c>
      <c r="E28" s="23" t="s">
        <v>162</v>
      </c>
      <c r="G28" s="22" t="s">
        <v>163</v>
      </c>
    </row>
    <row r="29" spans="2:7" ht="75.75">
      <c r="B29" s="22" t="s">
        <v>126</v>
      </c>
      <c r="C29" s="22" t="s">
        <v>148</v>
      </c>
      <c r="D29" s="22" t="s">
        <v>164</v>
      </c>
      <c r="E29" s="23" t="s">
        <v>165</v>
      </c>
    </row>
    <row r="30" spans="2:7" ht="57.75" customHeight="1">
      <c r="B30" s="22" t="s">
        <v>126</v>
      </c>
      <c r="C30" s="22" t="s">
        <v>148</v>
      </c>
      <c r="D30" s="22" t="s">
        <v>166</v>
      </c>
      <c r="E30" s="23" t="s">
        <v>167</v>
      </c>
    </row>
    <row r="31" spans="2:7" ht="57.75" customHeight="1">
      <c r="B31" s="22" t="s">
        <v>126</v>
      </c>
      <c r="C31" s="22" t="s">
        <v>148</v>
      </c>
      <c r="D31" s="22" t="s">
        <v>168</v>
      </c>
      <c r="E31" s="23" t="s">
        <v>169</v>
      </c>
    </row>
    <row r="32" spans="2:7" ht="57.75" customHeight="1">
      <c r="B32" s="22" t="s">
        <v>126</v>
      </c>
      <c r="C32" s="22" t="s">
        <v>148</v>
      </c>
      <c r="D32" s="22" t="s">
        <v>170</v>
      </c>
      <c r="E32" s="23" t="s">
        <v>171</v>
      </c>
    </row>
    <row r="33" spans="2:7" ht="57.75" customHeight="1">
      <c r="B33" s="22" t="s">
        <v>126</v>
      </c>
      <c r="C33" s="22" t="s">
        <v>148</v>
      </c>
      <c r="D33" s="22" t="s">
        <v>172</v>
      </c>
      <c r="E33" s="23" t="s">
        <v>173</v>
      </c>
    </row>
    <row r="34" spans="2:7" ht="57.75" customHeight="1">
      <c r="B34" s="22" t="s">
        <v>126</v>
      </c>
      <c r="C34" s="22" t="s">
        <v>148</v>
      </c>
      <c r="D34" s="22" t="s">
        <v>174</v>
      </c>
      <c r="E34" s="23" t="s">
        <v>175</v>
      </c>
    </row>
    <row r="35" spans="2:7" ht="57.75" customHeight="1">
      <c r="B35" s="22" t="s">
        <v>126</v>
      </c>
      <c r="C35" s="22" t="s">
        <v>148</v>
      </c>
      <c r="D35" s="22" t="s">
        <v>176</v>
      </c>
      <c r="E35" s="23" t="s">
        <v>177</v>
      </c>
    </row>
    <row r="36" spans="2:7" ht="30" hidden="1">
      <c r="B36" s="22" t="s">
        <v>126</v>
      </c>
      <c r="C36" s="22" t="s">
        <v>178</v>
      </c>
      <c r="D36" s="22" t="s">
        <v>179</v>
      </c>
      <c r="E36" s="23" t="s">
        <v>180</v>
      </c>
    </row>
    <row r="37" spans="2:7" hidden="1">
      <c r="B37" s="22" t="s">
        <v>126</v>
      </c>
      <c r="C37" s="22" t="s">
        <v>178</v>
      </c>
      <c r="D37" s="22" t="s">
        <v>179</v>
      </c>
      <c r="E37" s="22" t="s">
        <v>181</v>
      </c>
    </row>
    <row r="38" spans="2:7" ht="36.75" hidden="1" customHeight="1">
      <c r="B38" s="22" t="s">
        <v>126</v>
      </c>
      <c r="C38" s="22" t="s">
        <v>178</v>
      </c>
      <c r="D38" s="22" t="s">
        <v>182</v>
      </c>
      <c r="E38" s="23" t="s">
        <v>183</v>
      </c>
    </row>
    <row r="39" spans="2:7" ht="36.75" hidden="1" customHeight="1">
      <c r="B39" s="22" t="s">
        <v>126</v>
      </c>
      <c r="C39" s="22" t="s">
        <v>178</v>
      </c>
      <c r="D39" s="22" t="s">
        <v>184</v>
      </c>
      <c r="E39" s="23" t="s">
        <v>185</v>
      </c>
    </row>
    <row r="40" spans="2:7" ht="36.75" hidden="1" customHeight="1">
      <c r="B40" s="22" t="s">
        <v>126</v>
      </c>
      <c r="C40" s="22" t="s">
        <v>178</v>
      </c>
      <c r="D40" s="22" t="s">
        <v>186</v>
      </c>
      <c r="E40" s="23" t="s">
        <v>187</v>
      </c>
    </row>
    <row r="41" spans="2:7" ht="36.75" hidden="1" customHeight="1">
      <c r="B41" s="22" t="s">
        <v>126</v>
      </c>
      <c r="C41" s="22" t="s">
        <v>178</v>
      </c>
      <c r="D41" s="22" t="s">
        <v>188</v>
      </c>
      <c r="E41" s="23" t="s">
        <v>189</v>
      </c>
    </row>
    <row r="42" spans="2:7" ht="36.75" hidden="1" customHeight="1">
      <c r="B42" s="22" t="s">
        <v>126</v>
      </c>
      <c r="C42" s="22" t="s">
        <v>178</v>
      </c>
      <c r="D42" s="22" t="s">
        <v>190</v>
      </c>
      <c r="E42" s="23" t="s">
        <v>191</v>
      </c>
    </row>
    <row r="43" spans="2:7" ht="60" hidden="1" customHeight="1">
      <c r="B43" s="22" t="s">
        <v>126</v>
      </c>
      <c r="C43" s="22" t="s">
        <v>192</v>
      </c>
      <c r="D43" s="26" t="s">
        <v>193</v>
      </c>
      <c r="E43" s="23" t="s">
        <v>194</v>
      </c>
      <c r="G43" s="22" t="s">
        <v>195</v>
      </c>
    </row>
    <row r="44" spans="2:7" ht="60" hidden="1" customHeight="1">
      <c r="B44" s="22" t="s">
        <v>126</v>
      </c>
      <c r="C44" s="22" t="s">
        <v>192</v>
      </c>
      <c r="D44" s="26" t="s">
        <v>196</v>
      </c>
      <c r="E44" s="23" t="s">
        <v>197</v>
      </c>
      <c r="G44" s="22" t="s">
        <v>198</v>
      </c>
    </row>
    <row r="45" spans="2:7" ht="60" hidden="1" customHeight="1">
      <c r="B45" s="22" t="s">
        <v>126</v>
      </c>
      <c r="C45" s="22" t="s">
        <v>192</v>
      </c>
      <c r="D45" s="26" t="s">
        <v>199</v>
      </c>
      <c r="E45" s="23" t="s">
        <v>200</v>
      </c>
    </row>
    <row r="46" spans="2:7" ht="60" hidden="1" customHeight="1">
      <c r="B46" s="22" t="s">
        <v>126</v>
      </c>
      <c r="C46" s="22" t="s">
        <v>192</v>
      </c>
      <c r="D46" s="26" t="s">
        <v>199</v>
      </c>
      <c r="E46" s="23" t="s">
        <v>201</v>
      </c>
    </row>
    <row r="47" spans="2:7" ht="60" hidden="1" customHeight="1">
      <c r="B47" s="22" t="s">
        <v>126</v>
      </c>
      <c r="C47" s="22" t="s">
        <v>192</v>
      </c>
      <c r="D47" s="22" t="s">
        <v>202</v>
      </c>
      <c r="E47" s="23" t="s">
        <v>203</v>
      </c>
    </row>
    <row r="48" spans="2:7" ht="60" hidden="1" customHeight="1">
      <c r="B48" s="22" t="s">
        <v>126</v>
      </c>
      <c r="C48" s="22" t="s">
        <v>192</v>
      </c>
      <c r="D48" s="22" t="s">
        <v>204</v>
      </c>
      <c r="E48" s="26" t="s">
        <v>205</v>
      </c>
    </row>
    <row r="49" spans="2:7" ht="60" hidden="1" customHeight="1">
      <c r="B49" s="22" t="s">
        <v>126</v>
      </c>
      <c r="C49" s="22" t="s">
        <v>192</v>
      </c>
      <c r="D49" s="22" t="s">
        <v>206</v>
      </c>
      <c r="E49" s="26" t="s">
        <v>207</v>
      </c>
      <c r="G49" s="22" t="s">
        <v>208</v>
      </c>
    </row>
    <row r="50" spans="2:7" ht="60" hidden="1" customHeight="1">
      <c r="B50" s="22" t="s">
        <v>126</v>
      </c>
      <c r="C50" s="22" t="s">
        <v>192</v>
      </c>
      <c r="D50" s="22" t="s">
        <v>209</v>
      </c>
      <c r="E50" s="23" t="s">
        <v>210</v>
      </c>
      <c r="G50" s="22" t="s">
        <v>211</v>
      </c>
    </row>
    <row r="51" spans="2:7" ht="36.75" hidden="1" customHeight="1">
      <c r="B51" s="22" t="s">
        <v>126</v>
      </c>
      <c r="C51" s="22" t="s">
        <v>192</v>
      </c>
      <c r="D51" s="22" t="s">
        <v>212</v>
      </c>
      <c r="E51" s="23" t="s">
        <v>213</v>
      </c>
    </row>
    <row r="52" spans="2:7" ht="60" hidden="1" customHeight="1">
      <c r="B52" s="22" t="s">
        <v>126</v>
      </c>
      <c r="C52" s="22" t="s">
        <v>192</v>
      </c>
      <c r="D52" s="22" t="s">
        <v>214</v>
      </c>
      <c r="E52" s="23" t="s">
        <v>215</v>
      </c>
    </row>
    <row r="53" spans="2:7" ht="58.5" hidden="1" customHeight="1">
      <c r="B53" s="22" t="s">
        <v>126</v>
      </c>
      <c r="C53" s="22" t="s">
        <v>192</v>
      </c>
      <c r="D53" s="22" t="s">
        <v>216</v>
      </c>
      <c r="E53" s="23" t="s">
        <v>217</v>
      </c>
    </row>
    <row r="54" spans="2:7" ht="58.5" hidden="1" customHeight="1">
      <c r="B54" s="22" t="s">
        <v>126</v>
      </c>
      <c r="C54" s="22" t="s">
        <v>192</v>
      </c>
      <c r="D54" s="22" t="s">
        <v>218</v>
      </c>
      <c r="E54" s="23" t="s">
        <v>219</v>
      </c>
    </row>
    <row r="55" spans="2:7" ht="36.75" hidden="1" customHeight="1">
      <c r="B55" s="22" t="s">
        <v>126</v>
      </c>
      <c r="C55" s="22" t="s">
        <v>220</v>
      </c>
    </row>
    <row r="56" spans="2:7" ht="36.75" hidden="1" customHeight="1">
      <c r="B56" s="22" t="s">
        <v>126</v>
      </c>
      <c r="C56" s="22" t="s">
        <v>221</v>
      </c>
      <c r="D56" s="27"/>
    </row>
    <row r="57" spans="2:7" ht="36.75" hidden="1" customHeight="1">
      <c r="B57" s="22" t="s">
        <v>222</v>
      </c>
      <c r="C57" s="22" t="s">
        <v>223</v>
      </c>
      <c r="D57" s="27"/>
    </row>
    <row r="58" spans="2:7" ht="36.75" hidden="1" customHeight="1">
      <c r="B58" s="22" t="s">
        <v>222</v>
      </c>
      <c r="C58" s="22" t="s">
        <v>224</v>
      </c>
      <c r="D58" s="27"/>
    </row>
    <row r="59" spans="2:7" ht="36.75" hidden="1" customHeight="1">
      <c r="B59" s="22" t="s">
        <v>222</v>
      </c>
      <c r="C59" s="22" t="s">
        <v>225</v>
      </c>
      <c r="D59" s="27"/>
    </row>
    <row r="60" spans="2:7" ht="36.75" hidden="1" customHeight="1">
      <c r="B60" s="22" t="s">
        <v>222</v>
      </c>
      <c r="C60" s="22" t="s">
        <v>226</v>
      </c>
      <c r="D60" s="22" t="s">
        <v>227</v>
      </c>
      <c r="E60" s="23" t="s">
        <v>228</v>
      </c>
    </row>
    <row r="61" spans="2:7" ht="36.75" hidden="1" customHeight="1">
      <c r="B61" s="22" t="s">
        <v>222</v>
      </c>
      <c r="C61" s="22" t="s">
        <v>226</v>
      </c>
      <c r="D61" s="22" t="s">
        <v>229</v>
      </c>
      <c r="E61" s="23" t="s">
        <v>230</v>
      </c>
    </row>
    <row r="62" spans="2:7" ht="36.75" hidden="1" customHeight="1">
      <c r="B62" s="22" t="s">
        <v>222</v>
      </c>
      <c r="C62" s="22" t="s">
        <v>226</v>
      </c>
      <c r="D62" s="22" t="s">
        <v>231</v>
      </c>
      <c r="E62" s="23" t="s">
        <v>232</v>
      </c>
    </row>
    <row r="63" spans="2:7" ht="36.75" hidden="1" customHeight="1">
      <c r="B63" s="22" t="s">
        <v>222</v>
      </c>
      <c r="C63" s="22" t="s">
        <v>226</v>
      </c>
      <c r="D63" s="22" t="s">
        <v>233</v>
      </c>
      <c r="E63" s="23" t="s">
        <v>234</v>
      </c>
    </row>
    <row r="64" spans="2:7" ht="36.75" hidden="1" customHeight="1">
      <c r="B64" s="22" t="s">
        <v>222</v>
      </c>
      <c r="C64" s="22" t="s">
        <v>226</v>
      </c>
      <c r="D64" s="22" t="s">
        <v>235</v>
      </c>
      <c r="E64" s="23" t="s">
        <v>236</v>
      </c>
    </row>
    <row r="65" spans="2:4" ht="36.75" hidden="1" customHeight="1">
      <c r="B65" s="22" t="s">
        <v>237</v>
      </c>
      <c r="C65" s="22" t="s">
        <v>238</v>
      </c>
      <c r="D65" s="27"/>
    </row>
    <row r="66" spans="2:4" ht="36.75" hidden="1" customHeight="1">
      <c r="B66" s="22" t="s">
        <v>237</v>
      </c>
      <c r="C66" s="22" t="s">
        <v>239</v>
      </c>
      <c r="D66" s="27"/>
    </row>
    <row r="67" spans="2:4" ht="36.75" hidden="1" customHeight="1">
      <c r="B67" s="22" t="s">
        <v>237</v>
      </c>
      <c r="C67" s="22" t="s">
        <v>240</v>
      </c>
      <c r="D67" s="27"/>
    </row>
    <row r="68" spans="2:4" ht="36.75" hidden="1" customHeight="1">
      <c r="B68" s="22" t="s">
        <v>237</v>
      </c>
      <c r="C68" s="22" t="s">
        <v>241</v>
      </c>
      <c r="D68" s="27"/>
    </row>
    <row r="69" spans="2:4" ht="36.75" hidden="1" customHeight="1">
      <c r="D69" s="27"/>
    </row>
  </sheetData>
  <autoFilter ref="B3:E69" xr:uid="{913ADA01-2A5C-4AD7-9B74-A825D20E4BA2}">
    <filterColumn colId="1">
      <filters>
        <filter val="Capabilities"/>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606CA-3D39-47E7-BD31-396790A3C725}">
  <dimension ref="B2:D5"/>
  <sheetViews>
    <sheetView workbookViewId="0">
      <selection activeCell="B7" sqref="B7"/>
    </sheetView>
  </sheetViews>
  <sheetFormatPr defaultRowHeight="15"/>
  <cols>
    <col min="2" max="2" width="21" bestFit="1" customWidth="1"/>
  </cols>
  <sheetData>
    <row r="2" spans="2:4">
      <c r="B2" s="1" t="s">
        <v>242</v>
      </c>
      <c r="C2" s="1" t="s">
        <v>243</v>
      </c>
      <c r="D2" s="1" t="s">
        <v>244</v>
      </c>
    </row>
    <row r="3" spans="2:4">
      <c r="B3" t="s">
        <v>245</v>
      </c>
      <c r="C3" t="s">
        <v>246</v>
      </c>
      <c r="D3" t="s">
        <v>247</v>
      </c>
    </row>
    <row r="4" spans="2:4">
      <c r="B4" t="s">
        <v>168</v>
      </c>
      <c r="C4" t="s">
        <v>248</v>
      </c>
      <c r="D4" t="s">
        <v>247</v>
      </c>
    </row>
    <row r="5" spans="2:4">
      <c r="B5" t="s">
        <v>166</v>
      </c>
      <c r="C5" t="s">
        <v>248</v>
      </c>
      <c r="D5"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4AF82-F7E7-43A0-B889-222A39AE91E5}">
  <dimension ref="B1:H39"/>
  <sheetViews>
    <sheetView topLeftCell="A10" workbookViewId="0">
      <selection activeCell="D27" sqref="D27"/>
    </sheetView>
  </sheetViews>
  <sheetFormatPr defaultRowHeight="15"/>
  <cols>
    <col min="2" max="2" width="34" bestFit="1" customWidth="1"/>
    <col min="3" max="3" width="15.5703125" hidden="1" customWidth="1"/>
    <col min="4" max="4" width="7.7109375" customWidth="1"/>
    <col min="5" max="5" width="14" bestFit="1" customWidth="1"/>
    <col min="6" max="6" width="14.85546875" hidden="1" customWidth="1"/>
    <col min="8" max="8" width="12.5703125" bestFit="1" customWidth="1"/>
    <col min="9" max="9" width="20.85546875" bestFit="1" customWidth="1"/>
  </cols>
  <sheetData>
    <row r="1" spans="2:8">
      <c r="B1" s="12" t="s">
        <v>249</v>
      </c>
    </row>
    <row r="3" spans="2:8">
      <c r="B3" s="1" t="s">
        <v>250</v>
      </c>
      <c r="C3" s="1" t="s">
        <v>251</v>
      </c>
      <c r="D3" s="1" t="s">
        <v>252</v>
      </c>
      <c r="E3" s="1" t="s">
        <v>253</v>
      </c>
      <c r="F3" s="1" t="s">
        <v>254</v>
      </c>
      <c r="G3" t="s">
        <v>255</v>
      </c>
      <c r="H3" t="s">
        <v>256</v>
      </c>
    </row>
    <row r="4" spans="2:8">
      <c r="B4" s="12" t="s">
        <v>257</v>
      </c>
      <c r="C4" s="12" t="str">
        <f t="shared" ref="C4:C38" si="0">D4&amp;" "&amp;E4</f>
        <v>1 m/s</v>
      </c>
      <c r="D4" s="12">
        <f>ConOps!C10</f>
        <v>1</v>
      </c>
      <c r="E4" s="12" t="s">
        <v>258</v>
      </c>
      <c r="F4" s="12">
        <v>0</v>
      </c>
      <c r="G4">
        <v>0</v>
      </c>
      <c r="H4">
        <f>F4*G4*D4</f>
        <v>0</v>
      </c>
    </row>
    <row r="5" spans="2:8">
      <c r="B5" s="12" t="s">
        <v>259</v>
      </c>
      <c r="C5" s="12" t="str">
        <f t="shared" si="0"/>
        <v>1 m/s</v>
      </c>
      <c r="D5" s="12">
        <f>ConOps!C9</f>
        <v>1</v>
      </c>
      <c r="E5" s="12" t="s">
        <v>258</v>
      </c>
      <c r="F5" s="12">
        <v>0</v>
      </c>
      <c r="G5">
        <v>0</v>
      </c>
      <c r="H5">
        <f t="shared" ref="H5:H38" si="1">F5*G5*D5</f>
        <v>0</v>
      </c>
    </row>
    <row r="6" spans="2:8">
      <c r="B6" t="s">
        <v>260</v>
      </c>
      <c r="C6" t="str">
        <f t="shared" si="0"/>
        <v>70 kg</v>
      </c>
      <c r="D6">
        <f>ROUND((D8+D13+D14),1)</f>
        <v>70</v>
      </c>
      <c r="E6" t="s">
        <v>261</v>
      </c>
      <c r="F6">
        <v>0</v>
      </c>
      <c r="G6">
        <v>0</v>
      </c>
      <c r="H6">
        <f t="shared" si="1"/>
        <v>0</v>
      </c>
    </row>
    <row r="7" spans="2:8">
      <c r="B7" t="s">
        <v>262</v>
      </c>
      <c r="C7" t="str">
        <f t="shared" si="0"/>
        <v>42 kg</v>
      </c>
      <c r="D7">
        <f>D6-SUM(D12,D13,D14)</f>
        <v>42</v>
      </c>
      <c r="E7" t="s">
        <v>261</v>
      </c>
      <c r="F7">
        <v>0</v>
      </c>
      <c r="G7">
        <v>0</v>
      </c>
      <c r="H7">
        <f t="shared" si="1"/>
        <v>0</v>
      </c>
    </row>
    <row r="8" spans="2:8">
      <c r="B8" s="12" t="s">
        <v>263</v>
      </c>
      <c r="C8" s="12" t="str">
        <f t="shared" si="0"/>
        <v>45 kg</v>
      </c>
      <c r="D8" s="12">
        <f>ConOps!C8</f>
        <v>45</v>
      </c>
      <c r="E8" s="12" t="s">
        <v>261</v>
      </c>
      <c r="F8" s="12">
        <v>0</v>
      </c>
      <c r="G8">
        <v>0</v>
      </c>
      <c r="H8">
        <f t="shared" si="1"/>
        <v>0</v>
      </c>
    </row>
    <row r="9" spans="2:8">
      <c r="B9" s="12" t="s">
        <v>264</v>
      </c>
      <c r="C9" s="12" t="str">
        <f t="shared" si="0"/>
        <v>8 hr</v>
      </c>
      <c r="D9" s="12">
        <f>ConOps!C25</f>
        <v>8</v>
      </c>
      <c r="E9" s="12" t="s">
        <v>265</v>
      </c>
      <c r="F9" s="12">
        <v>0</v>
      </c>
      <c r="G9">
        <v>0</v>
      </c>
      <c r="H9">
        <f t="shared" si="1"/>
        <v>0</v>
      </c>
    </row>
    <row r="10" spans="2:8">
      <c r="B10" t="s">
        <v>266</v>
      </c>
      <c r="C10" t="str">
        <f t="shared" si="0"/>
        <v>20 kg</v>
      </c>
      <c r="D10">
        <v>20</v>
      </c>
      <c r="E10" t="s">
        <v>261</v>
      </c>
      <c r="F10">
        <v>1</v>
      </c>
      <c r="G10">
        <v>1</v>
      </c>
      <c r="H10">
        <f t="shared" si="1"/>
        <v>20</v>
      </c>
    </row>
    <row r="11" spans="2:8">
      <c r="B11" s="12" t="s">
        <v>267</v>
      </c>
      <c r="C11" s="12" t="str">
        <f t="shared" si="0"/>
        <v>80 kg</v>
      </c>
      <c r="D11" s="12">
        <f>ConOps!C5</f>
        <v>80</v>
      </c>
      <c r="E11" s="12" t="s">
        <v>261</v>
      </c>
      <c r="F11" s="12">
        <v>1</v>
      </c>
      <c r="G11">
        <v>2</v>
      </c>
      <c r="H11">
        <f t="shared" si="1"/>
        <v>160</v>
      </c>
    </row>
    <row r="12" spans="2:8">
      <c r="B12" t="s">
        <v>268</v>
      </c>
      <c r="C12" t="str">
        <f t="shared" si="0"/>
        <v>3 kg</v>
      </c>
      <c r="D12">
        <v>3</v>
      </c>
      <c r="E12" t="s">
        <v>261</v>
      </c>
      <c r="F12">
        <v>1</v>
      </c>
      <c r="G12">
        <v>2</v>
      </c>
      <c r="H12">
        <f t="shared" si="1"/>
        <v>6</v>
      </c>
    </row>
    <row r="13" spans="2:8">
      <c r="B13" t="s">
        <v>269</v>
      </c>
      <c r="C13" t="str">
        <f t="shared" si="0"/>
        <v>15 kg</v>
      </c>
      <c r="D13">
        <v>15</v>
      </c>
      <c r="E13" t="s">
        <v>261</v>
      </c>
      <c r="F13">
        <v>1</v>
      </c>
      <c r="G13">
        <v>2</v>
      </c>
      <c r="H13">
        <f t="shared" si="1"/>
        <v>30</v>
      </c>
    </row>
    <row r="14" spans="2:8">
      <c r="B14" t="s">
        <v>270</v>
      </c>
      <c r="C14" t="str">
        <f t="shared" si="0"/>
        <v>10 kg</v>
      </c>
      <c r="D14">
        <v>10</v>
      </c>
      <c r="E14" t="s">
        <v>261</v>
      </c>
      <c r="F14">
        <v>1</v>
      </c>
      <c r="G14">
        <v>2</v>
      </c>
      <c r="H14">
        <f t="shared" si="1"/>
        <v>20</v>
      </c>
    </row>
    <row r="15" spans="2:8">
      <c r="B15" t="s">
        <v>271</v>
      </c>
      <c r="C15" t="str">
        <f t="shared" si="0"/>
        <v>800 kg/day</v>
      </c>
      <c r="D15">
        <v>800</v>
      </c>
      <c r="E15" t="s">
        <v>272</v>
      </c>
      <c r="F15">
        <v>0</v>
      </c>
      <c r="G15">
        <v>0</v>
      </c>
      <c r="H15">
        <f t="shared" si="1"/>
        <v>0</v>
      </c>
    </row>
    <row r="16" spans="2:8">
      <c r="B16" t="s">
        <v>273</v>
      </c>
      <c r="C16" t="str">
        <f t="shared" si="0"/>
        <v>15 days</v>
      </c>
      <c r="D16">
        <v>15</v>
      </c>
      <c r="E16" t="s">
        <v>274</v>
      </c>
      <c r="F16">
        <v>0</v>
      </c>
      <c r="G16">
        <v>0</v>
      </c>
      <c r="H16">
        <f t="shared" si="1"/>
        <v>0</v>
      </c>
    </row>
    <row r="17" spans="2:8">
      <c r="B17" t="s">
        <v>275</v>
      </c>
      <c r="C17" t="str">
        <f t="shared" si="0"/>
        <v>2 MPa</v>
      </c>
      <c r="D17">
        <v>2</v>
      </c>
      <c r="E17" t="s">
        <v>276</v>
      </c>
      <c r="F17">
        <v>0</v>
      </c>
      <c r="G17">
        <v>0</v>
      </c>
      <c r="H17">
        <f t="shared" si="1"/>
        <v>0</v>
      </c>
    </row>
    <row r="18" spans="2:8">
      <c r="B18" t="s">
        <v>277</v>
      </c>
      <c r="C18" t="str">
        <f t="shared" si="0"/>
        <v>1.5 MPa</v>
      </c>
      <c r="D18">
        <v>1.5</v>
      </c>
      <c r="E18" t="s">
        <v>276</v>
      </c>
      <c r="F18">
        <v>0</v>
      </c>
      <c r="G18">
        <v>0</v>
      </c>
      <c r="H18">
        <f t="shared" si="1"/>
        <v>0</v>
      </c>
    </row>
    <row r="19" spans="2:8">
      <c r="B19" t="s">
        <v>278</v>
      </c>
      <c r="C19" t="str">
        <f t="shared" si="0"/>
        <v>1000 kg/m3</v>
      </c>
      <c r="D19">
        <v>1000</v>
      </c>
      <c r="E19" t="s">
        <v>279</v>
      </c>
      <c r="F19">
        <v>0</v>
      </c>
      <c r="G19">
        <v>0</v>
      </c>
      <c r="H19">
        <f t="shared" si="1"/>
        <v>0</v>
      </c>
    </row>
    <row r="20" spans="2:8">
      <c r="B20" t="s">
        <v>280</v>
      </c>
      <c r="C20" t="str">
        <f t="shared" si="0"/>
        <v>2000 kg/m3</v>
      </c>
      <c r="D20">
        <v>2000</v>
      </c>
      <c r="E20" t="s">
        <v>279</v>
      </c>
      <c r="F20">
        <v>0</v>
      </c>
      <c r="G20">
        <v>0</v>
      </c>
      <c r="H20">
        <f t="shared" si="1"/>
        <v>0</v>
      </c>
    </row>
    <row r="21" spans="2:8">
      <c r="B21" t="s">
        <v>281</v>
      </c>
      <c r="C21" t="str">
        <f t="shared" si="0"/>
        <v>200 N</v>
      </c>
      <c r="D21">
        <v>200</v>
      </c>
      <c r="E21" t="s">
        <v>282</v>
      </c>
      <c r="F21">
        <v>0</v>
      </c>
      <c r="G21">
        <v>0</v>
      </c>
      <c r="H21">
        <f t="shared" si="1"/>
        <v>0</v>
      </c>
    </row>
    <row r="22" spans="2:8">
      <c r="B22" s="12" t="s">
        <v>283</v>
      </c>
      <c r="C22" s="12" t="str">
        <f t="shared" si="0"/>
        <v>70 kg/hr</v>
      </c>
      <c r="D22" s="12">
        <f>ConOps!C11</f>
        <v>70</v>
      </c>
      <c r="E22" s="12" t="s">
        <v>284</v>
      </c>
      <c r="F22" s="12">
        <v>0</v>
      </c>
      <c r="G22">
        <v>0</v>
      </c>
      <c r="H22">
        <f t="shared" si="1"/>
        <v>0</v>
      </c>
    </row>
    <row r="23" spans="2:8">
      <c r="B23" s="12" t="s">
        <v>155</v>
      </c>
      <c r="C23" s="12" t="str">
        <f t="shared" si="0"/>
        <v>100 kg/hr</v>
      </c>
      <c r="D23" s="12">
        <f>ConOps!C12</f>
        <v>100</v>
      </c>
      <c r="E23" s="12" t="s">
        <v>284</v>
      </c>
      <c r="F23" s="12">
        <v>0</v>
      </c>
      <c r="G23">
        <v>0</v>
      </c>
      <c r="H23">
        <f t="shared" si="1"/>
        <v>0</v>
      </c>
    </row>
    <row r="24" spans="2:8">
      <c r="B24" s="12" t="s">
        <v>157</v>
      </c>
      <c r="C24" s="12" t="str">
        <f t="shared" si="0"/>
        <v>600 kg/hr</v>
      </c>
      <c r="D24" s="12">
        <f>ConOps!C13</f>
        <v>600</v>
      </c>
      <c r="E24" s="12" t="s">
        <v>284</v>
      </c>
      <c r="F24" s="12">
        <v>0</v>
      </c>
      <c r="G24">
        <v>0</v>
      </c>
      <c r="H24">
        <f t="shared" si="1"/>
        <v>0</v>
      </c>
    </row>
    <row r="25" spans="2:8">
      <c r="B25" t="s">
        <v>285</v>
      </c>
      <c r="C25" t="str">
        <f t="shared" si="0"/>
        <v>0.2 m/s</v>
      </c>
      <c r="D25">
        <v>0.2</v>
      </c>
      <c r="E25" t="s">
        <v>258</v>
      </c>
      <c r="F25">
        <v>0</v>
      </c>
      <c r="G25">
        <v>0</v>
      </c>
      <c r="H25">
        <f t="shared" si="1"/>
        <v>0</v>
      </c>
    </row>
    <row r="26" spans="2:8">
      <c r="B26" t="s">
        <v>286</v>
      </c>
      <c r="C26" t="str">
        <f t="shared" si="0"/>
        <v>1030.05 N</v>
      </c>
      <c r="D26">
        <f>SUM(D11,D13,D14)*9.81</f>
        <v>1030.05</v>
      </c>
      <c r="E26" t="s">
        <v>282</v>
      </c>
      <c r="F26">
        <v>0</v>
      </c>
      <c r="G26">
        <v>0</v>
      </c>
      <c r="H26">
        <f t="shared" si="1"/>
        <v>0</v>
      </c>
    </row>
    <row r="27" spans="2:8">
      <c r="B27" t="s">
        <v>287</v>
      </c>
      <c r="C27" t="str">
        <f t="shared" si="0"/>
        <v>500 W</v>
      </c>
      <c r="D27">
        <v>500</v>
      </c>
      <c r="E27" t="s">
        <v>288</v>
      </c>
      <c r="F27">
        <v>0</v>
      </c>
      <c r="G27">
        <v>0</v>
      </c>
      <c r="H27">
        <f t="shared" si="1"/>
        <v>0</v>
      </c>
    </row>
    <row r="28" spans="2:8">
      <c r="B28" t="s">
        <v>289</v>
      </c>
      <c r="C28" t="str">
        <f t="shared" si="0"/>
        <v>4000 Whr</v>
      </c>
      <c r="D28">
        <f>D27*D9</f>
        <v>4000</v>
      </c>
      <c r="E28" t="s">
        <v>290</v>
      </c>
      <c r="F28">
        <v>0</v>
      </c>
      <c r="G28">
        <v>0</v>
      </c>
      <c r="H28">
        <f t="shared" si="1"/>
        <v>0</v>
      </c>
    </row>
    <row r="29" spans="2:8">
      <c r="B29" t="s">
        <v>291</v>
      </c>
      <c r="C29" t="str">
        <f t="shared" si="0"/>
        <v>2 Charging Ports</v>
      </c>
      <c r="D29">
        <v>2</v>
      </c>
      <c r="E29" t="s">
        <v>291</v>
      </c>
      <c r="F29">
        <v>0</v>
      </c>
      <c r="G29">
        <v>0</v>
      </c>
      <c r="H29">
        <f t="shared" si="1"/>
        <v>0</v>
      </c>
    </row>
    <row r="30" spans="2:8">
      <c r="B30" t="s">
        <v>292</v>
      </c>
      <c r="C30" t="str">
        <f t="shared" si="0"/>
        <v>320 kg</v>
      </c>
      <c r="D30">
        <f>SUM(D14,D13,D11,D10,D12)*1.25*2</f>
        <v>320</v>
      </c>
      <c r="E30" t="s">
        <v>261</v>
      </c>
      <c r="F30">
        <v>0</v>
      </c>
      <c r="G30">
        <v>0</v>
      </c>
      <c r="H30">
        <f t="shared" si="1"/>
        <v>0</v>
      </c>
    </row>
    <row r="31" spans="2:8">
      <c r="B31" t="s">
        <v>293</v>
      </c>
      <c r="C31" t="str">
        <f t="shared" si="0"/>
        <v>15 cm</v>
      </c>
      <c r="D31">
        <v>15</v>
      </c>
      <c r="E31" t="s">
        <v>294</v>
      </c>
      <c r="F31">
        <v>0</v>
      </c>
      <c r="G31">
        <v>0</v>
      </c>
      <c r="H31">
        <f t="shared" si="1"/>
        <v>0</v>
      </c>
    </row>
    <row r="32" spans="2:8">
      <c r="B32" t="s">
        <v>295</v>
      </c>
      <c r="C32" t="str">
        <f t="shared" si="0"/>
        <v xml:space="preserve">2 </v>
      </c>
      <c r="D32">
        <v>2</v>
      </c>
      <c r="F32">
        <v>0</v>
      </c>
      <c r="G32">
        <v>0</v>
      </c>
      <c r="H32">
        <f t="shared" si="1"/>
        <v>0</v>
      </c>
    </row>
    <row r="33" spans="2:8">
      <c r="B33" t="s">
        <v>296</v>
      </c>
      <c r="C33" t="str">
        <f t="shared" si="0"/>
        <v>150 km</v>
      </c>
      <c r="D33">
        <v>150</v>
      </c>
      <c r="E33" t="s">
        <v>297</v>
      </c>
      <c r="F33">
        <v>0</v>
      </c>
      <c r="G33">
        <v>0</v>
      </c>
      <c r="H33">
        <f t="shared" si="1"/>
        <v>0</v>
      </c>
    </row>
    <row r="34" spans="2:8">
      <c r="B34" t="s">
        <v>298</v>
      </c>
      <c r="C34" t="str">
        <f t="shared" si="0"/>
        <v>20 deg</v>
      </c>
      <c r="D34">
        <v>20</v>
      </c>
      <c r="E34" t="s">
        <v>299</v>
      </c>
      <c r="F34">
        <v>0</v>
      </c>
      <c r="G34">
        <v>0</v>
      </c>
      <c r="H34">
        <f t="shared" si="1"/>
        <v>0</v>
      </c>
    </row>
    <row r="35" spans="2:8">
      <c r="B35" t="s">
        <v>300</v>
      </c>
      <c r="C35" t="str">
        <f t="shared" si="0"/>
        <v xml:space="preserve">1.5m (H) x 1.5m (W) x 2.5m (L) </v>
      </c>
      <c r="D35" s="17" t="s">
        <v>301</v>
      </c>
      <c r="F35">
        <v>0</v>
      </c>
      <c r="G35">
        <v>0</v>
      </c>
      <c r="H35">
        <v>0</v>
      </c>
    </row>
    <row r="36" spans="2:8">
      <c r="B36" t="s">
        <v>302</v>
      </c>
      <c r="C36" t="str">
        <f t="shared" si="0"/>
        <v>50 cm/km</v>
      </c>
      <c r="D36">
        <v>50</v>
      </c>
      <c r="E36" t="s">
        <v>303</v>
      </c>
      <c r="F36">
        <v>0</v>
      </c>
      <c r="G36">
        <v>0</v>
      </c>
      <c r="H36">
        <f t="shared" si="1"/>
        <v>0</v>
      </c>
    </row>
    <row r="37" spans="2:8">
      <c r="B37" t="s">
        <v>304</v>
      </c>
      <c r="C37" t="str">
        <f t="shared" si="0"/>
        <v>4 hr</v>
      </c>
      <c r="D37">
        <v>4</v>
      </c>
      <c r="E37" t="s">
        <v>265</v>
      </c>
      <c r="F37">
        <v>0</v>
      </c>
      <c r="G37">
        <v>0</v>
      </c>
      <c r="H37">
        <f t="shared" si="1"/>
        <v>0</v>
      </c>
    </row>
    <row r="38" spans="2:8">
      <c r="B38" t="s">
        <v>305</v>
      </c>
      <c r="C38" t="str">
        <f t="shared" si="0"/>
        <v>25 kg</v>
      </c>
      <c r="D38">
        <v>25</v>
      </c>
      <c r="E38" t="s">
        <v>261</v>
      </c>
      <c r="F38">
        <v>1</v>
      </c>
      <c r="G38">
        <v>1</v>
      </c>
      <c r="H38">
        <f t="shared" si="1"/>
        <v>25</v>
      </c>
    </row>
    <row r="39" spans="2:8">
      <c r="H39">
        <f>SUM(H10:H38)*1.25</f>
        <v>326.25</v>
      </c>
    </row>
  </sheetData>
  <autoFilter ref="B3:F38" xr:uid="{82E4AF82-F7E7-43A0-B889-222A39AE91E5}"/>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48433-5A28-423C-8AB3-B75BEC15341E}">
  <dimension ref="B2:E32"/>
  <sheetViews>
    <sheetView workbookViewId="0">
      <selection activeCell="D29" sqref="D29"/>
    </sheetView>
  </sheetViews>
  <sheetFormatPr defaultRowHeight="15"/>
  <cols>
    <col min="2" max="2" width="21.28515625" bestFit="1" customWidth="1"/>
    <col min="4" max="4" width="10.85546875" bestFit="1" customWidth="1"/>
    <col min="5" max="5" width="54.85546875" bestFit="1" customWidth="1"/>
  </cols>
  <sheetData>
    <row r="2" spans="2:5">
      <c r="B2" s="1" t="s">
        <v>306</v>
      </c>
      <c r="C2" s="1" t="s">
        <v>252</v>
      </c>
      <c r="D2" s="1" t="s">
        <v>253</v>
      </c>
      <c r="E2" s="1" t="s">
        <v>307</v>
      </c>
    </row>
    <row r="3" spans="2:5">
      <c r="B3" t="s">
        <v>308</v>
      </c>
      <c r="C3">
        <v>800</v>
      </c>
      <c r="D3" t="s">
        <v>272</v>
      </c>
      <c r="E3" t="s">
        <v>309</v>
      </c>
    </row>
    <row r="4" spans="2:5">
      <c r="B4" t="s">
        <v>310</v>
      </c>
      <c r="C4">
        <v>500</v>
      </c>
      <c r="D4" t="s">
        <v>311</v>
      </c>
    </row>
    <row r="5" spans="2:5">
      <c r="B5" s="6" t="s">
        <v>312</v>
      </c>
      <c r="C5" s="6">
        <v>80</v>
      </c>
      <c r="D5" s="6" t="s">
        <v>261</v>
      </c>
    </row>
    <row r="6" spans="2:5">
      <c r="B6" s="6" t="s">
        <v>161</v>
      </c>
      <c r="C6" s="20">
        <v>75</v>
      </c>
      <c r="D6" s="6" t="s">
        <v>261</v>
      </c>
    </row>
    <row r="7" spans="2:5">
      <c r="B7" s="6" t="s">
        <v>313</v>
      </c>
      <c r="C7" s="20">
        <v>30</v>
      </c>
      <c r="D7" s="6" t="s">
        <v>261</v>
      </c>
      <c r="E7" t="s">
        <v>314</v>
      </c>
    </row>
    <row r="8" spans="2:5">
      <c r="B8" s="6" t="s">
        <v>315</v>
      </c>
      <c r="C8" s="20">
        <f>C6-C7</f>
        <v>45</v>
      </c>
      <c r="D8" s="6" t="s">
        <v>261</v>
      </c>
    </row>
    <row r="9" spans="2:5">
      <c r="B9" s="6" t="s">
        <v>316</v>
      </c>
      <c r="C9" s="6">
        <v>1</v>
      </c>
      <c r="D9" s="6" t="s">
        <v>258</v>
      </c>
    </row>
    <row r="10" spans="2:5">
      <c r="B10" s="6" t="s">
        <v>317</v>
      </c>
      <c r="C10" s="6">
        <v>1</v>
      </c>
      <c r="D10" s="6" t="s">
        <v>258</v>
      </c>
    </row>
    <row r="11" spans="2:5">
      <c r="B11" s="6" t="s">
        <v>318</v>
      </c>
      <c r="C11" s="6">
        <v>70</v>
      </c>
      <c r="D11" s="6" t="s">
        <v>319</v>
      </c>
    </row>
    <row r="12" spans="2:5">
      <c r="B12" s="6" t="s">
        <v>320</v>
      </c>
      <c r="C12" s="6">
        <v>100</v>
      </c>
      <c r="D12" s="6" t="s">
        <v>319</v>
      </c>
    </row>
    <row r="13" spans="2:5">
      <c r="B13" s="6" t="s">
        <v>321</v>
      </c>
      <c r="C13" s="6">
        <v>600</v>
      </c>
      <c r="D13" s="6" t="s">
        <v>319</v>
      </c>
    </row>
    <row r="16" spans="2:5">
      <c r="B16" s="6" t="s">
        <v>322</v>
      </c>
      <c r="C16" s="6">
        <v>2</v>
      </c>
      <c r="D16" s="6" t="s">
        <v>323</v>
      </c>
      <c r="E16" t="s">
        <v>324</v>
      </c>
    </row>
    <row r="17" spans="2:4">
      <c r="B17" t="s">
        <v>325</v>
      </c>
      <c r="C17">
        <f>ROUND(C3/C8,0)</f>
        <v>18</v>
      </c>
      <c r="D17" t="s">
        <v>326</v>
      </c>
    </row>
    <row r="18" spans="2:4">
      <c r="B18" t="s">
        <v>327</v>
      </c>
      <c r="C18" s="7">
        <f>C17/C16</f>
        <v>9</v>
      </c>
      <c r="D18" t="s">
        <v>328</v>
      </c>
    </row>
    <row r="19" spans="2:4">
      <c r="B19" t="s">
        <v>329</v>
      </c>
      <c r="C19" s="21">
        <f>C18*C4*2</f>
        <v>9000</v>
      </c>
      <c r="D19" t="s">
        <v>330</v>
      </c>
    </row>
    <row r="20" spans="2:4">
      <c r="B20" t="s">
        <v>331</v>
      </c>
      <c r="C20" s="8">
        <f>C3/C11/C16</f>
        <v>5.7142857142857144</v>
      </c>
      <c r="D20" t="s">
        <v>265</v>
      </c>
    </row>
    <row r="21" spans="2:4">
      <c r="B21" t="s">
        <v>332</v>
      </c>
      <c r="C21" s="8">
        <f>C3/C12/C16</f>
        <v>4</v>
      </c>
      <c r="D21" t="s">
        <v>265</v>
      </c>
    </row>
    <row r="22" spans="2:4">
      <c r="B22" t="s">
        <v>333</v>
      </c>
      <c r="C22" s="8">
        <f>C19/2/C9/3600</f>
        <v>1.25</v>
      </c>
      <c r="D22" t="s">
        <v>265</v>
      </c>
    </row>
    <row r="23" spans="2:4">
      <c r="B23" t="s">
        <v>334</v>
      </c>
      <c r="C23" s="8">
        <f>C3/C13/C16</f>
        <v>0.66666666666666663</v>
      </c>
      <c r="D23" t="s">
        <v>265</v>
      </c>
    </row>
    <row r="24" spans="2:4">
      <c r="B24" t="s">
        <v>335</v>
      </c>
      <c r="C24" s="8">
        <f>C19/2/C10/3600</f>
        <v>1.25</v>
      </c>
      <c r="D24" t="s">
        <v>265</v>
      </c>
    </row>
    <row r="25" spans="2:4">
      <c r="B25" s="6" t="s">
        <v>264</v>
      </c>
      <c r="C25" s="9">
        <v>8</v>
      </c>
      <c r="D25" s="6" t="s">
        <v>265</v>
      </c>
    </row>
    <row r="26" spans="2:4">
      <c r="B26" s="10" t="s">
        <v>336</v>
      </c>
      <c r="C26" s="11">
        <f>SUM(C20:C25)</f>
        <v>20.88095238095238</v>
      </c>
      <c r="D26" s="10" t="s">
        <v>265</v>
      </c>
    </row>
    <row r="32" spans="2:4">
      <c r="B32" s="6" t="s">
        <v>337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45EB0-4C71-4024-BC04-CF3373A7818D}">
  <dimension ref="G3:N41"/>
  <sheetViews>
    <sheetView workbookViewId="0">
      <selection activeCell="B16" sqref="B16"/>
    </sheetView>
  </sheetViews>
  <sheetFormatPr defaultRowHeight="15"/>
  <cols>
    <col min="2" max="2" width="23" bestFit="1" customWidth="1"/>
    <col min="4" max="4" width="7.7109375" bestFit="1" customWidth="1"/>
  </cols>
  <sheetData>
    <row r="3" spans="7:8">
      <c r="G3" t="s">
        <v>256</v>
      </c>
      <c r="H3" t="s">
        <v>338</v>
      </c>
    </row>
    <row r="4" spans="7:8">
      <c r="G4">
        <v>250</v>
      </c>
      <c r="H4">
        <f t="shared" ref="H4:H29" si="0">12000/G4</f>
        <v>48</v>
      </c>
    </row>
    <row r="5" spans="7:8">
      <c r="G5">
        <v>260</v>
      </c>
      <c r="H5">
        <f t="shared" si="0"/>
        <v>46.153846153846153</v>
      </c>
    </row>
    <row r="6" spans="7:8">
      <c r="G6">
        <v>270</v>
      </c>
      <c r="H6">
        <f t="shared" si="0"/>
        <v>44.444444444444443</v>
      </c>
    </row>
    <row r="7" spans="7:8">
      <c r="G7">
        <v>280</v>
      </c>
      <c r="H7">
        <f t="shared" si="0"/>
        <v>42.857142857142854</v>
      </c>
    </row>
    <row r="8" spans="7:8">
      <c r="G8">
        <v>290</v>
      </c>
      <c r="H8">
        <f t="shared" si="0"/>
        <v>41.379310344827587</v>
      </c>
    </row>
    <row r="9" spans="7:8">
      <c r="G9">
        <v>300</v>
      </c>
      <c r="H9">
        <f t="shared" si="0"/>
        <v>40</v>
      </c>
    </row>
    <row r="10" spans="7:8">
      <c r="G10">
        <v>310</v>
      </c>
      <c r="H10">
        <f t="shared" si="0"/>
        <v>38.70967741935484</v>
      </c>
    </row>
    <row r="11" spans="7:8">
      <c r="G11">
        <v>320</v>
      </c>
      <c r="H11">
        <f t="shared" si="0"/>
        <v>37.5</v>
      </c>
    </row>
    <row r="12" spans="7:8">
      <c r="G12">
        <v>330</v>
      </c>
      <c r="H12">
        <f t="shared" si="0"/>
        <v>36.363636363636367</v>
      </c>
    </row>
    <row r="13" spans="7:8">
      <c r="G13">
        <v>340</v>
      </c>
      <c r="H13">
        <f t="shared" si="0"/>
        <v>35.294117647058826</v>
      </c>
    </row>
    <row r="14" spans="7:8">
      <c r="G14">
        <v>350</v>
      </c>
      <c r="H14">
        <f t="shared" si="0"/>
        <v>34.285714285714285</v>
      </c>
    </row>
    <row r="15" spans="7:8">
      <c r="G15">
        <v>360</v>
      </c>
      <c r="H15">
        <f t="shared" si="0"/>
        <v>33.333333333333336</v>
      </c>
    </row>
    <row r="16" spans="7:8">
      <c r="G16">
        <v>370</v>
      </c>
      <c r="H16">
        <f t="shared" si="0"/>
        <v>32.432432432432435</v>
      </c>
    </row>
    <row r="17" spans="7:8">
      <c r="G17">
        <v>380</v>
      </c>
      <c r="H17">
        <f t="shared" si="0"/>
        <v>31.578947368421051</v>
      </c>
    </row>
    <row r="18" spans="7:8">
      <c r="G18">
        <v>390</v>
      </c>
      <c r="H18">
        <f t="shared" si="0"/>
        <v>30.76923076923077</v>
      </c>
    </row>
    <row r="19" spans="7:8">
      <c r="G19">
        <v>400</v>
      </c>
      <c r="H19">
        <f t="shared" si="0"/>
        <v>30</v>
      </c>
    </row>
    <row r="20" spans="7:8">
      <c r="G20">
        <v>410</v>
      </c>
      <c r="H20">
        <f t="shared" si="0"/>
        <v>29.26829268292683</v>
      </c>
    </row>
    <row r="21" spans="7:8">
      <c r="G21">
        <v>420</v>
      </c>
      <c r="H21">
        <f t="shared" si="0"/>
        <v>28.571428571428573</v>
      </c>
    </row>
    <row r="22" spans="7:8">
      <c r="G22">
        <v>430</v>
      </c>
      <c r="H22">
        <f t="shared" si="0"/>
        <v>27.906976744186046</v>
      </c>
    </row>
    <row r="23" spans="7:8">
      <c r="G23">
        <v>440</v>
      </c>
      <c r="H23">
        <f t="shared" si="0"/>
        <v>27.272727272727273</v>
      </c>
    </row>
    <row r="24" spans="7:8">
      <c r="G24">
        <v>450</v>
      </c>
      <c r="H24">
        <f t="shared" si="0"/>
        <v>26.666666666666668</v>
      </c>
    </row>
    <row r="25" spans="7:8">
      <c r="G25">
        <v>460</v>
      </c>
      <c r="H25">
        <f t="shared" si="0"/>
        <v>26.086956521739129</v>
      </c>
    </row>
    <row r="26" spans="7:8">
      <c r="G26">
        <v>470</v>
      </c>
      <c r="H26">
        <f t="shared" si="0"/>
        <v>25.531914893617021</v>
      </c>
    </row>
    <row r="27" spans="7:8">
      <c r="G27">
        <v>480</v>
      </c>
      <c r="H27">
        <f t="shared" si="0"/>
        <v>25</v>
      </c>
    </row>
    <row r="28" spans="7:8">
      <c r="G28">
        <v>490</v>
      </c>
      <c r="H28">
        <f t="shared" si="0"/>
        <v>24.489795918367346</v>
      </c>
    </row>
    <row r="29" spans="7:8">
      <c r="G29">
        <v>500</v>
      </c>
      <c r="H29">
        <f t="shared" si="0"/>
        <v>24</v>
      </c>
    </row>
    <row r="41" spans="14:14">
      <c r="N41">
        <f>12000/172</f>
        <v>69.767441860465112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6FF90-1867-4EAC-AAC1-EE8A68704E44}">
  <dimension ref="B2:D6"/>
  <sheetViews>
    <sheetView workbookViewId="0">
      <selection activeCell="B8" sqref="B8:B9"/>
    </sheetView>
  </sheetViews>
  <sheetFormatPr defaultRowHeight="15"/>
  <cols>
    <col min="2" max="2" width="17.7109375" bestFit="1" customWidth="1"/>
    <col min="3" max="3" width="92.85546875" bestFit="1" customWidth="1"/>
  </cols>
  <sheetData>
    <row r="2" spans="2:4">
      <c r="B2" s="5" t="s">
        <v>26</v>
      </c>
      <c r="C2" s="5" t="s">
        <v>27</v>
      </c>
      <c r="D2" s="5" t="s">
        <v>339</v>
      </c>
    </row>
    <row r="3" spans="2:4">
      <c r="B3" s="5" t="s">
        <v>28</v>
      </c>
      <c r="C3" s="5" t="str">
        <f>"The concrete simulant shall have a compressive strength between " &amp;Min_Compressive_Strength&amp; " and " &amp; Max_Compressive_Strength</f>
        <v>The concrete simulant shall have a compressive strength between 1.5 MPa and 2 MPa</v>
      </c>
      <c r="D3" s="5"/>
    </row>
    <row r="4" spans="2:4">
      <c r="B4" s="5" t="s">
        <v>30</v>
      </c>
      <c r="C4" s="5" t="str">
        <f>"The concrete simulant shall have a density between " &amp;Min_Concrete_Density&amp; " and " &amp; Max_Concrete_Density</f>
        <v>The concrete simulant shall have a density between 1000 kg/m3 and 2000 kg/m3</v>
      </c>
      <c r="D4" s="5"/>
    </row>
    <row r="5" spans="2:4">
      <c r="B5" s="5" t="s">
        <v>32</v>
      </c>
      <c r="C5" s="5" t="s">
        <v>33</v>
      </c>
      <c r="D5" s="5"/>
    </row>
    <row r="6" spans="2:4">
      <c r="B6" s="5" t="s">
        <v>340</v>
      </c>
      <c r="C6" s="5"/>
      <c r="D6" s="5"/>
    </row>
  </sheetData>
  <phoneticPr fontId="2"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53749-3211-4D17-B17F-423B1B99B643}">
  <dimension ref="B2:C6"/>
  <sheetViews>
    <sheetView workbookViewId="0">
      <selection activeCell="C5" sqref="C5"/>
    </sheetView>
  </sheetViews>
  <sheetFormatPr defaultRowHeight="15"/>
  <cols>
    <col min="2" max="2" width="17.140625" customWidth="1"/>
    <col min="3" max="3" width="117.7109375" bestFit="1" customWidth="1"/>
  </cols>
  <sheetData>
    <row r="2" spans="2:3">
      <c r="B2" s="4" t="s">
        <v>26</v>
      </c>
      <c r="C2" s="4" t="s">
        <v>27</v>
      </c>
    </row>
    <row r="3" spans="2:3">
      <c r="B3" s="5" t="s">
        <v>74</v>
      </c>
      <c r="C3" s="5" t="str">
        <f>"The excavation subsystem shall have a mass less than " &amp;Excavation_Mass</f>
        <v>The excavation subsystem shall have a mass less than 15 kg</v>
      </c>
    </row>
    <row r="4" spans="2:3">
      <c r="B4" s="5" t="s">
        <v>76</v>
      </c>
      <c r="C4" s="5" t="str" cm="1">
        <f t="array" ref="C4">"The excavation subsystem shall be capable of providing at least " &amp; Daily_Regolith &amp;" of excavated simulant to the loading subsystem"</f>
        <v>The excavation subsystem shall be capable of providing at least 800 kg/day of excavated simulant to the loading subsystem</v>
      </c>
    </row>
    <row r="5" spans="2:3">
      <c r="B5" s="5" t="s">
        <v>78</v>
      </c>
      <c r="C5" s="5" t="str">
        <f>"The vetical excavation force shall not exceed "&amp;Vertical_Excavation_Force</f>
        <v>The vetical excavation force shall not exceed 1030.05 N</v>
      </c>
    </row>
    <row r="6" spans="2:3">
      <c r="B6" s="5" t="s">
        <v>80</v>
      </c>
      <c r="C6" s="5" t="str">
        <f>"The horizontal excavation force shall not exceed " &amp;Mobility_Horizontal_Excavation_Force</f>
        <v>The horizontal excavation force shall not exceed 200 N</v>
      </c>
    </row>
  </sheetData>
  <phoneticPr fontId="2"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69447-6D9C-4FE9-AC26-42ED045451B4}">
  <dimension ref="B2:D10"/>
  <sheetViews>
    <sheetView workbookViewId="0">
      <selection activeCell="C16" sqref="C16"/>
    </sheetView>
  </sheetViews>
  <sheetFormatPr defaultRowHeight="15"/>
  <cols>
    <col min="2" max="2" width="17.140625" customWidth="1"/>
    <col min="3" max="3" width="118.85546875" bestFit="1" customWidth="1"/>
  </cols>
  <sheetData>
    <row r="2" spans="2:4">
      <c r="B2" s="4" t="s">
        <v>26</v>
      </c>
      <c r="C2" s="4" t="s">
        <v>27</v>
      </c>
      <c r="D2" s="4" t="s">
        <v>339</v>
      </c>
    </row>
    <row r="3" spans="2:4">
      <c r="B3" s="5" t="s">
        <v>34</v>
      </c>
      <c r="C3" s="5" t="str">
        <f>"The charging station shall charge the mobility system in the time defined by the Runtime: "&amp;Runtime&amp;", and the Runtime to charge Ratio: " &amp;Charge_ratio</f>
        <v xml:space="preserve">The charging station shall charge the mobility system in the time defined by the Runtime: 4 hr, and the Runtime to charge Ratio: 2 </v>
      </c>
      <c r="D3" s="5"/>
    </row>
    <row r="4" spans="2:4">
      <c r="B4" s="5" t="s">
        <v>36</v>
      </c>
      <c r="C4" s="5" t="str">
        <f>"The charging station shall have a mass less than " &amp; Charging_Station_Mass</f>
        <v>The charging station shall have a mass less than 20 kg</v>
      </c>
      <c r="D4" s="5"/>
    </row>
    <row r="5" spans="2:4">
      <c r="B5" s="5" t="s">
        <v>38</v>
      </c>
      <c r="C5" s="5" t="str">
        <f>"The charging station shall supply a minimum power of "&amp;'Defined Terms'!C27</f>
        <v>The charging station shall supply a minimum power of 500 W</v>
      </c>
      <c r="D5" s="5"/>
    </row>
    <row r="6" spans="2:4">
      <c r="B6" s="5" t="s">
        <v>40</v>
      </c>
      <c r="C6" s="5" t="str">
        <f>"The charging station shall have "&amp;'Defined Terms'!C29</f>
        <v>The charging station shall have 2 Charging Ports</v>
      </c>
      <c r="D6" s="5"/>
    </row>
    <row r="7" spans="2:4">
      <c r="B7" s="5" t="s">
        <v>341</v>
      </c>
      <c r="C7" s="5"/>
      <c r="D7" s="5"/>
    </row>
    <row r="8" spans="2:4">
      <c r="B8" s="5" t="s">
        <v>342</v>
      </c>
      <c r="C8" s="5"/>
      <c r="D8" s="5"/>
    </row>
    <row r="9" spans="2:4">
      <c r="B9" s="5" t="s">
        <v>343</v>
      </c>
      <c r="C9" s="5"/>
      <c r="D9" s="5"/>
    </row>
    <row r="10" spans="2:4">
      <c r="B10" s="5" t="s">
        <v>344</v>
      </c>
      <c r="C10" s="5"/>
      <c r="D10" s="5"/>
    </row>
  </sheetData>
  <phoneticPr fontId="2"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5D222-FA3C-4587-BDF0-0D30F6D04577}">
  <dimension ref="B2:D16"/>
  <sheetViews>
    <sheetView workbookViewId="0">
      <selection activeCell="D22" sqref="D22"/>
    </sheetView>
  </sheetViews>
  <sheetFormatPr defaultRowHeight="15"/>
  <cols>
    <col min="2" max="2" width="17.140625" customWidth="1"/>
    <col min="3" max="3" width="123.5703125" bestFit="1" customWidth="1"/>
    <col min="4" max="4" width="23.42578125" bestFit="1" customWidth="1"/>
    <col min="5" max="5" width="10" bestFit="1" customWidth="1"/>
    <col min="6" max="6" width="6.140625" bestFit="1" customWidth="1"/>
    <col min="7" max="7" width="5.7109375" bestFit="1" customWidth="1"/>
  </cols>
  <sheetData>
    <row r="2" spans="2:4">
      <c r="B2" s="4" t="s">
        <v>26</v>
      </c>
      <c r="C2" s="4" t="s">
        <v>27</v>
      </c>
      <c r="D2" s="4" t="s">
        <v>339</v>
      </c>
    </row>
    <row r="3" spans="2:4">
      <c r="B3" s="5" t="s">
        <v>42</v>
      </c>
      <c r="C3" s="5" t="str">
        <f>"The mobility system shall have a payload capacity of " &amp; Payload_Capacity</f>
        <v>The mobility system shall have a payload capacity of 70 kg</v>
      </c>
      <c r="D3" s="5"/>
    </row>
    <row r="4" spans="2:4">
      <c r="B4" s="5" t="s">
        <v>44</v>
      </c>
      <c r="C4" s="5" t="str">
        <f>"The mobility subsystem shall have a minimum average speed of " &amp; Average_Unloaded_Speed &amp; " over a distance of 500m while carrying no simulant."</f>
        <v>The mobility subsystem shall have a minimum average speed of 1 m/s over a distance of 500m while carrying no simulant.</v>
      </c>
      <c r="D4" s="5"/>
    </row>
    <row r="5" spans="2:4">
      <c r="B5" s="5" t="s">
        <v>46</v>
      </c>
      <c r="C5" s="5" t="str">
        <f>"The mobility subsystem shall have a minimum average speed of " &amp; Average_Loaded_Speed &amp; " over a distance of 500m while supporting " &amp; Payload_Capacity&amp;" of payload mass."</f>
        <v>The mobility subsystem shall have a minimum average speed of 1 m/s over a distance of 500m while supporting 70 kg of payload mass.</v>
      </c>
      <c r="D5" s="5"/>
    </row>
    <row r="6" spans="2:4">
      <c r="B6" s="5" t="s">
        <v>48</v>
      </c>
      <c r="C6" s="5" t="str">
        <f>"The mobility subsystem shall have a mass less than " &amp; Mobility_Mass</f>
        <v>The mobility subsystem shall have a mass less than 80 kg</v>
      </c>
      <c r="D6" s="5"/>
    </row>
    <row r="7" spans="2:4">
      <c r="B7" s="5" t="s">
        <v>50</v>
      </c>
      <c r="C7" s="5" t="str">
        <f>"The mobility subsystem shall provide "&amp;Mobility_Horizontal_Excavation_Force&amp;" of horizontal force"</f>
        <v>The mobility subsystem shall provide 200 N of horizontal force</v>
      </c>
      <c r="D7" s="5"/>
    </row>
    <row r="8" spans="2:4">
      <c r="B8" s="5" t="s">
        <v>52</v>
      </c>
      <c r="C8" s="5" t="str">
        <f>"The mobilty subsystem shall have a maximum battery size of "&amp;'Defined Terms'!C28</f>
        <v>The mobilty subsystem shall have a maximum battery size of 4000 Whr</v>
      </c>
      <c r="D8" s="5"/>
    </row>
    <row r="9" spans="2:4">
      <c r="B9" s="5" t="s">
        <v>54</v>
      </c>
      <c r="C9" s="5" t="str">
        <f>"The mobility subsystem shall be able to overcome over cliff edges rising " &amp;'Defined Terms'!C31</f>
        <v>The mobility subsystem shall be able to overcome over cliff edges rising 15 cm</v>
      </c>
      <c r="D9" s="5"/>
    </row>
    <row r="10" spans="2:4">
      <c r="B10" s="5" t="s">
        <v>56</v>
      </c>
      <c r="C10" s="5" t="s">
        <v>57</v>
      </c>
      <c r="D10" s="5"/>
    </row>
    <row r="11" spans="2:4">
      <c r="B11" s="5" t="s">
        <v>58</v>
      </c>
      <c r="C11" s="5" t="str">
        <f>"The mobility subsystem shall record the distance traversed of "&amp;Distance&amp;""</f>
        <v>The mobility subsystem shall record the distance traversed of 150 km</v>
      </c>
      <c r="D11" s="5"/>
    </row>
    <row r="12" spans="2:4">
      <c r="B12" s="5" t="s">
        <v>60</v>
      </c>
      <c r="C12" s="5" t="str">
        <f>"The mobility subsystem shall record run time:charge time ratio of "&amp;Charge_ratio&amp;""</f>
        <v xml:space="preserve">The mobility subsystem shall record run time:charge time ratio of 2 </v>
      </c>
      <c r="D12" s="5"/>
    </row>
    <row r="13" spans="2:4">
      <c r="B13" s="5" t="s">
        <v>62</v>
      </c>
      <c r="C13" s="5" t="str">
        <f>"The mobility subsystem shall drive up to "&amp;Distance&amp;" over the course of a single mission"</f>
        <v>The mobility subsystem shall drive up to 150 km over the course of a single mission</v>
      </c>
      <c r="D13" s="5"/>
    </row>
    <row r="14" spans="2:4">
      <c r="B14" s="5" t="s">
        <v>64</v>
      </c>
      <c r="C14" s="5" t="str">
        <f>"The mobility subsystem shall not exceed "&amp;Dimensions&amp;""</f>
        <v>The mobility subsystem shall not exceed 1.5m (H) x 1.5m (W) x 2.5m (L)</v>
      </c>
      <c r="D14" s="5"/>
    </row>
    <row r="15" spans="2:4">
      <c r="B15" s="5" t="s">
        <v>66</v>
      </c>
      <c r="C15" s="5" t="str">
        <f>"The mobility subsystem shall drive up slopes up to "&amp;Slope&amp;" degrees"</f>
        <v>The mobility subsystem shall drive up slopes up to 20 deg degrees</v>
      </c>
      <c r="D15" s="5"/>
    </row>
    <row r="16" spans="2:4">
      <c r="B16" s="5" t="s">
        <v>68</v>
      </c>
      <c r="C16" s="5" t="str">
        <f>"The mobility subsystem shall have state estimation accuracy better than "&amp;State_Estimation&amp;""</f>
        <v>The mobility subsystem shall have state estimation accuracy better than 50 cm/km</v>
      </c>
      <c r="D16" s="5"/>
    </row>
  </sheetData>
  <phoneticPr fontId="2"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8D3A3-1E58-4049-85AA-80F6A171FF3A}">
  <dimension ref="B2:C9"/>
  <sheetViews>
    <sheetView workbookViewId="0">
      <selection activeCell="C5" sqref="C5"/>
    </sheetView>
  </sheetViews>
  <sheetFormatPr defaultRowHeight="15"/>
  <cols>
    <col min="2" max="2" width="17.140625" customWidth="1"/>
    <col min="3" max="3" width="84.140625" bestFit="1" customWidth="1"/>
  </cols>
  <sheetData>
    <row r="2" spans="2:3">
      <c r="B2" s="4" t="s">
        <v>26</v>
      </c>
      <c r="C2" s="4" t="s">
        <v>27</v>
      </c>
    </row>
    <row r="3" spans="2:3">
      <c r="B3" s="5" t="s">
        <v>70</v>
      </c>
      <c r="C3" s="5" t="str">
        <f>"The communication subsystem shall have a mass less than " &amp;Comm_Mass</f>
        <v>The communication subsystem shall have a mass less than 3 kg</v>
      </c>
    </row>
    <row r="4" spans="2:3">
      <c r="B4" s="5" t="s">
        <v>72</v>
      </c>
      <c r="C4" s="5" t="str">
        <f>"The communication subsystem shall provide wireless control capabilities for all subsystems"</f>
        <v>The communication subsystem shall provide wireless control capabilities for all subsystems</v>
      </c>
    </row>
    <row r="5" spans="2:3">
      <c r="B5" s="5" t="s">
        <v>345</v>
      </c>
      <c r="C5" s="5"/>
    </row>
    <row r="6" spans="2:3">
      <c r="B6" s="5" t="s">
        <v>346</v>
      </c>
      <c r="C6" s="5"/>
    </row>
    <row r="7" spans="2:3">
      <c r="B7" s="5" t="s">
        <v>347</v>
      </c>
      <c r="C7" s="5"/>
    </row>
    <row r="8" spans="2:3">
      <c r="B8" s="5" t="s">
        <v>348</v>
      </c>
      <c r="C8" s="5"/>
    </row>
    <row r="9" spans="2:3">
      <c r="B9" s="5" t="s">
        <v>349</v>
      </c>
      <c r="C9" s="5"/>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31259-520B-4FC6-A8DC-A05B44B8550C}">
  <dimension ref="B2:C7"/>
  <sheetViews>
    <sheetView workbookViewId="0">
      <selection activeCell="B2" sqref="B2:C3"/>
    </sheetView>
  </sheetViews>
  <sheetFormatPr defaultRowHeight="15"/>
  <cols>
    <col min="2" max="2" width="17.140625" customWidth="1"/>
    <col min="3" max="3" width="95.140625" bestFit="1" customWidth="1"/>
  </cols>
  <sheetData>
    <row r="2" spans="2:3">
      <c r="B2" s="4" t="s">
        <v>26</v>
      </c>
      <c r="C2" s="4" t="s">
        <v>27</v>
      </c>
    </row>
    <row r="3" spans="2:3">
      <c r="B3" s="5" t="s">
        <v>82</v>
      </c>
      <c r="C3" s="5" t="str">
        <f>"The loading subsystem shall have a mass less than " &amp;Loading_Mass</f>
        <v>The loading subsystem shall have a mass less than 10 kg</v>
      </c>
    </row>
    <row r="4" spans="2:3">
      <c r="B4" s="5" t="s">
        <v>84</v>
      </c>
      <c r="C4" s="5" t="str" cm="1">
        <f t="array" ref="C4">"The loading system shall be capable of receiving " &amp; Daily_Regolith &amp; " of simulant from the excavation subsystem"</f>
        <v>The loading system shall be capable of receiving 800 kg/day of simulant from the excavation subsystem</v>
      </c>
    </row>
    <row r="5" spans="2:3">
      <c r="B5" s="5" t="s">
        <v>86</v>
      </c>
      <c r="C5" s="5" t="str">
        <f>"The loading system shall be able to load excavated simulant at a minimum rate of "&amp;Loading_Rate</f>
        <v>The loading system shall be able to load excavated simulant at a minimum rate of 100 kg/hr</v>
      </c>
    </row>
    <row r="6" spans="2:3">
      <c r="B6" s="5" t="s">
        <v>88</v>
      </c>
      <c r="C6" s="5" t="str">
        <f>"The loading system shall be able to unload excavated simulant at a minimum rate of "&amp;Unloading_Rate</f>
        <v>The loading system shall be able to unload excavated simulant at a minimum rate of 600 kg/hr</v>
      </c>
    </row>
    <row r="7" spans="2:3">
      <c r="B7" s="5" t="s">
        <v>350</v>
      </c>
      <c r="C7" s="5"/>
    </row>
  </sheetData>
  <phoneticPr fontId="2"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BF878-153D-44FB-AE42-784761713F9C}">
  <dimension ref="B3:D10"/>
  <sheetViews>
    <sheetView workbookViewId="0">
      <selection activeCell="C16" sqref="C16"/>
    </sheetView>
  </sheetViews>
  <sheetFormatPr defaultRowHeight="15"/>
  <cols>
    <col min="2" max="2" width="17.7109375" bestFit="1" customWidth="1"/>
    <col min="3" max="3" width="103.140625" bestFit="1" customWidth="1"/>
  </cols>
  <sheetData>
    <row r="3" spans="2:4">
      <c r="B3" s="16" t="s">
        <v>26</v>
      </c>
      <c r="C3" s="16" t="s">
        <v>27</v>
      </c>
      <c r="D3" s="16" t="s">
        <v>339</v>
      </c>
    </row>
    <row r="4" spans="2:4">
      <c r="B4" s="13" t="s">
        <v>90</v>
      </c>
      <c r="C4" s="13" t="s">
        <v>91</v>
      </c>
      <c r="D4" s="13" t="s">
        <v>92</v>
      </c>
    </row>
    <row r="5" spans="2:4">
      <c r="B5" s="13" t="s">
        <v>92</v>
      </c>
      <c r="C5" s="13" t="s">
        <v>93</v>
      </c>
      <c r="D5" s="13"/>
    </row>
    <row r="6" spans="2:4">
      <c r="B6" s="13" t="s">
        <v>94</v>
      </c>
      <c r="C6" s="13" t="s">
        <v>95</v>
      </c>
      <c r="D6" s="13"/>
    </row>
    <row r="7" spans="2:4">
      <c r="B7" s="13" t="s">
        <v>96</v>
      </c>
      <c r="C7" s="13" t="s">
        <v>97</v>
      </c>
      <c r="D7" s="13"/>
    </row>
    <row r="8" spans="2:4">
      <c r="B8" s="13" t="s">
        <v>98</v>
      </c>
      <c r="C8" s="13" t="s">
        <v>99</v>
      </c>
      <c r="D8" s="13"/>
    </row>
    <row r="9" spans="2:4">
      <c r="B9" s="13" t="s">
        <v>100</v>
      </c>
      <c r="C9" s="13" t="s">
        <v>101</v>
      </c>
      <c r="D9" s="13"/>
    </row>
    <row r="10" spans="2:4">
      <c r="B10" s="13" t="s">
        <v>102</v>
      </c>
      <c r="C10" s="13" t="s">
        <v>103</v>
      </c>
      <c r="D10" s="13"/>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EC45D7-53B4-477D-9D17-A7AF1CEAD8F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2022-07-10T16:14:40Z</dcterms:created>
  <dcterms:modified xsi:type="dcterms:W3CDTF">2023-01-26T04:37:54Z</dcterms:modified>
  <cp:category/>
  <cp:contentStatus/>
</cp:coreProperties>
</file>