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d22234\Documents\"/>
    </mc:Choice>
  </mc:AlternateContent>
  <xr:revisionPtr revIDLastSave="0" documentId="8_{B76C7AA6-2BED-493D-B786-6DD20F0CFAE3}" xr6:coauthVersionLast="47" xr6:coauthVersionMax="47" xr10:uidLastSave="{00000000-0000-0000-0000-000000000000}"/>
  <bookViews>
    <workbookView xWindow="-24495" yWindow="4185" windowWidth="21600" windowHeight="11295" activeTab="1" xr2:uid="{2607C9AA-0F2A-459D-AAF2-05AEF064EE96}"/>
  </bookViews>
  <sheets>
    <sheet name="Main" sheetId="2" r:id="rId1"/>
    <sheet name="Model" sheetId="1" r:id="rId2"/>
    <sheet name="Sheet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D18" i="1" l="1"/>
  <c r="AE18" i="1"/>
  <c r="AF18" i="1"/>
  <c r="AG18" i="1"/>
  <c r="AH18" i="1"/>
  <c r="AI18" i="1"/>
  <c r="AJ18" i="1"/>
  <c r="AK18" i="1"/>
  <c r="AL18" i="1"/>
  <c r="AC18" i="1"/>
  <c r="AN18" i="1" s="1"/>
  <c r="AC25" i="1"/>
  <c r="U12" i="1"/>
  <c r="H8" i="2"/>
  <c r="H7" i="2"/>
  <c r="Q11" i="1"/>
  <c r="R11" i="1" s="1"/>
  <c r="G31" i="1"/>
  <c r="AB23" i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B18" i="1"/>
  <c r="AM18" i="1" s="1"/>
  <c r="AB17" i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H32" i="1"/>
  <c r="I32" i="1"/>
  <c r="K32" i="1"/>
  <c r="L32" i="1"/>
  <c r="M32" i="1"/>
  <c r="O32" i="1"/>
  <c r="P32" i="1"/>
  <c r="G32" i="1"/>
  <c r="H31" i="1"/>
  <c r="I31" i="1"/>
  <c r="K31" i="1"/>
  <c r="L31" i="1"/>
  <c r="M31" i="1"/>
  <c r="O31" i="1"/>
  <c r="P31" i="1"/>
  <c r="Q18" i="1"/>
  <c r="R18" i="1" s="1"/>
  <c r="Q17" i="1"/>
  <c r="R17" i="1" s="1"/>
  <c r="Q16" i="1"/>
  <c r="Q13" i="1"/>
  <c r="Q12" i="1"/>
  <c r="R25" i="1"/>
  <c r="Q23" i="1"/>
  <c r="R23" i="1" s="1"/>
  <c r="P4" i="1"/>
  <c r="P35" i="1" s="1"/>
  <c r="AD25" i="1" l="1"/>
  <c r="AE25" i="1"/>
  <c r="H10" i="2"/>
  <c r="Q4" i="1"/>
  <c r="R4" i="1" s="1"/>
  <c r="Q14" i="1"/>
  <c r="F23" i="1"/>
  <c r="F5" i="1"/>
  <c r="F6" i="1"/>
  <c r="F8" i="1"/>
  <c r="F9" i="1"/>
  <c r="F11" i="1"/>
  <c r="F12" i="1"/>
  <c r="F13" i="1"/>
  <c r="F16" i="1"/>
  <c r="F17" i="1"/>
  <c r="F18" i="1"/>
  <c r="F20" i="1"/>
  <c r="J23" i="1"/>
  <c r="J5" i="1"/>
  <c r="J6" i="1"/>
  <c r="J8" i="1"/>
  <c r="J9" i="1"/>
  <c r="J11" i="1"/>
  <c r="J12" i="1"/>
  <c r="J13" i="1"/>
  <c r="J16" i="1"/>
  <c r="J17" i="1"/>
  <c r="J18" i="1"/>
  <c r="J20" i="1"/>
  <c r="X14" i="1"/>
  <c r="X7" i="1"/>
  <c r="X4" i="1"/>
  <c r="Y14" i="1"/>
  <c r="Y7" i="1"/>
  <c r="Y4" i="1"/>
  <c r="Z14" i="1"/>
  <c r="Z7" i="1"/>
  <c r="Z4" i="1"/>
  <c r="C14" i="1"/>
  <c r="C7" i="1"/>
  <c r="C4" i="1"/>
  <c r="C35" i="1" s="1"/>
  <c r="D14" i="1"/>
  <c r="D7" i="1"/>
  <c r="D4" i="1"/>
  <c r="D35" i="1" s="1"/>
  <c r="G4" i="1"/>
  <c r="G35" i="1" s="1"/>
  <c r="G7" i="1"/>
  <c r="G14" i="1"/>
  <c r="I4" i="1"/>
  <c r="I35" i="1" s="1"/>
  <c r="I7" i="1"/>
  <c r="I14" i="1"/>
  <c r="N23" i="1"/>
  <c r="E14" i="1"/>
  <c r="E7" i="1"/>
  <c r="E4" i="1"/>
  <c r="N20" i="1"/>
  <c r="N18" i="1"/>
  <c r="N17" i="1"/>
  <c r="N16" i="1"/>
  <c r="R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N13" i="1"/>
  <c r="R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N12" i="1"/>
  <c r="R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N11" i="1"/>
  <c r="N9" i="1"/>
  <c r="N8" i="1"/>
  <c r="N6" i="1"/>
  <c r="N5" i="1"/>
  <c r="AA14" i="1"/>
  <c r="AA7" i="1"/>
  <c r="AA4" i="1"/>
  <c r="H4" i="1"/>
  <c r="H35" i="1" s="1"/>
  <c r="H14" i="1"/>
  <c r="H7" i="1"/>
  <c r="L14" i="1"/>
  <c r="M14" i="1"/>
  <c r="O14" i="1"/>
  <c r="P14" i="1"/>
  <c r="K14" i="1"/>
  <c r="K7" i="1"/>
  <c r="M7" i="1"/>
  <c r="O7" i="1"/>
  <c r="P7" i="1"/>
  <c r="K4" i="1"/>
  <c r="K35" i="1" s="1"/>
  <c r="M4" i="1"/>
  <c r="O4" i="1"/>
  <c r="L7" i="1"/>
  <c r="L4" i="1"/>
  <c r="L35" i="1" s="1"/>
  <c r="AF25" i="1" l="1"/>
  <c r="J32" i="1"/>
  <c r="AC4" i="1"/>
  <c r="Y10" i="1"/>
  <c r="Y25" i="1" s="1"/>
  <c r="F14" i="1"/>
  <c r="R14" i="1"/>
  <c r="AB14" i="1" s="1"/>
  <c r="AB11" i="1"/>
  <c r="AC11" i="1" s="1"/>
  <c r="F7" i="1"/>
  <c r="N32" i="1"/>
  <c r="P30" i="1"/>
  <c r="M30" i="1"/>
  <c r="M35" i="1"/>
  <c r="N31" i="1"/>
  <c r="E10" i="1"/>
  <c r="E25" i="1" s="1"/>
  <c r="E35" i="1"/>
  <c r="O30" i="1"/>
  <c r="O35" i="1"/>
  <c r="J31" i="1"/>
  <c r="Q5" i="1"/>
  <c r="D10" i="1"/>
  <c r="D25" i="1" s="1"/>
  <c r="J14" i="1"/>
  <c r="Q10" i="1"/>
  <c r="X10" i="1"/>
  <c r="X25" i="1" s="1"/>
  <c r="Z10" i="1"/>
  <c r="Z25" i="1" s="1"/>
  <c r="F4" i="1"/>
  <c r="F35" i="1" s="1"/>
  <c r="H30" i="1"/>
  <c r="J7" i="1"/>
  <c r="J4" i="1"/>
  <c r="L30" i="1"/>
  <c r="K30" i="1"/>
  <c r="I30" i="1"/>
  <c r="G30" i="1"/>
  <c r="C10" i="1"/>
  <c r="G10" i="1"/>
  <c r="L10" i="1"/>
  <c r="L25" i="1" s="1"/>
  <c r="I10" i="1"/>
  <c r="N4" i="1"/>
  <c r="N14" i="1"/>
  <c r="N7" i="1"/>
  <c r="AA10" i="1"/>
  <c r="AA25" i="1" s="1"/>
  <c r="H10" i="1"/>
  <c r="P10" i="1"/>
  <c r="M10" i="1"/>
  <c r="K10" i="1"/>
  <c r="O10" i="1"/>
  <c r="AC14" i="1" l="1"/>
  <c r="AD11" i="1"/>
  <c r="AD4" i="1"/>
  <c r="AC5" i="1"/>
  <c r="AC6" i="1" s="1"/>
  <c r="AC10" i="1"/>
  <c r="AC15" i="1" s="1"/>
  <c r="AC7" i="1"/>
  <c r="AG25" i="1"/>
  <c r="Y15" i="1"/>
  <c r="Y19" i="1" s="1"/>
  <c r="D15" i="1"/>
  <c r="D19" i="1" s="1"/>
  <c r="X15" i="1"/>
  <c r="X26" i="1" s="1"/>
  <c r="J30" i="1"/>
  <c r="Q15" i="1"/>
  <c r="Q6" i="1"/>
  <c r="L15" i="1"/>
  <c r="L19" i="1" s="1"/>
  <c r="J35" i="1"/>
  <c r="N30" i="1"/>
  <c r="N35" i="1"/>
  <c r="E15" i="1"/>
  <c r="E26" i="1" s="1"/>
  <c r="Q7" i="1"/>
  <c r="R5" i="1"/>
  <c r="R6" i="1" s="1"/>
  <c r="R10" i="1"/>
  <c r="R7" i="1" s="1"/>
  <c r="Z15" i="1"/>
  <c r="O15" i="1"/>
  <c r="O25" i="1"/>
  <c r="M15" i="1"/>
  <c r="M25" i="1"/>
  <c r="C15" i="1"/>
  <c r="C25" i="1"/>
  <c r="K15" i="1"/>
  <c r="K25" i="1"/>
  <c r="P15" i="1"/>
  <c r="P25" i="1"/>
  <c r="H15" i="1"/>
  <c r="H25" i="1"/>
  <c r="I15" i="1"/>
  <c r="I25" i="1"/>
  <c r="G15" i="1"/>
  <c r="G25" i="1"/>
  <c r="F10" i="1"/>
  <c r="F25" i="1" s="1"/>
  <c r="J10" i="1"/>
  <c r="J25" i="1" s="1"/>
  <c r="AA15" i="1"/>
  <c r="AA26" i="1" s="1"/>
  <c r="N10" i="1"/>
  <c r="N25" i="1" s="1"/>
  <c r="AC8" i="1" l="1"/>
  <c r="AC9" i="1" s="1"/>
  <c r="AC26" i="1"/>
  <c r="AC19" i="1"/>
  <c r="AE11" i="1"/>
  <c r="AD14" i="1"/>
  <c r="X19" i="1"/>
  <c r="AE4" i="1"/>
  <c r="AD5" i="1"/>
  <c r="AD6" i="1" s="1"/>
  <c r="AD10" i="1"/>
  <c r="AD15" i="1" s="1"/>
  <c r="AH25" i="1"/>
  <c r="Y26" i="1"/>
  <c r="D26" i="1"/>
  <c r="E19" i="1"/>
  <c r="E28" i="1" s="1"/>
  <c r="L26" i="1"/>
  <c r="F15" i="1"/>
  <c r="F26" i="1" s="1"/>
  <c r="AB5" i="1"/>
  <c r="AB6" i="1"/>
  <c r="AB10" i="1"/>
  <c r="Q19" i="1"/>
  <c r="Q20" i="1" s="1"/>
  <c r="Q26" i="1"/>
  <c r="Q8" i="1"/>
  <c r="AB7" i="1"/>
  <c r="R8" i="1"/>
  <c r="R9" i="1" s="1"/>
  <c r="R15" i="1"/>
  <c r="R26" i="1" s="1"/>
  <c r="J15" i="1"/>
  <c r="J26" i="1" s="1"/>
  <c r="Z26" i="1"/>
  <c r="Z19" i="1"/>
  <c r="Z28" i="1" s="1"/>
  <c r="X21" i="1"/>
  <c r="X28" i="1"/>
  <c r="G19" i="1"/>
  <c r="G26" i="1"/>
  <c r="H19" i="1"/>
  <c r="H26" i="1"/>
  <c r="P19" i="1"/>
  <c r="P26" i="1"/>
  <c r="K19" i="1"/>
  <c r="K26" i="1"/>
  <c r="I19" i="1"/>
  <c r="I26" i="1"/>
  <c r="Y21" i="1"/>
  <c r="Y28" i="1"/>
  <c r="C19" i="1"/>
  <c r="C26" i="1"/>
  <c r="D21" i="1"/>
  <c r="D28" i="1"/>
  <c r="L21" i="1"/>
  <c r="L28" i="1"/>
  <c r="M19" i="1"/>
  <c r="M26" i="1"/>
  <c r="O19" i="1"/>
  <c r="O26" i="1"/>
  <c r="AA19" i="1"/>
  <c r="AA28" i="1" s="1"/>
  <c r="N15" i="1"/>
  <c r="N26" i="1" s="1"/>
  <c r="AD19" i="1" l="1"/>
  <c r="AD26" i="1"/>
  <c r="AE5" i="1"/>
  <c r="AE6" i="1" s="1"/>
  <c r="AF4" i="1"/>
  <c r="AE10" i="1"/>
  <c r="AE7" i="1"/>
  <c r="AD7" i="1"/>
  <c r="AF11" i="1"/>
  <c r="AE14" i="1"/>
  <c r="AC20" i="1"/>
  <c r="AC21" i="1"/>
  <c r="E21" i="1"/>
  <c r="E22" i="1" s="1"/>
  <c r="AI25" i="1"/>
  <c r="Z21" i="1"/>
  <c r="Z27" i="1" s="1"/>
  <c r="J19" i="1"/>
  <c r="J28" i="1" s="1"/>
  <c r="AB15" i="1"/>
  <c r="AB26" i="1" s="1"/>
  <c r="Q21" i="1"/>
  <c r="Q9" i="1"/>
  <c r="AB9" i="1" s="1"/>
  <c r="AB8" i="1"/>
  <c r="R19" i="1"/>
  <c r="R20" i="1" s="1"/>
  <c r="R21" i="1" s="1"/>
  <c r="R27" i="1" s="1"/>
  <c r="O21" i="1"/>
  <c r="O28" i="1"/>
  <c r="M21" i="1"/>
  <c r="M28" i="1"/>
  <c r="D22" i="1"/>
  <c r="D27" i="1"/>
  <c r="L22" i="1"/>
  <c r="L27" i="1"/>
  <c r="C21" i="1"/>
  <c r="F21" i="1" s="1"/>
  <c r="F27" i="1" s="1"/>
  <c r="C28" i="1"/>
  <c r="F19" i="1"/>
  <c r="F28" i="1" s="1"/>
  <c r="Y22" i="1"/>
  <c r="Y27" i="1"/>
  <c r="I21" i="1"/>
  <c r="I28" i="1"/>
  <c r="K21" i="1"/>
  <c r="K28" i="1"/>
  <c r="P21" i="1"/>
  <c r="P28" i="1"/>
  <c r="H21" i="1"/>
  <c r="H28" i="1"/>
  <c r="G21" i="1"/>
  <c r="G28" i="1"/>
  <c r="X22" i="1"/>
  <c r="X27" i="1"/>
  <c r="AA21" i="1"/>
  <c r="AA27" i="1" s="1"/>
  <c r="N19" i="1"/>
  <c r="N28" i="1" s="1"/>
  <c r="AF14" i="1" l="1"/>
  <c r="AG11" i="1"/>
  <c r="AE8" i="1"/>
  <c r="AE9" i="1"/>
  <c r="AC22" i="1"/>
  <c r="AC27" i="1"/>
  <c r="E27" i="1"/>
  <c r="AD8" i="1"/>
  <c r="AD9" i="1" s="1"/>
  <c r="AE15" i="1"/>
  <c r="AF5" i="1"/>
  <c r="AF6" i="1"/>
  <c r="AG4" i="1"/>
  <c r="AF10" i="1"/>
  <c r="AF15" i="1" s="1"/>
  <c r="AD20" i="1"/>
  <c r="AD21" i="1"/>
  <c r="AJ25" i="1"/>
  <c r="Z22" i="1"/>
  <c r="AB19" i="1"/>
  <c r="AB20" i="1"/>
  <c r="Q27" i="1"/>
  <c r="AB21" i="1"/>
  <c r="Q22" i="1"/>
  <c r="G22" i="1"/>
  <c r="G33" i="1"/>
  <c r="G27" i="1"/>
  <c r="I22" i="1"/>
  <c r="I33" i="1"/>
  <c r="I27" i="1"/>
  <c r="J21" i="1"/>
  <c r="C22" i="1"/>
  <c r="F22" i="1" s="1"/>
  <c r="C27" i="1"/>
  <c r="H22" i="1"/>
  <c r="H33" i="1"/>
  <c r="H27" i="1"/>
  <c r="P22" i="1"/>
  <c r="P33" i="1"/>
  <c r="P27" i="1"/>
  <c r="K22" i="1"/>
  <c r="K33" i="1"/>
  <c r="K27" i="1"/>
  <c r="L33" i="1"/>
  <c r="M22" i="1"/>
  <c r="M33" i="1"/>
  <c r="M27" i="1"/>
  <c r="O22" i="1"/>
  <c r="O33" i="1"/>
  <c r="O27" i="1"/>
  <c r="AA22" i="1"/>
  <c r="N21" i="1"/>
  <c r="AF7" i="1" l="1"/>
  <c r="AF8" i="1"/>
  <c r="AF9" i="1" s="1"/>
  <c r="AE19" i="1"/>
  <c r="AE20" i="1" s="1"/>
  <c r="AE21" i="1" s="1"/>
  <c r="AE26" i="1"/>
  <c r="AH4" i="1"/>
  <c r="AG5" i="1"/>
  <c r="AG6" i="1" s="1"/>
  <c r="AG10" i="1"/>
  <c r="AH11" i="1"/>
  <c r="AG14" i="1"/>
  <c r="AD27" i="1"/>
  <c r="AD22" i="1"/>
  <c r="AF26" i="1"/>
  <c r="AF19" i="1"/>
  <c r="AF20" i="1" s="1"/>
  <c r="AF21" i="1" s="1"/>
  <c r="AF22" i="1" s="1"/>
  <c r="AK25" i="1"/>
  <c r="J22" i="1"/>
  <c r="AB27" i="1"/>
  <c r="N22" i="1"/>
  <c r="R22" i="1"/>
  <c r="AB22" i="1" s="1"/>
  <c r="N33" i="1"/>
  <c r="N27" i="1"/>
  <c r="J33" i="1"/>
  <c r="J27" i="1"/>
  <c r="AF27" i="1" l="1"/>
  <c r="AG15" i="1"/>
  <c r="AI11" i="1"/>
  <c r="AH14" i="1"/>
  <c r="AG7" i="1"/>
  <c r="AH5" i="1"/>
  <c r="AH6" i="1"/>
  <c r="AI4" i="1"/>
  <c r="AH10" i="1"/>
  <c r="AH15" i="1" s="1"/>
  <c r="AH7" i="1"/>
  <c r="AE27" i="1"/>
  <c r="AE22" i="1"/>
  <c r="AL25" i="1"/>
  <c r="AH8" i="1" l="1"/>
  <c r="AH9" i="1" s="1"/>
  <c r="AI5" i="1"/>
  <c r="AJ4" i="1"/>
  <c r="AI6" i="1"/>
  <c r="AI10" i="1"/>
  <c r="AI7" i="1"/>
  <c r="AI8" i="1" s="1"/>
  <c r="AI9" i="1" s="1"/>
  <c r="AG8" i="1"/>
  <c r="AG9" i="1" s="1"/>
  <c r="AG19" i="1"/>
  <c r="AG20" i="1" s="1"/>
  <c r="AG21" i="1" s="1"/>
  <c r="AG26" i="1"/>
  <c r="AH19" i="1"/>
  <c r="AH20" i="1" s="1"/>
  <c r="AH21" i="1" s="1"/>
  <c r="AH22" i="1" s="1"/>
  <c r="AH26" i="1"/>
  <c r="AI14" i="1"/>
  <c r="AJ11" i="1"/>
  <c r="AH27" i="1"/>
  <c r="AM25" i="1"/>
  <c r="AK11" i="1" l="1"/>
  <c r="AJ14" i="1"/>
  <c r="AG22" i="1"/>
  <c r="AG27" i="1"/>
  <c r="AI15" i="1"/>
  <c r="AJ5" i="1"/>
  <c r="AJ6" i="1" s="1"/>
  <c r="AK4" i="1"/>
  <c r="AJ10" i="1"/>
  <c r="AJ15" i="1" s="1"/>
  <c r="AN25" i="1"/>
  <c r="AJ7" i="1" l="1"/>
  <c r="AJ8" i="1" s="1"/>
  <c r="AJ9" i="1" s="1"/>
  <c r="AJ19" i="1"/>
  <c r="AJ20" i="1" s="1"/>
  <c r="AJ21" i="1" s="1"/>
  <c r="AJ26" i="1"/>
  <c r="AK5" i="1"/>
  <c r="AK6" i="1" s="1"/>
  <c r="AL4" i="1"/>
  <c r="AK10" i="1"/>
  <c r="AK7" i="1"/>
  <c r="AK8" i="1" s="1"/>
  <c r="AK9" i="1" s="1"/>
  <c r="AI19" i="1"/>
  <c r="AI20" i="1" s="1"/>
  <c r="AI21" i="1" s="1"/>
  <c r="AI26" i="1"/>
  <c r="AL11" i="1"/>
  <c r="AK14" i="1"/>
  <c r="AJ22" i="1"/>
  <c r="AJ27" i="1"/>
  <c r="AM4" i="1" l="1"/>
  <c r="AL5" i="1"/>
  <c r="AL6" i="1" s="1"/>
  <c r="AL10" i="1"/>
  <c r="AL7" i="1"/>
  <c r="AM11" i="1"/>
  <c r="AL14" i="1"/>
  <c r="AI27" i="1"/>
  <c r="AI22" i="1"/>
  <c r="AK15" i="1"/>
  <c r="AK26" i="1" l="1"/>
  <c r="AK19" i="1"/>
  <c r="AK20" i="1" s="1"/>
  <c r="AK21" i="1" s="1"/>
  <c r="AN11" i="1"/>
  <c r="AM14" i="1"/>
  <c r="AL8" i="1"/>
  <c r="AL9" i="1"/>
  <c r="AL15" i="1"/>
  <c r="AN4" i="1"/>
  <c r="AM5" i="1"/>
  <c r="AM6" i="1" s="1"/>
  <c r="AM10" i="1"/>
  <c r="AM15" i="1" s="1"/>
  <c r="AM26" i="1" l="1"/>
  <c r="AM19" i="1"/>
  <c r="AM20" i="1" s="1"/>
  <c r="AM21" i="1" s="1"/>
  <c r="AL19" i="1"/>
  <c r="AL20" i="1" s="1"/>
  <c r="AL21" i="1" s="1"/>
  <c r="AL26" i="1"/>
  <c r="AM7" i="1"/>
  <c r="AM8" i="1" s="1"/>
  <c r="AM9" i="1" s="1"/>
  <c r="AN5" i="1"/>
  <c r="AN6" i="1"/>
  <c r="AN10" i="1"/>
  <c r="AN7" i="1" s="1"/>
  <c r="AN14" i="1"/>
  <c r="AK22" i="1"/>
  <c r="AK27" i="1"/>
  <c r="AM22" i="1"/>
  <c r="AM27" i="1"/>
  <c r="AN8" i="1" l="1"/>
  <c r="AN9" i="1" s="1"/>
  <c r="AN15" i="1"/>
  <c r="AL22" i="1"/>
  <c r="AL27" i="1"/>
  <c r="AN26" i="1" l="1"/>
  <c r="AN19" i="1"/>
  <c r="AN20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U11" i="1" s="1"/>
  <c r="AN27" i="1" l="1"/>
  <c r="AN22" i="1"/>
  <c r="U13" i="1" l="1"/>
  <c r="U14" i="1" s="1"/>
</calcChain>
</file>

<file path=xl/sharedStrings.xml><?xml version="1.0" encoding="utf-8"?>
<sst xmlns="http://schemas.openxmlformats.org/spreadsheetml/2006/main" count="89" uniqueCount="86">
  <si>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</si>
  <si>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</si>
  <si>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</si>
  <si>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</si>
  <si>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</si>
  <si>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</si>
  <si>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</si>
  <si>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</si>
  <si>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</si>
  <si>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</si>
  <si>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</si>
  <si>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</si>
  <si>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</si>
  <si>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</si>
  <si>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F2020</t>
  </si>
  <si>
    <t>F2021</t>
  </si>
  <si>
    <t>F2022</t>
  </si>
  <si>
    <t>F2023</t>
  </si>
  <si>
    <t>E2024</t>
  </si>
  <si>
    <t>E2025</t>
  </si>
  <si>
    <t>Revenue</t>
  </si>
  <si>
    <t>Product</t>
  </si>
  <si>
    <t>Services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</si>
  <si>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</si>
  <si>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</si>
  <si>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</si>
  <si>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</si>
  <si>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</si>
  <si>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</si>
  <si>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</si>
  <si>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</si>
  <si>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Interest Expense</t>
  </si>
  <si>
    <t>Other Income</t>
  </si>
  <si>
    <t>Pretax Income</t>
  </si>
  <si>
    <t>Taxes</t>
  </si>
  <si>
    <t>Net Income</t>
  </si>
  <si>
    <t>EPS</t>
  </si>
  <si>
    <t>Shares</t>
  </si>
  <si>
    <t>Gross Margin %</t>
  </si>
  <si>
    <t>Operating Margin %</t>
  </si>
  <si>
    <t>Net Marin %</t>
  </si>
  <si>
    <t>Tax Rate</t>
  </si>
  <si>
    <t>Revenue YoY</t>
  </si>
  <si>
    <t>Net Income YoY</t>
  </si>
  <si>
    <t>Q324</t>
  </si>
  <si>
    <t>Product YoY</t>
  </si>
  <si>
    <t>Services YoY</t>
  </si>
  <si>
    <t>Product % of Revenue</t>
  </si>
  <si>
    <t>Q424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</si>
  <si>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</si>
  <si>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</si>
  <si>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</si>
  <si>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</si>
  <si>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</si>
  <si>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</si>
  <si>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</si>
  <si>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</si>
  <si>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</si>
  <si>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E2035</t>
  </si>
  <si>
    <t>Net Cash</t>
  </si>
  <si>
    <t>Price</t>
  </si>
  <si>
    <t>shares</t>
  </si>
  <si>
    <t>MC</t>
  </si>
  <si>
    <t xml:space="preserve">Cash </t>
  </si>
  <si>
    <t>debt</t>
  </si>
  <si>
    <t>ev</t>
  </si>
  <si>
    <t>Estimates</t>
  </si>
  <si>
    <t>Maturity value</t>
  </si>
  <si>
    <t>Total Value</t>
  </si>
  <si>
    <t>Discount Rate</t>
  </si>
  <si>
    <t>NPV</t>
  </si>
  <si>
    <t>Value Per Share</t>
  </si>
  <si>
    <t>General Mature</t>
  </si>
  <si>
    <t>Silicon IGBT</t>
  </si>
  <si>
    <t>Silicon Carbide (SiC)</t>
  </si>
  <si>
    <t xml:space="preserve">Image Sensor </t>
  </si>
  <si>
    <t>Advanced Logic</t>
  </si>
  <si>
    <t>Power</t>
  </si>
  <si>
    <t>Image Sensor</t>
  </si>
  <si>
    <t>Total System Revenue Q224</t>
  </si>
  <si>
    <t>(EV, hybrid, Silicone Carbide &amp; IGBT)</t>
  </si>
  <si>
    <t>(demand consistent-slight decline)</t>
  </si>
  <si>
    <t>(healthy demand china, subdued everywhere else)</t>
  </si>
  <si>
    <t>Applications</t>
  </si>
  <si>
    <t>Products</t>
  </si>
  <si>
    <t>Purion H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</si>
</sst>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n">
        <color indexed="64"/>
      </bottom>
      <diagonal/>
    </border>
    <border>
      <left style="thick">
        <color rgb="FF0070C0"/>
      </left>
      <right/>
      <top/>
      <bottom/>
      <diagonal/>
    </border>
    <border>
      <left style="thick">
        <color rgb="FF0070C0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2" fillId="0" borderId="2" xfId="0" applyFont="1" applyBorder="1"/>
    <xf numFmtId="0" fontId="2" fillId="0" borderId="0" xfId="0" applyFont="1"/>
    <xf numFmtId="165" fontId="2" fillId="0" borderId="0" xfId="0" applyNumberFormat="1" applyFont="1"/>
    <xf numFmtId="166" fontId="0" fillId="0" borderId="0" xfId="1" applyNumberFormat="1" applyFont="1"/>
    <xf numFmtId="166" fontId="0" fillId="0" borderId="2" xfId="1" applyNumberFormat="1" applyFont="1" applyBorder="1"/>
    <xf numFmtId="49" fontId="0" fillId="0" borderId="2" xfId="1" applyNumberFormat="1" applyFont="1" applyBorder="1"/>
    <xf numFmtId="0" fontId="3" fillId="0" borderId="0" xfId="0" applyFont="1"/>
    <xf numFmtId="0" fontId="3" fillId="0" borderId="2" xfId="0" applyFont="1" applyBorder="1"/>
    <xf numFmtId="165" fontId="3" fillId="0" borderId="0" xfId="0" applyNumberFormat="1" applyFont="1"/>
    <xf numFmtId="166" fontId="0" fillId="0" borderId="0" xfId="1" applyNumberFormat="1" applyFont="1" applyBorder="1"/>
    <xf numFmtId="166" fontId="0" fillId="0" borderId="0" xfId="1" applyNumberFormat="1" applyFont="1" applyFill="1" applyBorder="1"/>
    <xf numFmtId="0" fontId="0" fillId="2" borderId="1" xfId="0" applyFill="1" applyBorder="1"/>
    <xf numFmtId="10" fontId="0" fillId="0" borderId="0" xfId="0" applyNumberFormat="1"/>
    <xf numFmtId="165" fontId="2" fillId="0" borderId="2" xfId="0" applyNumberFormat="1" applyFont="1" applyBorder="1"/>
    <xf numFmtId="165" fontId="0" fillId="0" borderId="2" xfId="0" applyNumberFormat="1" applyBorder="1"/>
    <xf numFmtId="165" fontId="3" fillId="0" borderId="2" xfId="0" applyNumberFormat="1" applyFont="1" applyBorder="1"/>
    <xf numFmtId="164" fontId="0" fillId="0" borderId="2" xfId="0" applyNumberFormat="1" applyBorder="1"/>
    <xf numFmtId="10" fontId="0" fillId="0" borderId="2" xfId="0" applyNumberFormat="1" applyBorder="1"/>
    <xf numFmtId="0" fontId="0" fillId="0" borderId="5" xfId="0" applyBorder="1"/>
    <xf numFmtId="165" fontId="2" fillId="0" borderId="4" xfId="0" applyNumberFormat="1" applyFont="1" applyBorder="1"/>
    <xf numFmtId="165" fontId="0" fillId="0" borderId="4" xfId="0" applyNumberFormat="1" applyBorder="1"/>
    <xf numFmtId="165" fontId="3" fillId="0" borderId="4" xfId="0" applyNumberFormat="1" applyFont="1" applyBorder="1"/>
    <xf numFmtId="164" fontId="0" fillId="0" borderId="4" xfId="0" applyNumberFormat="1" applyBorder="1"/>
    <xf numFmtId="166" fontId="0" fillId="0" borderId="4" xfId="1" applyNumberFormat="1" applyFont="1" applyBorder="1"/>
    <xf numFmtId="0" fontId="0" fillId="0" borderId="4" xfId="0" applyBorder="1"/>
    <xf numFmtId="10" fontId="0" fillId="0" borderId="4" xfId="0" applyNumberFormat="1" applyBorder="1"/>
    <xf numFmtId="165" fontId="0" fillId="0" borderId="6" xfId="0" applyNumberFormat="1" applyBorder="1"/>
    <xf numFmtId="8" fontId="0" fillId="0" borderId="0" xfId="0" applyNumberFormat="1"/>
    <xf numFmtId="0" fontId="0" fillId="0" borderId="7" xfId="0" applyBorder="1"/>
    <xf numFmtId="165" fontId="2" fillId="0" borderId="6" xfId="0" applyNumberFormat="1" applyFont="1" applyBorder="1"/>
    <xf numFmtId="165" fontId="3" fillId="0" borderId="6" xfId="0" applyNumberFormat="1" applyFont="1" applyBorder="1"/>
    <xf numFmtId="164" fontId="0" fillId="0" borderId="6" xfId="0" applyNumberFormat="1" applyBorder="1"/>
    <xf numFmtId="166" fontId="0" fillId="0" borderId="6" xfId="1" applyNumberFormat="1" applyFont="1" applyBorder="1"/>
    <xf numFmtId="0" fontId="0" fillId="0" borderId="6" xfId="0" applyBorder="1"/>
    <xf numFmtId="10" fontId="0" fillId="0" borderId="6" xfId="0" applyNumberFormat="1" applyBorder="1"/>
    <xf numFmtId="10" fontId="0" fillId="2" borderId="0" xfId="0" applyNumberFormat="1" applyFill="1"/>
    <xf numFmtId="10" fontId="0" fillId="0" borderId="0" xfId="2" applyNumberFormat="1" applyFont="1"/>
    <xf numFmtId="43" fontId="0" fillId="0" borderId="0" xfId="0" applyNumberFormat="1"/>
    <xf numFmtId="165" fontId="0" fillId="0" borderId="0" xfId="2" applyNumberFormat="1" applyFont="1"/>
    <xf numFmtId="166" fontId="0" fillId="0" borderId="0" xfId="0" applyNumberFormat="1"/>
    <xf numFmtId="8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8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8BA5-0BFF-493F-BFA2-654DBBC530AB}">
  <dimension ref="G5:J10"/>
  <sheetViews>
    <sheetView workbookViewId="0">
      <selection activeCell="H10" sqref="H10"/>
    </sheetView>
  </sheetViews>
  <sheetFormatPr defaultRowHeight="15" x14ac:dyDescent="0.25"/>
  <cols>
    <col min="8" max="8" width="16.42578125" bestFit="1" customWidth="1"/>
    <col min="9" max="9" width="14.28515625" bestFit="1" customWidth="1"/>
    <col min="10" max="10" width="16.85546875" bestFit="1" customWidth="1"/>
  </cols>
  <sheetData>
    <row r="5" spans="7:10" x14ac:dyDescent="0.25">
      <c r="G5" t="s">
        <v>60</v>
      </c>
      <c r="H5">
        <v>93.79</v>
      </c>
    </row>
    <row r="6" spans="7:10" x14ac:dyDescent="0.25">
      <c r="G6" t="s">
        <v>61</v>
      </c>
      <c r="H6" s="9">
        <v>32617</v>
      </c>
      <c r="J6" s="43"/>
    </row>
    <row r="7" spans="7:10" x14ac:dyDescent="0.25">
      <c r="G7" t="s">
        <v>62</v>
      </c>
      <c r="H7" s="5">
        <f>H6*H5</f>
        <v>3059148.43</v>
      </c>
      <c r="I7" s="45"/>
    </row>
    <row r="8" spans="7:10" x14ac:dyDescent="0.25">
      <c r="G8" t="s">
        <v>63</v>
      </c>
      <c r="H8" s="44">
        <f>145166+403143</f>
        <v>548309</v>
      </c>
    </row>
    <row r="9" spans="7:10" x14ac:dyDescent="0.25">
      <c r="G9" t="s">
        <v>64</v>
      </c>
      <c r="H9" s="5">
        <v>353457</v>
      </c>
    </row>
    <row r="10" spans="7:10" x14ac:dyDescent="0.25">
      <c r="G10" t="s">
        <v>65</v>
      </c>
      <c r="H10" s="5">
        <f>H7+H9-H8</f>
        <v>2864296.43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1B1C-A685-446D-9EFE-BB3206C953A2}">
  <dimension ref="A2:CC41"/>
  <sheetViews>
    <sheetView tabSelected="1" zoomScaleNormal="100" workbookViewId="0">
      <pane xSplit="2" topLeftCell="L1" activePane="topRight" state="frozen"/>
      <selection pane="topRight" activeCell="U10" sqref="U10"/>
    </sheetView>
  </sheetViews>
  <sheetFormatPr defaultColWidth="5.5703125" defaultRowHeight="15" outlineLevelRow="1" x14ac:dyDescent="0.25"/>
  <cols>
    <col min="1" max="1" width="9.140625" customWidth="1"/>
    <col min="2" max="2" width="18.5703125" style="3" bestFit="1" customWidth="1"/>
    <col min="3" max="15" width="11.140625" customWidth="1"/>
    <col min="16" max="16" width="14.28515625" bestFit="1" customWidth="1"/>
    <col min="17" max="19" width="11.140625" customWidth="1"/>
    <col min="20" max="20" width="14.85546875" bestFit="1" customWidth="1"/>
    <col min="21" max="21" width="13.5703125" bestFit="1" customWidth="1"/>
    <col min="22" max="22" width="7.140625" bestFit="1" customWidth="1"/>
    <col min="23" max="23" width="9.140625" style="3"/>
    <col min="24" max="26" width="10.140625" bestFit="1" customWidth="1"/>
    <col min="27" max="28" width="11" bestFit="1" customWidth="1"/>
    <col min="29" max="40" width="10.140625" bestFit="1" customWidth="1"/>
    <col min="41" max="124" width="11.140625" bestFit="1" customWidth="1"/>
    <col min="125" max="238" width="10.140625" bestFit="1" customWidth="1"/>
    <col min="239" max="352" width="9.140625"/>
    <col min="353" max="466" width="7.5703125" bestFit="1" customWidth="1"/>
    <col min="467" max="580" width="6.5703125" bestFit="1" customWidth="1"/>
    <col min="581" max="581" width="5.5703125" bestFit="1" customWidth="1"/>
  </cols>
  <sheetData>
    <row r="2" spans="1:40" x14ac:dyDescent="0.25">
      <c r="Q2" t="s">
        <v>66</v>
      </c>
    </row>
    <row r="3" spans="1:40" s="1" customFormat="1" x14ac:dyDescent="0.25">
      <c r="B3" s="2"/>
      <c r="C3" s="1" t="s">
        <v>0</v>
      </c>
      <c r="D3" s="1" t="s">
        <v>1</v>
      </c>
      <c r="E3" s="1" t="s">
        <v>2</v>
      </c>
      <c r="F3" s="17" t="s">
        <v>3</v>
      </c>
      <c r="G3" s="1" t="s">
        <v>4</v>
      </c>
      <c r="H3" s="1" t="s">
        <v>5</v>
      </c>
      <c r="I3" s="1" t="s">
        <v>6</v>
      </c>
      <c r="J3" s="17" t="s">
        <v>7</v>
      </c>
      <c r="K3" s="1" t="s">
        <v>8</v>
      </c>
      <c r="L3" s="1" t="s">
        <v>9</v>
      </c>
      <c r="M3" s="1" t="s">
        <v>10</v>
      </c>
      <c r="N3" s="17" t="s">
        <v>11</v>
      </c>
      <c r="O3" s="1" t="s">
        <v>12</v>
      </c>
      <c r="P3" s="24" t="s">
        <v>13</v>
      </c>
      <c r="Q3" s="1" t="s">
        <v>44</v>
      </c>
      <c r="R3" s="17" t="s">
        <v>48</v>
      </c>
      <c r="W3" s="2"/>
      <c r="X3" s="1" t="s">
        <v>14</v>
      </c>
      <c r="Y3" s="1" t="s">
        <v>15</v>
      </c>
      <c r="Z3" s="1" t="s">
        <v>16</v>
      </c>
      <c r="AA3" s="1" t="s">
        <v>17</v>
      </c>
      <c r="AB3" s="34" t="s">
        <v>18</v>
      </c>
      <c r="AC3" s="1" t="s">
        <v>19</v>
      </c>
      <c r="AD3" s="1" t="s">
        <v>49</v>
      </c>
      <c r="AE3" s="1" t="s">
        <v>50</v>
      </c>
      <c r="AF3" s="1" t="s">
        <v>51</v>
      </c>
      <c r="AG3" s="1" t="s">
        <v>52</v>
      </c>
      <c r="AH3" s="1" t="s">
        <v>53</v>
      </c>
      <c r="AI3" s="1" t="s">
        <v>54</v>
      </c>
      <c r="AJ3" s="1" t="s">
        <v>55</v>
      </c>
      <c r="AK3" s="1" t="s">
        <v>56</v>
      </c>
      <c r="AL3" s="1" t="s">
        <v>57</v>
      </c>
      <c r="AM3" s="1" t="s">
        <v>58</v>
      </c>
    </row>
    <row r="4" spans="1:40" s="8" customFormat="1" x14ac:dyDescent="0.25">
      <c r="A4" s="7"/>
      <c r="B4" s="6" t="s">
        <v>20</v>
      </c>
      <c r="C4" s="8">
        <f>SUM(C5:C6)</f>
        <v>132776</v>
      </c>
      <c r="D4" s="8">
        <f>SUM(D5:D6)</f>
        <v>147274</v>
      </c>
      <c r="E4" s="8">
        <f>SUM(E5:E6)</f>
        <v>176694</v>
      </c>
      <c r="F4" s="8">
        <f t="shared" ref="F4:F22" si="0">Y4-SUM(C4:E4)</f>
        <v>205684</v>
      </c>
      <c r="G4" s="8">
        <f>SUM(G5:G6)</f>
        <v>203595</v>
      </c>
      <c r="H4" s="8">
        <f>SUM(H5:H6)</f>
        <v>221177</v>
      </c>
      <c r="I4" s="8">
        <f>SUM(I5:I6)</f>
        <v>229175</v>
      </c>
      <c r="J4" s="8">
        <f t="shared" ref="J4:J22" si="1">Z4-SUM(G4:I4)</f>
        <v>266051</v>
      </c>
      <c r="K4" s="8">
        <f>SUM(K5:K6)</f>
        <v>254020</v>
      </c>
      <c r="L4" s="8">
        <f>SUM(L5:L6)</f>
        <v>273970</v>
      </c>
      <c r="M4" s="8">
        <f>SUM(M5:M6)</f>
        <v>292326</v>
      </c>
      <c r="N4" s="8">
        <f t="shared" ref="N4:N22" si="2">AA4-SUM(K4:M4)</f>
        <v>310288</v>
      </c>
      <c r="O4" s="8">
        <f>SUM(O5:O6)</f>
        <v>252372</v>
      </c>
      <c r="P4" s="25">
        <f>SUM(P5:P6)</f>
        <v>256512</v>
      </c>
      <c r="Q4" s="8">
        <f>P4*(1+$Q$30)</f>
        <v>245481.984</v>
      </c>
      <c r="R4" s="8">
        <f>Q4*(1+$Q$31)</f>
        <v>252846.44352</v>
      </c>
      <c r="W4" s="19"/>
      <c r="X4" s="8">
        <f>SUM(X5:X6)</f>
        <v>474560</v>
      </c>
      <c r="Y4" s="8">
        <f>SUM(Y5:Y6)</f>
        <v>662428</v>
      </c>
      <c r="Z4" s="8">
        <f>SUM(Z5:Z6)</f>
        <v>919998</v>
      </c>
      <c r="AA4" s="8">
        <f>SUM(AA5:AA6)</f>
        <v>1130604</v>
      </c>
      <c r="AB4" s="35">
        <f>SUM(O4:R4)</f>
        <v>1007212.4275199999</v>
      </c>
      <c r="AC4" s="8">
        <f>AB4*(1+$Q$31)</f>
        <v>1037428.8003455999</v>
      </c>
      <c r="AD4" s="8">
        <f t="shared" ref="AD4:AN4" si="3">AC4*(1+$Q$31)</f>
        <v>1068551.6643559679</v>
      </c>
      <c r="AE4" s="8">
        <f t="shared" si="3"/>
        <v>1100608.214286647</v>
      </c>
      <c r="AF4" s="8">
        <f t="shared" si="3"/>
        <v>1133626.4607152464</v>
      </c>
      <c r="AG4" s="8">
        <f t="shared" si="3"/>
        <v>1167635.2545367037</v>
      </c>
      <c r="AH4" s="8">
        <f t="shared" si="3"/>
        <v>1202664.3121728047</v>
      </c>
      <c r="AI4" s="8">
        <f t="shared" si="3"/>
        <v>1238744.2415379889</v>
      </c>
      <c r="AJ4" s="8">
        <f t="shared" si="3"/>
        <v>1275906.5687841286</v>
      </c>
      <c r="AK4" s="8">
        <f t="shared" si="3"/>
        <v>1314183.7658476525</v>
      </c>
      <c r="AL4" s="8">
        <f t="shared" si="3"/>
        <v>1353609.2788230821</v>
      </c>
      <c r="AM4" s="8">
        <f t="shared" si="3"/>
        <v>1394217.5571877747</v>
      </c>
      <c r="AN4" s="8">
        <f t="shared" si="3"/>
        <v>1436044.0839034079</v>
      </c>
    </row>
    <row r="5" spans="1:40" s="5" customFormat="1" outlineLevel="1" x14ac:dyDescent="0.25">
      <c r="A5"/>
      <c r="B5" s="3" t="s">
        <v>21</v>
      </c>
      <c r="C5" s="5">
        <v>126609</v>
      </c>
      <c r="D5" s="5">
        <v>140156</v>
      </c>
      <c r="E5" s="5">
        <v>169151</v>
      </c>
      <c r="F5" s="5">
        <f t="shared" si="0"/>
        <v>198529</v>
      </c>
      <c r="G5" s="5">
        <v>196531</v>
      </c>
      <c r="H5" s="5">
        <v>213926</v>
      </c>
      <c r="I5" s="5">
        <v>221540</v>
      </c>
      <c r="J5" s="5">
        <f t="shared" si="1"/>
        <v>258585</v>
      </c>
      <c r="K5" s="5">
        <v>246007</v>
      </c>
      <c r="L5" s="5">
        <v>265673</v>
      </c>
      <c r="M5" s="5">
        <v>283367</v>
      </c>
      <c r="N5" s="5">
        <f t="shared" si="2"/>
        <v>300603</v>
      </c>
      <c r="O5" s="5">
        <v>243418</v>
      </c>
      <c r="P5" s="26">
        <v>245380</v>
      </c>
      <c r="Q5" s="5">
        <f>Q4*$Q$35</f>
        <v>233207.8848</v>
      </c>
      <c r="R5" s="5">
        <f t="shared" ref="R5" si="4">R4*$Q$35</f>
        <v>240204.12134399998</v>
      </c>
      <c r="W5" s="20"/>
      <c r="X5" s="5">
        <v>449903</v>
      </c>
      <c r="Y5" s="5">
        <v>634445</v>
      </c>
      <c r="Z5" s="5">
        <v>890582</v>
      </c>
      <c r="AA5" s="5">
        <v>1095650</v>
      </c>
      <c r="AB5" s="32">
        <f>SUM(O5:R5)</f>
        <v>962210.00614399998</v>
      </c>
      <c r="AC5" s="5">
        <f t="shared" ref="AC5:AN5" si="5">AC4*$Q$35</f>
        <v>985557.36032831983</v>
      </c>
      <c r="AD5" s="5">
        <f t="shared" si="5"/>
        <v>1015124.0811381694</v>
      </c>
      <c r="AE5" s="5">
        <f t="shared" si="5"/>
        <v>1045577.8035723147</v>
      </c>
      <c r="AF5" s="5">
        <f t="shared" si="5"/>
        <v>1076945.137679484</v>
      </c>
      <c r="AG5" s="5">
        <f t="shared" si="5"/>
        <v>1109253.4918098685</v>
      </c>
      <c r="AH5" s="5">
        <f t="shared" si="5"/>
        <v>1142531.0965641644</v>
      </c>
      <c r="AI5" s="5">
        <f t="shared" si="5"/>
        <v>1176807.0294610893</v>
      </c>
      <c r="AJ5" s="5">
        <f t="shared" si="5"/>
        <v>1212111.2403449221</v>
      </c>
      <c r="AK5" s="5">
        <f t="shared" si="5"/>
        <v>1248474.5775552697</v>
      </c>
      <c r="AL5" s="5">
        <f t="shared" si="5"/>
        <v>1285928.814881928</v>
      </c>
      <c r="AM5" s="5">
        <f t="shared" si="5"/>
        <v>1324506.679328386</v>
      </c>
      <c r="AN5" s="5">
        <f t="shared" si="5"/>
        <v>1364241.8797082375</v>
      </c>
    </row>
    <row r="6" spans="1:40" s="5" customFormat="1" outlineLevel="1" x14ac:dyDescent="0.25">
      <c r="A6"/>
      <c r="B6" s="3" t="s">
        <v>22</v>
      </c>
      <c r="C6" s="5">
        <v>6167</v>
      </c>
      <c r="D6" s="5">
        <v>7118</v>
      </c>
      <c r="E6" s="5">
        <v>7543</v>
      </c>
      <c r="F6" s="5">
        <f t="shared" si="0"/>
        <v>7155</v>
      </c>
      <c r="G6" s="5">
        <v>7064</v>
      </c>
      <c r="H6" s="5">
        <v>7251</v>
      </c>
      <c r="I6" s="5">
        <v>7635</v>
      </c>
      <c r="J6" s="5">
        <f t="shared" si="1"/>
        <v>7466</v>
      </c>
      <c r="K6" s="5">
        <v>8013</v>
      </c>
      <c r="L6" s="5">
        <v>8297</v>
      </c>
      <c r="M6" s="5">
        <v>8959</v>
      </c>
      <c r="N6" s="5">
        <f t="shared" si="2"/>
        <v>9685</v>
      </c>
      <c r="O6" s="5">
        <v>8954</v>
      </c>
      <c r="P6" s="26">
        <v>11132</v>
      </c>
      <c r="Q6" s="5">
        <f>Q4-Q5</f>
        <v>12274.099199999997</v>
      </c>
      <c r="R6" s="5">
        <f t="shared" ref="R6" si="6">R4-R5</f>
        <v>12642.322176000016</v>
      </c>
      <c r="W6" s="20"/>
      <c r="X6" s="5">
        <v>24657</v>
      </c>
      <c r="Y6" s="5">
        <v>27983</v>
      </c>
      <c r="Z6" s="5">
        <v>29416</v>
      </c>
      <c r="AA6" s="5">
        <v>34954</v>
      </c>
      <c r="AB6" s="32">
        <f t="shared" ref="AB6:AB22" si="7">SUM(O6:R6)</f>
        <v>45002.421376000013</v>
      </c>
      <c r="AC6" s="5">
        <f t="shared" ref="AC6:AN6" si="8">AC4-AC5</f>
        <v>51871.440017280052</v>
      </c>
      <c r="AD6" s="5">
        <f t="shared" si="8"/>
        <v>53427.583217798499</v>
      </c>
      <c r="AE6" s="5">
        <f t="shared" si="8"/>
        <v>55030.410714332364</v>
      </c>
      <c r="AF6" s="5">
        <f t="shared" si="8"/>
        <v>56681.323035762412</v>
      </c>
      <c r="AG6" s="5">
        <f t="shared" si="8"/>
        <v>58381.762726835208</v>
      </c>
      <c r="AH6" s="5">
        <f t="shared" si="8"/>
        <v>60133.215608640341</v>
      </c>
      <c r="AI6" s="5">
        <f t="shared" si="8"/>
        <v>61937.212076899596</v>
      </c>
      <c r="AJ6" s="5">
        <f t="shared" si="8"/>
        <v>63795.328439206583</v>
      </c>
      <c r="AK6" s="5">
        <f t="shared" si="8"/>
        <v>65709.188292382751</v>
      </c>
      <c r="AL6" s="5">
        <f t="shared" si="8"/>
        <v>67680.46394115407</v>
      </c>
      <c r="AM6" s="5">
        <f t="shared" si="8"/>
        <v>69710.877859388711</v>
      </c>
      <c r="AN6" s="5">
        <f t="shared" si="8"/>
        <v>71802.20419517043</v>
      </c>
    </row>
    <row r="7" spans="1:40" s="8" customFormat="1" x14ac:dyDescent="0.25">
      <c r="A7" s="7"/>
      <c r="B7" s="6" t="s">
        <v>23</v>
      </c>
      <c r="C7" s="8">
        <f>SUM(C8:C9)</f>
        <v>76341</v>
      </c>
      <c r="D7" s="8">
        <f>SUM(D8:D9)</f>
        <v>83260</v>
      </c>
      <c r="E7" s="8">
        <f>SUM(E8:E9)</f>
        <v>100182</v>
      </c>
      <c r="F7" s="8">
        <f t="shared" si="0"/>
        <v>116200</v>
      </c>
      <c r="G7" s="8">
        <f>SUM(G8:G9)</f>
        <v>113829</v>
      </c>
      <c r="H7" s="8">
        <f>SUM(H8:H9)</f>
        <v>121996</v>
      </c>
      <c r="I7" s="8">
        <f>SUM(I8:I9)</f>
        <v>125854</v>
      </c>
      <c r="J7" s="8">
        <f t="shared" si="1"/>
        <v>156529</v>
      </c>
      <c r="K7" s="8">
        <f>SUM(K8:K9)</f>
        <v>150001</v>
      </c>
      <c r="L7" s="8">
        <f>SUM(L8:L9)</f>
        <v>154267</v>
      </c>
      <c r="M7" s="8">
        <f>SUM(M8:M9)</f>
        <v>162642</v>
      </c>
      <c r="N7" s="8">
        <f t="shared" si="2"/>
        <v>172393</v>
      </c>
      <c r="O7" s="8">
        <f>SUM(O8:O9)</f>
        <v>136321</v>
      </c>
      <c r="P7" s="25">
        <f>SUM(P8:P9)</f>
        <v>144103</v>
      </c>
      <c r="Q7" s="8">
        <f>Q4-Q10</f>
        <v>137469.91103999998</v>
      </c>
      <c r="R7" s="8">
        <f t="shared" ref="R7" si="9">R4-R10</f>
        <v>141594.00837120001</v>
      </c>
      <c r="W7" s="19"/>
      <c r="X7" s="8">
        <f t="shared" ref="X7:AA7" si="10">SUM(X8:X9)</f>
        <v>275976</v>
      </c>
      <c r="Y7" s="8">
        <f t="shared" si="10"/>
        <v>375983</v>
      </c>
      <c r="Z7" s="8">
        <f t="shared" si="10"/>
        <v>518208</v>
      </c>
      <c r="AA7" s="8">
        <f t="shared" si="10"/>
        <v>639303</v>
      </c>
      <c r="AB7" s="35">
        <f t="shared" si="7"/>
        <v>559487.91941119998</v>
      </c>
      <c r="AC7" s="8">
        <f t="shared" ref="AC7:AN7" si="11">AC4-AC10</f>
        <v>580960.12819353596</v>
      </c>
      <c r="AD7" s="8">
        <f t="shared" si="11"/>
        <v>598388.93203934201</v>
      </c>
      <c r="AE7" s="8">
        <f t="shared" si="11"/>
        <v>616340.60000052233</v>
      </c>
      <c r="AF7" s="8">
        <f t="shared" si="11"/>
        <v>634830.81800053804</v>
      </c>
      <c r="AG7" s="8">
        <f t="shared" si="11"/>
        <v>653875.74254055414</v>
      </c>
      <c r="AH7" s="8">
        <f t="shared" si="11"/>
        <v>673492.01481677068</v>
      </c>
      <c r="AI7" s="8">
        <f t="shared" si="11"/>
        <v>693696.77526127372</v>
      </c>
      <c r="AJ7" s="8">
        <f t="shared" si="11"/>
        <v>714507.67851911206</v>
      </c>
      <c r="AK7" s="8">
        <f t="shared" si="11"/>
        <v>735942.90887468541</v>
      </c>
      <c r="AL7" s="8">
        <f t="shared" si="11"/>
        <v>758021.19614092598</v>
      </c>
      <c r="AM7" s="8">
        <f t="shared" si="11"/>
        <v>780761.8320251538</v>
      </c>
      <c r="AN7" s="8">
        <f t="shared" si="11"/>
        <v>804184.68698590843</v>
      </c>
    </row>
    <row r="8" spans="1:40" s="5" customFormat="1" outlineLevel="1" x14ac:dyDescent="0.25">
      <c r="A8"/>
      <c r="B8" s="3" t="s">
        <v>21</v>
      </c>
      <c r="C8" s="5">
        <v>70334</v>
      </c>
      <c r="D8" s="5">
        <v>76688</v>
      </c>
      <c r="E8" s="5">
        <v>93201</v>
      </c>
      <c r="F8" s="5">
        <f t="shared" si="0"/>
        <v>109335</v>
      </c>
      <c r="G8" s="5">
        <v>107642</v>
      </c>
      <c r="H8" s="5">
        <v>115754</v>
      </c>
      <c r="I8" s="5">
        <v>118992</v>
      </c>
      <c r="J8" s="5">
        <f t="shared" si="1"/>
        <v>149716</v>
      </c>
      <c r="K8" s="5">
        <v>142771</v>
      </c>
      <c r="L8" s="5">
        <v>146741</v>
      </c>
      <c r="M8" s="5">
        <v>154798</v>
      </c>
      <c r="N8" s="5">
        <f t="shared" si="2"/>
        <v>163802</v>
      </c>
      <c r="O8" s="5">
        <v>127912</v>
      </c>
      <c r="P8" s="26">
        <v>134759</v>
      </c>
      <c r="Q8" s="5">
        <f>Q7*$Q$35</f>
        <v>130596.41548799997</v>
      </c>
      <c r="R8" s="5">
        <f t="shared" ref="R8" si="12">R7*$Q$35</f>
        <v>134514.30795264</v>
      </c>
      <c r="W8" s="20"/>
      <c r="X8" s="5">
        <v>252390</v>
      </c>
      <c r="Y8" s="5">
        <v>349558</v>
      </c>
      <c r="Z8" s="5">
        <v>492104</v>
      </c>
      <c r="AA8" s="5">
        <v>608112</v>
      </c>
      <c r="AB8" s="32">
        <f t="shared" si="7"/>
        <v>527781.72344063991</v>
      </c>
      <c r="AC8" s="5">
        <f t="shared" ref="AC8:AN8" si="13">AC7*$Q$35</f>
        <v>551912.1217838591</v>
      </c>
      <c r="AD8" s="5">
        <f t="shared" si="13"/>
        <v>568469.48543737491</v>
      </c>
      <c r="AE8" s="5">
        <f t="shared" si="13"/>
        <v>585523.57000049623</v>
      </c>
      <c r="AF8" s="5">
        <f t="shared" si="13"/>
        <v>603089.27710051113</v>
      </c>
      <c r="AG8" s="5">
        <f t="shared" si="13"/>
        <v>621181.95541352639</v>
      </c>
      <c r="AH8" s="5">
        <f t="shared" si="13"/>
        <v>639817.41407593212</v>
      </c>
      <c r="AI8" s="5">
        <f t="shared" si="13"/>
        <v>659011.93649820995</v>
      </c>
      <c r="AJ8" s="5">
        <f t="shared" si="13"/>
        <v>678782.29459315643</v>
      </c>
      <c r="AK8" s="5">
        <f t="shared" si="13"/>
        <v>699145.76343095116</v>
      </c>
      <c r="AL8" s="5">
        <f t="shared" si="13"/>
        <v>720120.13633387967</v>
      </c>
      <c r="AM8" s="5">
        <f t="shared" si="13"/>
        <v>741723.74042389612</v>
      </c>
      <c r="AN8" s="5">
        <f t="shared" si="13"/>
        <v>763975.45263661293</v>
      </c>
    </row>
    <row r="9" spans="1:40" s="5" customFormat="1" outlineLevel="1" x14ac:dyDescent="0.25">
      <c r="A9"/>
      <c r="B9" s="3" t="s">
        <v>22</v>
      </c>
      <c r="C9" s="5">
        <v>6007</v>
      </c>
      <c r="D9" s="5">
        <v>6572</v>
      </c>
      <c r="E9" s="5">
        <v>6981</v>
      </c>
      <c r="F9" s="5">
        <f t="shared" si="0"/>
        <v>6865</v>
      </c>
      <c r="G9" s="5">
        <v>6187</v>
      </c>
      <c r="H9" s="5">
        <v>6242</v>
      </c>
      <c r="I9" s="5">
        <v>6862</v>
      </c>
      <c r="J9" s="5">
        <f t="shared" si="1"/>
        <v>6813</v>
      </c>
      <c r="K9" s="5">
        <v>7230</v>
      </c>
      <c r="L9" s="5">
        <v>7526</v>
      </c>
      <c r="M9" s="5">
        <v>7844</v>
      </c>
      <c r="N9" s="5">
        <f t="shared" si="2"/>
        <v>8591</v>
      </c>
      <c r="O9" s="5">
        <v>8409</v>
      </c>
      <c r="P9" s="26">
        <v>9344</v>
      </c>
      <c r="Q9" s="5">
        <f>Q7-Q8</f>
        <v>6873.4955520000076</v>
      </c>
      <c r="R9" s="5">
        <f t="shared" ref="R9" si="14">R7-R8</f>
        <v>7079.700418560009</v>
      </c>
      <c r="T9" t="s">
        <v>69</v>
      </c>
      <c r="U9" s="42">
        <v>0.15</v>
      </c>
      <c r="W9" s="20"/>
      <c r="X9" s="5">
        <v>23586</v>
      </c>
      <c r="Y9" s="5">
        <v>26425</v>
      </c>
      <c r="Z9" s="5">
        <v>26104</v>
      </c>
      <c r="AA9" s="5">
        <v>31191</v>
      </c>
      <c r="AB9" s="32">
        <f t="shared" si="7"/>
        <v>31706.195970560017</v>
      </c>
      <c r="AC9" s="5">
        <f t="shared" ref="AC9:AN9" si="15">AC7-AC8</f>
        <v>29048.006409676862</v>
      </c>
      <c r="AD9" s="5">
        <f t="shared" si="15"/>
        <v>29919.446601967094</v>
      </c>
      <c r="AE9" s="5">
        <f t="shared" si="15"/>
        <v>30817.030000026105</v>
      </c>
      <c r="AF9" s="5">
        <f t="shared" si="15"/>
        <v>31741.540900026914</v>
      </c>
      <c r="AG9" s="5">
        <f t="shared" si="15"/>
        <v>32693.787127027754</v>
      </c>
      <c r="AH9" s="5">
        <f t="shared" si="15"/>
        <v>33674.600740838563</v>
      </c>
      <c r="AI9" s="5">
        <f t="shared" si="15"/>
        <v>34684.838763063774</v>
      </c>
      <c r="AJ9" s="5">
        <f t="shared" si="15"/>
        <v>35725.383925955626</v>
      </c>
      <c r="AK9" s="5">
        <f t="shared" si="15"/>
        <v>36797.145443734247</v>
      </c>
      <c r="AL9" s="5">
        <f t="shared" si="15"/>
        <v>37901.059807046317</v>
      </c>
      <c r="AM9" s="5">
        <f t="shared" si="15"/>
        <v>39038.091601257678</v>
      </c>
      <c r="AN9" s="5">
        <f t="shared" si="15"/>
        <v>40209.234349295497</v>
      </c>
    </row>
    <row r="10" spans="1:40" s="5" customFormat="1" x14ac:dyDescent="0.25">
      <c r="A10"/>
      <c r="B10" s="3" t="s">
        <v>24</v>
      </c>
      <c r="C10" s="5">
        <f>C4-C7</f>
        <v>56435</v>
      </c>
      <c r="D10" s="5">
        <f>D4-D7</f>
        <v>64014</v>
      </c>
      <c r="E10" s="5">
        <f>E4-E7</f>
        <v>76512</v>
      </c>
      <c r="F10" s="5">
        <f t="shared" si="0"/>
        <v>89484</v>
      </c>
      <c r="G10" s="5">
        <f>G4-G7</f>
        <v>89766</v>
      </c>
      <c r="H10" s="5">
        <f>H4-H7</f>
        <v>99181</v>
      </c>
      <c r="I10" s="5">
        <f>I4-I7</f>
        <v>103321</v>
      </c>
      <c r="J10" s="5">
        <f t="shared" si="1"/>
        <v>109522</v>
      </c>
      <c r="K10" s="5">
        <f>K4-K7</f>
        <v>104019</v>
      </c>
      <c r="L10" s="5">
        <f>L4-L7</f>
        <v>119703</v>
      </c>
      <c r="M10" s="5">
        <f>M4-M7</f>
        <v>129684</v>
      </c>
      <c r="N10" s="5">
        <f t="shared" si="2"/>
        <v>137895</v>
      </c>
      <c r="O10" s="5">
        <f>O4-O7</f>
        <v>116051</v>
      </c>
      <c r="P10" s="26">
        <f>P4-P7</f>
        <v>112409</v>
      </c>
      <c r="Q10" s="5">
        <f>Q25*Q4</f>
        <v>108012.07296</v>
      </c>
      <c r="R10" s="5">
        <f t="shared" ref="R10" si="16">R25*R4</f>
        <v>111252.4351488</v>
      </c>
      <c r="T10" t="s">
        <v>67</v>
      </c>
      <c r="U10" s="42">
        <v>-0.03</v>
      </c>
      <c r="W10" s="20"/>
      <c r="X10" s="5">
        <f t="shared" ref="X10:Y10" si="17">X4-X7</f>
        <v>198584</v>
      </c>
      <c r="Y10" s="5">
        <f t="shared" si="17"/>
        <v>286445</v>
      </c>
      <c r="Z10" s="5">
        <f t="shared" ref="Z10:AA10" si="18">Z4-Z7</f>
        <v>401790</v>
      </c>
      <c r="AA10" s="5">
        <f t="shared" si="18"/>
        <v>491301</v>
      </c>
      <c r="AB10" s="32">
        <f t="shared" si="7"/>
        <v>447724.50810880004</v>
      </c>
      <c r="AC10" s="5">
        <f t="shared" ref="AC10:AN10" si="19">AC25*AC4</f>
        <v>456468.67215206393</v>
      </c>
      <c r="AD10" s="5">
        <f t="shared" si="19"/>
        <v>470162.73231662589</v>
      </c>
      <c r="AE10" s="5">
        <f t="shared" si="19"/>
        <v>484267.61428612471</v>
      </c>
      <c r="AF10" s="5">
        <f t="shared" si="19"/>
        <v>498795.6427147084</v>
      </c>
      <c r="AG10" s="5">
        <f t="shared" si="19"/>
        <v>513759.51199614961</v>
      </c>
      <c r="AH10" s="5">
        <f t="shared" si="19"/>
        <v>529172.29735603405</v>
      </c>
      <c r="AI10" s="5">
        <f t="shared" si="19"/>
        <v>545047.46627671516</v>
      </c>
      <c r="AJ10" s="5">
        <f t="shared" si="19"/>
        <v>561398.89026501658</v>
      </c>
      <c r="AK10" s="5">
        <f t="shared" si="19"/>
        <v>578240.85697296704</v>
      </c>
      <c r="AL10" s="5">
        <f t="shared" si="19"/>
        <v>595588.08268215612</v>
      </c>
      <c r="AM10" s="5">
        <f t="shared" si="19"/>
        <v>613455.72516262089</v>
      </c>
      <c r="AN10" s="5">
        <f t="shared" si="19"/>
        <v>631859.39691749949</v>
      </c>
    </row>
    <row r="11" spans="1:40" s="14" customFormat="1" outlineLevel="1" x14ac:dyDescent="0.25">
      <c r="A11" s="12"/>
      <c r="B11" s="13" t="s">
        <v>25</v>
      </c>
      <c r="C11" s="14">
        <v>15685</v>
      </c>
      <c r="D11" s="14">
        <v>16623</v>
      </c>
      <c r="E11" s="14">
        <v>16707</v>
      </c>
      <c r="F11" s="5">
        <f t="shared" si="0"/>
        <v>16416</v>
      </c>
      <c r="G11" s="14">
        <v>16973</v>
      </c>
      <c r="H11" s="14">
        <v>18731</v>
      </c>
      <c r="I11" s="14">
        <v>20563</v>
      </c>
      <c r="J11" s="5">
        <f t="shared" si="1"/>
        <v>22089</v>
      </c>
      <c r="K11" s="14">
        <v>23773</v>
      </c>
      <c r="L11" s="14">
        <v>24130</v>
      </c>
      <c r="M11" s="14">
        <v>24093</v>
      </c>
      <c r="N11" s="14">
        <f t="shared" si="2"/>
        <v>24911</v>
      </c>
      <c r="O11" s="14">
        <v>25662</v>
      </c>
      <c r="P11" s="27">
        <v>25786</v>
      </c>
      <c r="Q11" s="14">
        <f>P11+902.76</f>
        <v>26688.76</v>
      </c>
      <c r="R11" s="14">
        <f>Q11+902.76</f>
        <v>27591.519999999997</v>
      </c>
      <c r="T11" t="s">
        <v>70</v>
      </c>
      <c r="U11" s="46">
        <f>NPV(U9,AB21:XFD21)</f>
        <v>1818603.6686160674</v>
      </c>
      <c r="V11"/>
      <c r="W11" s="21"/>
      <c r="X11" s="14">
        <v>61833</v>
      </c>
      <c r="Y11" s="14">
        <v>65431</v>
      </c>
      <c r="Z11" s="14">
        <v>78356</v>
      </c>
      <c r="AA11" s="14">
        <v>96907</v>
      </c>
      <c r="AB11" s="36">
        <f t="shared" si="7"/>
        <v>105728.28</v>
      </c>
      <c r="AC11" s="14">
        <f>AB11+(902.76*4)</f>
        <v>109339.31999999999</v>
      </c>
      <c r="AD11" s="14">
        <f t="shared" ref="AD11:AN11" si="20">AC11+(902.76*4)</f>
        <v>112950.35999999999</v>
      </c>
      <c r="AE11" s="14">
        <f t="shared" si="20"/>
        <v>116561.39999999998</v>
      </c>
      <c r="AF11" s="14">
        <f t="shared" si="20"/>
        <v>120172.43999999997</v>
      </c>
      <c r="AG11" s="14">
        <f t="shared" si="20"/>
        <v>123783.47999999997</v>
      </c>
      <c r="AH11" s="14">
        <f t="shared" si="20"/>
        <v>127394.51999999996</v>
      </c>
      <c r="AI11" s="14">
        <f t="shared" si="20"/>
        <v>131005.55999999995</v>
      </c>
      <c r="AJ11" s="14">
        <f t="shared" si="20"/>
        <v>134616.59999999995</v>
      </c>
      <c r="AK11" s="14">
        <f t="shared" si="20"/>
        <v>138227.63999999996</v>
      </c>
      <c r="AL11" s="14">
        <f t="shared" si="20"/>
        <v>141838.67999999996</v>
      </c>
      <c r="AM11" s="14">
        <f t="shared" si="20"/>
        <v>145449.71999999997</v>
      </c>
      <c r="AN11" s="14">
        <f t="shared" si="20"/>
        <v>149060.75999999998</v>
      </c>
    </row>
    <row r="12" spans="1:40" s="5" customFormat="1" outlineLevel="1" x14ac:dyDescent="0.25">
      <c r="A12"/>
      <c r="B12" s="3" t="s">
        <v>26</v>
      </c>
      <c r="C12" s="5">
        <v>10387</v>
      </c>
      <c r="D12" s="5">
        <v>12177</v>
      </c>
      <c r="E12" s="5">
        <v>11415</v>
      </c>
      <c r="F12" s="5">
        <f t="shared" si="0"/>
        <v>13569</v>
      </c>
      <c r="G12" s="5">
        <v>11291</v>
      </c>
      <c r="H12" s="5">
        <v>12703</v>
      </c>
      <c r="I12" s="5">
        <v>14573</v>
      </c>
      <c r="J12" s="5">
        <f t="shared" si="1"/>
        <v>15032</v>
      </c>
      <c r="K12" s="5">
        <v>14144</v>
      </c>
      <c r="L12" s="5">
        <v>15537</v>
      </c>
      <c r="M12" s="5">
        <v>16465</v>
      </c>
      <c r="N12" s="5">
        <f t="shared" si="2"/>
        <v>16659</v>
      </c>
      <c r="O12" s="5">
        <v>17445</v>
      </c>
      <c r="P12" s="26">
        <v>17230</v>
      </c>
      <c r="Q12" s="5">
        <f>M12</f>
        <v>16465</v>
      </c>
      <c r="R12" s="5">
        <f t="shared" ref="R12:R13" si="21">N12</f>
        <v>16659</v>
      </c>
      <c r="T12" t="s">
        <v>59</v>
      </c>
      <c r="U12" s="47">
        <f>Main!H8</f>
        <v>548309</v>
      </c>
      <c r="V12"/>
      <c r="W12" s="20"/>
      <c r="X12" s="5">
        <v>38746</v>
      </c>
      <c r="Y12" s="5">
        <v>47548</v>
      </c>
      <c r="Z12" s="5">
        <v>53599</v>
      </c>
      <c r="AA12" s="5">
        <v>62805</v>
      </c>
      <c r="AB12" s="32">
        <f t="shared" si="7"/>
        <v>67799</v>
      </c>
      <c r="AC12" s="5">
        <f>AB12</f>
        <v>67799</v>
      </c>
      <c r="AD12" s="5">
        <f t="shared" ref="AD12:AN12" si="22">AC12</f>
        <v>67799</v>
      </c>
      <c r="AE12" s="5">
        <f t="shared" si="22"/>
        <v>67799</v>
      </c>
      <c r="AF12" s="5">
        <f t="shared" si="22"/>
        <v>67799</v>
      </c>
      <c r="AG12" s="5">
        <f t="shared" si="22"/>
        <v>67799</v>
      </c>
      <c r="AH12" s="5">
        <f t="shared" si="22"/>
        <v>67799</v>
      </c>
      <c r="AI12" s="5">
        <f t="shared" si="22"/>
        <v>67799</v>
      </c>
      <c r="AJ12" s="5">
        <f t="shared" si="22"/>
        <v>67799</v>
      </c>
      <c r="AK12" s="5">
        <f t="shared" si="22"/>
        <v>67799</v>
      </c>
      <c r="AL12" s="5">
        <f t="shared" si="22"/>
        <v>67799</v>
      </c>
      <c r="AM12" s="5">
        <f t="shared" si="22"/>
        <v>67799</v>
      </c>
      <c r="AN12" s="5">
        <f t="shared" si="22"/>
        <v>67799</v>
      </c>
    </row>
    <row r="13" spans="1:40" s="5" customFormat="1" outlineLevel="1" x14ac:dyDescent="0.25">
      <c r="A13"/>
      <c r="B13" s="3" t="s">
        <v>27</v>
      </c>
      <c r="C13" s="5">
        <v>10013</v>
      </c>
      <c r="D13" s="5">
        <v>11217</v>
      </c>
      <c r="E13" s="5">
        <v>11996</v>
      </c>
      <c r="F13" s="5">
        <f t="shared" si="0"/>
        <v>12915</v>
      </c>
      <c r="G13" s="5">
        <v>12579</v>
      </c>
      <c r="H13" s="5">
        <v>13602</v>
      </c>
      <c r="I13" s="5">
        <v>14983</v>
      </c>
      <c r="J13" s="5">
        <f t="shared" si="1"/>
        <v>16310</v>
      </c>
      <c r="K13" s="5">
        <v>14745</v>
      </c>
      <c r="L13" s="5">
        <v>16328</v>
      </c>
      <c r="M13" s="5">
        <v>17446</v>
      </c>
      <c r="N13" s="5">
        <f t="shared" si="2"/>
        <v>17275</v>
      </c>
      <c r="O13" s="5">
        <v>16405</v>
      </c>
      <c r="P13" s="26">
        <v>16583</v>
      </c>
      <c r="Q13" s="5">
        <f>M13</f>
        <v>17446</v>
      </c>
      <c r="R13" s="5">
        <f t="shared" si="21"/>
        <v>17275</v>
      </c>
      <c r="T13" t="s">
        <v>68</v>
      </c>
      <c r="U13" s="46">
        <f>U11+U12</f>
        <v>2366912.6686160676</v>
      </c>
      <c r="V13"/>
      <c r="W13" s="20"/>
      <c r="X13" s="5">
        <v>39964</v>
      </c>
      <c r="Y13" s="5">
        <v>46141</v>
      </c>
      <c r="Z13" s="5">
        <v>57474</v>
      </c>
      <c r="AA13" s="5">
        <v>65794</v>
      </c>
      <c r="AB13" s="32">
        <f t="shared" si="7"/>
        <v>67709</v>
      </c>
      <c r="AC13" s="5">
        <f>AB13</f>
        <v>67709</v>
      </c>
      <c r="AD13" s="5">
        <f t="shared" ref="AD13:AN13" si="23">AC13</f>
        <v>67709</v>
      </c>
      <c r="AE13" s="5">
        <f t="shared" si="23"/>
        <v>67709</v>
      </c>
      <c r="AF13" s="5">
        <f t="shared" si="23"/>
        <v>67709</v>
      </c>
      <c r="AG13" s="5">
        <f t="shared" si="23"/>
        <v>67709</v>
      </c>
      <c r="AH13" s="5">
        <f t="shared" si="23"/>
        <v>67709</v>
      </c>
      <c r="AI13" s="5">
        <f t="shared" si="23"/>
        <v>67709</v>
      </c>
      <c r="AJ13" s="5">
        <f t="shared" si="23"/>
        <v>67709</v>
      </c>
      <c r="AK13" s="5">
        <f t="shared" si="23"/>
        <v>67709</v>
      </c>
      <c r="AL13" s="5">
        <f t="shared" si="23"/>
        <v>67709</v>
      </c>
      <c r="AM13" s="5">
        <f t="shared" si="23"/>
        <v>67709</v>
      </c>
      <c r="AN13" s="5">
        <f t="shared" si="23"/>
        <v>67709</v>
      </c>
    </row>
    <row r="14" spans="1:40" s="5" customFormat="1" x14ac:dyDescent="0.25">
      <c r="A14"/>
      <c r="B14" s="3" t="s">
        <v>28</v>
      </c>
      <c r="C14" s="5">
        <f>SUM(C11:C13)</f>
        <v>36085</v>
      </c>
      <c r="D14" s="5">
        <f>SUM(D11:D13)</f>
        <v>40017</v>
      </c>
      <c r="E14" s="5">
        <f>SUM(E11:E13)</f>
        <v>40118</v>
      </c>
      <c r="F14" s="5">
        <f t="shared" si="0"/>
        <v>42900</v>
      </c>
      <c r="G14" s="5">
        <f>SUM(G11:G13)</f>
        <v>40843</v>
      </c>
      <c r="H14" s="5">
        <f>SUM(H11:H13)</f>
        <v>45036</v>
      </c>
      <c r="I14" s="5">
        <f>SUM(I11:I13)</f>
        <v>50119</v>
      </c>
      <c r="J14" s="5">
        <f t="shared" si="1"/>
        <v>53431</v>
      </c>
      <c r="K14" s="5">
        <f>SUM(K11:K13)</f>
        <v>52662</v>
      </c>
      <c r="L14" s="5">
        <f>SUM(L11:L13)</f>
        <v>55995</v>
      </c>
      <c r="M14" s="5">
        <f>SUM(M11:M13)</f>
        <v>58004</v>
      </c>
      <c r="N14" s="5">
        <f t="shared" si="2"/>
        <v>58845</v>
      </c>
      <c r="O14" s="5">
        <f>SUM(O11:O13)</f>
        <v>59512</v>
      </c>
      <c r="P14" s="26">
        <f>SUM(P11:P13)</f>
        <v>59599</v>
      </c>
      <c r="Q14" s="5">
        <f t="shared" ref="Q14:R14" si="24">SUM(Q11:Q13)</f>
        <v>60599.759999999995</v>
      </c>
      <c r="R14" s="5">
        <f t="shared" si="24"/>
        <v>61525.52</v>
      </c>
      <c r="T14" s="33" t="s">
        <v>71</v>
      </c>
      <c r="U14" s="33">
        <f>U13/Main!H6</f>
        <v>72.566841481928677</v>
      </c>
      <c r="V14"/>
      <c r="W14" s="20"/>
      <c r="X14" s="5">
        <f t="shared" ref="X14:AA14" si="25">SUM(X11:X13)</f>
        <v>140543</v>
      </c>
      <c r="Y14" s="5">
        <f t="shared" si="25"/>
        <v>159120</v>
      </c>
      <c r="Z14" s="5">
        <f t="shared" si="25"/>
        <v>189429</v>
      </c>
      <c r="AA14" s="5">
        <f t="shared" si="25"/>
        <v>225506</v>
      </c>
      <c r="AB14" s="32">
        <f t="shared" si="7"/>
        <v>241236.28</v>
      </c>
      <c r="AC14" s="5">
        <f t="shared" ref="AC14:AN14" si="26">SUM(AC11:AC13)</f>
        <v>244847.32</v>
      </c>
      <c r="AD14" s="5">
        <f t="shared" si="26"/>
        <v>248458.36</v>
      </c>
      <c r="AE14" s="5">
        <f t="shared" si="26"/>
        <v>252069.39999999997</v>
      </c>
      <c r="AF14" s="5">
        <f t="shared" si="26"/>
        <v>255680.43999999997</v>
      </c>
      <c r="AG14" s="5">
        <f t="shared" si="26"/>
        <v>259291.47999999998</v>
      </c>
      <c r="AH14" s="5">
        <f t="shared" si="26"/>
        <v>262902.51999999996</v>
      </c>
      <c r="AI14" s="5">
        <f t="shared" si="26"/>
        <v>266513.55999999994</v>
      </c>
      <c r="AJ14" s="5">
        <f t="shared" si="26"/>
        <v>270124.59999999998</v>
      </c>
      <c r="AK14" s="5">
        <f t="shared" si="26"/>
        <v>273735.63999999996</v>
      </c>
      <c r="AL14" s="5">
        <f t="shared" si="26"/>
        <v>277346.67999999993</v>
      </c>
      <c r="AM14" s="5">
        <f t="shared" si="26"/>
        <v>280957.71999999997</v>
      </c>
      <c r="AN14" s="5">
        <f t="shared" si="26"/>
        <v>284568.76</v>
      </c>
    </row>
    <row r="15" spans="1:40" s="8" customFormat="1" x14ac:dyDescent="0.25">
      <c r="A15" s="7"/>
      <c r="B15" s="6" t="s">
        <v>29</v>
      </c>
      <c r="C15" s="8">
        <f>C10-C14</f>
        <v>20350</v>
      </c>
      <c r="D15" s="8">
        <f>D10-D14</f>
        <v>23997</v>
      </c>
      <c r="E15" s="8">
        <f>E10-E14</f>
        <v>36394</v>
      </c>
      <c r="F15" s="8">
        <f t="shared" si="0"/>
        <v>46584</v>
      </c>
      <c r="G15" s="8">
        <f>G10-G14</f>
        <v>48923</v>
      </c>
      <c r="H15" s="8">
        <f>H10-H14</f>
        <v>54145</v>
      </c>
      <c r="I15" s="8">
        <f>I10-I14</f>
        <v>53202</v>
      </c>
      <c r="J15" s="8">
        <f t="shared" si="1"/>
        <v>56091</v>
      </c>
      <c r="K15" s="8">
        <f>K10-K14</f>
        <v>51357</v>
      </c>
      <c r="L15" s="8">
        <f>L10-L14</f>
        <v>63708</v>
      </c>
      <c r="M15" s="8">
        <f>M10-M14</f>
        <v>71680</v>
      </c>
      <c r="N15" s="8">
        <f t="shared" si="2"/>
        <v>79050</v>
      </c>
      <c r="O15" s="8">
        <f>O10-O14</f>
        <v>56539</v>
      </c>
      <c r="P15" s="25">
        <f>P10-P14</f>
        <v>52810</v>
      </c>
      <c r="Q15" s="8">
        <f>Q10-Q14</f>
        <v>47412.31296000001</v>
      </c>
      <c r="R15" s="8">
        <f t="shared" ref="R15" si="27">R10-R14</f>
        <v>49726.915148799999</v>
      </c>
      <c r="W15" s="19"/>
      <c r="X15" s="8">
        <f t="shared" ref="X15:AA15" si="28">X10-X14</f>
        <v>58041</v>
      </c>
      <c r="Y15" s="8">
        <f t="shared" si="28"/>
        <v>127325</v>
      </c>
      <c r="Z15" s="8">
        <f t="shared" si="28"/>
        <v>212361</v>
      </c>
      <c r="AA15" s="8">
        <f t="shared" si="28"/>
        <v>265795</v>
      </c>
      <c r="AB15" s="35">
        <f t="shared" si="7"/>
        <v>206488.22810880002</v>
      </c>
      <c r="AC15" s="8">
        <f t="shared" ref="AC15:AN15" si="29">AC10-AC14</f>
        <v>211621.35215206392</v>
      </c>
      <c r="AD15" s="8">
        <f t="shared" si="29"/>
        <v>221704.3723166259</v>
      </c>
      <c r="AE15" s="8">
        <f t="shared" si="29"/>
        <v>232198.21428612474</v>
      </c>
      <c r="AF15" s="8">
        <f t="shared" si="29"/>
        <v>243115.20271470843</v>
      </c>
      <c r="AG15" s="8">
        <f t="shared" si="29"/>
        <v>254468.03199614963</v>
      </c>
      <c r="AH15" s="8">
        <f t="shared" si="29"/>
        <v>266269.77735603409</v>
      </c>
      <c r="AI15" s="8">
        <f t="shared" si="29"/>
        <v>278533.90627671522</v>
      </c>
      <c r="AJ15" s="8">
        <f t="shared" si="29"/>
        <v>291274.29026501661</v>
      </c>
      <c r="AK15" s="8">
        <f t="shared" si="29"/>
        <v>304505.21697296709</v>
      </c>
      <c r="AL15" s="8">
        <f t="shared" si="29"/>
        <v>318241.40268215619</v>
      </c>
      <c r="AM15" s="8">
        <f t="shared" si="29"/>
        <v>332498.00516262092</v>
      </c>
      <c r="AN15" s="8">
        <f t="shared" si="29"/>
        <v>347290.63691749948</v>
      </c>
    </row>
    <row r="16" spans="1:40" s="5" customFormat="1" x14ac:dyDescent="0.25">
      <c r="A16"/>
      <c r="B16" s="3" t="s">
        <v>30</v>
      </c>
      <c r="C16" s="5">
        <v>33</v>
      </c>
      <c r="D16" s="5">
        <v>40</v>
      </c>
      <c r="E16" s="5">
        <v>51</v>
      </c>
      <c r="F16" s="5">
        <f t="shared" si="0"/>
        <v>85</v>
      </c>
      <c r="G16" s="5">
        <v>95</v>
      </c>
      <c r="H16" s="5">
        <v>352</v>
      </c>
      <c r="I16" s="5">
        <v>1111</v>
      </c>
      <c r="J16" s="5">
        <f t="shared" si="1"/>
        <v>2993</v>
      </c>
      <c r="K16" s="5">
        <v>3936</v>
      </c>
      <c r="L16" s="5">
        <v>4307</v>
      </c>
      <c r="M16" s="5">
        <v>4580</v>
      </c>
      <c r="N16" s="5">
        <f t="shared" si="2"/>
        <v>5376</v>
      </c>
      <c r="O16" s="5">
        <v>5516</v>
      </c>
      <c r="P16" s="26">
        <v>6051</v>
      </c>
      <c r="Q16" s="5">
        <f>M16+1666</f>
        <v>6246</v>
      </c>
      <c r="R16" s="5">
        <f t="shared" ref="R16" si="30">N16+1666</f>
        <v>7042</v>
      </c>
      <c r="W16" s="20"/>
      <c r="X16" s="5">
        <v>738</v>
      </c>
      <c r="Y16" s="5">
        <v>209</v>
      </c>
      <c r="Z16" s="5">
        <v>4551</v>
      </c>
      <c r="AA16" s="5">
        <v>18199</v>
      </c>
      <c r="AB16" s="32">
        <f t="shared" si="7"/>
        <v>24855</v>
      </c>
      <c r="AC16" s="5">
        <f>AB16+1666*4</f>
        <v>31519</v>
      </c>
      <c r="AD16" s="5">
        <f t="shared" ref="AD16:AN16" si="31">AC16+1666*4</f>
        <v>38183</v>
      </c>
      <c r="AE16" s="5">
        <f t="shared" si="31"/>
        <v>44847</v>
      </c>
      <c r="AF16" s="5">
        <f t="shared" si="31"/>
        <v>51511</v>
      </c>
      <c r="AG16" s="5">
        <f t="shared" si="31"/>
        <v>58175</v>
      </c>
      <c r="AH16" s="5">
        <f t="shared" si="31"/>
        <v>64839</v>
      </c>
      <c r="AI16" s="5">
        <f t="shared" si="31"/>
        <v>71503</v>
      </c>
      <c r="AJ16" s="5">
        <f t="shared" si="31"/>
        <v>78167</v>
      </c>
      <c r="AK16" s="5">
        <f t="shared" si="31"/>
        <v>84831</v>
      </c>
      <c r="AL16" s="5">
        <f t="shared" si="31"/>
        <v>91495</v>
      </c>
      <c r="AM16" s="5">
        <f t="shared" si="31"/>
        <v>98159</v>
      </c>
      <c r="AN16" s="5">
        <f t="shared" si="31"/>
        <v>104823</v>
      </c>
    </row>
    <row r="17" spans="1:81" s="5" customFormat="1" x14ac:dyDescent="0.25">
      <c r="A17"/>
      <c r="B17" s="3" t="s">
        <v>31</v>
      </c>
      <c r="C17" s="5">
        <v>-1029</v>
      </c>
      <c r="D17" s="5">
        <v>-1274</v>
      </c>
      <c r="E17" s="5">
        <v>-1269</v>
      </c>
      <c r="F17" s="5">
        <f t="shared" si="0"/>
        <v>-1263</v>
      </c>
      <c r="G17" s="5">
        <v>-1518</v>
      </c>
      <c r="H17" s="5">
        <v>-1250</v>
      </c>
      <c r="I17" s="5">
        <v>-1333</v>
      </c>
      <c r="J17" s="5">
        <f t="shared" si="1"/>
        <v>-1475</v>
      </c>
      <c r="K17" s="5">
        <v>-1353</v>
      </c>
      <c r="L17" s="5">
        <v>-1349</v>
      </c>
      <c r="M17" s="5">
        <v>-1325</v>
      </c>
      <c r="N17" s="5">
        <f t="shared" si="2"/>
        <v>-1320</v>
      </c>
      <c r="O17" s="5">
        <v>-1346</v>
      </c>
      <c r="P17" s="26">
        <v>-1339</v>
      </c>
      <c r="Q17" s="5">
        <f>P17-25</f>
        <v>-1364</v>
      </c>
      <c r="R17" s="5">
        <f t="shared" ref="R17" si="32">Q17-25</f>
        <v>-1389</v>
      </c>
      <c r="W17" s="20"/>
      <c r="X17" s="5">
        <v>-5211</v>
      </c>
      <c r="Y17" s="5">
        <v>-4835</v>
      </c>
      <c r="Z17" s="5">
        <v>-5576</v>
      </c>
      <c r="AA17" s="5">
        <v>-5347</v>
      </c>
      <c r="AB17" s="32">
        <f t="shared" si="7"/>
        <v>-5438</v>
      </c>
      <c r="AC17" s="5">
        <f t="shared" ref="AC17" si="33">AB17-25</f>
        <v>-5463</v>
      </c>
      <c r="AD17" s="5">
        <f t="shared" ref="AD17" si="34">AC17-25</f>
        <v>-5488</v>
      </c>
      <c r="AE17" s="5">
        <f t="shared" ref="AE17" si="35">AD17-25</f>
        <v>-5513</v>
      </c>
      <c r="AF17" s="5">
        <f t="shared" ref="AF17" si="36">AE17-25</f>
        <v>-5538</v>
      </c>
      <c r="AG17" s="5">
        <f t="shared" ref="AG17" si="37">AF17-25</f>
        <v>-5563</v>
      </c>
      <c r="AH17" s="5">
        <f t="shared" ref="AH17" si="38">AG17-25</f>
        <v>-5588</v>
      </c>
      <c r="AI17" s="5">
        <f t="shared" ref="AI17" si="39">AH17-25</f>
        <v>-5613</v>
      </c>
      <c r="AJ17" s="5">
        <f t="shared" ref="AJ17" si="40">AI17-25</f>
        <v>-5638</v>
      </c>
      <c r="AK17" s="5">
        <f t="shared" ref="AK17" si="41">AJ17-25</f>
        <v>-5663</v>
      </c>
      <c r="AL17" s="5">
        <f t="shared" ref="AL17" si="42">AK17-25</f>
        <v>-5688</v>
      </c>
      <c r="AM17" s="5">
        <f t="shared" ref="AM17" si="43">AL17-25</f>
        <v>-5713</v>
      </c>
      <c r="AN17" s="5">
        <f t="shared" ref="AN17" si="44">AM17-25</f>
        <v>-5738</v>
      </c>
    </row>
    <row r="18" spans="1:81" s="5" customFormat="1" x14ac:dyDescent="0.25">
      <c r="A18"/>
      <c r="B18" s="3" t="s">
        <v>32</v>
      </c>
      <c r="C18" s="5">
        <v>-1153</v>
      </c>
      <c r="D18" s="5">
        <v>-15</v>
      </c>
      <c r="E18" s="5">
        <v>-963</v>
      </c>
      <c r="F18" s="5">
        <f t="shared" si="0"/>
        <v>-140</v>
      </c>
      <c r="G18" s="5">
        <v>-1617</v>
      </c>
      <c r="H18" s="5">
        <v>-5051</v>
      </c>
      <c r="I18" s="5">
        <v>-7971</v>
      </c>
      <c r="J18" s="5">
        <f t="shared" si="1"/>
        <v>8188</v>
      </c>
      <c r="K18" s="5">
        <v>-1038</v>
      </c>
      <c r="L18" s="5">
        <v>-2050</v>
      </c>
      <c r="M18" s="5">
        <v>-1260</v>
      </c>
      <c r="N18" s="5">
        <f t="shared" si="2"/>
        <v>4300</v>
      </c>
      <c r="O18" s="5">
        <v>-1710</v>
      </c>
      <c r="P18" s="26">
        <v>-257</v>
      </c>
      <c r="Q18" s="5">
        <f>P18</f>
        <v>-257</v>
      </c>
      <c r="R18" s="5">
        <f t="shared" ref="R18" si="45">Q18</f>
        <v>-257</v>
      </c>
      <c r="W18" s="20"/>
      <c r="X18" s="5">
        <v>2318</v>
      </c>
      <c r="Y18" s="5">
        <v>-2271</v>
      </c>
      <c r="Z18" s="5">
        <v>-6451</v>
      </c>
      <c r="AA18" s="5">
        <v>-48</v>
      </c>
      <c r="AB18" s="32">
        <f t="shared" si="7"/>
        <v>-2481</v>
      </c>
      <c r="AC18" s="5">
        <f>R18*4</f>
        <v>-1028</v>
      </c>
      <c r="AD18" s="5">
        <f t="shared" ref="AD18:AN18" si="46">S18*4</f>
        <v>0</v>
      </c>
      <c r="AE18" s="5">
        <f t="shared" si="46"/>
        <v>0</v>
      </c>
      <c r="AF18" s="5">
        <f t="shared" si="46"/>
        <v>0</v>
      </c>
      <c r="AG18" s="5">
        <f t="shared" si="46"/>
        <v>0</v>
      </c>
      <c r="AH18" s="5">
        <f t="shared" si="46"/>
        <v>0</v>
      </c>
      <c r="AI18" s="5">
        <f t="shared" si="46"/>
        <v>9272</v>
      </c>
      <c r="AJ18" s="5">
        <f t="shared" si="46"/>
        <v>-9084</v>
      </c>
      <c r="AK18" s="5">
        <f t="shared" si="46"/>
        <v>-25804</v>
      </c>
      <c r="AL18" s="5">
        <f t="shared" si="46"/>
        <v>-192</v>
      </c>
      <c r="AM18" s="5">
        <f t="shared" si="46"/>
        <v>-9924</v>
      </c>
      <c r="AN18" s="5">
        <f t="shared" si="46"/>
        <v>-4112</v>
      </c>
    </row>
    <row r="19" spans="1:81" s="5" customFormat="1" x14ac:dyDescent="0.25">
      <c r="A19"/>
      <c r="B19" s="3" t="s">
        <v>33</v>
      </c>
      <c r="C19" s="5">
        <f>SUM(C15:C18)</f>
        <v>18201</v>
      </c>
      <c r="D19" s="5">
        <f>SUM(D15:D18)</f>
        <v>22748</v>
      </c>
      <c r="E19" s="5">
        <f>SUM(E15:E18)</f>
        <v>34213</v>
      </c>
      <c r="F19" s="5">
        <f t="shared" si="0"/>
        <v>45266</v>
      </c>
      <c r="G19" s="5">
        <f>SUM(G15:G18)</f>
        <v>45883</v>
      </c>
      <c r="H19" s="5">
        <f>SUM(H15:H18)</f>
        <v>48196</v>
      </c>
      <c r="I19" s="5">
        <f>SUM(I15:I18)</f>
        <v>45009</v>
      </c>
      <c r="J19" s="5">
        <f t="shared" si="1"/>
        <v>65797</v>
      </c>
      <c r="K19" s="5">
        <f>SUM(K15:K18)</f>
        <v>52902</v>
      </c>
      <c r="L19" s="5">
        <f>SUM(L15:L18)</f>
        <v>64616</v>
      </c>
      <c r="M19" s="5">
        <f>SUM(M15:M18)</f>
        <v>73675</v>
      </c>
      <c r="N19" s="5">
        <f t="shared" si="2"/>
        <v>87406</v>
      </c>
      <c r="O19" s="5">
        <f>SUM(O15:O18)</f>
        <v>58999</v>
      </c>
      <c r="P19" s="5">
        <f>SUM(P15:P18)</f>
        <v>57265</v>
      </c>
      <c r="Q19" s="32">
        <f t="shared" ref="Q19:R19" si="47">SUM(Q15:Q18)</f>
        <v>52037.31296000001</v>
      </c>
      <c r="R19" s="5">
        <f t="shared" si="47"/>
        <v>55122.915148799999</v>
      </c>
      <c r="W19" s="20"/>
      <c r="X19" s="5">
        <f t="shared" ref="X19:AA19" si="48">SUM(X15:X18)</f>
        <v>55886</v>
      </c>
      <c r="Y19" s="5">
        <f t="shared" si="48"/>
        <v>120428</v>
      </c>
      <c r="Z19" s="5">
        <f t="shared" si="48"/>
        <v>204885</v>
      </c>
      <c r="AA19" s="5">
        <f t="shared" si="48"/>
        <v>278599</v>
      </c>
      <c r="AB19" s="32">
        <f t="shared" si="7"/>
        <v>223424.22810880002</v>
      </c>
      <c r="AC19" s="5">
        <f t="shared" ref="AC19:AN19" si="49">SUM(AC15:AC18)</f>
        <v>236649.35215206392</v>
      </c>
      <c r="AD19" s="5">
        <f t="shared" si="49"/>
        <v>254399.3723166259</v>
      </c>
      <c r="AE19" s="5">
        <f t="shared" si="49"/>
        <v>271532.21428612474</v>
      </c>
      <c r="AF19" s="5">
        <f t="shared" si="49"/>
        <v>289088.2027147084</v>
      </c>
      <c r="AG19" s="5">
        <f t="shared" si="49"/>
        <v>307080.03199614963</v>
      </c>
      <c r="AH19" s="5">
        <f t="shared" si="49"/>
        <v>325520.77735603409</v>
      </c>
      <c r="AI19" s="5">
        <f t="shared" si="49"/>
        <v>353695.90627671522</v>
      </c>
      <c r="AJ19" s="5">
        <f t="shared" si="49"/>
        <v>354719.29026501661</v>
      </c>
      <c r="AK19" s="5">
        <f t="shared" si="49"/>
        <v>357869.21697296709</v>
      </c>
      <c r="AL19" s="5">
        <f t="shared" si="49"/>
        <v>403856.40268215619</v>
      </c>
      <c r="AM19" s="5">
        <f t="shared" si="49"/>
        <v>415020.00516262092</v>
      </c>
      <c r="AN19" s="5">
        <f t="shared" si="49"/>
        <v>442263.63691749948</v>
      </c>
    </row>
    <row r="20" spans="1:81" s="5" customFormat="1" x14ac:dyDescent="0.25">
      <c r="A20"/>
      <c r="B20" s="3" t="s">
        <v>34</v>
      </c>
      <c r="C20" s="5">
        <v>1721</v>
      </c>
      <c r="D20" s="5">
        <v>3842</v>
      </c>
      <c r="E20" s="5">
        <v>6698</v>
      </c>
      <c r="F20" s="5">
        <f t="shared" si="0"/>
        <v>9517</v>
      </c>
      <c r="G20" s="5">
        <v>4269</v>
      </c>
      <c r="H20" s="5">
        <v>4007</v>
      </c>
      <c r="I20" s="5">
        <v>4726</v>
      </c>
      <c r="J20" s="5">
        <f t="shared" si="1"/>
        <v>8804</v>
      </c>
      <c r="K20" s="5">
        <v>5205</v>
      </c>
      <c r="L20" s="5">
        <v>3037</v>
      </c>
      <c r="M20" s="5">
        <v>7744</v>
      </c>
      <c r="N20" s="5">
        <f t="shared" si="2"/>
        <v>16350</v>
      </c>
      <c r="O20" s="5">
        <v>7404</v>
      </c>
      <c r="P20" s="26">
        <v>6399</v>
      </c>
      <c r="Q20" s="5">
        <f>Q28*Q19</f>
        <v>5203.7312960000017</v>
      </c>
      <c r="R20" s="5">
        <f t="shared" ref="R20" si="50">R28*R19</f>
        <v>5512.2915148800002</v>
      </c>
      <c r="W20" s="20"/>
      <c r="X20" s="5">
        <v>5904</v>
      </c>
      <c r="Y20" s="5">
        <v>21778</v>
      </c>
      <c r="Z20" s="5">
        <v>21806</v>
      </c>
      <c r="AA20" s="5">
        <v>32336</v>
      </c>
      <c r="AB20" s="32">
        <f t="shared" si="7"/>
        <v>24519.02281088</v>
      </c>
      <c r="AC20" s="5">
        <f t="shared" ref="AC20:AN20" si="51">AC28*AC19</f>
        <v>23664.935215206395</v>
      </c>
      <c r="AD20" s="5">
        <f t="shared" si="51"/>
        <v>25439.937231662592</v>
      </c>
      <c r="AE20" s="5">
        <f t="shared" si="51"/>
        <v>27153.221428612476</v>
      </c>
      <c r="AF20" s="5">
        <f t="shared" si="51"/>
        <v>28908.820271470842</v>
      </c>
      <c r="AG20" s="5">
        <f t="shared" si="51"/>
        <v>30708.003199614963</v>
      </c>
      <c r="AH20" s="5">
        <f t="shared" si="51"/>
        <v>32552.077735603409</v>
      </c>
      <c r="AI20" s="5">
        <f t="shared" si="51"/>
        <v>35369.590627671525</v>
      </c>
      <c r="AJ20" s="5">
        <f t="shared" si="51"/>
        <v>35471.929026501661</v>
      </c>
      <c r="AK20" s="5">
        <f t="shared" si="51"/>
        <v>35786.921697296711</v>
      </c>
      <c r="AL20" s="5">
        <f t="shared" si="51"/>
        <v>40385.640268215619</v>
      </c>
      <c r="AM20" s="5">
        <f t="shared" si="51"/>
        <v>41502.000516262095</v>
      </c>
      <c r="AN20" s="5">
        <f t="shared" si="51"/>
        <v>44226.363691749953</v>
      </c>
    </row>
    <row r="21" spans="1:81" s="4" customFormat="1" x14ac:dyDescent="0.25">
      <c r="A21"/>
      <c r="B21" s="3" t="s">
        <v>35</v>
      </c>
      <c r="C21" s="5">
        <f>C19-C20</f>
        <v>16480</v>
      </c>
      <c r="D21" s="5">
        <f>D19-D20</f>
        <v>18906</v>
      </c>
      <c r="E21" s="5">
        <f>E19-E20</f>
        <v>27515</v>
      </c>
      <c r="F21" s="5">
        <f t="shared" si="0"/>
        <v>35749</v>
      </c>
      <c r="G21" s="5">
        <f>G19-G20</f>
        <v>41614</v>
      </c>
      <c r="H21" s="5">
        <f>H19-H20</f>
        <v>44189</v>
      </c>
      <c r="I21" s="5">
        <f>I19-I20</f>
        <v>40283</v>
      </c>
      <c r="J21" s="5">
        <f t="shared" si="1"/>
        <v>56993</v>
      </c>
      <c r="K21" s="5">
        <f>K19-K20</f>
        <v>47697</v>
      </c>
      <c r="L21" s="5">
        <f>L19-L20</f>
        <v>61579</v>
      </c>
      <c r="M21" s="5">
        <f>M19-M20</f>
        <v>65931</v>
      </c>
      <c r="N21" s="5">
        <f t="shared" si="2"/>
        <v>71056</v>
      </c>
      <c r="O21" s="5">
        <f>O19-O20</f>
        <v>51595</v>
      </c>
      <c r="P21" s="26">
        <f>P19-P20</f>
        <v>50866</v>
      </c>
      <c r="Q21" s="5">
        <f>Q19-Q20</f>
        <v>46833.581664000012</v>
      </c>
      <c r="R21" s="5">
        <f t="shared" ref="R21" si="52">R19-R20</f>
        <v>49610.623633919997</v>
      </c>
      <c r="S21" s="5"/>
      <c r="T21" s="5"/>
      <c r="U21" s="5"/>
      <c r="V21" s="5"/>
      <c r="W21" s="20"/>
      <c r="X21" s="5">
        <f t="shared" ref="X21:AA21" si="53">X19-X20</f>
        <v>49982</v>
      </c>
      <c r="Y21" s="5">
        <f t="shared" si="53"/>
        <v>98650</v>
      </c>
      <c r="Z21" s="5">
        <f t="shared" si="53"/>
        <v>183079</v>
      </c>
      <c r="AA21" s="5">
        <f t="shared" si="53"/>
        <v>246263</v>
      </c>
      <c r="AB21" s="32">
        <f t="shared" si="7"/>
        <v>198905.20529791998</v>
      </c>
      <c r="AC21" s="5">
        <f t="shared" ref="AC21:AN21" si="54">AC19-AC20</f>
        <v>212984.41693685751</v>
      </c>
      <c r="AD21" s="5">
        <f t="shared" si="54"/>
        <v>228959.4350849633</v>
      </c>
      <c r="AE21" s="5">
        <f t="shared" si="54"/>
        <v>244378.99285751226</v>
      </c>
      <c r="AF21" s="5">
        <f t="shared" si="54"/>
        <v>260179.38244323755</v>
      </c>
      <c r="AG21" s="5">
        <f t="shared" si="54"/>
        <v>276372.02879653464</v>
      </c>
      <c r="AH21" s="5">
        <f t="shared" si="54"/>
        <v>292968.69962043071</v>
      </c>
      <c r="AI21" s="5">
        <f t="shared" si="54"/>
        <v>318326.31564904371</v>
      </c>
      <c r="AJ21" s="5">
        <f t="shared" si="54"/>
        <v>319247.36123851495</v>
      </c>
      <c r="AK21" s="5">
        <f t="shared" si="54"/>
        <v>322082.29527567036</v>
      </c>
      <c r="AL21" s="5">
        <f t="shared" si="54"/>
        <v>363470.76241394057</v>
      </c>
      <c r="AM21" s="5">
        <f t="shared" si="54"/>
        <v>373518.00464635884</v>
      </c>
      <c r="AN21" s="5">
        <f t="shared" si="54"/>
        <v>398037.27322574949</v>
      </c>
      <c r="AO21" s="4">
        <f t="shared" ref="AO21:CC21" si="55">AN21*(1+$U$10)</f>
        <v>386096.15502897702</v>
      </c>
      <c r="AP21" s="4">
        <f t="shared" si="55"/>
        <v>374513.27037810773</v>
      </c>
      <c r="AQ21" s="4">
        <f t="shared" si="55"/>
        <v>363277.87226676446</v>
      </c>
      <c r="AR21" s="4">
        <f t="shared" si="55"/>
        <v>352379.53609876154</v>
      </c>
      <c r="AS21" s="4">
        <f t="shared" si="55"/>
        <v>341808.15001579869</v>
      </c>
      <c r="AT21" s="4">
        <f t="shared" si="55"/>
        <v>331553.90551532473</v>
      </c>
      <c r="AU21" s="4">
        <f t="shared" si="55"/>
        <v>321607.288349865</v>
      </c>
      <c r="AV21" s="4">
        <f t="shared" si="55"/>
        <v>311959.06969936902</v>
      </c>
      <c r="AW21" s="4">
        <f t="shared" si="55"/>
        <v>302600.29760838795</v>
      </c>
      <c r="AX21" s="4">
        <f t="shared" si="55"/>
        <v>293522.28868013632</v>
      </c>
      <c r="AY21" s="4">
        <f t="shared" si="55"/>
        <v>284716.62001973222</v>
      </c>
      <c r="AZ21" s="4">
        <f t="shared" si="55"/>
        <v>276175.12141914025</v>
      </c>
      <c r="BA21" s="4">
        <f t="shared" si="55"/>
        <v>267889.86777656601</v>
      </c>
      <c r="BB21" s="4">
        <f t="shared" si="55"/>
        <v>259853.17174326902</v>
      </c>
      <c r="BC21" s="4">
        <f t="shared" si="55"/>
        <v>252057.57659097094</v>
      </c>
      <c r="BD21" s="4">
        <f t="shared" si="55"/>
        <v>244495.8492932418</v>
      </c>
      <c r="BE21" s="4">
        <f t="shared" si="55"/>
        <v>237160.97381444453</v>
      </c>
      <c r="BF21" s="4">
        <f t="shared" si="55"/>
        <v>230046.14460001118</v>
      </c>
      <c r="BG21" s="4">
        <f t="shared" si="55"/>
        <v>223144.76026201082</v>
      </c>
      <c r="BH21" s="4">
        <f t="shared" si="55"/>
        <v>216450.41745415051</v>
      </c>
      <c r="BI21" s="4">
        <f t="shared" si="55"/>
        <v>209956.90493052598</v>
      </c>
      <c r="BJ21" s="4">
        <f t="shared" si="55"/>
        <v>203658.19778261019</v>
      </c>
      <c r="BK21" s="4">
        <f t="shared" si="55"/>
        <v>197548.45184913187</v>
      </c>
      <c r="BL21" s="4">
        <f t="shared" si="55"/>
        <v>191621.9982936579</v>
      </c>
      <c r="BM21" s="4">
        <f t="shared" si="55"/>
        <v>185873.33834484816</v>
      </c>
      <c r="BN21" s="4">
        <f t="shared" si="55"/>
        <v>180297.13819450271</v>
      </c>
      <c r="BO21" s="4">
        <f t="shared" si="55"/>
        <v>174888.22404866762</v>
      </c>
      <c r="BP21" s="4">
        <f t="shared" si="55"/>
        <v>169641.57732720757</v>
      </c>
      <c r="BQ21" s="4">
        <f t="shared" si="55"/>
        <v>164552.33000739134</v>
      </c>
      <c r="BR21" s="4">
        <f t="shared" si="55"/>
        <v>159615.7601071696</v>
      </c>
      <c r="BS21" s="4">
        <f t="shared" si="55"/>
        <v>154827.28730395451</v>
      </c>
      <c r="BT21" s="4">
        <f t="shared" si="55"/>
        <v>150182.46868483588</v>
      </c>
      <c r="BU21" s="4">
        <f t="shared" si="55"/>
        <v>145676.99462429079</v>
      </c>
      <c r="BV21" s="4">
        <f t="shared" si="55"/>
        <v>141306.68478556207</v>
      </c>
      <c r="BW21" s="4">
        <f t="shared" si="55"/>
        <v>137067.4842419952</v>
      </c>
      <c r="BX21" s="4">
        <f t="shared" si="55"/>
        <v>132955.45971473533</v>
      </c>
      <c r="BY21" s="4">
        <f t="shared" si="55"/>
        <v>128966.79592329328</v>
      </c>
      <c r="BZ21" s="4">
        <f t="shared" si="55"/>
        <v>125097.79204559447</v>
      </c>
      <c r="CA21" s="4">
        <f t="shared" si="55"/>
        <v>121344.85828422663</v>
      </c>
      <c r="CB21" s="4">
        <f t="shared" si="55"/>
        <v>117704.51253569983</v>
      </c>
      <c r="CC21" s="4">
        <f t="shared" si="55"/>
        <v>114173.37715962883</v>
      </c>
    </row>
    <row r="22" spans="1:81" s="5" customFormat="1" x14ac:dyDescent="0.25">
      <c r="A22"/>
      <c r="B22" s="3" t="s">
        <v>36</v>
      </c>
      <c r="C22" s="4">
        <f>C21/C23</f>
        <v>0.47570937851802675</v>
      </c>
      <c r="D22" s="4">
        <f>D21/D23</f>
        <v>0.55101862376497335</v>
      </c>
      <c r="E22" s="4">
        <f>E21/E23</f>
        <v>0.80715186717122822</v>
      </c>
      <c r="F22" s="4">
        <f t="shared" si="0"/>
        <v>1.0448991663809535</v>
      </c>
      <c r="G22" s="4">
        <f>G21/G23</f>
        <v>1.2248778477659386</v>
      </c>
      <c r="H22" s="4">
        <f>H21/H23</f>
        <v>1.3166378642512364</v>
      </c>
      <c r="I22" s="4">
        <f>I21/I23</f>
        <v>1.2064751864386474</v>
      </c>
      <c r="J22" s="4">
        <f t="shared" si="1"/>
        <v>1.710210759167456</v>
      </c>
      <c r="K22" s="4">
        <f>K21/K23</f>
        <v>1.4326434986333463</v>
      </c>
      <c r="L22" s="4">
        <f>L21/L23</f>
        <v>1.8554038988821597</v>
      </c>
      <c r="M22" s="4">
        <f>M21/M23</f>
        <v>1.9883289604632226</v>
      </c>
      <c r="N22" s="4">
        <f t="shared" si="2"/>
        <v>2.1490118524841089</v>
      </c>
      <c r="O22" s="4">
        <f>O21/O23</f>
        <v>1.5669987244123185</v>
      </c>
      <c r="P22" s="28">
        <f>P21/P23</f>
        <v>1.5521650239541058</v>
      </c>
      <c r="Q22" s="4">
        <f t="shared" ref="Q22:R22" si="56">Q21/Q23</f>
        <v>1.4291166477678439</v>
      </c>
      <c r="R22" s="4">
        <f t="shared" si="56"/>
        <v>1.5138574847859387</v>
      </c>
      <c r="S22" s="4"/>
      <c r="T22" s="4"/>
      <c r="U22" s="4"/>
      <c r="V22" s="4"/>
      <c r="W22" s="22"/>
      <c r="X22" s="4">
        <f t="shared" ref="X22:AA22" si="57">X21/X23</f>
        <v>1.4645452414439757</v>
      </c>
      <c r="Y22" s="4">
        <f t="shared" si="57"/>
        <v>2.8787790358351817</v>
      </c>
      <c r="Z22" s="4">
        <f t="shared" si="57"/>
        <v>5.4582016576232784</v>
      </c>
      <c r="AA22" s="4">
        <f t="shared" si="57"/>
        <v>7.4253882104628373</v>
      </c>
      <c r="AB22" s="37">
        <f t="shared" si="7"/>
        <v>6.0621378809202078</v>
      </c>
      <c r="AC22" s="4">
        <f t="shared" ref="AC22:AN22" si="58">AC21/AC23</f>
        <v>6.4991735661669621</v>
      </c>
      <c r="AD22" s="4">
        <f t="shared" si="58"/>
        <v>6.9866478009509416</v>
      </c>
      <c r="AE22" s="4">
        <f t="shared" si="58"/>
        <v>7.4571722821248132</v>
      </c>
      <c r="AF22" s="4">
        <f t="shared" si="58"/>
        <v>7.9393177639753914</v>
      </c>
      <c r="AG22" s="4">
        <f t="shared" si="58"/>
        <v>8.433432876522982</v>
      </c>
      <c r="AH22" s="4">
        <f t="shared" si="58"/>
        <v>8.9398767086884963</v>
      </c>
      <c r="AI22" s="4">
        <f t="shared" si="58"/>
        <v>9.7136588950304752</v>
      </c>
      <c r="AJ22" s="4">
        <f t="shared" si="58"/>
        <v>9.7417644026277799</v>
      </c>
      <c r="AK22" s="4">
        <f t="shared" si="58"/>
        <v>9.8282718035967882</v>
      </c>
      <c r="AL22" s="4">
        <f t="shared" si="58"/>
        <v>11.091231955507631</v>
      </c>
      <c r="AM22" s="4">
        <f t="shared" si="58"/>
        <v>11.397821386175547</v>
      </c>
      <c r="AN22" s="4">
        <f t="shared" si="58"/>
        <v>12.146021580841277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81" s="9" customFormat="1" x14ac:dyDescent="0.25">
      <c r="B23" s="11" t="s">
        <v>37</v>
      </c>
      <c r="C23" s="16">
        <v>34643</v>
      </c>
      <c r="D23" s="16">
        <v>34311</v>
      </c>
      <c r="E23" s="16">
        <v>34089</v>
      </c>
      <c r="F23" s="16">
        <f>Y23</f>
        <v>34268</v>
      </c>
      <c r="G23" s="16">
        <v>33974</v>
      </c>
      <c r="H23" s="15">
        <v>33562</v>
      </c>
      <c r="I23" s="15">
        <v>33389</v>
      </c>
      <c r="J23" s="5">
        <f>Z23</f>
        <v>33542</v>
      </c>
      <c r="K23" s="15">
        <v>33293</v>
      </c>
      <c r="L23" s="9">
        <v>33189</v>
      </c>
      <c r="M23" s="9">
        <v>33159</v>
      </c>
      <c r="N23" s="9">
        <f>AA23</f>
        <v>33165</v>
      </c>
      <c r="O23" s="9">
        <v>32926</v>
      </c>
      <c r="P23" s="29">
        <v>32771</v>
      </c>
      <c r="Q23" s="15">
        <f>P23</f>
        <v>32771</v>
      </c>
      <c r="R23" s="9">
        <f>Q23</f>
        <v>32771</v>
      </c>
      <c r="W23" s="10"/>
      <c r="X23" s="9">
        <v>34128</v>
      </c>
      <c r="Y23" s="9">
        <v>34268</v>
      </c>
      <c r="Z23" s="9">
        <v>33542</v>
      </c>
      <c r="AA23" s="9">
        <v>33165</v>
      </c>
      <c r="AB23" s="38">
        <f>R23</f>
        <v>32771</v>
      </c>
      <c r="AC23" s="9">
        <f>AB23</f>
        <v>32771</v>
      </c>
      <c r="AD23" s="9">
        <f t="shared" ref="AD23:AN23" si="59">AC23</f>
        <v>32771</v>
      </c>
      <c r="AE23" s="9">
        <f t="shared" si="59"/>
        <v>32771</v>
      </c>
      <c r="AF23" s="9">
        <f t="shared" si="59"/>
        <v>32771</v>
      </c>
      <c r="AG23" s="9">
        <f t="shared" si="59"/>
        <v>32771</v>
      </c>
      <c r="AH23" s="9">
        <f t="shared" si="59"/>
        <v>32771</v>
      </c>
      <c r="AI23" s="9">
        <f t="shared" si="59"/>
        <v>32771</v>
      </c>
      <c r="AJ23" s="9">
        <f t="shared" si="59"/>
        <v>32771</v>
      </c>
      <c r="AK23" s="9">
        <f t="shared" si="59"/>
        <v>32771</v>
      </c>
      <c r="AL23" s="9">
        <f t="shared" si="59"/>
        <v>32771</v>
      </c>
      <c r="AM23" s="9">
        <f t="shared" si="59"/>
        <v>32771</v>
      </c>
      <c r="AN23" s="9">
        <f t="shared" si="59"/>
        <v>32771</v>
      </c>
    </row>
    <row r="24" spans="1:81" x14ac:dyDescent="0.25">
      <c r="P24" s="30"/>
      <c r="AB24" s="39"/>
    </row>
    <row r="25" spans="1:81" x14ac:dyDescent="0.25">
      <c r="B25" s="3" t="s">
        <v>38</v>
      </c>
      <c r="C25" s="18">
        <f>C10/C4</f>
        <v>0.42503916370428391</v>
      </c>
      <c r="D25" s="18">
        <f t="shared" ref="D25:AA25" si="60">D10/D4</f>
        <v>0.43465920664883145</v>
      </c>
      <c r="E25" s="18">
        <f t="shared" si="60"/>
        <v>0.43301979693707765</v>
      </c>
      <c r="F25" s="18">
        <f t="shared" si="60"/>
        <v>0.43505571653604558</v>
      </c>
      <c r="G25" s="18">
        <f t="shared" si="60"/>
        <v>0.440904737346202</v>
      </c>
      <c r="H25" s="18">
        <f t="shared" si="60"/>
        <v>0.44842366068804623</v>
      </c>
      <c r="I25" s="18">
        <f t="shared" si="60"/>
        <v>0.45083887858623323</v>
      </c>
      <c r="J25" s="18">
        <f t="shared" si="60"/>
        <v>0.41165791521174511</v>
      </c>
      <c r="K25" s="18">
        <f t="shared" si="60"/>
        <v>0.40949137863160379</v>
      </c>
      <c r="L25" s="18">
        <f t="shared" si="60"/>
        <v>0.43692010074095705</v>
      </c>
      <c r="M25" s="18">
        <f t="shared" si="60"/>
        <v>0.44362800435130639</v>
      </c>
      <c r="N25" s="18">
        <f t="shared" si="60"/>
        <v>0.44440970968906307</v>
      </c>
      <c r="O25" s="18">
        <f t="shared" si="60"/>
        <v>0.45984102832326884</v>
      </c>
      <c r="P25" s="31">
        <f t="shared" si="60"/>
        <v>0.43822121382235529</v>
      </c>
      <c r="Q25" s="18">
        <v>0.44</v>
      </c>
      <c r="R25" s="18">
        <f>Q25</f>
        <v>0.44</v>
      </c>
      <c r="S25" s="18"/>
      <c r="T25" s="18"/>
      <c r="U25" s="18"/>
      <c r="V25" s="18"/>
      <c r="W25" s="23"/>
      <c r="X25" s="18">
        <f t="shared" si="60"/>
        <v>0.41845920431557654</v>
      </c>
      <c r="Y25" s="18">
        <f t="shared" si="60"/>
        <v>0.43241680605288424</v>
      </c>
      <c r="Z25" s="18">
        <f t="shared" si="60"/>
        <v>0.4367292102808919</v>
      </c>
      <c r="AA25" s="18">
        <f t="shared" si="60"/>
        <v>0.43454737467760596</v>
      </c>
      <c r="AB25" s="40">
        <v>0.44</v>
      </c>
      <c r="AC25" s="18">
        <f>AB25</f>
        <v>0.44</v>
      </c>
      <c r="AD25" s="18">
        <f t="shared" ref="AD25:AN25" si="61">AC25</f>
        <v>0.44</v>
      </c>
      <c r="AE25" s="18">
        <f t="shared" si="61"/>
        <v>0.44</v>
      </c>
      <c r="AF25" s="18">
        <f t="shared" si="61"/>
        <v>0.44</v>
      </c>
      <c r="AG25" s="18">
        <f t="shared" si="61"/>
        <v>0.44</v>
      </c>
      <c r="AH25" s="18">
        <f t="shared" si="61"/>
        <v>0.44</v>
      </c>
      <c r="AI25" s="18">
        <f t="shared" si="61"/>
        <v>0.44</v>
      </c>
      <c r="AJ25" s="18">
        <f t="shared" si="61"/>
        <v>0.44</v>
      </c>
      <c r="AK25" s="18">
        <f t="shared" si="61"/>
        <v>0.44</v>
      </c>
      <c r="AL25" s="18">
        <f t="shared" si="61"/>
        <v>0.44</v>
      </c>
      <c r="AM25" s="18">
        <f t="shared" si="61"/>
        <v>0.44</v>
      </c>
      <c r="AN25" s="18">
        <f t="shared" si="61"/>
        <v>0.44</v>
      </c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  <row r="26" spans="1:81" x14ac:dyDescent="0.25">
      <c r="B26" s="3" t="s">
        <v>39</v>
      </c>
      <c r="C26" s="18">
        <f>C15/C4</f>
        <v>0.15326565041875037</v>
      </c>
      <c r="D26" s="18">
        <f t="shared" ref="D26:AC26" si="62">D15/D4</f>
        <v>0.16294118445889974</v>
      </c>
      <c r="E26" s="18">
        <f t="shared" si="62"/>
        <v>0.20597190623337522</v>
      </c>
      <c r="F26" s="18">
        <f t="shared" si="62"/>
        <v>0.2264833433811089</v>
      </c>
      <c r="G26" s="18">
        <f t="shared" si="62"/>
        <v>0.24029568506102802</v>
      </c>
      <c r="H26" s="18">
        <f t="shared" si="62"/>
        <v>0.2448039353097293</v>
      </c>
      <c r="I26" s="18">
        <f t="shared" si="62"/>
        <v>0.23214574015490347</v>
      </c>
      <c r="J26" s="18">
        <f t="shared" si="62"/>
        <v>0.21082799914302144</v>
      </c>
      <c r="K26" s="18">
        <f t="shared" si="62"/>
        <v>0.20217699393748523</v>
      </c>
      <c r="L26" s="18">
        <f t="shared" si="62"/>
        <v>0.23253640909588641</v>
      </c>
      <c r="M26" s="18">
        <f t="shared" si="62"/>
        <v>0.24520569501173348</v>
      </c>
      <c r="N26" s="18">
        <f t="shared" si="62"/>
        <v>0.25476331666065077</v>
      </c>
      <c r="O26" s="18">
        <f t="shared" si="62"/>
        <v>0.22403039956889037</v>
      </c>
      <c r="P26" s="31">
        <f t="shared" si="62"/>
        <v>0.20587730788423153</v>
      </c>
      <c r="Q26" s="18">
        <f t="shared" ref="Q26:R26" si="63">Q15/Q4</f>
        <v>0.19313968458068195</v>
      </c>
      <c r="R26" s="18">
        <f t="shared" si="63"/>
        <v>0.19666843818931007</v>
      </c>
      <c r="S26" s="18"/>
      <c r="T26" s="18"/>
      <c r="U26" s="18"/>
      <c r="V26" s="18"/>
      <c r="W26" s="23"/>
      <c r="X26" s="18">
        <f t="shared" si="62"/>
        <v>0.12230487188132165</v>
      </c>
      <c r="Y26" s="18">
        <f t="shared" si="62"/>
        <v>0.19220956843611683</v>
      </c>
      <c r="Z26" s="18">
        <f t="shared" si="62"/>
        <v>0.2308276757123385</v>
      </c>
      <c r="AA26" s="18">
        <f t="shared" si="62"/>
        <v>0.23509115481636364</v>
      </c>
      <c r="AB26" s="40">
        <f t="shared" si="62"/>
        <v>0.20500961114749533</v>
      </c>
      <c r="AC26" s="18">
        <f t="shared" si="62"/>
        <v>0.20398638642147418</v>
      </c>
      <c r="AD26" s="18">
        <f t="shared" ref="AD26:AN26" si="64">AD15/AD4</f>
        <v>0.20748119132849832</v>
      </c>
      <c r="AE26" s="18">
        <f t="shared" si="64"/>
        <v>0.21097263428714522</v>
      </c>
      <c r="AF26" s="18">
        <f t="shared" si="64"/>
        <v>0.21445794636914012</v>
      </c>
      <c r="AG26" s="18">
        <f t="shared" si="64"/>
        <v>0.21793452279506401</v>
      </c>
      <c r="AH26" s="18">
        <f t="shared" si="64"/>
        <v>0.22139991572126663</v>
      </c>
      <c r="AI26" s="18">
        <f t="shared" si="64"/>
        <v>0.22485182730770609</v>
      </c>
      <c r="AJ26" s="18">
        <f t="shared" si="64"/>
        <v>0.22828810305646877</v>
      </c>
      <c r="AK26" s="18">
        <f t="shared" si="64"/>
        <v>0.23170672541108459</v>
      </c>
      <c r="AL26" s="18">
        <f t="shared" si="64"/>
        <v>0.23510580760709354</v>
      </c>
      <c r="AM26" s="18">
        <f t="shared" si="64"/>
        <v>0.23848358776466028</v>
      </c>
      <c r="AN26" s="18">
        <f t="shared" si="64"/>
        <v>0.24183842321435248</v>
      </c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</row>
    <row r="27" spans="1:81" x14ac:dyDescent="0.25">
      <c r="B27" s="3" t="s">
        <v>40</v>
      </c>
      <c r="C27" s="18">
        <f>C21/C4</f>
        <v>0.1241188166536121</v>
      </c>
      <c r="D27" s="18">
        <f t="shared" ref="D27:AC27" si="65">D21/D4</f>
        <v>0.12837296467808304</v>
      </c>
      <c r="E27" s="18">
        <f t="shared" si="65"/>
        <v>0.15572119030640541</v>
      </c>
      <c r="F27" s="18">
        <f t="shared" si="65"/>
        <v>0.17380544913556717</v>
      </c>
      <c r="G27" s="18">
        <f t="shared" si="65"/>
        <v>0.20439598221960265</v>
      </c>
      <c r="H27" s="18">
        <f t="shared" si="65"/>
        <v>0.19979021326810653</v>
      </c>
      <c r="I27" s="18">
        <f t="shared" si="65"/>
        <v>0.17577397185556889</v>
      </c>
      <c r="J27" s="18">
        <f t="shared" si="65"/>
        <v>0.21421832656144874</v>
      </c>
      <c r="K27" s="18">
        <f t="shared" si="65"/>
        <v>0.18776867963152508</v>
      </c>
      <c r="L27" s="18">
        <f t="shared" si="65"/>
        <v>0.22476548527211007</v>
      </c>
      <c r="M27" s="18">
        <f t="shared" si="65"/>
        <v>0.22553929517046037</v>
      </c>
      <c r="N27" s="18">
        <f t="shared" si="65"/>
        <v>0.22900015469499305</v>
      </c>
      <c r="O27" s="18">
        <f t="shared" si="65"/>
        <v>0.2044402707114894</v>
      </c>
      <c r="P27" s="31">
        <f t="shared" si="65"/>
        <v>0.19829871506986027</v>
      </c>
      <c r="Q27" s="18">
        <f t="shared" ref="Q27:R27" si="66">Q21/Q4</f>
        <v>0.19078215395228357</v>
      </c>
      <c r="R27" s="18">
        <f t="shared" si="66"/>
        <v>0.19620850878211316</v>
      </c>
      <c r="S27" s="18"/>
      <c r="T27" s="18"/>
      <c r="U27" s="18"/>
      <c r="V27" s="18"/>
      <c r="W27" s="23"/>
      <c r="X27" s="18">
        <f t="shared" si="65"/>
        <v>0.10532282535401213</v>
      </c>
      <c r="Y27" s="18">
        <f t="shared" si="65"/>
        <v>0.14892184509108913</v>
      </c>
      <c r="Z27" s="18">
        <f t="shared" si="65"/>
        <v>0.19899934565075142</v>
      </c>
      <c r="AA27" s="18">
        <f t="shared" si="65"/>
        <v>0.21781543316669674</v>
      </c>
      <c r="AB27" s="40">
        <f t="shared" si="65"/>
        <v>0.19748088870157471</v>
      </c>
      <c r="AC27" s="18">
        <f t="shared" si="65"/>
        <v>0.20530027397148196</v>
      </c>
      <c r="AD27" s="18">
        <f t="shared" ref="AD27:AN27" si="67">AD21/AD4</f>
        <v>0.21427081415193958</v>
      </c>
      <c r="AE27" s="18">
        <f t="shared" si="67"/>
        <v>0.22203994998883878</v>
      </c>
      <c r="AF27" s="18">
        <f t="shared" si="67"/>
        <v>0.22951068227454824</v>
      </c>
      <c r="AG27" s="18">
        <f t="shared" si="67"/>
        <v>0.23669380290011371</v>
      </c>
      <c r="AH27" s="18">
        <f t="shared" si="67"/>
        <v>0.24359972824930348</v>
      </c>
      <c r="AI27" s="18">
        <f t="shared" si="67"/>
        <v>0.2569750114469303</v>
      </c>
      <c r="AJ27" s="18">
        <f t="shared" si="67"/>
        <v>0.25021217779507221</v>
      </c>
      <c r="AK27" s="18">
        <f t="shared" si="67"/>
        <v>0.24508162682098444</v>
      </c>
      <c r="AL27" s="18">
        <f t="shared" si="67"/>
        <v>0.2685197036547845</v>
      </c>
      <c r="AM27" s="18">
        <f t="shared" si="67"/>
        <v>0.26790510757859654</v>
      </c>
      <c r="AN27" s="18">
        <f t="shared" si="67"/>
        <v>0.27717622159886457</v>
      </c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</row>
    <row r="28" spans="1:81" x14ac:dyDescent="0.25">
      <c r="B28" s="3" t="s">
        <v>41</v>
      </c>
      <c r="C28" s="18">
        <f>C20/C19</f>
        <v>9.455524421735069E-2</v>
      </c>
      <c r="D28" s="18">
        <f t="shared" ref="D28:AA28" si="68">D20/D19</f>
        <v>0.1688939687005451</v>
      </c>
      <c r="E28" s="18">
        <f t="shared" si="68"/>
        <v>0.19577353637506212</v>
      </c>
      <c r="F28" s="18">
        <f t="shared" si="68"/>
        <v>0.21024610082622719</v>
      </c>
      <c r="G28" s="18">
        <f t="shared" si="68"/>
        <v>9.3040995575703417E-2</v>
      </c>
      <c r="H28" s="18">
        <f t="shared" si="68"/>
        <v>8.3139679641464029E-2</v>
      </c>
      <c r="I28" s="18">
        <f t="shared" si="68"/>
        <v>0.10500122197782666</v>
      </c>
      <c r="J28" s="18">
        <f t="shared" si="68"/>
        <v>0.13380549265164066</v>
      </c>
      <c r="K28" s="18">
        <f t="shared" si="68"/>
        <v>9.8389474878076449E-2</v>
      </c>
      <c r="L28" s="18">
        <f t="shared" si="68"/>
        <v>4.7000742850068097E-2</v>
      </c>
      <c r="M28" s="18">
        <f t="shared" si="68"/>
        <v>0.10511028164234815</v>
      </c>
      <c r="N28" s="18">
        <f t="shared" si="68"/>
        <v>0.18705809669816717</v>
      </c>
      <c r="O28" s="18">
        <f t="shared" si="68"/>
        <v>0.12549365243478702</v>
      </c>
      <c r="P28" s="31">
        <f t="shared" si="68"/>
        <v>0.11174364795250152</v>
      </c>
      <c r="Q28" s="18">
        <v>0.1</v>
      </c>
      <c r="R28" s="18">
        <v>0.1</v>
      </c>
      <c r="S28" s="18"/>
      <c r="T28" s="18"/>
      <c r="U28" s="18"/>
      <c r="V28" s="18"/>
      <c r="W28" s="23"/>
      <c r="X28" s="18">
        <f t="shared" si="68"/>
        <v>0.10564363167877465</v>
      </c>
      <c r="Y28" s="18">
        <f t="shared" si="68"/>
        <v>0.18083834324243531</v>
      </c>
      <c r="Z28" s="18">
        <f t="shared" si="68"/>
        <v>0.10643043658637773</v>
      </c>
      <c r="AA28" s="18">
        <f t="shared" si="68"/>
        <v>0.1160664611143615</v>
      </c>
      <c r="AB28" s="40">
        <v>0.1</v>
      </c>
      <c r="AC28" s="18">
        <v>0.1</v>
      </c>
      <c r="AD28" s="18">
        <v>0.1</v>
      </c>
      <c r="AE28" s="18">
        <v>0.1</v>
      </c>
      <c r="AF28" s="18">
        <v>0.1</v>
      </c>
      <c r="AG28" s="18">
        <v>0.1</v>
      </c>
      <c r="AH28" s="18">
        <v>0.1</v>
      </c>
      <c r="AI28" s="18">
        <v>0.1</v>
      </c>
      <c r="AJ28" s="18">
        <v>0.1</v>
      </c>
      <c r="AK28" s="18">
        <v>0.1</v>
      </c>
      <c r="AL28" s="18">
        <v>0.1</v>
      </c>
      <c r="AM28" s="18">
        <v>0.1</v>
      </c>
      <c r="AN28" s="18">
        <v>0.1</v>
      </c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</row>
    <row r="29" spans="1:81" x14ac:dyDescent="0.25">
      <c r="B29"/>
      <c r="C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81" x14ac:dyDescent="0.25">
      <c r="B30" s="3" t="s">
        <v>42</v>
      </c>
      <c r="D30" s="18"/>
      <c r="E30" s="18"/>
      <c r="F30" s="18"/>
      <c r="G30" s="18">
        <f>G4/C4-1</f>
        <v>0.53337199493884446</v>
      </c>
      <c r="H30" s="18">
        <f t="shared" ref="H30:O30" si="69">H4/D4-1</f>
        <v>0.50180615723073996</v>
      </c>
      <c r="I30" s="18">
        <f t="shared" si="69"/>
        <v>0.29701631068400736</v>
      </c>
      <c r="J30" s="18">
        <f t="shared" si="69"/>
        <v>0.29349390326909242</v>
      </c>
      <c r="K30" s="18">
        <f t="shared" si="69"/>
        <v>0.24767307645079684</v>
      </c>
      <c r="L30" s="18">
        <f t="shared" si="69"/>
        <v>0.23869118398386813</v>
      </c>
      <c r="M30" s="18">
        <f t="shared" si="69"/>
        <v>0.27555797970982865</v>
      </c>
      <c r="N30" s="18">
        <f t="shared" si="69"/>
        <v>0.16627263193898911</v>
      </c>
      <c r="O30" s="18">
        <f t="shared" si="69"/>
        <v>-6.4876781355798219E-3</v>
      </c>
      <c r="P30" s="31">
        <f>P4/L4-1</f>
        <v>-6.3722305361900933E-2</v>
      </c>
      <c r="Q30" s="41">
        <v>-4.2999999999999997E-2</v>
      </c>
      <c r="R30" s="18"/>
      <c r="S30" s="18"/>
      <c r="T30" s="18"/>
      <c r="U30" s="18"/>
      <c r="V30" s="18"/>
      <c r="W30" s="23"/>
      <c r="X30" s="18"/>
      <c r="Y30" s="18"/>
      <c r="Z30" s="18"/>
      <c r="AA30" s="18"/>
      <c r="AB30" s="18"/>
    </row>
    <row r="31" spans="1:81" x14ac:dyDescent="0.25">
      <c r="B31" s="3" t="s">
        <v>45</v>
      </c>
      <c r="D31" s="18"/>
      <c r="E31" s="18"/>
      <c r="F31" s="18"/>
      <c r="G31" s="18">
        <f>G5/C5-1</f>
        <v>0.55226721639061993</v>
      </c>
      <c r="H31" s="18">
        <f t="shared" ref="H31:P31" si="70">H5/D5-1</f>
        <v>0.52634207597248772</v>
      </c>
      <c r="I31" s="18">
        <f t="shared" si="70"/>
        <v>0.30971735313418192</v>
      </c>
      <c r="J31" s="18">
        <f t="shared" si="70"/>
        <v>0.30250492371391591</v>
      </c>
      <c r="K31" s="18">
        <f t="shared" si="70"/>
        <v>0.25174654380224992</v>
      </c>
      <c r="L31" s="18">
        <f t="shared" si="70"/>
        <v>0.24189205613155962</v>
      </c>
      <c r="M31" s="18">
        <f t="shared" si="70"/>
        <v>0.2790782702897896</v>
      </c>
      <c r="N31" s="18">
        <f t="shared" si="70"/>
        <v>0.16249202389929818</v>
      </c>
      <c r="O31" s="18">
        <f t="shared" si="70"/>
        <v>-1.0524090777904727E-2</v>
      </c>
      <c r="P31" s="18">
        <f t="shared" si="70"/>
        <v>-7.6383373545674593E-2</v>
      </c>
      <c r="Q31" s="18">
        <v>0.03</v>
      </c>
      <c r="R31" s="18"/>
      <c r="S31" s="18"/>
      <c r="T31" s="18"/>
      <c r="U31" s="18"/>
      <c r="V31" s="18"/>
      <c r="W31" s="23"/>
      <c r="X31" s="18"/>
      <c r="Y31" s="18"/>
      <c r="Z31" s="18"/>
      <c r="AA31" s="18"/>
      <c r="AB31" s="18"/>
    </row>
    <row r="32" spans="1:81" x14ac:dyDescent="0.25">
      <c r="B32" s="3" t="s">
        <v>46</v>
      </c>
      <c r="D32" s="18"/>
      <c r="E32" s="18"/>
      <c r="F32" s="18"/>
      <c r="G32" s="18">
        <f>G6/C6-1</f>
        <v>0.14545159721096157</v>
      </c>
      <c r="H32" s="18">
        <f t="shared" ref="H32:P32" si="71">H6/D6-1</f>
        <v>1.8685023883113328E-2</v>
      </c>
      <c r="I32" s="18">
        <f t="shared" si="71"/>
        <v>1.219673869813076E-2</v>
      </c>
      <c r="J32" s="18">
        <f t="shared" si="71"/>
        <v>4.3466107617051053E-2</v>
      </c>
      <c r="K32" s="18">
        <f t="shared" si="71"/>
        <v>0.13434314835787098</v>
      </c>
      <c r="L32" s="18">
        <f t="shared" si="71"/>
        <v>0.14425596469452495</v>
      </c>
      <c r="M32" s="18">
        <f t="shared" si="71"/>
        <v>0.17341191879502293</v>
      </c>
      <c r="N32" s="18">
        <f t="shared" si="71"/>
        <v>0.29721403696758641</v>
      </c>
      <c r="O32" s="18">
        <f t="shared" si="71"/>
        <v>0.11743416947460372</v>
      </c>
      <c r="P32" s="18">
        <f t="shared" si="71"/>
        <v>0.34168976738580215</v>
      </c>
      <c r="Q32" s="18"/>
      <c r="R32" s="18"/>
      <c r="S32" s="18"/>
      <c r="T32" s="18"/>
      <c r="U32" s="18"/>
      <c r="V32" s="18"/>
      <c r="W32" s="23"/>
      <c r="X32" s="18"/>
      <c r="Y32" s="18"/>
      <c r="Z32" s="18"/>
      <c r="AA32" s="18"/>
      <c r="AB32" s="18"/>
    </row>
    <row r="33" spans="2:22" x14ac:dyDescent="0.25">
      <c r="B33" s="3" t="s">
        <v>43</v>
      </c>
      <c r="G33" s="18">
        <f>G21/C21-1</f>
        <v>1.5251213592233008</v>
      </c>
      <c r="H33" s="18">
        <f t="shared" ref="H33:O33" si="72">H21/D21-1</f>
        <v>1.3373003279382205</v>
      </c>
      <c r="I33" s="18">
        <f t="shared" si="72"/>
        <v>0.46403779756496455</v>
      </c>
      <c r="J33" s="18">
        <f t="shared" si="72"/>
        <v>0.5942543847380346</v>
      </c>
      <c r="K33" s="18">
        <f t="shared" si="72"/>
        <v>0.14617676743403663</v>
      </c>
      <c r="L33" s="18">
        <f t="shared" si="72"/>
        <v>0.39353685306297947</v>
      </c>
      <c r="M33" s="18">
        <f t="shared" si="72"/>
        <v>0.63669538018518979</v>
      </c>
      <c r="N33" s="18">
        <f t="shared" si="72"/>
        <v>0.24674960082817199</v>
      </c>
      <c r="O33" s="18">
        <f t="shared" si="72"/>
        <v>8.1724217456024428E-2</v>
      </c>
      <c r="P33" s="31">
        <f>P21/L21-1</f>
        <v>-0.17397164617808014</v>
      </c>
      <c r="Q33" s="18"/>
      <c r="R33" s="18"/>
      <c r="S33" s="18"/>
      <c r="T33" s="18"/>
      <c r="U33" s="18"/>
      <c r="V33" s="18"/>
    </row>
    <row r="35" spans="2:22" x14ac:dyDescent="0.25">
      <c r="B35" s="3" t="s">
        <v>47</v>
      </c>
      <c r="C35" s="18">
        <f>C5/C4</f>
        <v>0.95355335301560518</v>
      </c>
      <c r="D35" s="18">
        <f t="shared" ref="D35:P35" si="73">D5/D4</f>
        <v>0.95166831891576242</v>
      </c>
      <c r="E35" s="18">
        <f t="shared" si="73"/>
        <v>0.95731037839428612</v>
      </c>
      <c r="F35" s="18">
        <f t="shared" si="73"/>
        <v>0.96521362867311022</v>
      </c>
      <c r="G35" s="18">
        <f t="shared" si="73"/>
        <v>0.96530366659299094</v>
      </c>
      <c r="H35" s="18">
        <f t="shared" si="73"/>
        <v>0.96721630187587315</v>
      </c>
      <c r="I35" s="18">
        <f t="shared" si="73"/>
        <v>0.96668484782371555</v>
      </c>
      <c r="J35" s="18">
        <f t="shared" si="73"/>
        <v>0.9719377111907116</v>
      </c>
      <c r="K35" s="18">
        <f t="shared" si="73"/>
        <v>0.968455239744902</v>
      </c>
      <c r="L35" s="18">
        <f t="shared" si="73"/>
        <v>0.9697156622987918</v>
      </c>
      <c r="M35" s="18">
        <f t="shared" si="73"/>
        <v>0.96935270896191239</v>
      </c>
      <c r="N35" s="18">
        <f t="shared" si="73"/>
        <v>0.96878706234208223</v>
      </c>
      <c r="O35" s="18">
        <f t="shared" si="73"/>
        <v>0.96452062827888985</v>
      </c>
      <c r="P35" s="18">
        <f t="shared" si="73"/>
        <v>0.95660242015968067</v>
      </c>
      <c r="Q35">
        <v>0.95</v>
      </c>
    </row>
    <row r="36" spans="2:22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5"/>
    </row>
    <row r="41" spans="2:22" x14ac:dyDescent="0.25">
      <c r="L41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AF8F-9250-4B8E-9D54-5B0A119B82E1}">
  <dimension ref="B6:C27"/>
  <sheetViews>
    <sheetView workbookViewId="0">
      <selection activeCell="C27" sqref="C27"/>
    </sheetView>
  </sheetViews>
  <sheetFormatPr defaultRowHeight="15" x14ac:dyDescent="0.25"/>
  <cols>
    <col min="2" max="2" width="25" bestFit="1" customWidth="1"/>
  </cols>
  <sheetData>
    <row r="6" spans="2:3" x14ac:dyDescent="0.25">
      <c r="B6" t="s">
        <v>72</v>
      </c>
      <c r="C6" s="18">
        <v>0.3</v>
      </c>
    </row>
    <row r="7" spans="2:3" x14ac:dyDescent="0.25">
      <c r="B7" t="s">
        <v>73</v>
      </c>
      <c r="C7" s="18">
        <v>0.15</v>
      </c>
    </row>
    <row r="8" spans="2:3" x14ac:dyDescent="0.25">
      <c r="B8" t="s">
        <v>74</v>
      </c>
      <c r="C8" s="18">
        <v>0.47</v>
      </c>
    </row>
    <row r="9" spans="2:3" x14ac:dyDescent="0.25">
      <c r="B9" t="s">
        <v>75</v>
      </c>
      <c r="C9" s="18">
        <v>0.05</v>
      </c>
    </row>
    <row r="10" spans="2:3" x14ac:dyDescent="0.25">
      <c r="B10" t="s">
        <v>76</v>
      </c>
      <c r="C10" s="18">
        <v>0.02</v>
      </c>
    </row>
    <row r="11" spans="2:3" x14ac:dyDescent="0.25">
      <c r="C11" s="18"/>
    </row>
    <row r="12" spans="2:3" ht="15.75" thickBot="1" x14ac:dyDescent="0.3">
      <c r="B12" s="48" t="s">
        <v>79</v>
      </c>
    </row>
    <row r="13" spans="2:3" ht="15.75" thickTop="1" x14ac:dyDescent="0.25">
      <c r="B13" t="s">
        <v>77</v>
      </c>
      <c r="C13" s="18">
        <v>0.63</v>
      </c>
    </row>
    <row r="14" spans="2:3" x14ac:dyDescent="0.25">
      <c r="B14" t="s">
        <v>80</v>
      </c>
      <c r="C14" s="18"/>
    </row>
    <row r="15" spans="2:3" x14ac:dyDescent="0.25">
      <c r="B15" t="s">
        <v>72</v>
      </c>
      <c r="C15" s="18">
        <v>0.3</v>
      </c>
    </row>
    <row r="16" spans="2:3" x14ac:dyDescent="0.25">
      <c r="B16" t="s">
        <v>81</v>
      </c>
      <c r="C16" s="18"/>
    </row>
    <row r="17" spans="2:3" x14ac:dyDescent="0.25">
      <c r="B17" t="s">
        <v>78</v>
      </c>
      <c r="C17" s="18">
        <v>0.5</v>
      </c>
    </row>
    <row r="18" spans="2:3" x14ac:dyDescent="0.25">
      <c r="B18" t="s">
        <v>82</v>
      </c>
    </row>
    <row r="24" spans="2:3" x14ac:dyDescent="0.25">
      <c r="B24" t="s">
        <v>83</v>
      </c>
    </row>
    <row r="26" spans="2:3" x14ac:dyDescent="0.25">
      <c r="B26" t="s">
        <v>84</v>
      </c>
    </row>
    <row r="27" spans="2:3" x14ac:dyDescent="0.25">
      <c r="B27" t="s">
        <v>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4769ff-e8ec-4677-9c24-339a20d2b90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479E804D6A8147B07AC2A76E77DC20" ma:contentTypeVersion="8" ma:contentTypeDescription="Create a new document." ma:contentTypeScope="" ma:versionID="a0d9312339b4ea58cce85726adcdab04">
  <xsd:schema xmlns:xsd="http://www.w3.org/2001/XMLSchema" xmlns:xs="http://www.w3.org/2001/XMLSchema" xmlns:p="http://schemas.microsoft.com/office/2006/metadata/properties" xmlns:ns3="0a4769ff-e8ec-4677-9c24-339a20d2b90c" xmlns:ns4="6e476da6-fb2c-47cf-bd9f-4ca1c024962f" targetNamespace="http://schemas.microsoft.com/office/2006/metadata/properties" ma:root="true" ma:fieldsID="d22e0aea6489c349a3399dfbe7ca94b0" ns3:_="" ns4:_="">
    <xsd:import namespace="0a4769ff-e8ec-4677-9c24-339a20d2b90c"/>
    <xsd:import namespace="6e476da6-fb2c-47cf-bd9f-4ca1c02496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769ff-e8ec-4677-9c24-339a20d2b9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76da6-fb2c-47cf-bd9f-4ca1c024962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6DAF3E-D867-4B51-931F-61AA0C66E71F}">
  <ds:schemaRefs>
    <ds:schemaRef ds:uri="http://purl.org/dc/elements/1.1/"/>
    <ds:schemaRef ds:uri="0a4769ff-e8ec-4677-9c24-339a20d2b90c"/>
    <ds:schemaRef ds:uri="http://schemas.openxmlformats.org/package/2006/metadata/core-properties"/>
    <ds:schemaRef ds:uri="6e476da6-fb2c-47cf-bd9f-4ca1c024962f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9614F2-D0AB-433E-9179-0120683B04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4202BC-918E-46C9-BAB2-28781E085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769ff-e8ec-4677-9c24-339a20d2b90c"/>
    <ds:schemaRef ds:uri="6e476da6-fb2c-47cf-bd9f-4ca1c02496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 Dautel</dc:creator>
  <cp:keywords/>
  <dc:description/>
  <cp:lastModifiedBy>Caleb Dautel</cp:lastModifiedBy>
  <cp:revision/>
  <dcterms:created xsi:type="dcterms:W3CDTF">2024-10-15T17:34:42Z</dcterms:created>
  <dcterms:modified xsi:type="dcterms:W3CDTF">2024-10-27T21:46:05Z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0x010100AE479E804D6A8147B07AC2A76E77DC20</vt:lpwstr>
  </property>
</Properties>
</file>